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0490" windowHeight="642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Div 3 (2)...b7db256a_40ITCB" sheetId="17" state="hidden" r:id="rId13"/>
    <sheet name="OSR_300 &amp; 317_1C00ID4" sheetId="19" state="hidden" r:id="rId14"/>
    <sheet name="OSR_300 (2)_c...79cd3046_1TJM0H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0...c51cc666_QIOT67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...09141158_1BG9FGV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3" r:id="rId51"/>
    <sheet name="306" sheetId="67" r:id="rId52"/>
    <sheet name="330" sheetId="24" r:id="rId53"/>
    <sheet name="307" sheetId="68" r:id="rId54"/>
    <sheet name="314" sheetId="73" r:id="rId55"/>
    <sheet name="308" sheetId="27" r:id="rId56"/>
    <sheet name="311" sheetId="70" r:id="rId57"/>
    <sheet name="324" sheetId="82" r:id="rId58"/>
    <sheet name="331" sheetId="30" r:id="rId59"/>
    <sheet name="315" sheetId="74" r:id="rId60"/>
    <sheet name="326" sheetId="84" r:id="rId61"/>
    <sheet name="332" sheetId="33" r:id="rId62"/>
    <sheet name="316" sheetId="75" r:id="rId63"/>
    <sheet name="320" sheetId="78" r:id="rId64"/>
    <sheet name="Div 6" sheetId="51" r:id="rId65"/>
    <sheet name="317" sheetId="76" r:id="rId66"/>
    <sheet name="310" sheetId="21" r:id="rId67"/>
    <sheet name="309" sheetId="69" r:id="rId68"/>
    <sheet name="313" sheetId="72" r:id="rId69"/>
    <sheet name="321" sheetId="79" r:id="rId70"/>
    <sheet name="322" sheetId="80" r:id="rId71"/>
    <sheet name="325" sheetId="83" r:id="rId72"/>
    <sheet name="327" sheetId="85" r:id="rId73"/>
    <sheet name="Div 4" sheetId="36" r:id="rId74"/>
    <sheet name="310 &amp; 491" sheetId="39" r:id="rId75"/>
    <sheet name="491" sheetId="42" r:id="rId76"/>
    <sheet name="405" sheetId="87" r:id="rId77"/>
    <sheet name="406" sheetId="88" r:id="rId78"/>
    <sheet name="411" sheetId="91" r:id="rId79"/>
    <sheet name="412" sheetId="92" r:id="rId80"/>
    <sheet name="413" sheetId="93" r:id="rId81"/>
    <sheet name="414" sheetId="94" r:id="rId82"/>
    <sheet name="415" sheetId="95" r:id="rId83"/>
    <sheet name="418" sheetId="97" r:id="rId84"/>
    <sheet name="420" sheetId="98" r:id="rId85"/>
    <sheet name="423" sheetId="99" r:id="rId86"/>
    <sheet name="424" sheetId="100" r:id="rId87"/>
    <sheet name="425" sheetId="101" r:id="rId88"/>
    <sheet name="455" sheetId="108" r:id="rId89"/>
    <sheet name="492" sheetId="45" r:id="rId90"/>
    <sheet name="430" sheetId="102" r:id="rId91"/>
    <sheet name="433" sheetId="103" r:id="rId92"/>
    <sheet name="435" sheetId="104" r:id="rId93"/>
    <sheet name="444" sheetId="105" r:id="rId94"/>
    <sheet name="445" sheetId="106" r:id="rId95"/>
    <sheet name="450" sheetId="107" r:id="rId96"/>
    <sheet name="Div 5" sheetId="48" r:id="rId97"/>
    <sheet name="501" sheetId="109" r:id="rId98"/>
    <sheet name="Dept" sheetId="110" state="hidden" r:id="rId99"/>
    <sheet name="OSR_Dept_Y0WUKY" sheetId="111" state="hidden" r:id="rId100"/>
    <sheet name="OSR_Summary (...56e5d78f_5JEYZH" sheetId="112" state="hidden" r:id="rId101"/>
  </sheets>
  <definedNames>
    <definedName name="OSRRefD13x_0" localSheetId="48">'300'!$D$13:$D$107</definedName>
    <definedName name="OSRRefD13x_0" localSheetId="49">'300 &amp; 317'!$D$13:$D$125</definedName>
    <definedName name="OSRRefD13x_0" localSheetId="53">'307'!$D$13:$D$49</definedName>
    <definedName name="OSRRefD13x_0" localSheetId="55">'308'!$D$13:$D$41</definedName>
    <definedName name="OSRRefD13x_0" localSheetId="67">'309'!$D$13:$D$14</definedName>
    <definedName name="OSRRefD13x_0" localSheetId="66">'310'!$D$13:$D$21</definedName>
    <definedName name="OSRRefD13x_0" localSheetId="74">'310 &amp; 491'!$D$13:$D$28</definedName>
    <definedName name="OSRRefD13x_0" localSheetId="56">'311'!$D$13:$D$40</definedName>
    <definedName name="OSRRefD13x_0" localSheetId="68">'313'!$D$13:$D$18</definedName>
    <definedName name="OSRRefD13x_0" localSheetId="54">'314'!$D$13:$D$32</definedName>
    <definedName name="OSRRefD13x_0" localSheetId="59">'315'!$D$13:$D$50</definedName>
    <definedName name="OSRRefD13x_0" localSheetId="62">'316'!$D$13:$D$28</definedName>
    <definedName name="OSRRefD13x_0" localSheetId="65">'317'!$D$13:$D$37</definedName>
    <definedName name="OSRRefD13x_0" localSheetId="63">'320'!$D$13:$D$15</definedName>
    <definedName name="OSRRefD13x_0" localSheetId="69">'321'!$D$13:$D$14</definedName>
    <definedName name="OSRRefD13x_0" localSheetId="70">'322'!$D$13:$D$14</definedName>
    <definedName name="OSRRefD13x_0" localSheetId="57">'324'!$D$13:$D$15</definedName>
    <definedName name="OSRRefD13x_0" localSheetId="71">'325'!$D$13:$D$14</definedName>
    <definedName name="OSRRefD13x_0" localSheetId="60">'326'!$D$13:$D$38</definedName>
    <definedName name="OSRRefD13x_0" localSheetId="72">'327'!$D$13</definedName>
    <definedName name="OSRRefD13x_0" localSheetId="52">'330'!$D$13:$D$53</definedName>
    <definedName name="OSRRefD13x_0" localSheetId="58">'331'!$D$13:$D$54</definedName>
    <definedName name="OSRRefD13x_0" localSheetId="61">'332'!$D$13:$D$30</definedName>
    <definedName name="OSRRefD13x_0" localSheetId="76">'405'!$D$13:$D$14</definedName>
    <definedName name="OSRRefD13x_0" localSheetId="77">'406'!$D$13:$D$14</definedName>
    <definedName name="OSRRefD13x_0" localSheetId="79">'412'!$D$13:$D$14</definedName>
    <definedName name="OSRRefD13x_0" localSheetId="80">'413'!$D$13:$D$14</definedName>
    <definedName name="OSRRefD13x_0" localSheetId="81">'414'!$D$13:$D$14</definedName>
    <definedName name="OSRRefD13x_0" localSheetId="82">'415'!$D$13:$D$14</definedName>
    <definedName name="OSRRefD13x_0" localSheetId="83">'418'!$D$13:$D$14</definedName>
    <definedName name="OSRRefD13x_0" localSheetId="84">'420'!$D$13:$D$14</definedName>
    <definedName name="OSRRefD13x_0" localSheetId="86">'424'!$D$13:$D$14</definedName>
    <definedName name="OSRRefD13x_0" localSheetId="87">'425'!$D$13:$D$16</definedName>
    <definedName name="OSRRefD13x_0" localSheetId="91">'433'!$D$13:$D$15</definedName>
    <definedName name="OSRRefD13x_0" localSheetId="92">'435'!$D$13:$D$15</definedName>
    <definedName name="OSRRefD13x_0" localSheetId="93">'444'!$D$13:$D$15</definedName>
    <definedName name="OSRRefD13x_0" localSheetId="95">'450'!$D$13:$D$15</definedName>
    <definedName name="OSRRefD13x_0" localSheetId="75">'491'!$D$13:$D$22</definedName>
    <definedName name="OSRRefD13x_0" localSheetId="89">'492'!$D$13:$D$17</definedName>
    <definedName name="OSRRefD13x_0" localSheetId="97">'501'!$D$13</definedName>
    <definedName name="OSRRefD13x_0" localSheetId="47">'Div 3'!$D$13:$D$110</definedName>
    <definedName name="OSRRefD13x_0" localSheetId="73">'Div 4'!$D$13:$D$22</definedName>
    <definedName name="OSRRefD13x_0" localSheetId="96">'Div 5'!$D$13</definedName>
    <definedName name="OSRRefD13x_0" localSheetId="64">'Div 6'!$D$13:$D$37</definedName>
    <definedName name="OSRRefD13x_0" localSheetId="2">Summary!$D$13:$D$135</definedName>
    <definedName name="OSRRefD16x_0" localSheetId="48">'300'!$D$110:$D$159</definedName>
    <definedName name="OSRRefD16x_0" localSheetId="49">'300 &amp; 317'!$D$128:$D$184</definedName>
    <definedName name="OSRRefD16x_0" localSheetId="53">'307'!$D$52:$D$71</definedName>
    <definedName name="OSRRefD16x_0" localSheetId="55">'308'!$D$44:$D$59</definedName>
    <definedName name="OSRRefD16x_0" localSheetId="67">'309'!$D$17:$D$18</definedName>
    <definedName name="OSRRefD16x_0" localSheetId="66">'310'!$D$24:$D$25</definedName>
    <definedName name="OSRRefD16x_0" localSheetId="74">'310 &amp; 491'!$D$31:$D$32</definedName>
    <definedName name="OSRRefD16x_0" localSheetId="56">'311'!$D$43:$D$58</definedName>
    <definedName name="OSRRefD16x_0" localSheetId="68">'313'!$D$21:$D$22</definedName>
    <definedName name="OSRRefD16x_0" localSheetId="54">'314'!$D$35:$D$49</definedName>
    <definedName name="OSRRefD16x_0" localSheetId="59">'315'!$D$53:$D$75</definedName>
    <definedName name="OSRRefD16x_0" localSheetId="65">'317'!$D$40:$D$52</definedName>
    <definedName name="OSRRefD16x_0" localSheetId="63">'320'!$D$18:$D$22</definedName>
    <definedName name="OSRRefD16x_0" localSheetId="69">'321'!$D$17:$D$18</definedName>
    <definedName name="OSRRefD16x_0" localSheetId="70">'322'!$D$17:$D$18</definedName>
    <definedName name="OSRRefD16x_0" localSheetId="57">'324'!$D$18:$D$19</definedName>
    <definedName name="OSRRefD16x_0" localSheetId="71">'325'!$D$17:$D$18</definedName>
    <definedName name="OSRRefD16x_0" localSheetId="60">'326'!$D$41:$D$56</definedName>
    <definedName name="OSRRefD16x_0" localSheetId="72">'327'!$D$16</definedName>
    <definedName name="OSRRefD16x_0" localSheetId="52">'330'!$D$56:$D$78</definedName>
    <definedName name="OSRRefD16x_0" localSheetId="58">'331'!$D$57:$D$84</definedName>
    <definedName name="OSRRefD16x_0" localSheetId="61">'332'!$D$33:$D$37</definedName>
    <definedName name="OSRRefD16x_0" localSheetId="76">'405'!$D$17:$D$18</definedName>
    <definedName name="OSRRefD16x_0" localSheetId="77">'406'!$D$17:$D$18</definedName>
    <definedName name="OSRRefD16x_0" localSheetId="79">'412'!$D$17</definedName>
    <definedName name="OSRRefD16x_0" localSheetId="80">'413'!$D$17:$D$18</definedName>
    <definedName name="OSRRefD16x_0" localSheetId="81">'414'!$D$17:$D$18</definedName>
    <definedName name="OSRRefD16x_0" localSheetId="82">'415'!$D$17:$D$18</definedName>
    <definedName name="OSRRefD16x_0" localSheetId="83">'418'!$D$17:$D$18</definedName>
    <definedName name="OSRRefD16x_0" localSheetId="84">'420'!$D$17</definedName>
    <definedName name="OSRRefD16x_0" localSheetId="85">'423'!$D$15</definedName>
    <definedName name="OSRRefD16x_0" localSheetId="86">'424'!$D$17:$D$18</definedName>
    <definedName name="OSRRefD16x_0" localSheetId="87">'425'!$D$19:$D$20</definedName>
    <definedName name="OSRRefD16x_0" localSheetId="91">'433'!$D$18:$D$19</definedName>
    <definedName name="OSRRefD16x_0" localSheetId="92">'435'!$D$18:$D$19</definedName>
    <definedName name="OSRRefD16x_0" localSheetId="93">'444'!$D$18:$D$19</definedName>
    <definedName name="OSRRefD16x_0" localSheetId="95">'450'!$D$18:$D$19</definedName>
    <definedName name="OSRRefD16x_0" localSheetId="75">'491'!$D$25:$D$26</definedName>
    <definedName name="OSRRefD16x_0" localSheetId="89">'492'!$D$20:$D$21</definedName>
    <definedName name="OSRRefD16x_0" localSheetId="47">'Div 3'!$D$113:$D$164</definedName>
    <definedName name="OSRRefD16x_0" localSheetId="73">'Div 4'!$D$25:$D$26</definedName>
    <definedName name="OSRRefD16x_0" localSheetId="64">'Div 6'!$D$40:$D$52</definedName>
    <definedName name="OSRRefD16x_0" localSheetId="2">Summary!$D$138:$D$196</definedName>
    <definedName name="OSRRefD22_0x_0" localSheetId="40">'200'!$D$20</definedName>
    <definedName name="OSRRefD22_0x_0" localSheetId="41">'201'!$D$20:$D$27</definedName>
    <definedName name="OSRRefD22_0x_0" localSheetId="42">'202'!$D$20:$D$27</definedName>
    <definedName name="OSRRefD22_0x_0" localSheetId="43">'203'!$D$20:$D$29</definedName>
    <definedName name="OSRRefD22_0x_0" localSheetId="44">'204'!$D$20:$D$29</definedName>
    <definedName name="OSRRefD22_0x_0" localSheetId="45">'205'!$D$20:$D$27</definedName>
    <definedName name="OSRRefD22_0x_0" localSheetId="46">'206'!$D$20:$D$27</definedName>
    <definedName name="OSRRefD22_0x_0" localSheetId="48">'300'!$D$165:$D$174</definedName>
    <definedName name="OSRRefD22_0x_0" localSheetId="49">'300 &amp; 317'!$D$190:$D$199</definedName>
    <definedName name="OSRRefD22_0x_0" localSheetId="50">'301'!$D$20:$D$29</definedName>
    <definedName name="OSRRefD22_0x_0" localSheetId="51">'306'!$D$20:$D$28</definedName>
    <definedName name="OSRRefD22_0x_0" localSheetId="53">'307'!$D$77:$D$84</definedName>
    <definedName name="OSRRefD22_0x_0" localSheetId="55">'308'!$D$65:$D$73</definedName>
    <definedName name="OSRRefD22_0x_0" localSheetId="67">'309'!$D$24:$D$31</definedName>
    <definedName name="OSRRefD22_0x_0" localSheetId="66">'310'!$D$31:$D$38</definedName>
    <definedName name="OSRRefD22_0x_0" localSheetId="74">'310 &amp; 491'!$D$38:$D$46</definedName>
    <definedName name="OSRRefD22_0x_0" localSheetId="56">'311'!$D$64:$D$72</definedName>
    <definedName name="OSRRefD22_0x_0" localSheetId="68">'313'!$D$28:$D$35</definedName>
    <definedName name="OSRRefD22_0x_0" localSheetId="54">'314'!$D$55:$D$62</definedName>
    <definedName name="OSRRefD22_0x_0" localSheetId="59">'315'!$D$81:$D$88</definedName>
    <definedName name="OSRRefD22_0x_0" localSheetId="62">'316'!$D$36:$D$43</definedName>
    <definedName name="OSRRefD22_0x_0" localSheetId="65">'317'!$D$58:$D$66</definedName>
    <definedName name="OSRRefD22_0x_0" localSheetId="63">'320'!$D$28:$D$34</definedName>
    <definedName name="OSRRefD22_0x_0" localSheetId="69">'321'!$D$24:$D$31</definedName>
    <definedName name="OSRRefD22_0x_0" localSheetId="70">'322'!$D$24:$D$31</definedName>
    <definedName name="OSRRefD22_0x_0" localSheetId="71">'325'!$D$24:$D$31</definedName>
    <definedName name="OSRRefD22_0x_0" localSheetId="60">'326'!$D$62:$D$69</definedName>
    <definedName name="OSRRefD22_0x_0" localSheetId="72">'327'!$D$22</definedName>
    <definedName name="OSRRefD22_0x_0" localSheetId="52">'330'!$D$84:$D$91</definedName>
    <definedName name="OSRRefD22_0x_0" localSheetId="58">'331'!$D$90:$D$97</definedName>
    <definedName name="OSRRefD22_0x_0" localSheetId="61">'332'!$D$43:$D$50</definedName>
    <definedName name="OSRRefD22_0x_0" localSheetId="76">'405'!$D$24:$D$31</definedName>
    <definedName name="OSRRefD22_0x_0" localSheetId="77">'406'!$D$24:$D$31</definedName>
    <definedName name="OSRRefD22_0x_0" localSheetId="78">'411'!$D$20:$D$28</definedName>
    <definedName name="OSRRefD22_0x_0" localSheetId="79">'412'!$D$23:$D$30</definedName>
    <definedName name="OSRRefD22_0x_0" localSheetId="80">'413'!$D$24:$D$31</definedName>
    <definedName name="OSRRefD22_0x_0" localSheetId="81">'414'!$D$24:$D$31</definedName>
    <definedName name="OSRRefD22_0x_0" localSheetId="82">'415'!$D$24:$D$31</definedName>
    <definedName name="OSRRefD22_0x_0" localSheetId="83">'418'!$D$24:$D$31</definedName>
    <definedName name="OSRRefD22_0x_0" localSheetId="84">'420'!$D$23:$D$30</definedName>
    <definedName name="OSRRefD22_0x_0" localSheetId="85">'423'!$D$21:$D$28</definedName>
    <definedName name="OSRRefD22_0x_0" localSheetId="86">'424'!$D$24:$D$25</definedName>
    <definedName name="OSRRefD22_0x_0" localSheetId="87">'425'!$D$26:$D$34</definedName>
    <definedName name="OSRRefD22_0x_0" localSheetId="90">'430'!$D$20:$D$27</definedName>
    <definedName name="OSRRefD22_0x_0" localSheetId="91">'433'!$D$25:$D$33</definedName>
    <definedName name="OSRRefD22_0x_0" localSheetId="92">'435'!$D$25:$D$27</definedName>
    <definedName name="OSRRefD22_0x_0" localSheetId="93">'444'!$D$25:$D$33</definedName>
    <definedName name="OSRRefD22_0x_0" localSheetId="95">'450'!$D$25:$D$33</definedName>
    <definedName name="OSRRefD22_0x_0" localSheetId="88">'455'!$D$20:$D$26</definedName>
    <definedName name="OSRRefD22_0x_0" localSheetId="75">'491'!$D$32:$D$40</definedName>
    <definedName name="OSRRefD22_0x_0" localSheetId="89">'492'!$D$27:$D$35</definedName>
    <definedName name="OSRRefD22_0x_0" localSheetId="97">'501'!$D$21:$D$29</definedName>
    <definedName name="OSRRefD22_0x_0" localSheetId="39">'Div 2'!$D$20:$D$30</definedName>
    <definedName name="OSRRefD22_0x_0" localSheetId="47">'Div 3'!$D$170:$D$179</definedName>
    <definedName name="OSRRefD22_0x_0" localSheetId="73">'Div 4'!$D$32:$D$40</definedName>
    <definedName name="OSRRefD22_0x_0" localSheetId="96">'Div 5'!$D$21:$D$29</definedName>
    <definedName name="OSRRefD22_0x_0" localSheetId="64">'Div 6'!$D$58:$D$66</definedName>
    <definedName name="OSRRefD22_0x_0" localSheetId="2">Summary!$D$202:$D$211</definedName>
    <definedName name="OSRRefD22_10x_0" localSheetId="41">'201'!$D$51:$D$53</definedName>
    <definedName name="OSRRefD22_10x_0" localSheetId="42">'202'!$D$53</definedName>
    <definedName name="OSRRefD22_10x_0" localSheetId="43">'203'!$D$54:$D$55</definedName>
    <definedName name="OSRRefD22_10x_0" localSheetId="44">'204'!$D$56:$D$57</definedName>
    <definedName name="OSRRefD22_10x_0" localSheetId="48">'300'!$D$203:$D$204</definedName>
    <definedName name="OSRRefD22_10x_0" localSheetId="49">'300 &amp; 317'!$D$228:$D$229</definedName>
    <definedName name="OSRRefD22_10x_0" localSheetId="50">'301'!$D$58</definedName>
    <definedName name="OSRRefD22_10x_0" localSheetId="53">'307'!$D$113</definedName>
    <definedName name="OSRRefD22_10x_0" localSheetId="55">'308'!$D$102:$D$103</definedName>
    <definedName name="OSRRefD22_10x_0" localSheetId="67">'309'!$D$56:$D$58</definedName>
    <definedName name="OSRRefD22_10x_0" localSheetId="66">'310'!$D$64</definedName>
    <definedName name="OSRRefD22_10x_0" localSheetId="74">'310 &amp; 491'!$D$74:$D$75</definedName>
    <definedName name="OSRRefD22_10x_0" localSheetId="56">'311'!$D$101:$D$102</definedName>
    <definedName name="OSRRefD22_10x_0" localSheetId="68">'313'!$D$61:$D$65</definedName>
    <definedName name="OSRRefD22_10x_0" localSheetId="59">'315'!$D$121</definedName>
    <definedName name="OSRRefD22_10x_0" localSheetId="62">'316'!$D$69:$D$74</definedName>
    <definedName name="OSRRefD22_10x_0" localSheetId="65">'317'!$D$91:$D$93</definedName>
    <definedName name="OSRRefD22_10x_0" localSheetId="69">'321'!$D$62</definedName>
    <definedName name="OSRRefD22_10x_0" localSheetId="70">'322'!$D$58:$D$63</definedName>
    <definedName name="OSRRefD22_10x_0" localSheetId="71">'325'!$D$56</definedName>
    <definedName name="OSRRefD22_10x_0" localSheetId="60">'326'!$D$94</definedName>
    <definedName name="OSRRefD22_10x_0" localSheetId="52">'330'!$D$118</definedName>
    <definedName name="OSRRefD22_10x_0" localSheetId="58">'331'!$D$124</definedName>
    <definedName name="OSRRefD22_10x_0" localSheetId="61">'332'!$D$76</definedName>
    <definedName name="OSRRefD22_10x_0" localSheetId="76">'405'!$D$55:$D$56</definedName>
    <definedName name="OSRRefD22_10x_0" localSheetId="77">'406'!$D$58:$D$59</definedName>
    <definedName name="OSRRefD22_10x_0" localSheetId="78">'411'!$D$55</definedName>
    <definedName name="OSRRefD22_10x_0" localSheetId="79">'412'!$D$56:$D$57</definedName>
    <definedName name="OSRRefD22_10x_0" localSheetId="80">'413'!$D$64</definedName>
    <definedName name="OSRRefD22_10x_0" localSheetId="81">'414'!$D$57</definedName>
    <definedName name="OSRRefD22_10x_0" localSheetId="82">'415'!$D$57</definedName>
    <definedName name="OSRRefD22_10x_0" localSheetId="83">'418'!$D$57:$D$58</definedName>
    <definedName name="OSRRefD22_10x_0" localSheetId="86">'424'!$D$50</definedName>
    <definedName name="OSRRefD22_10x_0" localSheetId="87">'425'!$D$61</definedName>
    <definedName name="OSRRefD22_10x_0" localSheetId="91">'433'!$D$58</definedName>
    <definedName name="OSRRefD22_10x_0" localSheetId="93">'444'!$D$58</definedName>
    <definedName name="OSRRefD22_10x_0" localSheetId="95">'450'!$D$58</definedName>
    <definedName name="OSRRefD22_10x_0" localSheetId="75">'491'!$D$68</definedName>
    <definedName name="OSRRefD22_10x_0" localSheetId="89">'492'!$D$61</definedName>
    <definedName name="OSRRefD22_10x_0" localSheetId="97">'501'!$D$56</definedName>
    <definedName name="OSRRefD22_10x_0" localSheetId="39">'Div 2'!$D$57</definedName>
    <definedName name="OSRRefD22_10x_0" localSheetId="47">'Div 3'!$D$208:$D$209</definedName>
    <definedName name="OSRRefD22_10x_0" localSheetId="73">'Div 4'!$D$68</definedName>
    <definedName name="OSRRefD22_10x_0" localSheetId="96">'Div 5'!$D$56</definedName>
    <definedName name="OSRRefD22_10x_0" localSheetId="64">'Div 6'!$D$91:$D$93</definedName>
    <definedName name="OSRRefD22_10x_0" localSheetId="2">Summary!$D$241:$D$242</definedName>
    <definedName name="OSRRefD22_11x_0" localSheetId="41">'201'!$D$55</definedName>
    <definedName name="OSRRefD22_11x_0" localSheetId="42">'202'!$D$55:$D$57</definedName>
    <definedName name="OSRRefD22_11x_0" localSheetId="43">'203'!$D$57</definedName>
    <definedName name="OSRRefD22_11x_0" localSheetId="48">'300'!$D$206</definedName>
    <definedName name="OSRRefD22_11x_0" localSheetId="49">'300 &amp; 317'!$D$231</definedName>
    <definedName name="OSRRefD22_11x_0" localSheetId="50">'301'!$D$60</definedName>
    <definedName name="OSRRefD22_11x_0" localSheetId="53">'307'!$D$115</definedName>
    <definedName name="OSRRefD22_11x_0" localSheetId="55">'308'!$D$105:$D$107</definedName>
    <definedName name="OSRRefD22_11x_0" localSheetId="67">'309'!$D$60:$D$62</definedName>
    <definedName name="OSRRefD22_11x_0" localSheetId="66">'310'!$D$66</definedName>
    <definedName name="OSRRefD22_11x_0" localSheetId="74">'310 &amp; 491'!$D$77:$D$78</definedName>
    <definedName name="OSRRefD22_11x_0" localSheetId="56">'311'!$D$104:$D$106</definedName>
    <definedName name="OSRRefD22_11x_0" localSheetId="68">'313'!$D$67</definedName>
    <definedName name="OSRRefD22_11x_0" localSheetId="59">'315'!$D$123</definedName>
    <definedName name="OSRRefD22_11x_0" localSheetId="62">'316'!$D$76</definedName>
    <definedName name="OSRRefD22_11x_0" localSheetId="65">'317'!$D$95</definedName>
    <definedName name="OSRRefD22_11x_0" localSheetId="69">'321'!$D$64</definedName>
    <definedName name="OSRRefD22_11x_0" localSheetId="70">'322'!$D$65</definedName>
    <definedName name="OSRRefD22_11x_0" localSheetId="71">'325'!$D$58:$D$60</definedName>
    <definedName name="OSRRefD22_11x_0" localSheetId="60">'326'!$D$96</definedName>
    <definedName name="OSRRefD22_11x_0" localSheetId="52">'330'!$D$120:$D$123</definedName>
    <definedName name="OSRRefD22_11x_0" localSheetId="58">'331'!$D$126</definedName>
    <definedName name="OSRRefD22_11x_0" localSheetId="61">'332'!$D$78:$D$83</definedName>
    <definedName name="OSRRefD22_11x_0" localSheetId="76">'405'!$D$58</definedName>
    <definedName name="OSRRefD22_11x_0" localSheetId="77">'406'!$D$61:$D$65</definedName>
    <definedName name="OSRRefD22_11x_0" localSheetId="78">'411'!$D$57</definedName>
    <definedName name="OSRRefD22_11x_0" localSheetId="79">'412'!$D$59:$D$64</definedName>
    <definedName name="OSRRefD22_11x_0" localSheetId="80">'413'!$D$66</definedName>
    <definedName name="OSRRefD22_11x_0" localSheetId="81">'414'!$D$59</definedName>
    <definedName name="OSRRefD22_11x_0" localSheetId="82">'415'!$D$59:$D$62</definedName>
    <definedName name="OSRRefD22_11x_0" localSheetId="83">'418'!$D$60:$D$62</definedName>
    <definedName name="OSRRefD22_11x_0" localSheetId="86">'424'!$D$52:$D$56</definedName>
    <definedName name="OSRRefD22_11x_0" localSheetId="87">'425'!$D$63:$D$64</definedName>
    <definedName name="OSRRefD22_11x_0" localSheetId="91">'433'!$D$60:$D$62</definedName>
    <definedName name="OSRRefD22_11x_0" localSheetId="93">'444'!$D$60:$D$62</definedName>
    <definedName name="OSRRefD22_11x_0" localSheetId="95">'450'!$D$60</definedName>
    <definedName name="OSRRefD22_11x_0" localSheetId="75">'491'!$D$70:$D$71</definedName>
    <definedName name="OSRRefD22_11x_0" localSheetId="89">'492'!$D$63</definedName>
    <definedName name="OSRRefD22_11x_0" localSheetId="97">'501'!$D$58:$D$60</definedName>
    <definedName name="OSRRefD22_11x_0" localSheetId="39">'Div 2'!$D$59</definedName>
    <definedName name="OSRRefD22_11x_0" localSheetId="47">'Div 3'!$D$211</definedName>
    <definedName name="OSRRefD22_11x_0" localSheetId="73">'Div 4'!$D$70:$D$71</definedName>
    <definedName name="OSRRefD22_11x_0" localSheetId="96">'Div 5'!$D$58:$D$60</definedName>
    <definedName name="OSRRefD22_11x_0" localSheetId="64">'Div 6'!$D$95</definedName>
    <definedName name="OSRRefD22_11x_0" localSheetId="2">Summary!$D$244:$D$245</definedName>
    <definedName name="OSRRefD22_12x_0" localSheetId="41">'201'!$D$57:$D$60</definedName>
    <definedName name="OSRRefD22_12x_0" localSheetId="42">'202'!$D$59</definedName>
    <definedName name="OSRRefD22_12x_0" localSheetId="43">'203'!$D$59:$D$62</definedName>
    <definedName name="OSRRefD22_12x_0" localSheetId="48">'300'!$D$208</definedName>
    <definedName name="OSRRefD22_12x_0" localSheetId="49">'300 &amp; 317'!$D$233</definedName>
    <definedName name="OSRRefD22_12x_0" localSheetId="50">'301'!$D$62</definedName>
    <definedName name="OSRRefD22_12x_0" localSheetId="55">'308'!$D$109:$D$110</definedName>
    <definedName name="OSRRefD22_12x_0" localSheetId="67">'309'!$D$64</definedName>
    <definedName name="OSRRefD22_12x_0" localSheetId="66">'310'!$D$68</definedName>
    <definedName name="OSRRefD22_12x_0" localSheetId="74">'310 &amp; 491'!$D$80</definedName>
    <definedName name="OSRRefD22_12x_0" localSheetId="56">'311'!$D$108:$D$109</definedName>
    <definedName name="OSRRefD22_12x_0" localSheetId="68">'313'!$D$69</definedName>
    <definedName name="OSRRefD22_12x_0" localSheetId="59">'315'!$D$125:$D$126</definedName>
    <definedName name="OSRRefD22_12x_0" localSheetId="62">'316'!$D$78</definedName>
    <definedName name="OSRRefD22_12x_0" localSheetId="65">'317'!$D$97</definedName>
    <definedName name="OSRRefD22_12x_0" localSheetId="70">'322'!$D$67</definedName>
    <definedName name="OSRRefD22_12x_0" localSheetId="71">'325'!$D$62:$D$64</definedName>
    <definedName name="OSRRefD22_12x_0" localSheetId="60">'326'!$D$98:$D$100</definedName>
    <definedName name="OSRRefD22_12x_0" localSheetId="52">'330'!$D$125</definedName>
    <definedName name="OSRRefD22_12x_0" localSheetId="58">'331'!$D$128</definedName>
    <definedName name="OSRRefD22_12x_0" localSheetId="61">'332'!$D$85</definedName>
    <definedName name="OSRRefD22_12x_0" localSheetId="76">'405'!$D$60:$D$62</definedName>
    <definedName name="OSRRefD22_12x_0" localSheetId="77">'406'!$D$67</definedName>
    <definedName name="OSRRefD22_12x_0" localSheetId="78">'411'!$D$59:$D$61</definedName>
    <definedName name="OSRRefD22_12x_0" localSheetId="79">'412'!$D$66</definedName>
    <definedName name="OSRRefD22_12x_0" localSheetId="81">'414'!$D$61</definedName>
    <definedName name="OSRRefD22_12x_0" localSheetId="82">'415'!$D$64:$D$68</definedName>
    <definedName name="OSRRefD22_12x_0" localSheetId="83">'418'!$D$64:$D$66</definedName>
    <definedName name="OSRRefD22_12x_0" localSheetId="86">'424'!$D$58</definedName>
    <definedName name="OSRRefD22_12x_0" localSheetId="87">'425'!$D$66:$D$72</definedName>
    <definedName name="OSRRefD22_12x_0" localSheetId="91">'433'!$D$64:$D$66</definedName>
    <definedName name="OSRRefD22_12x_0" localSheetId="93">'444'!$D$64:$D$67</definedName>
    <definedName name="OSRRefD22_12x_0" localSheetId="95">'450'!$D$62:$D$63</definedName>
    <definedName name="OSRRefD22_12x_0" localSheetId="75">'491'!$D$73</definedName>
    <definedName name="OSRRefD22_12x_0" localSheetId="89">'492'!$D$65:$D$67</definedName>
    <definedName name="OSRRefD22_12x_0" localSheetId="97">'501'!$D$62</definedName>
    <definedName name="OSRRefD22_12x_0" localSheetId="39">'Div 2'!$D$61:$D$64</definedName>
    <definedName name="OSRRefD22_12x_0" localSheetId="47">'Div 3'!$D$213</definedName>
    <definedName name="OSRRefD22_12x_0" localSheetId="73">'Div 4'!$D$73</definedName>
    <definedName name="OSRRefD22_12x_0" localSheetId="96">'Div 5'!$D$62</definedName>
    <definedName name="OSRRefD22_12x_0" localSheetId="64">'Div 6'!$D$97</definedName>
    <definedName name="OSRRefD22_12x_0" localSheetId="2">Summary!$D$247</definedName>
    <definedName name="OSRRefD22_13x_0" localSheetId="41">'201'!$D$62</definedName>
    <definedName name="OSRRefD22_13x_0" localSheetId="42">'202'!$D$61</definedName>
    <definedName name="OSRRefD22_13x_0" localSheetId="43">'203'!$D$64</definedName>
    <definedName name="OSRRefD22_13x_0" localSheetId="48">'300'!$D$210</definedName>
    <definedName name="OSRRefD22_13x_0" localSheetId="49">'300 &amp; 317'!$D$235</definedName>
    <definedName name="OSRRefD22_13x_0" localSheetId="50">'301'!$D$64</definedName>
    <definedName name="OSRRefD22_13x_0" localSheetId="55">'308'!$D$112</definedName>
    <definedName name="OSRRefD22_13x_0" localSheetId="66">'310'!$D$70</definedName>
    <definedName name="OSRRefD22_13x_0" localSheetId="74">'310 &amp; 491'!$D$82</definedName>
    <definedName name="OSRRefD22_13x_0" localSheetId="56">'311'!$D$111</definedName>
    <definedName name="OSRRefD22_13x_0" localSheetId="62">'316'!$D$80</definedName>
    <definedName name="OSRRefD22_13x_0" localSheetId="65">'317'!$D$99</definedName>
    <definedName name="OSRRefD22_13x_0" localSheetId="71">'325'!$D$66</definedName>
    <definedName name="OSRRefD22_13x_0" localSheetId="60">'326'!$D$102:$D$104</definedName>
    <definedName name="OSRRefD22_13x_0" localSheetId="52">'330'!$D$127</definedName>
    <definedName name="OSRRefD22_13x_0" localSheetId="58">'331'!$D$130:$D$132</definedName>
    <definedName name="OSRRefD22_13x_0" localSheetId="61">'332'!$D$87</definedName>
    <definedName name="OSRRefD22_13x_0" localSheetId="76">'405'!$D$64:$D$65</definedName>
    <definedName name="OSRRefD22_13x_0" localSheetId="77">'406'!$D$69</definedName>
    <definedName name="OSRRefD22_13x_0" localSheetId="78">'411'!$D$63:$D$67</definedName>
    <definedName name="OSRRefD22_13x_0" localSheetId="79">'412'!$D$68</definedName>
    <definedName name="OSRRefD22_13x_0" localSheetId="81">'414'!$D$63:$D$69</definedName>
    <definedName name="OSRRefD22_13x_0" localSheetId="82">'415'!$D$70:$D$71</definedName>
    <definedName name="OSRRefD22_13x_0" localSheetId="83">'418'!$D$68:$D$69</definedName>
    <definedName name="OSRRefD22_13x_0" localSheetId="87">'425'!$D$74</definedName>
    <definedName name="OSRRefD22_13x_0" localSheetId="91">'433'!$D$68:$D$75</definedName>
    <definedName name="OSRRefD22_13x_0" localSheetId="93">'444'!$D$69</definedName>
    <definedName name="OSRRefD22_13x_0" localSheetId="95">'450'!$D$65:$D$67</definedName>
    <definedName name="OSRRefD22_13x_0" localSheetId="75">'491'!$D$75</definedName>
    <definedName name="OSRRefD22_13x_0" localSheetId="89">'492'!$D$69:$D$72</definedName>
    <definedName name="OSRRefD22_13x_0" localSheetId="39">'Div 2'!$D$66:$D$68</definedName>
    <definedName name="OSRRefD22_13x_0" localSheetId="47">'Div 3'!$D$215</definedName>
    <definedName name="OSRRefD22_13x_0" localSheetId="73">'Div 4'!$D$75</definedName>
    <definedName name="OSRRefD22_13x_0" localSheetId="64">'Div 6'!$D$99</definedName>
    <definedName name="OSRRefD22_13x_0" localSheetId="2">Summary!$D$249</definedName>
    <definedName name="OSRRefD22_14x_0" localSheetId="41">'201'!$D$64</definedName>
    <definedName name="OSRRefD22_14x_0" localSheetId="42">'202'!$D$63</definedName>
    <definedName name="OSRRefD22_14x_0" localSheetId="43">'203'!$D$66</definedName>
    <definedName name="OSRRefD22_14x_0" localSheetId="48">'300'!$D$212</definedName>
    <definedName name="OSRRefD22_14x_0" localSheetId="49">'300 &amp; 317'!$D$237</definedName>
    <definedName name="OSRRefD22_14x_0" localSheetId="50">'301'!$D$66</definedName>
    <definedName name="OSRRefD22_14x_0" localSheetId="55">'308'!$D$114</definedName>
    <definedName name="OSRRefD22_14x_0" localSheetId="66">'310'!$D$72:$D$74</definedName>
    <definedName name="OSRRefD22_14x_0" localSheetId="74">'310 &amp; 491'!$D$84</definedName>
    <definedName name="OSRRefD22_14x_0" localSheetId="56">'311'!$D$113</definedName>
    <definedName name="OSRRefD22_14x_0" localSheetId="71">'325'!$D$68:$D$72</definedName>
    <definedName name="OSRRefD22_14x_0" localSheetId="60">'326'!$D$106:$D$107</definedName>
    <definedName name="OSRRefD22_14x_0" localSheetId="52">'330'!$D$129</definedName>
    <definedName name="OSRRefD22_14x_0" localSheetId="58">'331'!$D$134:$D$135</definedName>
    <definedName name="OSRRefD22_14x_0" localSheetId="61">'332'!$D$89</definedName>
    <definedName name="OSRRefD22_14x_0" localSheetId="76">'405'!$D$67:$D$73</definedName>
    <definedName name="OSRRefD22_14x_0" localSheetId="78">'411'!$D$69</definedName>
    <definedName name="OSRRefD22_14x_0" localSheetId="81">'414'!$D$71</definedName>
    <definedName name="OSRRefD22_14x_0" localSheetId="82">'415'!$D$73:$D$81</definedName>
    <definedName name="OSRRefD22_14x_0" localSheetId="83">'418'!$D$71:$D$77</definedName>
    <definedName name="OSRRefD22_14x_0" localSheetId="87">'425'!$D$76</definedName>
    <definedName name="OSRRefD22_14x_0" localSheetId="91">'433'!$D$77</definedName>
    <definedName name="OSRRefD22_14x_0" localSheetId="93">'444'!$D$71:$D$79</definedName>
    <definedName name="OSRRefD22_14x_0" localSheetId="95">'450'!$D$69:$D$74</definedName>
    <definedName name="OSRRefD22_14x_0" localSheetId="75">'491'!$D$77</definedName>
    <definedName name="OSRRefD22_14x_0" localSheetId="89">'492'!$D$74</definedName>
    <definedName name="OSRRefD22_14x_0" localSheetId="39">'Div 2'!$D$70:$D$71</definedName>
    <definedName name="OSRRefD22_14x_0" localSheetId="47">'Div 3'!$D$217</definedName>
    <definedName name="OSRRefD22_14x_0" localSheetId="73">'Div 4'!$D$77</definedName>
    <definedName name="OSRRefD22_14x_0" localSheetId="2">Summary!$D$251</definedName>
    <definedName name="OSRRefD22_15x_0" localSheetId="41">'201'!$D$66</definedName>
    <definedName name="OSRRefD22_15x_0" localSheetId="43">'203'!$D$68</definedName>
    <definedName name="OSRRefD22_15x_0" localSheetId="48">'300'!$D$214</definedName>
    <definedName name="OSRRefD22_15x_0" localSheetId="49">'300 &amp; 317'!$D$239</definedName>
    <definedName name="OSRRefD22_15x_0" localSheetId="50">'301'!$D$68:$D$71</definedName>
    <definedName name="OSRRefD22_15x_0" localSheetId="66">'310'!$D$76</definedName>
    <definedName name="OSRRefD22_15x_0" localSheetId="74">'310 &amp; 491'!$D$86</definedName>
    <definedName name="OSRRefD22_15x_0" localSheetId="71">'325'!$D$74</definedName>
    <definedName name="OSRRefD22_15x_0" localSheetId="60">'326'!$D$109:$D$114</definedName>
    <definedName name="OSRRefD22_15x_0" localSheetId="58">'331'!$D$137:$D$139</definedName>
    <definedName name="OSRRefD22_15x_0" localSheetId="76">'405'!$D$75</definedName>
    <definedName name="OSRRefD22_15x_0" localSheetId="78">'411'!$D$71:$D$79</definedName>
    <definedName name="OSRRefD22_15x_0" localSheetId="81">'414'!$D$73</definedName>
    <definedName name="OSRRefD22_15x_0" localSheetId="82">'415'!$D$83</definedName>
    <definedName name="OSRRefD22_15x_0" localSheetId="83">'418'!$D$79</definedName>
    <definedName name="OSRRefD22_15x_0" localSheetId="91">'433'!$D$79</definedName>
    <definedName name="OSRRefD22_15x_0" localSheetId="93">'444'!$D$81</definedName>
    <definedName name="OSRRefD22_15x_0" localSheetId="95">'450'!$D$76</definedName>
    <definedName name="OSRRefD22_15x_0" localSheetId="75">'491'!$D$79</definedName>
    <definedName name="OSRRefD22_15x_0" localSheetId="89">'492'!$D$76:$D$84</definedName>
    <definedName name="OSRRefD22_15x_0" localSheetId="39">'Div 2'!$D$73</definedName>
    <definedName name="OSRRefD22_15x_0" localSheetId="47">'Div 3'!$D$219</definedName>
    <definedName name="OSRRefD22_15x_0" localSheetId="73">'Div 4'!$D$79</definedName>
    <definedName name="OSRRefD22_15x_0" localSheetId="2">Summary!$D$253</definedName>
    <definedName name="OSRRefD22_16x_0" localSheetId="48">'300'!$D$216:$D$219</definedName>
    <definedName name="OSRRefD22_16x_0" localSheetId="49">'300 &amp; 317'!$D$241:$D$244</definedName>
    <definedName name="OSRRefD22_16x_0" localSheetId="50">'301'!$D$73:$D$75</definedName>
    <definedName name="OSRRefD22_16x_0" localSheetId="66">'310'!$D$78:$D$81</definedName>
    <definedName name="OSRRefD22_16x_0" localSheetId="74">'310 &amp; 491'!$D$88:$D$91</definedName>
    <definedName name="OSRRefD22_16x_0" localSheetId="71">'325'!$D$76</definedName>
    <definedName name="OSRRefD22_16x_0" localSheetId="60">'326'!$D$116</definedName>
    <definedName name="OSRRefD22_16x_0" localSheetId="58">'331'!$D$141:$D$142</definedName>
    <definedName name="OSRRefD22_16x_0" localSheetId="76">'405'!$D$77</definedName>
    <definedName name="OSRRefD22_16x_0" localSheetId="78">'411'!$D$81</definedName>
    <definedName name="OSRRefD22_16x_0" localSheetId="82">'415'!$D$85</definedName>
    <definedName name="OSRRefD22_16x_0" localSheetId="83">'418'!$D$81</definedName>
    <definedName name="OSRRefD22_16x_0" localSheetId="91">'433'!$D$81</definedName>
    <definedName name="OSRRefD22_16x_0" localSheetId="93">'444'!$D$83</definedName>
    <definedName name="OSRRefD22_16x_0" localSheetId="95">'450'!$D$78</definedName>
    <definedName name="OSRRefD22_16x_0" localSheetId="75">'491'!$D$81:$D$84</definedName>
    <definedName name="OSRRefD22_16x_0" localSheetId="89">'492'!$D$86</definedName>
    <definedName name="OSRRefD22_16x_0" localSheetId="39">'Div 2'!$D$75:$D$79</definedName>
    <definedName name="OSRRefD22_16x_0" localSheetId="47">'Div 3'!$D$221</definedName>
    <definedName name="OSRRefD22_16x_0" localSheetId="73">'Div 4'!$D$81</definedName>
    <definedName name="OSRRefD22_16x_0" localSheetId="2">Summary!$D$255</definedName>
    <definedName name="OSRRefD22_17x_0" localSheetId="48">'300'!$D$221:$D$223</definedName>
    <definedName name="OSRRefD22_17x_0" localSheetId="49">'300 &amp; 317'!$D$246:$D$248</definedName>
    <definedName name="OSRRefD22_17x_0" localSheetId="50">'301'!$D$77:$D$78</definedName>
    <definedName name="OSRRefD22_17x_0" localSheetId="66">'310'!$D$83</definedName>
    <definedName name="OSRRefD22_17x_0" localSheetId="74">'310 &amp; 491'!$D$93:$D$94</definedName>
    <definedName name="OSRRefD22_17x_0" localSheetId="71">'325'!$D$78</definedName>
    <definedName name="OSRRefD22_17x_0" localSheetId="60">'326'!$D$118</definedName>
    <definedName name="OSRRefD22_17x_0" localSheetId="58">'331'!$D$144:$D$149</definedName>
    <definedName name="OSRRefD22_17x_0" localSheetId="76">'405'!$D$79</definedName>
    <definedName name="OSRRefD22_17x_0" localSheetId="78">'411'!$D$83</definedName>
    <definedName name="OSRRefD22_17x_0" localSheetId="82">'415'!$D$87</definedName>
    <definedName name="OSRRefD22_17x_0" localSheetId="93">'444'!$D$85</definedName>
    <definedName name="OSRRefD22_17x_0" localSheetId="95">'450'!$D$80</definedName>
    <definedName name="OSRRefD22_17x_0" localSheetId="75">'491'!$D$86:$D$87</definedName>
    <definedName name="OSRRefD22_17x_0" localSheetId="89">'492'!$D$88</definedName>
    <definedName name="OSRRefD22_17x_0" localSheetId="39">'Div 2'!$D$81:$D$82</definedName>
    <definedName name="OSRRefD22_17x_0" localSheetId="47">'Div 3'!$D$223:$D$226</definedName>
    <definedName name="OSRRefD22_17x_0" localSheetId="73">'Div 4'!$D$83:$D$86</definedName>
    <definedName name="OSRRefD22_17x_0" localSheetId="2">Summary!$D$257</definedName>
    <definedName name="OSRRefD22_18x_0" localSheetId="48">'300'!$D$225:$D$228</definedName>
    <definedName name="OSRRefD22_18x_0" localSheetId="49">'300 &amp; 317'!$D$250:$D$253</definedName>
    <definedName name="OSRRefD22_18x_0" localSheetId="50">'301'!$D$80:$D$85</definedName>
    <definedName name="OSRRefD22_18x_0" localSheetId="66">'310'!$D$85:$D$92</definedName>
    <definedName name="OSRRefD22_18x_0" localSheetId="74">'310 &amp; 491'!$D$96:$D$100</definedName>
    <definedName name="OSRRefD22_18x_0" localSheetId="60">'326'!$D$120</definedName>
    <definedName name="OSRRefD22_18x_0" localSheetId="58">'331'!$D$151</definedName>
    <definedName name="OSRRefD22_18x_0" localSheetId="78">'411'!$D$85:$D$87</definedName>
    <definedName name="OSRRefD22_18x_0" localSheetId="75">'491'!$D$89:$D$93</definedName>
    <definedName name="OSRRefD22_18x_0" localSheetId="89">'492'!$D$90</definedName>
    <definedName name="OSRRefD22_18x_0" localSheetId="39">'Div 2'!$D$84</definedName>
    <definedName name="OSRRefD22_18x_0" localSheetId="47">'Div 3'!$D$228:$D$230</definedName>
    <definedName name="OSRRefD22_18x_0" localSheetId="73">'Div 4'!$D$88:$D$89</definedName>
    <definedName name="OSRRefD22_18x_0" localSheetId="2">Summary!$D$259:$D$262</definedName>
    <definedName name="OSRRefD22_19x_0" localSheetId="48">'300'!$D$230:$D$231</definedName>
    <definedName name="OSRRefD22_19x_0" localSheetId="49">'300 &amp; 317'!$D$255:$D$256</definedName>
    <definedName name="OSRRefD22_19x_0" localSheetId="50">'301'!$D$87</definedName>
    <definedName name="OSRRefD22_19x_0" localSheetId="66">'310'!$D$94</definedName>
    <definedName name="OSRRefD22_19x_0" localSheetId="74">'310 &amp; 491'!$D$102:$D$103</definedName>
    <definedName name="OSRRefD22_19x_0" localSheetId="60">'326'!$D$122</definedName>
    <definedName name="OSRRefD22_19x_0" localSheetId="58">'331'!$D$153</definedName>
    <definedName name="OSRRefD22_19x_0" localSheetId="78">'411'!$D$89</definedName>
    <definedName name="OSRRefD22_19x_0" localSheetId="75">'491'!$D$95:$D$96</definedName>
    <definedName name="OSRRefD22_19x_0" localSheetId="39">'Div 2'!$D$86:$D$87</definedName>
    <definedName name="OSRRefD22_19x_0" localSheetId="47">'Div 3'!$D$232:$D$236</definedName>
    <definedName name="OSRRefD22_19x_0" localSheetId="73">'Div 4'!$D$91:$D$95</definedName>
    <definedName name="OSRRefD22_19x_0" localSheetId="2">Summary!$D$264:$D$266</definedName>
    <definedName name="OSRRefD22_1x_0" localSheetId="40">'200'!$D$22</definedName>
    <definedName name="OSRRefD22_1x_0" localSheetId="41">'201'!$D$29:$D$31</definedName>
    <definedName name="OSRRefD22_1x_0" localSheetId="42">'202'!$D$29:$D$32</definedName>
    <definedName name="OSRRefD22_1x_0" localSheetId="43">'203'!$D$31:$D$35</definedName>
    <definedName name="OSRRefD22_1x_0" localSheetId="44">'204'!$D$31:$D$35</definedName>
    <definedName name="OSRRefD22_1x_0" localSheetId="45">'205'!$D$29</definedName>
    <definedName name="OSRRefD22_1x_0" localSheetId="46">'206'!$D$29:$D$32</definedName>
    <definedName name="OSRRefD22_1x_0" localSheetId="48">'300'!$D$176:$D$182</definedName>
    <definedName name="OSRRefD22_1x_0" localSheetId="49">'300 &amp; 317'!$D$201:$D$207</definedName>
    <definedName name="OSRRefD22_1x_0" localSheetId="50">'301'!$D$31:$D$37</definedName>
    <definedName name="OSRRefD22_1x_0" localSheetId="51">'306'!$D$30:$D$35</definedName>
    <definedName name="OSRRefD22_1x_0" localSheetId="53">'307'!$D$86:$D$89</definedName>
    <definedName name="OSRRefD22_1x_0" localSheetId="55">'308'!$D$75:$D$81</definedName>
    <definedName name="OSRRefD22_1x_0" localSheetId="67">'309'!$D$33:$D$37</definedName>
    <definedName name="OSRRefD22_1x_0" localSheetId="66">'310'!$D$40:$D$45</definedName>
    <definedName name="OSRRefD22_1x_0" localSheetId="74">'310 &amp; 491'!$D$48:$D$54</definedName>
    <definedName name="OSRRefD22_1x_0" localSheetId="56">'311'!$D$74:$D$80</definedName>
    <definedName name="OSRRefD22_1x_0" localSheetId="68">'313'!$D$37:$D$41</definedName>
    <definedName name="OSRRefD22_1x_0" localSheetId="54">'314'!$D$64:$D$66</definedName>
    <definedName name="OSRRefD22_1x_0" localSheetId="59">'315'!$D$90:$D$95</definedName>
    <definedName name="OSRRefD22_1x_0" localSheetId="62">'316'!$D$45:$D$48</definedName>
    <definedName name="OSRRefD22_1x_0" localSheetId="65">'317'!$D$68:$D$72</definedName>
    <definedName name="OSRRefD22_1x_0" localSheetId="63">'320'!$D$36:$D$38</definedName>
    <definedName name="OSRRefD22_1x_0" localSheetId="69">'321'!$D$33:$D$37</definedName>
    <definedName name="OSRRefD22_1x_0" localSheetId="70">'322'!$D$33:$D$37</definedName>
    <definedName name="OSRRefD22_1x_0" localSheetId="71">'325'!$D$33:$D$37</definedName>
    <definedName name="OSRRefD22_1x_0" localSheetId="60">'326'!$D$71:$D$76</definedName>
    <definedName name="OSRRefD22_1x_0" localSheetId="72">'327'!$D$24</definedName>
    <definedName name="OSRRefD22_1x_0" localSheetId="52">'330'!$D$93:$D$97</definedName>
    <definedName name="OSRRefD22_1x_0" localSheetId="58">'331'!$D$99:$D$104</definedName>
    <definedName name="OSRRefD22_1x_0" localSheetId="61">'332'!$D$52:$D$55</definedName>
    <definedName name="OSRRefD22_1x_0" localSheetId="76">'405'!$D$33:$D$36</definedName>
    <definedName name="OSRRefD22_1x_0" localSheetId="77">'406'!$D$33:$D$38</definedName>
    <definedName name="OSRRefD22_1x_0" localSheetId="78">'411'!$D$30:$D$35</definedName>
    <definedName name="OSRRefD22_1x_0" localSheetId="79">'412'!$D$32:$D$37</definedName>
    <definedName name="OSRRefD22_1x_0" localSheetId="80">'413'!$D$33:$D$37</definedName>
    <definedName name="OSRRefD22_1x_0" localSheetId="81">'414'!$D$33:$D$38</definedName>
    <definedName name="OSRRefD22_1x_0" localSheetId="82">'415'!$D$33:$D$38</definedName>
    <definedName name="OSRRefD22_1x_0" localSheetId="83">'418'!$D$33:$D$38</definedName>
    <definedName name="OSRRefD22_1x_0" localSheetId="84">'420'!$D$32:$D$35</definedName>
    <definedName name="OSRRefD22_1x_0" localSheetId="85">'423'!$D$30</definedName>
    <definedName name="OSRRefD22_1x_0" localSheetId="86">'424'!$D$27:$D$31</definedName>
    <definedName name="OSRRefD22_1x_0" localSheetId="87">'425'!$D$36:$D$41</definedName>
    <definedName name="OSRRefD22_1x_0" localSheetId="90">'430'!$D$29</definedName>
    <definedName name="OSRRefD22_1x_0" localSheetId="91">'433'!$D$35:$D$40</definedName>
    <definedName name="OSRRefD22_1x_0" localSheetId="92">'435'!$D$29:$D$31</definedName>
    <definedName name="OSRRefD22_1x_0" localSheetId="93">'444'!$D$35:$D$40</definedName>
    <definedName name="OSRRefD22_1x_0" localSheetId="95">'450'!$D$35:$D$40</definedName>
    <definedName name="OSRRefD22_1x_0" localSheetId="88">'455'!$D$28:$D$29</definedName>
    <definedName name="OSRRefD22_1x_0" localSheetId="75">'491'!$D$42:$D$48</definedName>
    <definedName name="OSRRefD22_1x_0" localSheetId="89">'492'!$D$37:$D$43</definedName>
    <definedName name="OSRRefD22_1x_0" localSheetId="97">'501'!$D$31:$D$35</definedName>
    <definedName name="OSRRefD22_1x_0" localSheetId="39">'Div 2'!$D$32:$D$38</definedName>
    <definedName name="OSRRefD22_1x_0" localSheetId="47">'Div 3'!$D$181:$D$187</definedName>
    <definedName name="OSRRefD22_1x_0" localSheetId="73">'Div 4'!$D$42:$D$48</definedName>
    <definedName name="OSRRefD22_1x_0" localSheetId="96">'Div 5'!$D$31:$D$35</definedName>
    <definedName name="OSRRefD22_1x_0" localSheetId="64">'Div 6'!$D$68:$D$72</definedName>
    <definedName name="OSRRefD22_1x_0" localSheetId="2">Summary!$D$213:$D$219</definedName>
    <definedName name="OSRRefD22_20x_0" localSheetId="48">'300'!$D$233:$D$239</definedName>
    <definedName name="OSRRefD22_20x_0" localSheetId="49">'300 &amp; 317'!$D$258:$D$264</definedName>
    <definedName name="OSRRefD22_20x_0" localSheetId="50">'301'!$D$89</definedName>
    <definedName name="OSRRefD22_20x_0" localSheetId="66">'310'!$D$96</definedName>
    <definedName name="OSRRefD22_20x_0" localSheetId="74">'310 &amp; 491'!$D$105:$D$114</definedName>
    <definedName name="OSRRefD22_20x_0" localSheetId="58">'331'!$D$155:$D$156</definedName>
    <definedName name="OSRRefD22_20x_0" localSheetId="75">'491'!$D$98:$D$107</definedName>
    <definedName name="OSRRefD22_20x_0" localSheetId="47">'Div 3'!$D$238:$D$239</definedName>
    <definedName name="OSRRefD22_20x_0" localSheetId="73">'Div 4'!$D$97:$D$98</definedName>
    <definedName name="OSRRefD22_20x_0" localSheetId="2">Summary!$D$268:$D$272</definedName>
    <definedName name="OSRRefD22_21x_0" localSheetId="48">'300'!$D$241:$D$242</definedName>
    <definedName name="OSRRefD22_21x_0" localSheetId="49">'300 &amp; 317'!$D$266:$D$267</definedName>
    <definedName name="OSRRefD22_21x_0" localSheetId="50">'301'!$D$91:$D$93</definedName>
    <definedName name="OSRRefD22_21x_0" localSheetId="66">'310'!$D$98</definedName>
    <definedName name="OSRRefD22_21x_0" localSheetId="74">'310 &amp; 491'!$D$116</definedName>
    <definedName name="OSRRefD22_21x_0" localSheetId="58">'331'!$D$158</definedName>
    <definedName name="OSRRefD22_21x_0" localSheetId="75">'491'!$D$109</definedName>
    <definedName name="OSRRefD22_21x_0" localSheetId="47">'Div 3'!$D$241:$D$248</definedName>
    <definedName name="OSRRefD22_21x_0" localSheetId="73">'Div 4'!$D$100:$D$109</definedName>
    <definedName name="OSRRefD22_21x_0" localSheetId="2">Summary!$D$274:$D$275</definedName>
    <definedName name="OSRRefD22_22x_0" localSheetId="48">'300'!$D$244</definedName>
    <definedName name="OSRRefD22_22x_0" localSheetId="49">'300 &amp; 317'!$D$269</definedName>
    <definedName name="OSRRefD22_22x_0" localSheetId="50">'301'!$D$95</definedName>
    <definedName name="OSRRefD22_22x_0" localSheetId="74">'310 &amp; 491'!$D$118</definedName>
    <definedName name="OSRRefD22_22x_0" localSheetId="75">'491'!$D$111</definedName>
    <definedName name="OSRRefD22_22x_0" localSheetId="47">'Div 3'!$D$250:$D$251</definedName>
    <definedName name="OSRRefD22_22x_0" localSheetId="73">'Div 4'!$D$111</definedName>
    <definedName name="OSRRefD22_22x_0" localSheetId="2">Summary!$D$277:$D$286</definedName>
    <definedName name="OSRRefD22_23x_0" localSheetId="48">'300'!$D$246:$D$248</definedName>
    <definedName name="OSRRefD22_23x_0" localSheetId="49">'300 &amp; 317'!$D$271:$D$273</definedName>
    <definedName name="OSRRefD22_23x_0" localSheetId="74">'310 &amp; 491'!$D$120:$D$122</definedName>
    <definedName name="OSRRefD22_23x_0" localSheetId="75">'491'!$D$113:$D$115</definedName>
    <definedName name="OSRRefD22_23x_0" localSheetId="47">'Div 3'!$D$253</definedName>
    <definedName name="OSRRefD22_23x_0" localSheetId="73">'Div 4'!$D$113</definedName>
    <definedName name="OSRRefD22_23x_0" localSheetId="2">Summary!$D$288:$D$289</definedName>
    <definedName name="OSRRefD22_24x_0" localSheetId="48">'300'!$D$250</definedName>
    <definedName name="OSRRefD22_24x_0" localSheetId="49">'300 &amp; 317'!$D$275</definedName>
    <definedName name="OSRRefD22_24x_0" localSheetId="74">'310 &amp; 491'!$D$124</definedName>
    <definedName name="OSRRefD22_24x_0" localSheetId="75">'491'!$D$117</definedName>
    <definedName name="OSRRefD22_24x_0" localSheetId="47">'Div 3'!$D$255:$D$257</definedName>
    <definedName name="OSRRefD22_24x_0" localSheetId="73">'Div 4'!$D$115:$D$117</definedName>
    <definedName name="OSRRefD22_24x_0" localSheetId="2">Summary!$D$291</definedName>
    <definedName name="OSRRefD22_25x_0" localSheetId="47">'Div 3'!$D$259</definedName>
    <definedName name="OSRRefD22_25x_0" localSheetId="73">'Div 4'!$D$119</definedName>
    <definedName name="OSRRefD22_25x_0" localSheetId="2">Summary!$D$293:$D$295</definedName>
    <definedName name="OSRRefD22_26x_0" localSheetId="2">Summary!$D$297</definedName>
    <definedName name="OSRRefD22_2x_0" localSheetId="40">'200'!$D$24</definedName>
    <definedName name="OSRRefD22_2x_0" localSheetId="41">'201'!$D$33</definedName>
    <definedName name="OSRRefD22_2x_0" localSheetId="42">'202'!$D$34</definedName>
    <definedName name="OSRRefD22_2x_0" localSheetId="43">'203'!$D$37</definedName>
    <definedName name="OSRRefD22_2x_0" localSheetId="44">'204'!$D$37</definedName>
    <definedName name="OSRRefD22_2x_0" localSheetId="45">'205'!$D$31</definedName>
    <definedName name="OSRRefD22_2x_0" localSheetId="46">'206'!$D$34</definedName>
    <definedName name="OSRRefD22_2x_0" localSheetId="48">'300'!$D$184</definedName>
    <definedName name="OSRRefD22_2x_0" localSheetId="49">'300 &amp; 317'!$D$209</definedName>
    <definedName name="OSRRefD22_2x_0" localSheetId="50">'301'!$D$39</definedName>
    <definedName name="OSRRefD22_2x_0" localSheetId="51">'306'!$D$37</definedName>
    <definedName name="OSRRefD22_2x_0" localSheetId="53">'307'!$D$91</definedName>
    <definedName name="OSRRefD22_2x_0" localSheetId="55">'308'!$D$83</definedName>
    <definedName name="OSRRefD22_2x_0" localSheetId="67">'309'!$D$39</definedName>
    <definedName name="OSRRefD22_2x_0" localSheetId="66">'310'!$D$47</definedName>
    <definedName name="OSRRefD22_2x_0" localSheetId="74">'310 &amp; 491'!$D$56</definedName>
    <definedName name="OSRRefD22_2x_0" localSheetId="56">'311'!$D$82</definedName>
    <definedName name="OSRRefD22_2x_0" localSheetId="68">'313'!$D$43</definedName>
    <definedName name="OSRRefD22_2x_0" localSheetId="54">'314'!$D$68</definedName>
    <definedName name="OSRRefD22_2x_0" localSheetId="59">'315'!$D$97</definedName>
    <definedName name="OSRRefD22_2x_0" localSheetId="62">'316'!$D$50</definedName>
    <definedName name="OSRRefD22_2x_0" localSheetId="65">'317'!$D$74</definedName>
    <definedName name="OSRRefD22_2x_0" localSheetId="63">'320'!$D$40</definedName>
    <definedName name="OSRRefD22_2x_0" localSheetId="69">'321'!$D$39</definedName>
    <definedName name="OSRRefD22_2x_0" localSheetId="70">'322'!$D$39</definedName>
    <definedName name="OSRRefD22_2x_0" localSheetId="71">'325'!$D$39</definedName>
    <definedName name="OSRRefD22_2x_0" localSheetId="60">'326'!$D$78</definedName>
    <definedName name="OSRRefD22_2x_0" localSheetId="72">'327'!$D$26</definedName>
    <definedName name="OSRRefD22_2x_0" localSheetId="52">'330'!$D$99</definedName>
    <definedName name="OSRRefD22_2x_0" localSheetId="58">'331'!$D$106</definedName>
    <definedName name="OSRRefD22_2x_0" localSheetId="61">'332'!$D$57</definedName>
    <definedName name="OSRRefD22_2x_0" localSheetId="76">'405'!$D$38</definedName>
    <definedName name="OSRRefD22_2x_0" localSheetId="77">'406'!$D$40</definedName>
    <definedName name="OSRRefD22_2x_0" localSheetId="78">'411'!$D$37</definedName>
    <definedName name="OSRRefD22_2x_0" localSheetId="79">'412'!$D$39</definedName>
    <definedName name="OSRRefD22_2x_0" localSheetId="80">'413'!$D$39</definedName>
    <definedName name="OSRRefD22_2x_0" localSheetId="81">'414'!$D$40</definedName>
    <definedName name="OSRRefD22_2x_0" localSheetId="82">'415'!$D$40</definedName>
    <definedName name="OSRRefD22_2x_0" localSheetId="83">'418'!$D$40</definedName>
    <definedName name="OSRRefD22_2x_0" localSheetId="84">'420'!$D$37</definedName>
    <definedName name="OSRRefD22_2x_0" localSheetId="85">'423'!$D$32</definedName>
    <definedName name="OSRRefD22_2x_0" localSheetId="86">'424'!$D$33</definedName>
    <definedName name="OSRRefD22_2x_0" localSheetId="87">'425'!$D$43</definedName>
    <definedName name="OSRRefD22_2x_0" localSheetId="90">'430'!$D$31</definedName>
    <definedName name="OSRRefD22_2x_0" localSheetId="91">'433'!$D$42</definedName>
    <definedName name="OSRRefD22_2x_0" localSheetId="92">'435'!$D$33</definedName>
    <definedName name="OSRRefD22_2x_0" localSheetId="93">'444'!$D$42</definedName>
    <definedName name="OSRRefD22_2x_0" localSheetId="95">'450'!$D$42</definedName>
    <definedName name="OSRRefD22_2x_0" localSheetId="75">'491'!$D$50</definedName>
    <definedName name="OSRRefD22_2x_0" localSheetId="89">'492'!$D$45</definedName>
    <definedName name="OSRRefD22_2x_0" localSheetId="97">'501'!$D$37</definedName>
    <definedName name="OSRRefD22_2x_0" localSheetId="39">'Div 2'!$D$40</definedName>
    <definedName name="OSRRefD22_2x_0" localSheetId="47">'Div 3'!$D$189</definedName>
    <definedName name="OSRRefD22_2x_0" localSheetId="73">'Div 4'!$D$50</definedName>
    <definedName name="OSRRefD22_2x_0" localSheetId="96">'Div 5'!$D$37</definedName>
    <definedName name="OSRRefD22_2x_0" localSheetId="64">'Div 6'!$D$74</definedName>
    <definedName name="OSRRefD22_2x_0" localSheetId="2">Summary!$D$221</definedName>
    <definedName name="OSRRefD22_3x_0" localSheetId="40">'200'!$D$26</definedName>
    <definedName name="OSRRefD22_3x_0" localSheetId="41">'201'!$D$35</definedName>
    <definedName name="OSRRefD22_3x_0" localSheetId="42">'202'!$D$36</definedName>
    <definedName name="OSRRefD22_3x_0" localSheetId="43">'203'!$D$39</definedName>
    <definedName name="OSRRefD22_3x_0" localSheetId="44">'204'!$D$39</definedName>
    <definedName name="OSRRefD22_3x_0" localSheetId="45">'205'!$D$33</definedName>
    <definedName name="OSRRefD22_3x_0" localSheetId="46">'206'!$D$36</definedName>
    <definedName name="OSRRefD22_3x_0" localSheetId="48">'300'!$D$186:$D$187</definedName>
    <definedName name="OSRRefD22_3x_0" localSheetId="49">'300 &amp; 317'!$D$211:$D$212</definedName>
    <definedName name="OSRRefD22_3x_0" localSheetId="50">'301'!$D$41:$D$42</definedName>
    <definedName name="OSRRefD22_3x_0" localSheetId="51">'306'!$D$39</definedName>
    <definedName name="OSRRefD22_3x_0" localSheetId="53">'307'!$D$93</definedName>
    <definedName name="OSRRefD22_3x_0" localSheetId="55">'308'!$D$85:$D$86</definedName>
    <definedName name="OSRRefD22_3x_0" localSheetId="67">'309'!$D$41</definedName>
    <definedName name="OSRRefD22_3x_0" localSheetId="66">'310'!$D$49</definedName>
    <definedName name="OSRRefD22_3x_0" localSheetId="74">'310 &amp; 491'!$D$58</definedName>
    <definedName name="OSRRefD22_3x_0" localSheetId="56">'311'!$D$84:$D$85</definedName>
    <definedName name="OSRRefD22_3x_0" localSheetId="68">'313'!$D$45</definedName>
    <definedName name="OSRRefD22_3x_0" localSheetId="54">'314'!$D$70:$D$71</definedName>
    <definedName name="OSRRefD22_3x_0" localSheetId="59">'315'!$D$99:$D$100</definedName>
    <definedName name="OSRRefD22_3x_0" localSheetId="62">'316'!$D$52</definedName>
    <definedName name="OSRRefD22_3x_0" localSheetId="65">'317'!$D$76</definedName>
    <definedName name="OSRRefD22_3x_0" localSheetId="63">'320'!$D$42</definedName>
    <definedName name="OSRRefD22_3x_0" localSheetId="69">'321'!$D$41</definedName>
    <definedName name="OSRRefD22_3x_0" localSheetId="70">'322'!$D$41</definedName>
    <definedName name="OSRRefD22_3x_0" localSheetId="71">'325'!$D$41</definedName>
    <definedName name="OSRRefD22_3x_0" localSheetId="60">'326'!$D$80</definedName>
    <definedName name="OSRRefD22_3x_0" localSheetId="52">'330'!$D$101</definedName>
    <definedName name="OSRRefD22_3x_0" localSheetId="58">'331'!$D$108</definedName>
    <definedName name="OSRRefD22_3x_0" localSheetId="61">'332'!$D$59</definedName>
    <definedName name="OSRRefD22_3x_0" localSheetId="76">'405'!$D$40</definedName>
    <definedName name="OSRRefD22_3x_0" localSheetId="77">'406'!$D$42</definedName>
    <definedName name="OSRRefD22_3x_0" localSheetId="78">'411'!$D$39</definedName>
    <definedName name="OSRRefD22_3x_0" localSheetId="79">'412'!$D$41</definedName>
    <definedName name="OSRRefD22_3x_0" localSheetId="80">'413'!$D$41</definedName>
    <definedName name="OSRRefD22_3x_0" localSheetId="81">'414'!$D$42</definedName>
    <definedName name="OSRRefD22_3x_0" localSheetId="82">'415'!$D$42</definedName>
    <definedName name="OSRRefD22_3x_0" localSheetId="83">'418'!$D$42</definedName>
    <definedName name="OSRRefD22_3x_0" localSheetId="84">'420'!$D$39</definedName>
    <definedName name="OSRRefD22_3x_0" localSheetId="85">'423'!$D$34</definedName>
    <definedName name="OSRRefD22_3x_0" localSheetId="86">'424'!$D$35</definedName>
    <definedName name="OSRRefD22_3x_0" localSheetId="87">'425'!$D$45</definedName>
    <definedName name="OSRRefD22_3x_0" localSheetId="90">'430'!$D$33</definedName>
    <definedName name="OSRRefD22_3x_0" localSheetId="91">'433'!$D$44</definedName>
    <definedName name="OSRRefD22_3x_0" localSheetId="92">'435'!$D$35</definedName>
    <definedName name="OSRRefD22_3x_0" localSheetId="93">'444'!$D$44</definedName>
    <definedName name="OSRRefD22_3x_0" localSheetId="95">'450'!$D$44</definedName>
    <definedName name="OSRRefD22_3x_0" localSheetId="75">'491'!$D$52</definedName>
    <definedName name="OSRRefD22_3x_0" localSheetId="89">'492'!$D$47</definedName>
    <definedName name="OSRRefD22_3x_0" localSheetId="97">'501'!$D$39</definedName>
    <definedName name="OSRRefD22_3x_0" localSheetId="39">'Div 2'!$D$42</definedName>
    <definedName name="OSRRefD22_3x_0" localSheetId="47">'Div 3'!$D$191:$D$192</definedName>
    <definedName name="OSRRefD22_3x_0" localSheetId="73">'Div 4'!$D$52</definedName>
    <definedName name="OSRRefD22_3x_0" localSheetId="96">'Div 5'!$D$39</definedName>
    <definedName name="OSRRefD22_3x_0" localSheetId="64">'Div 6'!$D$76</definedName>
    <definedName name="OSRRefD22_3x_0" localSheetId="2">Summary!$D$223:$D$224</definedName>
    <definedName name="OSRRefD22_4x_0" localSheetId="40">'200'!$D$28:$D$29</definedName>
    <definedName name="OSRRefD22_4x_0" localSheetId="41">'201'!$D$37</definedName>
    <definedName name="OSRRefD22_4x_0" localSheetId="42">'202'!$D$38</definedName>
    <definedName name="OSRRefD22_4x_0" localSheetId="43">'203'!$D$41</definedName>
    <definedName name="OSRRefD22_4x_0" localSheetId="44">'204'!$D$41</definedName>
    <definedName name="OSRRefD22_4x_0" localSheetId="45">'205'!$D$35:$D$36</definedName>
    <definedName name="OSRRefD22_4x_0" localSheetId="46">'206'!$D$38</definedName>
    <definedName name="OSRRefD22_4x_0" localSheetId="48">'300'!$D$189</definedName>
    <definedName name="OSRRefD22_4x_0" localSheetId="49">'300 &amp; 317'!$D$214</definedName>
    <definedName name="OSRRefD22_4x_0" localSheetId="50">'301'!$D$44</definedName>
    <definedName name="OSRRefD22_4x_0" localSheetId="51">'306'!$D$41</definedName>
    <definedName name="OSRRefD22_4x_0" localSheetId="53">'307'!$D$95:$D$96</definedName>
    <definedName name="OSRRefD22_4x_0" localSheetId="55">'308'!$D$88</definedName>
    <definedName name="OSRRefD22_4x_0" localSheetId="67">'309'!$D$43</definedName>
    <definedName name="OSRRefD22_4x_0" localSheetId="66">'310'!$D$51</definedName>
    <definedName name="OSRRefD22_4x_0" localSheetId="74">'310 &amp; 491'!$D$60</definedName>
    <definedName name="OSRRefD22_4x_0" localSheetId="56">'311'!$D$87</definedName>
    <definedName name="OSRRefD22_4x_0" localSheetId="68">'313'!$D$47</definedName>
    <definedName name="OSRRefD22_4x_0" localSheetId="54">'314'!$D$73</definedName>
    <definedName name="OSRRefD22_4x_0" localSheetId="59">'315'!$D$102</definedName>
    <definedName name="OSRRefD22_4x_0" localSheetId="62">'316'!$D$54</definedName>
    <definedName name="OSRRefD22_4x_0" localSheetId="65">'317'!$D$78</definedName>
    <definedName name="OSRRefD22_4x_0" localSheetId="63">'320'!$D$44:$D$45</definedName>
    <definedName name="OSRRefD22_4x_0" localSheetId="69">'321'!$D$43</definedName>
    <definedName name="OSRRefD22_4x_0" localSheetId="70">'322'!$D$43</definedName>
    <definedName name="OSRRefD22_4x_0" localSheetId="71">'325'!$D$43</definedName>
    <definedName name="OSRRefD22_4x_0" localSheetId="60">'326'!$D$82</definedName>
    <definedName name="OSRRefD22_4x_0" localSheetId="52">'330'!$D$103:$D$104</definedName>
    <definedName name="OSRRefD22_4x_0" localSheetId="58">'331'!$D$110</definedName>
    <definedName name="OSRRefD22_4x_0" localSheetId="61">'332'!$D$61</definedName>
    <definedName name="OSRRefD22_4x_0" localSheetId="76">'405'!$D$42</definedName>
    <definedName name="OSRRefD22_4x_0" localSheetId="77">'406'!$D$44</definedName>
    <definedName name="OSRRefD22_4x_0" localSheetId="78">'411'!$D$41:$D$43</definedName>
    <definedName name="OSRRefD22_4x_0" localSheetId="79">'412'!$D$43</definedName>
    <definedName name="OSRRefD22_4x_0" localSheetId="80">'413'!$D$43</definedName>
    <definedName name="OSRRefD22_4x_0" localSheetId="81">'414'!$D$44</definedName>
    <definedName name="OSRRefD22_4x_0" localSheetId="82">'415'!$D$44</definedName>
    <definedName name="OSRRefD22_4x_0" localSheetId="83">'418'!$D$44</definedName>
    <definedName name="OSRRefD22_4x_0" localSheetId="84">'420'!$D$41</definedName>
    <definedName name="OSRRefD22_4x_0" localSheetId="85">'423'!$D$36</definedName>
    <definedName name="OSRRefD22_4x_0" localSheetId="86">'424'!$D$37</definedName>
    <definedName name="OSRRefD22_4x_0" localSheetId="87">'425'!$D$47</definedName>
    <definedName name="OSRRefD22_4x_0" localSheetId="90">'430'!$D$35:$D$36</definedName>
    <definedName name="OSRRefD22_4x_0" localSheetId="91">'433'!$D$46</definedName>
    <definedName name="OSRRefD22_4x_0" localSheetId="92">'435'!$D$37</definedName>
    <definedName name="OSRRefD22_4x_0" localSheetId="93">'444'!$D$46</definedName>
    <definedName name="OSRRefD22_4x_0" localSheetId="95">'450'!$D$46</definedName>
    <definedName name="OSRRefD22_4x_0" localSheetId="75">'491'!$D$54</definedName>
    <definedName name="OSRRefD22_4x_0" localSheetId="89">'492'!$D$49</definedName>
    <definedName name="OSRRefD22_4x_0" localSheetId="97">'501'!$D$41</definedName>
    <definedName name="OSRRefD22_4x_0" localSheetId="39">'Div 2'!$D$44</definedName>
    <definedName name="OSRRefD22_4x_0" localSheetId="47">'Div 3'!$D$194</definedName>
    <definedName name="OSRRefD22_4x_0" localSheetId="73">'Div 4'!$D$54</definedName>
    <definedName name="OSRRefD22_4x_0" localSheetId="96">'Div 5'!$D$41</definedName>
    <definedName name="OSRRefD22_4x_0" localSheetId="64">'Div 6'!$D$78</definedName>
    <definedName name="OSRRefD22_4x_0" localSheetId="2">Summary!$D$226</definedName>
    <definedName name="OSRRefD22_5x_0" localSheetId="41">'201'!$D$39</definedName>
    <definedName name="OSRRefD22_5x_0" localSheetId="42">'202'!$D$40:$D$41</definedName>
    <definedName name="OSRRefD22_5x_0" localSheetId="43">'203'!$D$43</definedName>
    <definedName name="OSRRefD22_5x_0" localSheetId="44">'204'!$D$43</definedName>
    <definedName name="OSRRefD22_5x_0" localSheetId="45">'205'!$D$38</definedName>
    <definedName name="OSRRefD22_5x_0" localSheetId="46">'206'!$D$40:$D$41</definedName>
    <definedName name="OSRRefD22_5x_0" localSheetId="48">'300'!$D$191:$D$192</definedName>
    <definedName name="OSRRefD22_5x_0" localSheetId="49">'300 &amp; 317'!$D$216:$D$217</definedName>
    <definedName name="OSRRefD22_5x_0" localSheetId="50">'301'!$D$46:$D$47</definedName>
    <definedName name="OSRRefD22_5x_0" localSheetId="51">'306'!$D$43</definedName>
    <definedName name="OSRRefD22_5x_0" localSheetId="53">'307'!$D$98</definedName>
    <definedName name="OSRRefD22_5x_0" localSheetId="55">'308'!$D$90</definedName>
    <definedName name="OSRRefD22_5x_0" localSheetId="67">'309'!$D$45</definedName>
    <definedName name="OSRRefD22_5x_0" localSheetId="66">'310'!$D$53:$D$54</definedName>
    <definedName name="OSRRefD22_5x_0" localSheetId="74">'310 &amp; 491'!$D$62:$D$64</definedName>
    <definedName name="OSRRefD22_5x_0" localSheetId="56">'311'!$D$89</definedName>
    <definedName name="OSRRefD22_5x_0" localSheetId="68">'313'!$D$49</definedName>
    <definedName name="OSRRefD22_5x_0" localSheetId="54">'314'!$D$75</definedName>
    <definedName name="OSRRefD22_5x_0" localSheetId="59">'315'!$D$104:$D$105</definedName>
    <definedName name="OSRRefD22_5x_0" localSheetId="62">'316'!$D$56</definedName>
    <definedName name="OSRRefD22_5x_0" localSheetId="65">'317'!$D$80:$D$81</definedName>
    <definedName name="OSRRefD22_5x_0" localSheetId="63">'320'!$D$47</definedName>
    <definedName name="OSRRefD22_5x_0" localSheetId="69">'321'!$D$45</definedName>
    <definedName name="OSRRefD22_5x_0" localSheetId="70">'322'!$D$45</definedName>
    <definedName name="OSRRefD22_5x_0" localSheetId="71">'325'!$D$45:$D$46</definedName>
    <definedName name="OSRRefD22_5x_0" localSheetId="60">'326'!$D$84</definedName>
    <definedName name="OSRRefD22_5x_0" localSheetId="52">'330'!$D$106</definedName>
    <definedName name="OSRRefD22_5x_0" localSheetId="58">'331'!$D$112:$D$113</definedName>
    <definedName name="OSRRefD22_5x_0" localSheetId="61">'332'!$D$63</definedName>
    <definedName name="OSRRefD22_5x_0" localSheetId="76">'405'!$D$44:$D$45</definedName>
    <definedName name="OSRRefD22_5x_0" localSheetId="77">'406'!$D$46</definedName>
    <definedName name="OSRRefD22_5x_0" localSheetId="78">'411'!$D$45</definedName>
    <definedName name="OSRRefD22_5x_0" localSheetId="79">'412'!$D$45</definedName>
    <definedName name="OSRRefD22_5x_0" localSheetId="80">'413'!$D$45</definedName>
    <definedName name="OSRRefD22_5x_0" localSheetId="81">'414'!$D$46</definedName>
    <definedName name="OSRRefD22_5x_0" localSheetId="82">'415'!$D$46:$D$47</definedName>
    <definedName name="OSRRefD22_5x_0" localSheetId="83">'418'!$D$46:$D$47</definedName>
    <definedName name="OSRRefD22_5x_0" localSheetId="84">'420'!$D$43:$D$44</definedName>
    <definedName name="OSRRefD22_5x_0" localSheetId="85">'423'!$D$38</definedName>
    <definedName name="OSRRefD22_5x_0" localSheetId="86">'424'!$D$39</definedName>
    <definedName name="OSRRefD22_5x_0" localSheetId="87">'425'!$D$49</definedName>
    <definedName name="OSRRefD22_5x_0" localSheetId="90">'430'!$D$38</definedName>
    <definedName name="OSRRefD22_5x_0" localSheetId="91">'433'!$D$48</definedName>
    <definedName name="OSRRefD22_5x_0" localSheetId="92">'435'!$D$39</definedName>
    <definedName name="OSRRefD22_5x_0" localSheetId="93">'444'!$D$48</definedName>
    <definedName name="OSRRefD22_5x_0" localSheetId="95">'450'!$D$48</definedName>
    <definedName name="OSRRefD22_5x_0" localSheetId="75">'491'!$D$56:$D$58</definedName>
    <definedName name="OSRRefD22_5x_0" localSheetId="89">'492'!$D$51</definedName>
    <definedName name="OSRRefD22_5x_0" localSheetId="97">'501'!$D$43:$D$44</definedName>
    <definedName name="OSRRefD22_5x_0" localSheetId="39">'Div 2'!$D$46</definedName>
    <definedName name="OSRRefD22_5x_0" localSheetId="47">'Div 3'!$D$196:$D$197</definedName>
    <definedName name="OSRRefD22_5x_0" localSheetId="73">'Div 4'!$D$56:$D$58</definedName>
    <definedName name="OSRRefD22_5x_0" localSheetId="96">'Div 5'!$D$43:$D$44</definedName>
    <definedName name="OSRRefD22_5x_0" localSheetId="64">'Div 6'!$D$80:$D$81</definedName>
    <definedName name="OSRRefD22_5x_0" localSheetId="2">Summary!$D$228:$D$230</definedName>
    <definedName name="OSRRefD22_6x_0" localSheetId="41">'201'!$D$41</definedName>
    <definedName name="OSRRefD22_6x_0" localSheetId="42">'202'!$D$43</definedName>
    <definedName name="OSRRefD22_6x_0" localSheetId="43">'203'!$D$45</definedName>
    <definedName name="OSRRefD22_6x_0" localSheetId="44">'204'!$D$45:$D$47</definedName>
    <definedName name="OSRRefD22_6x_0" localSheetId="45">'205'!$D$40:$D$42</definedName>
    <definedName name="OSRRefD22_6x_0" localSheetId="46">'206'!$D$43</definedName>
    <definedName name="OSRRefD22_6x_0" localSheetId="48">'300'!$D$194:$D$195</definedName>
    <definedName name="OSRRefD22_6x_0" localSheetId="49">'300 &amp; 317'!$D$219:$D$220</definedName>
    <definedName name="OSRRefD22_6x_0" localSheetId="50">'301'!$D$49:$D$50</definedName>
    <definedName name="OSRRefD22_6x_0" localSheetId="51">'306'!$D$45:$D$46</definedName>
    <definedName name="OSRRefD22_6x_0" localSheetId="53">'307'!$D$100</definedName>
    <definedName name="OSRRefD22_6x_0" localSheetId="55">'308'!$D$92:$D$93</definedName>
    <definedName name="OSRRefD22_6x_0" localSheetId="67">'309'!$D$47</definedName>
    <definedName name="OSRRefD22_6x_0" localSheetId="66">'310'!$D$56</definedName>
    <definedName name="OSRRefD22_6x_0" localSheetId="74">'310 &amp; 491'!$D$66</definedName>
    <definedName name="OSRRefD22_6x_0" localSheetId="56">'311'!$D$91:$D$92</definedName>
    <definedName name="OSRRefD22_6x_0" localSheetId="68">'313'!$D$51</definedName>
    <definedName name="OSRRefD22_6x_0" localSheetId="54">'314'!$D$77</definedName>
    <definedName name="OSRRefD22_6x_0" localSheetId="59">'315'!$D$107</definedName>
    <definedName name="OSRRefD22_6x_0" localSheetId="62">'316'!$D$58:$D$59</definedName>
    <definedName name="OSRRefD22_6x_0" localSheetId="65">'317'!$D$83</definedName>
    <definedName name="OSRRefD22_6x_0" localSheetId="63">'320'!$D$49</definedName>
    <definedName name="OSRRefD22_6x_0" localSheetId="69">'321'!$D$47:$D$49</definedName>
    <definedName name="OSRRefD22_6x_0" localSheetId="70">'322'!$D$47</definedName>
    <definedName name="OSRRefD22_6x_0" localSheetId="71">'325'!$D$48</definedName>
    <definedName name="OSRRefD22_6x_0" localSheetId="60">'326'!$D$86</definedName>
    <definedName name="OSRRefD22_6x_0" localSheetId="52">'330'!$D$108</definedName>
    <definedName name="OSRRefD22_6x_0" localSheetId="58">'331'!$D$115</definedName>
    <definedName name="OSRRefD22_6x_0" localSheetId="61">'332'!$D$65:$D$66</definedName>
    <definedName name="OSRRefD22_6x_0" localSheetId="76">'405'!$D$47</definedName>
    <definedName name="OSRRefD22_6x_0" localSheetId="77">'406'!$D$48</definedName>
    <definedName name="OSRRefD22_6x_0" localSheetId="78">'411'!$D$47</definedName>
    <definedName name="OSRRefD22_6x_0" localSheetId="79">'412'!$D$47</definedName>
    <definedName name="OSRRefD22_6x_0" localSheetId="80">'413'!$D$47</definedName>
    <definedName name="OSRRefD22_6x_0" localSheetId="81">'414'!$D$48</definedName>
    <definedName name="OSRRefD22_6x_0" localSheetId="82">'415'!$D$49</definedName>
    <definedName name="OSRRefD22_6x_0" localSheetId="83">'418'!$D$49</definedName>
    <definedName name="OSRRefD22_6x_0" localSheetId="84">'420'!$D$46</definedName>
    <definedName name="OSRRefD22_6x_0" localSheetId="86">'424'!$D$41</definedName>
    <definedName name="OSRRefD22_6x_0" localSheetId="87">'425'!$D$51</definedName>
    <definedName name="OSRRefD22_6x_0" localSheetId="90">'430'!$D$40</definedName>
    <definedName name="OSRRefD22_6x_0" localSheetId="91">'433'!$D$50</definedName>
    <definedName name="OSRRefD22_6x_0" localSheetId="92">'435'!$D$41</definedName>
    <definedName name="OSRRefD22_6x_0" localSheetId="93">'444'!$D$50</definedName>
    <definedName name="OSRRefD22_6x_0" localSheetId="95">'450'!$D$50</definedName>
    <definedName name="OSRRefD22_6x_0" localSheetId="75">'491'!$D$60</definedName>
    <definedName name="OSRRefD22_6x_0" localSheetId="89">'492'!$D$53</definedName>
    <definedName name="OSRRefD22_6x_0" localSheetId="97">'501'!$D$46</definedName>
    <definedName name="OSRRefD22_6x_0" localSheetId="39">'Div 2'!$D$48</definedName>
    <definedName name="OSRRefD22_6x_0" localSheetId="47">'Div 3'!$D$199:$D$200</definedName>
    <definedName name="OSRRefD22_6x_0" localSheetId="73">'Div 4'!$D$60</definedName>
    <definedName name="OSRRefD22_6x_0" localSheetId="96">'Div 5'!$D$46</definedName>
    <definedName name="OSRRefD22_6x_0" localSheetId="64">'Div 6'!$D$83</definedName>
    <definedName name="OSRRefD22_6x_0" localSheetId="2">Summary!$D$232:$D$233</definedName>
    <definedName name="OSRRefD22_7x_0" localSheetId="41">'201'!$D$43</definedName>
    <definedName name="OSRRefD22_7x_0" localSheetId="42">'202'!$D$45</definedName>
    <definedName name="OSRRefD22_7x_0" localSheetId="43">'203'!$D$47</definedName>
    <definedName name="OSRRefD22_7x_0" localSheetId="44">'204'!$D$49</definedName>
    <definedName name="OSRRefD22_7x_0" localSheetId="45">'205'!$D$44</definedName>
    <definedName name="OSRRefD22_7x_0" localSheetId="46">'206'!$D$45</definedName>
    <definedName name="OSRRefD22_7x_0" localSheetId="48">'300'!$D$197</definedName>
    <definedName name="OSRRefD22_7x_0" localSheetId="49">'300 &amp; 317'!$D$222</definedName>
    <definedName name="OSRRefD22_7x_0" localSheetId="50">'301'!$D$52</definedName>
    <definedName name="OSRRefD22_7x_0" localSheetId="51">'306'!$D$48:$D$50</definedName>
    <definedName name="OSRRefD22_7x_0" localSheetId="53">'307'!$D$102:$D$103</definedName>
    <definedName name="OSRRefD22_7x_0" localSheetId="55">'308'!$D$95</definedName>
    <definedName name="OSRRefD22_7x_0" localSheetId="67">'309'!$D$49</definedName>
    <definedName name="OSRRefD22_7x_0" localSheetId="66">'310'!$D$58</definedName>
    <definedName name="OSRRefD22_7x_0" localSheetId="74">'310 &amp; 491'!$D$68</definedName>
    <definedName name="OSRRefD22_7x_0" localSheetId="56">'311'!$D$94</definedName>
    <definedName name="OSRRefD22_7x_0" localSheetId="68">'313'!$D$53</definedName>
    <definedName name="OSRRefD22_7x_0" localSheetId="54">'314'!$D$79</definedName>
    <definedName name="OSRRefD22_7x_0" localSheetId="59">'315'!$D$109:$D$110</definedName>
    <definedName name="OSRRefD22_7x_0" localSheetId="62">'316'!$D$61</definedName>
    <definedName name="OSRRefD22_7x_0" localSheetId="65">'317'!$D$85</definedName>
    <definedName name="OSRRefD22_7x_0" localSheetId="63">'320'!$D$51:$D$52</definedName>
    <definedName name="OSRRefD22_7x_0" localSheetId="69">'321'!$D$51</definedName>
    <definedName name="OSRRefD22_7x_0" localSheetId="70">'322'!$D$49</definedName>
    <definedName name="OSRRefD22_7x_0" localSheetId="71">'325'!$D$50</definedName>
    <definedName name="OSRRefD22_7x_0" localSheetId="60">'326'!$D$88</definedName>
    <definedName name="OSRRefD22_7x_0" localSheetId="52">'330'!$D$110</definedName>
    <definedName name="OSRRefD22_7x_0" localSheetId="58">'331'!$D$117:$D$118</definedName>
    <definedName name="OSRRefD22_7x_0" localSheetId="61">'332'!$D$68</definedName>
    <definedName name="OSRRefD22_7x_0" localSheetId="76">'405'!$D$49</definedName>
    <definedName name="OSRRefD22_7x_0" localSheetId="77">'406'!$D$50</definedName>
    <definedName name="OSRRefD22_7x_0" localSheetId="78">'411'!$D$49</definedName>
    <definedName name="OSRRefD22_7x_0" localSheetId="79">'412'!$D$49</definedName>
    <definedName name="OSRRefD22_7x_0" localSheetId="80">'413'!$D$49:$D$51</definedName>
    <definedName name="OSRRefD22_7x_0" localSheetId="81">'414'!$D$50</definedName>
    <definedName name="OSRRefD22_7x_0" localSheetId="82">'415'!$D$51</definedName>
    <definedName name="OSRRefD22_7x_0" localSheetId="83">'418'!$D$51</definedName>
    <definedName name="OSRRefD22_7x_0" localSheetId="86">'424'!$D$43</definedName>
    <definedName name="OSRRefD22_7x_0" localSheetId="87">'425'!$D$53</definedName>
    <definedName name="OSRRefD22_7x_0" localSheetId="90">'430'!$D$42</definedName>
    <definedName name="OSRRefD22_7x_0" localSheetId="91">'433'!$D$52</definedName>
    <definedName name="OSRRefD22_7x_0" localSheetId="92">'435'!$D$43:$D$45</definedName>
    <definedName name="OSRRefD22_7x_0" localSheetId="93">'444'!$D$52</definedName>
    <definedName name="OSRRefD22_7x_0" localSheetId="95">'450'!$D$52</definedName>
    <definedName name="OSRRefD22_7x_0" localSheetId="75">'491'!$D$62</definedName>
    <definedName name="OSRRefD22_7x_0" localSheetId="89">'492'!$D$55</definedName>
    <definedName name="OSRRefD22_7x_0" localSheetId="97">'501'!$D$48</definedName>
    <definedName name="OSRRefD22_7x_0" localSheetId="39">'Div 2'!$D$50</definedName>
    <definedName name="OSRRefD22_7x_0" localSheetId="47">'Div 3'!$D$202</definedName>
    <definedName name="OSRRefD22_7x_0" localSheetId="73">'Div 4'!$D$62</definedName>
    <definedName name="OSRRefD22_7x_0" localSheetId="96">'Div 5'!$D$48</definedName>
    <definedName name="OSRRefD22_7x_0" localSheetId="64">'Div 6'!$D$85</definedName>
    <definedName name="OSRRefD22_7x_0" localSheetId="2">Summary!$D$235</definedName>
    <definedName name="OSRRefD22_8x_0" localSheetId="41">'201'!$D$45</definedName>
    <definedName name="OSRRefD22_8x_0" localSheetId="42">'202'!$D$47:$D$49</definedName>
    <definedName name="OSRRefD22_8x_0" localSheetId="43">'203'!$D$49</definedName>
    <definedName name="OSRRefD22_8x_0" localSheetId="44">'204'!$D$51:$D$52</definedName>
    <definedName name="OSRRefD22_8x_0" localSheetId="45">'205'!$D$46</definedName>
    <definedName name="OSRRefD22_8x_0" localSheetId="48">'300'!$D$199</definedName>
    <definedName name="OSRRefD22_8x_0" localSheetId="49">'300 &amp; 317'!$D$224</definedName>
    <definedName name="OSRRefD22_8x_0" localSheetId="50">'301'!$D$54</definedName>
    <definedName name="OSRRefD22_8x_0" localSheetId="51">'306'!$D$52</definedName>
    <definedName name="OSRRefD22_8x_0" localSheetId="53">'307'!$D$105:$D$106</definedName>
    <definedName name="OSRRefD22_8x_0" localSheetId="55">'308'!$D$97</definedName>
    <definedName name="OSRRefD22_8x_0" localSheetId="67">'309'!$D$51</definedName>
    <definedName name="OSRRefD22_8x_0" localSheetId="66">'310'!$D$60</definedName>
    <definedName name="OSRRefD22_8x_0" localSheetId="74">'310 &amp; 491'!$D$70</definedName>
    <definedName name="OSRRefD22_8x_0" localSheetId="56">'311'!$D$96</definedName>
    <definedName name="OSRRefD22_8x_0" localSheetId="68">'313'!$D$55:$D$57</definedName>
    <definedName name="OSRRefD22_8x_0" localSheetId="54">'314'!$D$81</definedName>
    <definedName name="OSRRefD22_8x_0" localSheetId="59">'315'!$D$112:$D$113</definedName>
    <definedName name="OSRRefD22_8x_0" localSheetId="62">'316'!$D$63:$D$65</definedName>
    <definedName name="OSRRefD22_8x_0" localSheetId="65">'317'!$D$87</definedName>
    <definedName name="OSRRefD22_8x_0" localSheetId="63">'320'!$D$54</definedName>
    <definedName name="OSRRefD22_8x_0" localSheetId="69">'321'!$D$53:$D$55</definedName>
    <definedName name="OSRRefD22_8x_0" localSheetId="70">'322'!$D$51:$D$52</definedName>
    <definedName name="OSRRefD22_8x_0" localSheetId="71">'325'!$D$52</definedName>
    <definedName name="OSRRefD22_8x_0" localSheetId="60">'326'!$D$90</definedName>
    <definedName name="OSRRefD22_8x_0" localSheetId="52">'330'!$D$112:$D$113</definedName>
    <definedName name="OSRRefD22_8x_0" localSheetId="58">'331'!$D$120</definedName>
    <definedName name="OSRRefD22_8x_0" localSheetId="61">'332'!$D$70</definedName>
    <definedName name="OSRRefD22_8x_0" localSheetId="76">'405'!$D$51</definedName>
    <definedName name="OSRRefD22_8x_0" localSheetId="77">'406'!$D$52</definedName>
    <definedName name="OSRRefD22_8x_0" localSheetId="78">'411'!$D$51</definedName>
    <definedName name="OSRRefD22_8x_0" localSheetId="79">'412'!$D$51</definedName>
    <definedName name="OSRRefD22_8x_0" localSheetId="80">'413'!$D$53:$D$55</definedName>
    <definedName name="OSRRefD22_8x_0" localSheetId="81">'414'!$D$52</definedName>
    <definedName name="OSRRefD22_8x_0" localSheetId="82">'415'!$D$53</definedName>
    <definedName name="OSRRefD22_8x_0" localSheetId="83">'418'!$D$53</definedName>
    <definedName name="OSRRefD22_8x_0" localSheetId="86">'424'!$D$45:$D$46</definedName>
    <definedName name="OSRRefD22_8x_0" localSheetId="87">'425'!$D$55</definedName>
    <definedName name="OSRRefD22_8x_0" localSheetId="91">'433'!$D$54</definedName>
    <definedName name="OSRRefD22_8x_0" localSheetId="92">'435'!$D$47</definedName>
    <definedName name="OSRRefD22_8x_0" localSheetId="93">'444'!$D$54</definedName>
    <definedName name="OSRRefD22_8x_0" localSheetId="95">'450'!$D$54</definedName>
    <definedName name="OSRRefD22_8x_0" localSheetId="75">'491'!$D$64</definedName>
    <definedName name="OSRRefD22_8x_0" localSheetId="89">'492'!$D$57</definedName>
    <definedName name="OSRRefD22_8x_0" localSheetId="97">'501'!$D$50</definedName>
    <definedName name="OSRRefD22_8x_0" localSheetId="39">'Div 2'!$D$52</definedName>
    <definedName name="OSRRefD22_8x_0" localSheetId="47">'Div 3'!$D$204</definedName>
    <definedName name="OSRRefD22_8x_0" localSheetId="73">'Div 4'!$D$64</definedName>
    <definedName name="OSRRefD22_8x_0" localSheetId="96">'Div 5'!$D$50</definedName>
    <definedName name="OSRRefD22_8x_0" localSheetId="64">'Div 6'!$D$87</definedName>
    <definedName name="OSRRefD22_8x_0" localSheetId="2">Summary!$D$237</definedName>
    <definedName name="OSRRefD22_9x_0" localSheetId="41">'201'!$D$47:$D$49</definedName>
    <definedName name="OSRRefD22_9x_0" localSheetId="42">'202'!$D$51</definedName>
    <definedName name="OSRRefD22_9x_0" localSheetId="43">'203'!$D$51:$D$52</definedName>
    <definedName name="OSRRefD22_9x_0" localSheetId="44">'204'!$D$54</definedName>
    <definedName name="OSRRefD22_9x_0" localSheetId="48">'300'!$D$201</definedName>
    <definedName name="OSRRefD22_9x_0" localSheetId="49">'300 &amp; 317'!$D$226</definedName>
    <definedName name="OSRRefD22_9x_0" localSheetId="50">'301'!$D$56</definedName>
    <definedName name="OSRRefD22_9x_0" localSheetId="51">'306'!$D$54</definedName>
    <definedName name="OSRRefD22_9x_0" localSheetId="53">'307'!$D$108:$D$111</definedName>
    <definedName name="OSRRefD22_9x_0" localSheetId="55">'308'!$D$99:$D$100</definedName>
    <definedName name="OSRRefD22_9x_0" localSheetId="67">'309'!$D$53:$D$54</definedName>
    <definedName name="OSRRefD22_9x_0" localSheetId="66">'310'!$D$62</definedName>
    <definedName name="OSRRefD22_9x_0" localSheetId="74">'310 &amp; 491'!$D$72</definedName>
    <definedName name="OSRRefD22_9x_0" localSheetId="56">'311'!$D$98:$D$99</definedName>
    <definedName name="OSRRefD22_9x_0" localSheetId="68">'313'!$D$59</definedName>
    <definedName name="OSRRefD22_9x_0" localSheetId="59">'315'!$D$115:$D$119</definedName>
    <definedName name="OSRRefD22_9x_0" localSheetId="62">'316'!$D$67</definedName>
    <definedName name="OSRRefD22_9x_0" localSheetId="65">'317'!$D$89</definedName>
    <definedName name="OSRRefD22_9x_0" localSheetId="69">'321'!$D$57:$D$60</definedName>
    <definedName name="OSRRefD22_9x_0" localSheetId="70">'322'!$D$54:$D$56</definedName>
    <definedName name="OSRRefD22_9x_0" localSheetId="71">'325'!$D$54</definedName>
    <definedName name="OSRRefD22_9x_0" localSheetId="60">'326'!$D$92</definedName>
    <definedName name="OSRRefD22_9x_0" localSheetId="52">'330'!$D$115:$D$116</definedName>
    <definedName name="OSRRefD22_9x_0" localSheetId="58">'331'!$D$122</definedName>
    <definedName name="OSRRefD22_9x_0" localSheetId="61">'332'!$D$72:$D$74</definedName>
    <definedName name="OSRRefD22_9x_0" localSheetId="76">'405'!$D$53</definedName>
    <definedName name="OSRRefD22_9x_0" localSheetId="77">'406'!$D$54:$D$56</definedName>
    <definedName name="OSRRefD22_9x_0" localSheetId="78">'411'!$D$53</definedName>
    <definedName name="OSRRefD22_9x_0" localSheetId="79">'412'!$D$53:$D$54</definedName>
    <definedName name="OSRRefD22_9x_0" localSheetId="80">'413'!$D$57:$D$62</definedName>
    <definedName name="OSRRefD22_9x_0" localSheetId="81">'414'!$D$54:$D$55</definedName>
    <definedName name="OSRRefD22_9x_0" localSheetId="82">'415'!$D$55</definedName>
    <definedName name="OSRRefD22_9x_0" localSheetId="83">'418'!$D$55</definedName>
    <definedName name="OSRRefD22_9x_0" localSheetId="86">'424'!$D$48</definedName>
    <definedName name="OSRRefD22_9x_0" localSheetId="87">'425'!$D$57:$D$59</definedName>
    <definedName name="OSRRefD22_9x_0" localSheetId="91">'433'!$D$56</definedName>
    <definedName name="OSRRefD22_9x_0" localSheetId="93">'444'!$D$56</definedName>
    <definedName name="OSRRefD22_9x_0" localSheetId="95">'450'!$D$56</definedName>
    <definedName name="OSRRefD22_9x_0" localSheetId="75">'491'!$D$66</definedName>
    <definedName name="OSRRefD22_9x_0" localSheetId="89">'492'!$D$59</definedName>
    <definedName name="OSRRefD22_9x_0" localSheetId="97">'501'!$D$52:$D$54</definedName>
    <definedName name="OSRRefD22_9x_0" localSheetId="39">'Div 2'!$D$54:$D$55</definedName>
    <definedName name="OSRRefD22_9x_0" localSheetId="47">'Div 3'!$D$206</definedName>
    <definedName name="OSRRefD22_9x_0" localSheetId="73">'Div 4'!$D$66</definedName>
    <definedName name="OSRRefD22_9x_0" localSheetId="96">'Div 5'!$D$52:$D$54</definedName>
    <definedName name="OSRRefD22_9x_0" localSheetId="64">'Div 6'!$D$89</definedName>
    <definedName name="OSRRefD22_9x_0" localSheetId="2">Summary!$D$239</definedName>
    <definedName name="OSRRefD22x_0" localSheetId="40">'200'!$D$20,'200'!$D$22,'200'!$D$24,'200'!$D$26,'200'!$D$28:$D$29</definedName>
    <definedName name="OSRRefD22x_0" localSheetId="41">'201'!$D$20:$D$27,'201'!$D$29:$D$31,'201'!$D$33,'201'!$D$35,'201'!$D$37,'201'!$D$39,'201'!$D$41,'201'!$D$43,'201'!$D$45,'201'!$D$47:$D$49,'201'!$D$51:$D$53,'201'!$D$55,'201'!$D$57:$D$60,'201'!$D$62,'201'!$D$64,'201'!$D$66</definedName>
    <definedName name="OSRRefD22x_0" localSheetId="42">'202'!$D$20:$D$27,'202'!$D$29:$D$32,'202'!$D$34,'202'!$D$36,'202'!$D$38,'202'!$D$40:$D$41,'202'!$D$43,'202'!$D$45,'202'!$D$47:$D$49,'202'!$D$51,'202'!$D$53,'202'!$D$55:$D$57,'202'!$D$59,'202'!$D$61,'202'!$D$63</definedName>
    <definedName name="OSRRefD22x_0" localSheetId="43">'203'!$D$20:$D$29,'203'!$D$31:$D$35,'203'!$D$37,'203'!$D$39,'203'!$D$41,'203'!$D$43,'203'!$D$45,'203'!$D$47,'203'!$D$49,'203'!$D$51:$D$52,'203'!$D$54:$D$55,'203'!$D$57,'203'!$D$59:$D$62,'203'!$D$64,'203'!$D$66,'203'!$D$68</definedName>
    <definedName name="OSRRefD22x_0" localSheetId="44">'204'!$D$20:$D$29,'204'!$D$31:$D$35,'204'!$D$37,'204'!$D$39,'204'!$D$41,'204'!$D$43,'204'!$D$45:$D$47,'204'!$D$49,'204'!$D$51:$D$52,'204'!$D$54,'204'!$D$56:$D$57</definedName>
    <definedName name="OSRRefD22x_0" localSheetId="45">'205'!$D$20:$D$27,'205'!$D$29,'205'!$D$31,'205'!$D$33,'205'!$D$35:$D$36,'205'!$D$38,'205'!$D$40:$D$42,'205'!$D$44,'205'!$D$46</definedName>
    <definedName name="OSRRefD22x_0" localSheetId="46">'206'!$D$20:$D$27,'206'!$D$29:$D$32,'206'!$D$34,'206'!$D$36,'206'!$D$38,'206'!$D$40:$D$41,'206'!$D$43,'206'!$D$45</definedName>
    <definedName name="OSRRefD22x_0" localSheetId="48">'300'!$D$165:$D$174,'300'!$D$176:$D$182,'300'!$D$184,'300'!$D$186:$D$187,'300'!$D$189,'300'!$D$191:$D$192,'300'!$D$194:$D$195,'300'!$D$197,'300'!$D$199,'300'!$D$201,'300'!$D$203:$D$204,'300'!$D$206,'300'!$D$208,'300'!$D$210,'300'!$D$212,'300'!$D$214,'300'!$D$216:$D$219,'300'!$D$221:$D$223,'300'!$D$225:$D$228,'300'!$D$230:$D$231,'300'!$D$233:$D$239,'300'!$D$241:$D$242,'300'!$D$244,'300'!$D$246:$D$248,'300'!$D$250</definedName>
    <definedName name="OSRRefD22x_0" localSheetId="49">'300 &amp; 317'!$D$190:$D$199,'300 &amp; 317'!$D$201:$D$207,'300 &amp; 317'!$D$209,'300 &amp; 317'!$D$211:$D$212,'300 &amp; 317'!$D$214,'300 &amp; 317'!$D$216:$D$217,'300 &amp; 317'!$D$219:$D$220,'300 &amp; 317'!$D$222,'300 &amp; 317'!$D$224,'300 &amp; 317'!$D$226,'300 &amp; 317'!$D$228:$D$229,'300 &amp; 317'!$D$231,'300 &amp; 317'!$D$233,'300 &amp; 317'!$D$235,'300 &amp; 317'!$D$237,'300 &amp; 317'!$D$239,'300 &amp; 317'!$D$241:$D$244,'300 &amp; 317'!$D$246:$D$248,'300 &amp; 317'!$D$250:$D$253,'300 &amp; 317'!$D$255:$D$256,'300 &amp; 317'!$D$258:$D$264,'300 &amp; 317'!$D$266:$D$267,'300 &amp; 317'!$D$269,'300 &amp; 317'!$D$271:$D$273,'300 &amp; 317'!$D$275</definedName>
    <definedName name="OSRRefD22x_0" localSheetId="50">'301'!$D$20:$D$29,'301'!$D$31:$D$37,'301'!$D$39,'301'!$D$41:$D$42,'301'!$D$44,'301'!$D$46:$D$47,'301'!$D$49:$D$50,'301'!$D$52,'301'!$D$54,'301'!$D$56,'301'!$D$58,'301'!$D$60,'301'!$D$62,'301'!$D$64,'301'!$D$66,'301'!$D$68:$D$71,'301'!$D$73:$D$75,'301'!$D$77:$D$78,'301'!$D$80:$D$85,'301'!$D$87,'301'!$D$89,'301'!$D$91:$D$93,'301'!$D$95</definedName>
    <definedName name="OSRRefD22x_0" localSheetId="51">'306'!$D$20:$D$28,'306'!$D$30:$D$35,'306'!$D$37,'306'!$D$39,'306'!$D$41,'306'!$D$43,'306'!$D$45:$D$46,'306'!$D$48:$D$50,'306'!$D$52,'306'!$D$54</definedName>
    <definedName name="OSRRefD22x_0" localSheetId="53">'307'!$D$77:$D$84,'307'!$D$86:$D$89,'307'!$D$91,'307'!$D$93,'307'!$D$95:$D$96,'307'!$D$98,'307'!$D$100,'307'!$D$102:$D$103,'307'!$D$105:$D$106,'307'!$D$108:$D$111,'307'!$D$113,'307'!$D$115</definedName>
    <definedName name="OSRRefD22x_0" localSheetId="55">'308'!$D$65:$D$73,'308'!$D$75:$D$81,'308'!$D$83,'308'!$D$85:$D$86,'308'!$D$88,'308'!$D$90,'308'!$D$92:$D$93,'308'!$D$95,'308'!$D$97,'308'!$D$99:$D$100,'308'!$D$102:$D$103,'308'!$D$105:$D$107,'308'!$D$109:$D$110,'308'!$D$112,'308'!$D$114</definedName>
    <definedName name="OSRRefD22x_0" localSheetId="67">'309'!$D$24:$D$31,'309'!$D$33:$D$37,'309'!$D$39,'309'!$D$41,'309'!$D$43,'309'!$D$45,'309'!$D$47,'309'!$D$49,'309'!$D$51,'309'!$D$53:$D$54,'309'!$D$56:$D$58,'309'!$D$60:$D$62,'309'!$D$64</definedName>
    <definedName name="OSRRefD22x_0" localSheetId="66">'310'!$D$31:$D$38,'310'!$D$40:$D$45,'310'!$D$47,'310'!$D$49,'310'!$D$51,'310'!$D$53:$D$54,'310'!$D$56,'310'!$D$58,'310'!$D$60,'310'!$D$62,'310'!$D$64,'310'!$D$66,'310'!$D$68,'310'!$D$70,'310'!$D$72:$D$74,'310'!$D$76,'310'!$D$78:$D$81,'310'!$D$83,'310'!$D$85:$D$92,'310'!$D$94,'310'!$D$96,'310'!$D$98</definedName>
    <definedName name="OSRRefD22x_0" localSheetId="74">'310 &amp; 491'!$D$38:$D$46,'310 &amp; 491'!$D$48:$D$54,'310 &amp; 491'!$D$56,'310 &amp; 491'!$D$58,'310 &amp; 491'!$D$60,'310 &amp; 491'!$D$62:$D$64,'310 &amp; 491'!$D$66,'310 &amp; 491'!$D$68,'310 &amp; 491'!$D$70,'310 &amp; 491'!$D$72,'310 &amp; 491'!$D$74:$D$75,'310 &amp; 491'!$D$77:$D$78,'310 &amp; 491'!$D$80,'310 &amp; 491'!$D$82,'310 &amp; 491'!$D$84,'310 &amp; 491'!$D$86,'310 &amp; 491'!$D$88:$D$91,'310 &amp; 491'!$D$93:$D$94,'310 &amp; 491'!$D$96:$D$100,'310 &amp; 491'!$D$102:$D$103,'310 &amp; 491'!$D$105:$D$114,'310 &amp; 491'!$D$116,'310 &amp; 491'!$D$118,'310 &amp; 491'!$D$120:$D$122,'310 &amp; 491'!$D$124</definedName>
    <definedName name="OSRRefD22x_0" localSheetId="56">'311'!$D$64:$D$72,'311'!$D$74:$D$80,'311'!$D$82,'311'!$D$84:$D$85,'311'!$D$87,'311'!$D$89,'311'!$D$91:$D$92,'311'!$D$94,'311'!$D$96,'311'!$D$98:$D$99,'311'!$D$101:$D$102,'311'!$D$104:$D$106,'311'!$D$108:$D$109,'311'!$D$111,'311'!$D$113</definedName>
    <definedName name="OSRRefD22x_0" localSheetId="68">'313'!$D$28:$D$35,'313'!$D$37:$D$41,'313'!$D$43,'313'!$D$45,'313'!$D$47,'313'!$D$49,'313'!$D$51,'313'!$D$53,'313'!$D$55:$D$57,'313'!$D$59,'313'!$D$61:$D$65,'313'!$D$67,'313'!$D$69</definedName>
    <definedName name="OSRRefD22x_0" localSheetId="54">'314'!$D$55:$D$62,'314'!$D$64:$D$66,'314'!$D$68,'314'!$D$70:$D$71,'314'!$D$73,'314'!$D$75,'314'!$D$77,'314'!$D$79,'314'!$D$81</definedName>
    <definedName name="OSRRefD22x_0" localSheetId="59">'315'!$D$81:$D$88,'315'!$D$90:$D$95,'315'!$D$97,'315'!$D$99:$D$100,'315'!$D$102,'315'!$D$104:$D$105,'315'!$D$107,'315'!$D$109:$D$110,'315'!$D$112:$D$113,'315'!$D$115:$D$119,'315'!$D$121,'315'!$D$123,'315'!$D$125:$D$126</definedName>
    <definedName name="OSRRefD22x_0" localSheetId="62">'316'!$D$36:$D$43,'316'!$D$45:$D$48,'316'!$D$50,'316'!$D$52,'316'!$D$54,'316'!$D$56,'316'!$D$58:$D$59,'316'!$D$61,'316'!$D$63:$D$65,'316'!$D$67,'316'!$D$69:$D$74,'316'!$D$76,'316'!$D$78,'316'!$D$80</definedName>
    <definedName name="OSRRefD22x_0" localSheetId="65">'317'!$D$58:$D$66,'317'!$D$68:$D$72,'317'!$D$74,'317'!$D$76,'317'!$D$78,'317'!$D$80:$D$81,'317'!$D$83,'317'!$D$85,'317'!$D$87,'317'!$D$89,'317'!$D$91:$D$93,'317'!$D$95,'317'!$D$97,'317'!$D$99</definedName>
    <definedName name="OSRRefD22x_0" localSheetId="63">'320'!$D$28:$D$34,'320'!$D$36:$D$38,'320'!$D$40,'320'!$D$42,'320'!$D$44:$D$45,'320'!$D$47,'320'!$D$49,'320'!$D$51:$D$52,'320'!$D$54</definedName>
    <definedName name="OSRRefD22x_0" localSheetId="69">'321'!$D$24:$D$31,'321'!$D$33:$D$37,'321'!$D$39,'321'!$D$41,'321'!$D$43,'321'!$D$45,'321'!$D$47:$D$49,'321'!$D$51,'321'!$D$53:$D$55,'321'!$D$57:$D$60,'321'!$D$62,'321'!$D$64</definedName>
    <definedName name="OSRRefD22x_0" localSheetId="70">'322'!$D$24:$D$31,'322'!$D$33:$D$37,'322'!$D$39,'322'!$D$41,'322'!$D$43,'322'!$D$45,'322'!$D$47,'322'!$D$49,'322'!$D$51:$D$52,'322'!$D$54:$D$56,'322'!$D$58:$D$63,'322'!$D$65,'322'!$D$67</definedName>
    <definedName name="OSRRefD22x_0" localSheetId="71">'325'!$D$24:$D$31,'325'!$D$33:$D$37,'325'!$D$39,'325'!$D$41,'325'!$D$43,'325'!$D$45:$D$46,'325'!$D$48,'325'!$D$50,'325'!$D$52,'325'!$D$54,'325'!$D$56,'325'!$D$58:$D$60,'325'!$D$62:$D$64,'325'!$D$66,'325'!$D$68:$D$72,'325'!$D$74,'325'!$D$76,'325'!$D$78</definedName>
    <definedName name="OSRRefD22x_0" localSheetId="60">'326'!$D$62:$D$69,'326'!$D$71:$D$76,'326'!$D$78,'326'!$D$80,'326'!$D$82,'326'!$D$84,'326'!$D$86,'326'!$D$88,'326'!$D$90,'326'!$D$92,'326'!$D$94,'326'!$D$96,'326'!$D$98:$D$100,'326'!$D$102:$D$104,'326'!$D$106:$D$107,'326'!$D$109:$D$114,'326'!$D$116,'326'!$D$118,'326'!$D$120,'326'!$D$122</definedName>
    <definedName name="OSRRefD22x_0" localSheetId="72">'327'!$D$22,'327'!$D$24,'327'!$D$26</definedName>
    <definedName name="OSRRefD22x_0" localSheetId="52">'330'!$D$84:$D$91,'330'!$D$93:$D$97,'330'!$D$99,'330'!$D$101,'330'!$D$103:$D$104,'330'!$D$106,'330'!$D$108,'330'!$D$110,'330'!$D$112:$D$113,'330'!$D$115:$D$116,'330'!$D$118,'330'!$D$120:$D$123,'330'!$D$125,'330'!$D$127,'330'!$D$129</definedName>
    <definedName name="OSRRefD22x_0" localSheetId="58">'331'!$D$90:$D$97,'331'!$D$99:$D$104,'331'!$D$106,'331'!$D$108,'331'!$D$110,'331'!$D$112:$D$113,'331'!$D$115,'331'!$D$117:$D$118,'331'!$D$120,'331'!$D$122,'331'!$D$124,'331'!$D$126,'331'!$D$128,'331'!$D$130:$D$132,'331'!$D$134:$D$135,'331'!$D$137:$D$139,'331'!$D$141:$D$142,'331'!$D$144:$D$149,'331'!$D$151,'331'!$D$153,'331'!$D$155:$D$156,'331'!$D$158</definedName>
    <definedName name="OSRRefD22x_0" localSheetId="61">'332'!$D$43:$D$50,'332'!$D$52:$D$55,'332'!$D$57,'332'!$D$59,'332'!$D$61,'332'!$D$63,'332'!$D$65:$D$66,'332'!$D$68,'332'!$D$70,'332'!$D$72:$D$74,'332'!$D$76,'332'!$D$78:$D$83,'332'!$D$85,'332'!$D$87,'332'!$D$89</definedName>
    <definedName name="OSRRefD22x_0" localSheetId="76">'405'!$D$24:$D$31,'405'!$D$33:$D$36,'405'!$D$38,'405'!$D$40,'405'!$D$42,'405'!$D$44:$D$45,'405'!$D$47,'405'!$D$49,'405'!$D$51,'405'!$D$53,'405'!$D$55:$D$56,'405'!$D$58,'405'!$D$60:$D$62,'405'!$D$64:$D$65,'405'!$D$67:$D$73,'405'!$D$75,'405'!$D$77,'405'!$D$79</definedName>
    <definedName name="OSRRefD22x_0" localSheetId="77">'406'!$D$24:$D$31,'406'!$D$33:$D$38,'406'!$D$40,'406'!$D$42,'406'!$D$44,'406'!$D$46,'406'!$D$48,'406'!$D$50,'406'!$D$52,'406'!$D$54:$D$56,'406'!$D$58:$D$59,'406'!$D$61:$D$65,'406'!$D$67,'406'!$D$69</definedName>
    <definedName name="OSRRefD22x_0" localSheetId="78">'411'!$D$20:$D$28,'411'!$D$30:$D$35,'411'!$D$37,'411'!$D$39,'411'!$D$41:$D$43,'411'!$D$45,'411'!$D$47,'411'!$D$49,'411'!$D$51,'411'!$D$53,'411'!$D$55,'411'!$D$57,'411'!$D$59:$D$61,'411'!$D$63:$D$67,'411'!$D$69,'411'!$D$71:$D$79,'411'!$D$81,'411'!$D$83,'411'!$D$85:$D$87,'411'!$D$89</definedName>
    <definedName name="OSRRefD22x_0" localSheetId="79">'412'!$D$23:$D$30,'412'!$D$32:$D$37,'412'!$D$39,'412'!$D$41,'412'!$D$43,'412'!$D$45,'412'!$D$47,'412'!$D$49,'412'!$D$51,'412'!$D$53:$D$54,'412'!$D$56:$D$57,'412'!$D$59:$D$64,'412'!$D$66,'412'!$D$68</definedName>
    <definedName name="OSRRefD22x_0" localSheetId="80">'413'!$D$24:$D$31,'413'!$D$33:$D$37,'413'!$D$39,'413'!$D$41,'413'!$D$43,'413'!$D$45,'413'!$D$47,'413'!$D$49:$D$51,'413'!$D$53:$D$55,'413'!$D$57:$D$62,'413'!$D$64,'413'!$D$66</definedName>
    <definedName name="OSRRefD22x_0" localSheetId="81">'414'!$D$24:$D$31,'414'!$D$33:$D$38,'414'!$D$40,'414'!$D$42,'414'!$D$44,'414'!$D$46,'414'!$D$48,'414'!$D$50,'414'!$D$52,'414'!$D$54:$D$55,'414'!$D$57,'414'!$D$59,'414'!$D$61,'414'!$D$63:$D$69,'414'!$D$71,'414'!$D$73</definedName>
    <definedName name="OSRRefD22x_0" localSheetId="82">'415'!$D$24:$D$31,'415'!$D$33:$D$38,'415'!$D$40,'415'!$D$42,'415'!$D$44,'415'!$D$46:$D$47,'415'!$D$49,'415'!$D$51,'415'!$D$53,'415'!$D$55,'415'!$D$57,'415'!$D$59:$D$62,'415'!$D$64:$D$68,'415'!$D$70:$D$71,'415'!$D$73:$D$81,'415'!$D$83,'415'!$D$85,'415'!$D$87</definedName>
    <definedName name="OSRRefD22x_0" localSheetId="83">'418'!$D$24:$D$31,'418'!$D$33:$D$38,'418'!$D$40,'418'!$D$42,'418'!$D$44,'418'!$D$46:$D$47,'418'!$D$49,'418'!$D$51,'418'!$D$53,'418'!$D$55,'418'!$D$57:$D$58,'418'!$D$60:$D$62,'418'!$D$64:$D$66,'418'!$D$68:$D$69,'418'!$D$71:$D$77,'418'!$D$79,'418'!$D$81</definedName>
    <definedName name="OSRRefD22x_0" localSheetId="84">'420'!$D$23:$D$30,'420'!$D$32:$D$35,'420'!$D$37,'420'!$D$39,'420'!$D$41,'420'!$D$43:$D$44,'420'!$D$46</definedName>
    <definedName name="OSRRefD22x_0" localSheetId="85">'423'!$D$21:$D$28,'423'!$D$30,'423'!$D$32,'423'!$D$34,'423'!$D$36,'423'!$D$38</definedName>
    <definedName name="OSRRefD22x_0" localSheetId="86">'424'!$D$24:$D$25,'424'!$D$27:$D$31,'424'!$D$33,'424'!$D$35,'424'!$D$37,'424'!$D$39,'424'!$D$41,'424'!$D$43,'424'!$D$45:$D$46,'424'!$D$48,'424'!$D$50,'424'!$D$52:$D$56,'424'!$D$58</definedName>
    <definedName name="OSRRefD22x_0" localSheetId="87">'425'!$D$26:$D$34,'425'!$D$36:$D$41,'425'!$D$43,'425'!$D$45,'425'!$D$47,'425'!$D$49,'425'!$D$51,'425'!$D$53,'425'!$D$55,'425'!$D$57:$D$59,'425'!$D$61,'425'!$D$63:$D$64,'425'!$D$66:$D$72,'425'!$D$74,'425'!$D$76</definedName>
    <definedName name="OSRRefD22x_0" localSheetId="90">'430'!$D$20:$D$27,'430'!$D$29,'430'!$D$31,'430'!$D$33,'430'!$D$35:$D$36,'430'!$D$38,'430'!$D$40,'430'!$D$42</definedName>
    <definedName name="OSRRefD22x_0" localSheetId="91">'433'!$D$25:$D$33,'433'!$D$35:$D$40,'433'!$D$42,'433'!$D$44,'433'!$D$46,'433'!$D$48,'433'!$D$50,'433'!$D$52,'433'!$D$54,'433'!$D$56,'433'!$D$58,'433'!$D$60:$D$62,'433'!$D$64:$D$66,'433'!$D$68:$D$75,'433'!$D$77,'433'!$D$79,'433'!$D$81</definedName>
    <definedName name="OSRRefD22x_0" localSheetId="92">'435'!$D$25:$D$27,'435'!$D$29:$D$31,'435'!$D$33,'435'!$D$35,'435'!$D$37,'435'!$D$39,'435'!$D$41,'435'!$D$43:$D$45,'435'!$D$47</definedName>
    <definedName name="OSRRefD22x_0" localSheetId="93">'444'!$D$25:$D$33,'444'!$D$35:$D$40,'444'!$D$42,'444'!$D$44,'444'!$D$46,'444'!$D$48,'444'!$D$50,'444'!$D$52,'444'!$D$54,'444'!$D$56,'444'!$D$58,'444'!$D$60:$D$62,'444'!$D$64:$D$67,'444'!$D$69,'444'!$D$71:$D$79,'444'!$D$81,'444'!$D$83,'444'!$D$85</definedName>
    <definedName name="OSRRefD22x_0" localSheetId="95">'450'!$D$25:$D$33,'450'!$D$35:$D$40,'450'!$D$42,'450'!$D$44,'450'!$D$46,'450'!$D$48,'450'!$D$50,'450'!$D$52,'450'!$D$54,'450'!$D$56,'450'!$D$58,'450'!$D$60,'450'!$D$62:$D$63,'450'!$D$65:$D$67,'450'!$D$69:$D$74,'450'!$D$76,'450'!$D$78,'450'!$D$80</definedName>
    <definedName name="OSRRefD22x_0" localSheetId="88">'455'!$D$20:$D$26,'455'!$D$28:$D$29</definedName>
    <definedName name="OSRRefD22x_0" localSheetId="75">'491'!$D$32:$D$40,'491'!$D$42:$D$48,'491'!$D$50,'491'!$D$52,'491'!$D$54,'491'!$D$56:$D$58,'491'!$D$60,'491'!$D$62,'491'!$D$64,'491'!$D$66,'491'!$D$68,'491'!$D$70:$D$71,'491'!$D$73,'491'!$D$75,'491'!$D$77,'491'!$D$79,'491'!$D$81:$D$84,'491'!$D$86:$D$87,'491'!$D$89:$D$93,'491'!$D$95:$D$96,'491'!$D$98:$D$107,'491'!$D$109,'491'!$D$111,'491'!$D$113:$D$115,'491'!$D$117</definedName>
    <definedName name="OSRRefD22x_0" localSheetId="89">'492'!$D$27:$D$35,'492'!$D$37:$D$43,'492'!$D$45,'492'!$D$47,'492'!$D$49,'492'!$D$51,'492'!$D$53,'492'!$D$55,'492'!$D$57,'492'!$D$59,'492'!$D$61,'492'!$D$63,'492'!$D$65:$D$67,'492'!$D$69:$D$72,'492'!$D$74,'492'!$D$76:$D$84,'492'!$D$86,'492'!$D$88,'492'!$D$90</definedName>
    <definedName name="OSRRefD22x_0" localSheetId="97">'501'!$D$21:$D$29,'501'!$D$31:$D$35,'501'!$D$37,'501'!$D$39,'501'!$D$41,'501'!$D$43:$D$44,'501'!$D$46,'501'!$D$48,'501'!$D$50,'501'!$D$52:$D$54,'501'!$D$56,'501'!$D$58:$D$60,'501'!$D$62</definedName>
    <definedName name="OSRRefD22x_0" localSheetId="39">'Div 2'!$D$20:$D$30,'Div 2'!$D$32:$D$38,'Div 2'!$D$40,'Div 2'!$D$42,'Div 2'!$D$44,'Div 2'!$D$46,'Div 2'!$D$48,'Div 2'!$D$50,'Div 2'!$D$52,'Div 2'!$D$54:$D$55,'Div 2'!$D$57,'Div 2'!$D$59,'Div 2'!$D$61:$D$64,'Div 2'!$D$66:$D$68,'Div 2'!$D$70:$D$71,'Div 2'!$D$73,'Div 2'!$D$75:$D$79,'Div 2'!$D$81:$D$82,'Div 2'!$D$84,'Div 2'!$D$86:$D$87</definedName>
    <definedName name="OSRRefD22x_0" localSheetId="47">'Div 3'!$D$170:$D$179,'Div 3'!$D$181:$D$187,'Div 3'!$D$189,'Div 3'!$D$191:$D$192,'Div 3'!$D$194,'Div 3'!$D$196:$D$197,'Div 3'!$D$199:$D$200,'Div 3'!$D$202,'Div 3'!$D$204,'Div 3'!$D$206,'Div 3'!$D$208:$D$209,'Div 3'!$D$211,'Div 3'!$D$213,'Div 3'!$D$215,'Div 3'!$D$217,'Div 3'!$D$219,'Div 3'!$D$221,'Div 3'!$D$223:$D$226,'Div 3'!$D$228:$D$230,'Div 3'!$D$232:$D$236,'Div 3'!$D$238:$D$239,'Div 3'!$D$241:$D$248,'Div 3'!$D$250:$D$251,'Div 3'!$D$253,'Div 3'!$D$255:$D$257,'Div 3'!$D$259</definedName>
    <definedName name="OSRRefD22x_0" localSheetId="73">'Div 4'!$D$32:$D$40,'Div 4'!$D$42:$D$48,'Div 4'!$D$50,'Div 4'!$D$52,'Div 4'!$D$54,'Div 4'!$D$56:$D$58,'Div 4'!$D$60,'Div 4'!$D$62,'Div 4'!$D$64,'Div 4'!$D$66,'Div 4'!$D$68,'Div 4'!$D$70:$D$71,'Div 4'!$D$73,'Div 4'!$D$75,'Div 4'!$D$77,'Div 4'!$D$79,'Div 4'!$D$81,'Div 4'!$D$83:$D$86,'Div 4'!$D$88:$D$89,'Div 4'!$D$91:$D$95,'Div 4'!$D$97:$D$98,'Div 4'!$D$100:$D$109,'Div 4'!$D$111,'Div 4'!$D$113,'Div 4'!$D$115:$D$117,'Div 4'!$D$119</definedName>
    <definedName name="OSRRefD22x_0" localSheetId="96">'Div 5'!$D$21:$D$29,'Div 5'!$D$31:$D$35,'Div 5'!$D$37,'Div 5'!$D$39,'Div 5'!$D$41,'Div 5'!$D$43:$D$44,'Div 5'!$D$46,'Div 5'!$D$48,'Div 5'!$D$50,'Div 5'!$D$52:$D$54,'Div 5'!$D$56,'Div 5'!$D$58:$D$60,'Div 5'!$D$62</definedName>
    <definedName name="OSRRefD22x_0" localSheetId="64">'Div 6'!$D$58:$D$66,'Div 6'!$D$68:$D$72,'Div 6'!$D$74,'Div 6'!$D$76,'Div 6'!$D$78,'Div 6'!$D$80:$D$81,'Div 6'!$D$83,'Div 6'!$D$85,'Div 6'!$D$87,'Div 6'!$D$89,'Div 6'!$D$91:$D$93,'Div 6'!$D$95,'Div 6'!$D$97,'Div 6'!$D$99</definedName>
    <definedName name="OSRRefD22x_0" localSheetId="2">Summary!$D$202:$D$211,Summary!$D$213:$D$219,Summary!$D$221,Summary!$D$223:$D$224,Summary!$D$226,Summary!$D$228:$D$230,Summary!$D$232:$D$233,Summary!$D$235,Summary!$D$237,Summary!$D$239,Summary!$D$241:$D$242,Summary!$D$244:$D$245,Summary!$D$247,Summary!$D$249,Summary!$D$251,Summary!$D$253,Summary!$D$255,Summary!$D$257,Summary!$D$259:$D$262,Summary!$D$264:$D$266,Summary!$D$268:$D$272,Summary!$D$274:$D$275,Summary!$D$277:$D$286,Summary!$D$288:$D$289,Summary!$D$291,Summary!$D$293:$D$295,Summary!$D$297</definedName>
    <definedName name="OSRRefD25x_0" localSheetId="48">'300'!$D$253:$D$261</definedName>
    <definedName name="OSRRefD25x_0" localSheetId="49">'300 &amp; 317'!$D$278:$D$289</definedName>
    <definedName name="OSRRefD25x_0" localSheetId="50">'301'!$D$98:$D$100</definedName>
    <definedName name="OSRRefD25x_0" localSheetId="53">'307'!$D$118</definedName>
    <definedName name="OSRRefD25x_0" localSheetId="55">'308'!$D$117:$D$119</definedName>
    <definedName name="OSRRefD25x_0" localSheetId="74">'310 &amp; 491'!$D$127:$D$129</definedName>
    <definedName name="OSRRefD25x_0" localSheetId="56">'311'!$D$116:$D$118</definedName>
    <definedName name="OSRRefD25x_0" localSheetId="59">'315'!$D$129:$D$130</definedName>
    <definedName name="OSRRefD25x_0" localSheetId="62">'316'!$D$83</definedName>
    <definedName name="OSRRefD25x_0" localSheetId="65">'317'!$D$102:$D$105</definedName>
    <definedName name="OSRRefD25x_0" localSheetId="63">'320'!$D$57:$D$61</definedName>
    <definedName name="OSRRefD25x_0" localSheetId="52">'330'!$D$132</definedName>
    <definedName name="OSRRefD25x_0" localSheetId="58">'331'!$D$161:$D$162</definedName>
    <definedName name="OSRRefD25x_0" localSheetId="61">'332'!$D$92:$D$97</definedName>
    <definedName name="OSRRefD25x_0" localSheetId="78">'411'!$D$92:$D$93</definedName>
    <definedName name="OSRRefD25x_0" localSheetId="80">'413'!$D$69</definedName>
    <definedName name="OSRRefD25x_0" localSheetId="82">'415'!$D$90</definedName>
    <definedName name="OSRRefD25x_0" localSheetId="83">'418'!$D$84</definedName>
    <definedName name="OSRRefD25x_0" localSheetId="85">'423'!$D$41</definedName>
    <definedName name="OSRRefD25x_0" localSheetId="86">'424'!$D$61</definedName>
    <definedName name="OSRRefD25x_0" localSheetId="87">'425'!$D$79</definedName>
    <definedName name="OSRRefD25x_0" localSheetId="88">'455'!$D$32:$D$33</definedName>
    <definedName name="OSRRefD25x_0" localSheetId="75">'491'!$D$120:$D$122</definedName>
    <definedName name="OSRRefD25x_0" localSheetId="97">'501'!$D$65</definedName>
    <definedName name="OSRRefD25x_0" localSheetId="47">'Div 3'!$D$262:$D$270</definedName>
    <definedName name="OSRRefD25x_0" localSheetId="73">'Div 4'!$D$122:$D$124</definedName>
    <definedName name="OSRRefD25x_0" localSheetId="96">'Div 5'!$D$65</definedName>
    <definedName name="OSRRefD25x_0" localSheetId="64">'Div 6'!$D$102:$D$105</definedName>
    <definedName name="OSRRefD25x_0" localSheetId="2">Summary!$D$300:$D$312</definedName>
    <definedName name="OSRRefH13x_0" localSheetId="48">'300'!$H$13:$H$107</definedName>
    <definedName name="OSRRefH13x_0" localSheetId="49">'300 &amp; 317'!$H$13:$H$125</definedName>
    <definedName name="OSRRefH13x_0" localSheetId="53">'307'!$H$13:$H$49</definedName>
    <definedName name="OSRRefH13x_0" localSheetId="55">'308'!$H$13:$H$41</definedName>
    <definedName name="OSRRefH13x_0" localSheetId="67">'309'!$H$13:$H$14</definedName>
    <definedName name="OSRRefH13x_0" localSheetId="66">'310'!$H$13:$H$21</definedName>
    <definedName name="OSRRefH13x_0" localSheetId="74">'310 &amp; 491'!$H$13:$H$28</definedName>
    <definedName name="OSRRefH13x_0" localSheetId="56">'311'!$H$13:$H$40</definedName>
    <definedName name="OSRRefH13x_0" localSheetId="68">'313'!$H$13:$H$18</definedName>
    <definedName name="OSRRefH13x_0" localSheetId="54">'314'!$H$13:$H$32</definedName>
    <definedName name="OSRRefH13x_0" localSheetId="59">'315'!$H$13:$H$50</definedName>
    <definedName name="OSRRefH13x_0" localSheetId="62">'316'!$H$13:$H$28</definedName>
    <definedName name="OSRRefH13x_0" localSheetId="65">'317'!$H$13:$H$37</definedName>
    <definedName name="OSRRefH13x_0" localSheetId="63">'320'!$H$13:$H$15</definedName>
    <definedName name="OSRRefH13x_0" localSheetId="69">'321'!$H$13:$H$14</definedName>
    <definedName name="OSRRefH13x_0" localSheetId="70">'322'!$H$13:$H$14</definedName>
    <definedName name="OSRRefH13x_0" localSheetId="57">'324'!$H$13:$H$15</definedName>
    <definedName name="OSRRefH13x_0" localSheetId="71">'325'!$H$13:$H$14</definedName>
    <definedName name="OSRRefH13x_0" localSheetId="60">'326'!$H$13:$H$38</definedName>
    <definedName name="OSRRefH13x_0" localSheetId="72">'327'!$H$13</definedName>
    <definedName name="OSRRefH13x_0" localSheetId="52">'330'!$H$13:$H$53</definedName>
    <definedName name="OSRRefH13x_0" localSheetId="58">'331'!$H$13:$H$54</definedName>
    <definedName name="OSRRefH13x_0" localSheetId="61">'332'!$H$13:$H$30</definedName>
    <definedName name="OSRRefH13x_0" localSheetId="76">'405'!$H$13:$H$14</definedName>
    <definedName name="OSRRefH13x_0" localSheetId="77">'406'!$H$13:$H$14</definedName>
    <definedName name="OSRRefH13x_0" localSheetId="79">'412'!$H$13:$H$14</definedName>
    <definedName name="OSRRefH13x_0" localSheetId="80">'413'!$H$13:$H$14</definedName>
    <definedName name="OSRRefH13x_0" localSheetId="81">'414'!$H$13:$H$14</definedName>
    <definedName name="OSRRefH13x_0" localSheetId="82">'415'!$H$13:$H$14</definedName>
    <definedName name="OSRRefH13x_0" localSheetId="83">'418'!$H$13:$H$14</definedName>
    <definedName name="OSRRefH13x_0" localSheetId="84">'420'!$H$13:$H$14</definedName>
    <definedName name="OSRRefH13x_0" localSheetId="86">'424'!$H$13:$H$14</definedName>
    <definedName name="OSRRefH13x_0" localSheetId="87">'425'!$H$13:$H$16</definedName>
    <definedName name="OSRRefH13x_0" localSheetId="91">'433'!$H$13:$H$15</definedName>
    <definedName name="OSRRefH13x_0" localSheetId="92">'435'!$H$13:$H$15</definedName>
    <definedName name="OSRRefH13x_0" localSheetId="93">'444'!$H$13:$H$15</definedName>
    <definedName name="OSRRefH13x_0" localSheetId="95">'450'!$H$13:$H$15</definedName>
    <definedName name="OSRRefH13x_0" localSheetId="75">'491'!$H$13:$H$22</definedName>
    <definedName name="OSRRefH13x_0" localSheetId="89">'492'!$H$13:$H$17</definedName>
    <definedName name="OSRRefH13x_0" localSheetId="97">'501'!$H$13</definedName>
    <definedName name="OSRRefH13x_0" localSheetId="47">'Div 3'!$H$13:$H$110</definedName>
    <definedName name="OSRRefH13x_0" localSheetId="73">'Div 4'!$H$13:$H$22</definedName>
    <definedName name="OSRRefH13x_0" localSheetId="96">'Div 5'!$H$13</definedName>
    <definedName name="OSRRefH13x_0" localSheetId="64">'Div 6'!$H$13:$H$37</definedName>
    <definedName name="OSRRefH13x_0" localSheetId="2">Summary!$H$13:$H$135</definedName>
    <definedName name="OSRRefH16x_0" localSheetId="48">'300'!$H$110:$H$159</definedName>
    <definedName name="OSRRefH16x_0" localSheetId="49">'300 &amp; 317'!$H$128:$H$184</definedName>
    <definedName name="OSRRefH16x_0" localSheetId="53">'307'!$H$52:$H$71</definedName>
    <definedName name="OSRRefH16x_0" localSheetId="55">'308'!$H$44:$H$59</definedName>
    <definedName name="OSRRefH16x_0" localSheetId="67">'309'!$H$17:$H$18</definedName>
    <definedName name="OSRRefH16x_0" localSheetId="66">'310'!$H$24:$H$25</definedName>
    <definedName name="OSRRefH16x_0" localSheetId="74">'310 &amp; 491'!$H$31:$H$32</definedName>
    <definedName name="OSRRefH16x_0" localSheetId="56">'311'!$H$43:$H$58</definedName>
    <definedName name="OSRRefH16x_0" localSheetId="68">'313'!$H$21:$H$22</definedName>
    <definedName name="OSRRefH16x_0" localSheetId="54">'314'!$H$35:$H$49</definedName>
    <definedName name="OSRRefH16x_0" localSheetId="59">'315'!$H$53:$H$75</definedName>
    <definedName name="OSRRefH16x_0" localSheetId="65">'317'!$H$40:$H$52</definedName>
    <definedName name="OSRRefH16x_0" localSheetId="63">'320'!$H$18:$H$22</definedName>
    <definedName name="OSRRefH16x_0" localSheetId="69">'321'!$H$17:$H$18</definedName>
    <definedName name="OSRRefH16x_0" localSheetId="70">'322'!$H$17:$H$18</definedName>
    <definedName name="OSRRefH16x_0" localSheetId="57">'324'!$H$18:$H$19</definedName>
    <definedName name="OSRRefH16x_0" localSheetId="71">'325'!$H$17:$H$18</definedName>
    <definedName name="OSRRefH16x_0" localSheetId="60">'326'!$H$41:$H$56</definedName>
    <definedName name="OSRRefH16x_0" localSheetId="72">'327'!$H$16</definedName>
    <definedName name="OSRRefH16x_0" localSheetId="52">'330'!$H$56:$H$78</definedName>
    <definedName name="OSRRefH16x_0" localSheetId="58">'331'!$H$57:$H$84</definedName>
    <definedName name="OSRRefH16x_0" localSheetId="61">'332'!$H$33:$H$37</definedName>
    <definedName name="OSRRefH16x_0" localSheetId="76">'405'!$H$17:$H$18</definedName>
    <definedName name="OSRRefH16x_0" localSheetId="77">'406'!$H$17:$H$18</definedName>
    <definedName name="OSRRefH16x_0" localSheetId="79">'412'!$H$17</definedName>
    <definedName name="OSRRefH16x_0" localSheetId="80">'413'!$H$17:$H$18</definedName>
    <definedName name="OSRRefH16x_0" localSheetId="81">'414'!$H$17:$H$18</definedName>
    <definedName name="OSRRefH16x_0" localSheetId="82">'415'!$H$17:$H$18</definedName>
    <definedName name="OSRRefH16x_0" localSheetId="83">'418'!$H$17:$H$18</definedName>
    <definedName name="OSRRefH16x_0" localSheetId="84">'420'!$H$17</definedName>
    <definedName name="OSRRefH16x_0" localSheetId="85">'423'!$H$15</definedName>
    <definedName name="OSRRefH16x_0" localSheetId="86">'424'!$H$17:$H$18</definedName>
    <definedName name="OSRRefH16x_0" localSheetId="87">'425'!$H$19:$H$20</definedName>
    <definedName name="OSRRefH16x_0" localSheetId="91">'433'!$H$18:$H$19</definedName>
    <definedName name="OSRRefH16x_0" localSheetId="92">'435'!$H$18:$H$19</definedName>
    <definedName name="OSRRefH16x_0" localSheetId="93">'444'!$H$18:$H$19</definedName>
    <definedName name="OSRRefH16x_0" localSheetId="95">'450'!$H$18:$H$19</definedName>
    <definedName name="OSRRefH16x_0" localSheetId="75">'491'!$H$25:$H$26</definedName>
    <definedName name="OSRRefH16x_0" localSheetId="89">'492'!$H$20:$H$21</definedName>
    <definedName name="OSRRefH16x_0" localSheetId="47">'Div 3'!$H$113:$H$164</definedName>
    <definedName name="OSRRefH16x_0" localSheetId="73">'Div 4'!$H$25:$H$26</definedName>
    <definedName name="OSRRefH16x_0" localSheetId="64">'Div 6'!$H$40:$H$52</definedName>
    <definedName name="OSRRefH16x_0" localSheetId="2">Summary!$H$138:$H$196</definedName>
    <definedName name="OSRRefH22_0x_0" localSheetId="40">'200'!$H$20</definedName>
    <definedName name="OSRRefH22_0x_0" localSheetId="41">'201'!$H$20:$H$27</definedName>
    <definedName name="OSRRefH22_0x_0" localSheetId="42">'202'!$H$20:$H$27</definedName>
    <definedName name="OSRRefH22_0x_0" localSheetId="43">'203'!$H$20:$H$29</definedName>
    <definedName name="OSRRefH22_0x_0" localSheetId="44">'204'!$H$20:$H$29</definedName>
    <definedName name="OSRRefH22_0x_0" localSheetId="45">'205'!$H$20:$H$27</definedName>
    <definedName name="OSRRefH22_0x_0" localSheetId="46">'206'!$H$20:$H$27</definedName>
    <definedName name="OSRRefH22_0x_0" localSheetId="48">'300'!$H$165:$H$174</definedName>
    <definedName name="OSRRefH22_0x_0" localSheetId="49">'300 &amp; 317'!$H$190:$H$199</definedName>
    <definedName name="OSRRefH22_0x_0" localSheetId="50">'301'!$H$20:$H$29</definedName>
    <definedName name="OSRRefH22_0x_0" localSheetId="51">'306'!$H$20:$H$28</definedName>
    <definedName name="OSRRefH22_0x_0" localSheetId="53">'307'!$H$77:$H$84</definedName>
    <definedName name="OSRRefH22_0x_0" localSheetId="55">'308'!$H$65:$H$73</definedName>
    <definedName name="OSRRefH22_0x_0" localSheetId="67">'309'!$H$24:$H$31</definedName>
    <definedName name="OSRRefH22_0x_0" localSheetId="66">'310'!$H$31:$H$38</definedName>
    <definedName name="OSRRefH22_0x_0" localSheetId="74">'310 &amp; 491'!$H$38:$H$46</definedName>
    <definedName name="OSRRefH22_0x_0" localSheetId="56">'311'!$H$64:$H$72</definedName>
    <definedName name="OSRRefH22_0x_0" localSheetId="68">'313'!$H$28:$H$35</definedName>
    <definedName name="OSRRefH22_0x_0" localSheetId="54">'314'!$H$55:$H$62</definedName>
    <definedName name="OSRRefH22_0x_0" localSheetId="59">'315'!$H$81:$H$88</definedName>
    <definedName name="OSRRefH22_0x_0" localSheetId="62">'316'!$H$36:$H$43</definedName>
    <definedName name="OSRRefH22_0x_0" localSheetId="65">'317'!$H$58:$H$66</definedName>
    <definedName name="OSRRefH22_0x_0" localSheetId="63">'320'!$H$28:$H$34</definedName>
    <definedName name="OSRRefH22_0x_0" localSheetId="69">'321'!$H$24:$H$31</definedName>
    <definedName name="OSRRefH22_0x_0" localSheetId="70">'322'!$H$24:$H$31</definedName>
    <definedName name="OSRRefH22_0x_0" localSheetId="71">'325'!$H$24:$H$31</definedName>
    <definedName name="OSRRefH22_0x_0" localSheetId="60">'326'!$H$62:$H$69</definedName>
    <definedName name="OSRRefH22_0x_0" localSheetId="72">'327'!$H$22</definedName>
    <definedName name="OSRRefH22_0x_0" localSheetId="52">'330'!$H$84:$H$91</definedName>
    <definedName name="OSRRefH22_0x_0" localSheetId="58">'331'!$H$90:$H$97</definedName>
    <definedName name="OSRRefH22_0x_0" localSheetId="61">'332'!$H$43:$H$50</definedName>
    <definedName name="OSRRefH22_0x_0" localSheetId="76">'405'!$H$24:$H$31</definedName>
    <definedName name="OSRRefH22_0x_0" localSheetId="77">'406'!$H$24:$H$31</definedName>
    <definedName name="OSRRefH22_0x_0" localSheetId="78">'411'!$H$20:$H$28</definedName>
    <definedName name="OSRRefH22_0x_0" localSheetId="79">'412'!$H$23:$H$30</definedName>
    <definedName name="OSRRefH22_0x_0" localSheetId="80">'413'!$H$24:$H$31</definedName>
    <definedName name="OSRRefH22_0x_0" localSheetId="81">'414'!$H$24:$H$31</definedName>
    <definedName name="OSRRefH22_0x_0" localSheetId="82">'415'!$H$24:$H$31</definedName>
    <definedName name="OSRRefH22_0x_0" localSheetId="83">'418'!$H$24:$H$31</definedName>
    <definedName name="OSRRefH22_0x_0" localSheetId="84">'420'!$H$23:$H$30</definedName>
    <definedName name="OSRRefH22_0x_0" localSheetId="85">'423'!$H$21:$H$28</definedName>
    <definedName name="OSRRefH22_0x_0" localSheetId="86">'424'!$H$24:$H$25</definedName>
    <definedName name="OSRRefH22_0x_0" localSheetId="87">'425'!$H$26:$H$34</definedName>
    <definedName name="OSRRefH22_0x_0" localSheetId="90">'430'!$H$20:$H$27</definedName>
    <definedName name="OSRRefH22_0x_0" localSheetId="91">'433'!$H$25:$H$33</definedName>
    <definedName name="OSRRefH22_0x_0" localSheetId="92">'435'!$H$25:$H$27</definedName>
    <definedName name="OSRRefH22_0x_0" localSheetId="93">'444'!$H$25:$H$33</definedName>
    <definedName name="OSRRefH22_0x_0" localSheetId="95">'450'!$H$25:$H$33</definedName>
    <definedName name="OSRRefH22_0x_0" localSheetId="88">'455'!$H$20:$H$26</definedName>
    <definedName name="OSRRefH22_0x_0" localSheetId="75">'491'!$H$32:$H$40</definedName>
    <definedName name="OSRRefH22_0x_0" localSheetId="89">'492'!$H$27:$H$35</definedName>
    <definedName name="OSRRefH22_0x_0" localSheetId="97">'501'!$H$21:$H$29</definedName>
    <definedName name="OSRRefH22_0x_0" localSheetId="39">'Div 2'!$H$20:$H$30</definedName>
    <definedName name="OSRRefH22_0x_0" localSheetId="47">'Div 3'!$H$170:$H$179</definedName>
    <definedName name="OSRRefH22_0x_0" localSheetId="73">'Div 4'!$H$32:$H$40</definedName>
    <definedName name="OSRRefH22_0x_0" localSheetId="96">'Div 5'!$H$21:$H$29</definedName>
    <definedName name="OSRRefH22_0x_0" localSheetId="64">'Div 6'!$H$58:$H$66</definedName>
    <definedName name="OSRRefH22_0x_0" localSheetId="2">Summary!$H$202:$H$211</definedName>
    <definedName name="OSRRefH22_10x_0" localSheetId="41">'201'!$H$51:$H$53</definedName>
    <definedName name="OSRRefH22_10x_0" localSheetId="42">'202'!$H$53</definedName>
    <definedName name="OSRRefH22_10x_0" localSheetId="43">'203'!$H$54:$H$55</definedName>
    <definedName name="OSRRefH22_10x_0" localSheetId="44">'204'!$H$56:$H$57</definedName>
    <definedName name="OSRRefH22_10x_0" localSheetId="48">'300'!$H$203:$H$204</definedName>
    <definedName name="OSRRefH22_10x_0" localSheetId="49">'300 &amp; 317'!$H$228:$H$229</definedName>
    <definedName name="OSRRefH22_10x_0" localSheetId="50">'301'!$H$58</definedName>
    <definedName name="OSRRefH22_10x_0" localSheetId="53">'307'!$H$113</definedName>
    <definedName name="OSRRefH22_10x_0" localSheetId="55">'308'!$H$102:$H$103</definedName>
    <definedName name="OSRRefH22_10x_0" localSheetId="67">'309'!$H$56:$H$58</definedName>
    <definedName name="OSRRefH22_10x_0" localSheetId="66">'310'!$H$64</definedName>
    <definedName name="OSRRefH22_10x_0" localSheetId="74">'310 &amp; 491'!$H$74:$H$75</definedName>
    <definedName name="OSRRefH22_10x_0" localSheetId="56">'311'!$H$101:$H$102</definedName>
    <definedName name="OSRRefH22_10x_0" localSheetId="68">'313'!$H$61:$H$65</definedName>
    <definedName name="OSRRefH22_10x_0" localSheetId="59">'315'!$H$121</definedName>
    <definedName name="OSRRefH22_10x_0" localSheetId="62">'316'!$H$69:$H$74</definedName>
    <definedName name="OSRRefH22_10x_0" localSheetId="65">'317'!$H$91:$H$93</definedName>
    <definedName name="OSRRefH22_10x_0" localSheetId="69">'321'!$H$62</definedName>
    <definedName name="OSRRefH22_10x_0" localSheetId="70">'322'!$H$58:$H$63</definedName>
    <definedName name="OSRRefH22_10x_0" localSheetId="71">'325'!$H$56</definedName>
    <definedName name="OSRRefH22_10x_0" localSheetId="60">'326'!$H$94</definedName>
    <definedName name="OSRRefH22_10x_0" localSheetId="52">'330'!$H$118</definedName>
    <definedName name="OSRRefH22_10x_0" localSheetId="58">'331'!$H$124</definedName>
    <definedName name="OSRRefH22_10x_0" localSheetId="61">'332'!$H$76</definedName>
    <definedName name="OSRRefH22_10x_0" localSheetId="76">'405'!$H$55:$H$56</definedName>
    <definedName name="OSRRefH22_10x_0" localSheetId="77">'406'!$H$58:$H$59</definedName>
    <definedName name="OSRRefH22_10x_0" localSheetId="78">'411'!$H$55</definedName>
    <definedName name="OSRRefH22_10x_0" localSheetId="79">'412'!$H$56:$H$57</definedName>
    <definedName name="OSRRefH22_10x_0" localSheetId="80">'413'!$H$64</definedName>
    <definedName name="OSRRefH22_10x_0" localSheetId="81">'414'!$H$57</definedName>
    <definedName name="OSRRefH22_10x_0" localSheetId="82">'415'!$H$57</definedName>
    <definedName name="OSRRefH22_10x_0" localSheetId="83">'418'!$H$57:$H$58</definedName>
    <definedName name="OSRRefH22_10x_0" localSheetId="86">'424'!$H$50</definedName>
    <definedName name="OSRRefH22_10x_0" localSheetId="87">'425'!$H$61</definedName>
    <definedName name="OSRRefH22_10x_0" localSheetId="91">'433'!$H$58</definedName>
    <definedName name="OSRRefH22_10x_0" localSheetId="93">'444'!$H$58</definedName>
    <definedName name="OSRRefH22_10x_0" localSheetId="95">'450'!$H$58</definedName>
    <definedName name="OSRRefH22_10x_0" localSheetId="75">'491'!$H$68</definedName>
    <definedName name="OSRRefH22_10x_0" localSheetId="89">'492'!$H$61</definedName>
    <definedName name="OSRRefH22_10x_0" localSheetId="97">'501'!$H$56</definedName>
    <definedName name="OSRRefH22_10x_0" localSheetId="39">'Div 2'!$H$57</definedName>
    <definedName name="OSRRefH22_10x_0" localSheetId="47">'Div 3'!$H$208:$H$209</definedName>
    <definedName name="OSRRefH22_10x_0" localSheetId="73">'Div 4'!$H$68</definedName>
    <definedName name="OSRRefH22_10x_0" localSheetId="96">'Div 5'!$H$56</definedName>
    <definedName name="OSRRefH22_10x_0" localSheetId="64">'Div 6'!$H$91:$H$93</definedName>
    <definedName name="OSRRefH22_10x_0" localSheetId="2">Summary!$H$241:$H$242</definedName>
    <definedName name="OSRRefH22_11x_0" localSheetId="41">'201'!$H$55</definedName>
    <definedName name="OSRRefH22_11x_0" localSheetId="42">'202'!$H$55:$H$57</definedName>
    <definedName name="OSRRefH22_11x_0" localSheetId="43">'203'!$H$57</definedName>
    <definedName name="OSRRefH22_11x_0" localSheetId="48">'300'!$H$206</definedName>
    <definedName name="OSRRefH22_11x_0" localSheetId="49">'300 &amp; 317'!$H$231</definedName>
    <definedName name="OSRRefH22_11x_0" localSheetId="50">'301'!$H$60</definedName>
    <definedName name="OSRRefH22_11x_0" localSheetId="53">'307'!$H$115</definedName>
    <definedName name="OSRRefH22_11x_0" localSheetId="55">'308'!$H$105:$H$107</definedName>
    <definedName name="OSRRefH22_11x_0" localSheetId="67">'309'!$H$60:$H$62</definedName>
    <definedName name="OSRRefH22_11x_0" localSheetId="66">'310'!$H$66</definedName>
    <definedName name="OSRRefH22_11x_0" localSheetId="74">'310 &amp; 491'!$H$77:$H$78</definedName>
    <definedName name="OSRRefH22_11x_0" localSheetId="56">'311'!$H$104:$H$106</definedName>
    <definedName name="OSRRefH22_11x_0" localSheetId="68">'313'!$H$67</definedName>
    <definedName name="OSRRefH22_11x_0" localSheetId="59">'315'!$H$123</definedName>
    <definedName name="OSRRefH22_11x_0" localSheetId="62">'316'!$H$76</definedName>
    <definedName name="OSRRefH22_11x_0" localSheetId="65">'317'!$H$95</definedName>
    <definedName name="OSRRefH22_11x_0" localSheetId="69">'321'!$H$64</definedName>
    <definedName name="OSRRefH22_11x_0" localSheetId="70">'322'!$H$65</definedName>
    <definedName name="OSRRefH22_11x_0" localSheetId="71">'325'!$H$58:$H$60</definedName>
    <definedName name="OSRRefH22_11x_0" localSheetId="60">'326'!$H$96</definedName>
    <definedName name="OSRRefH22_11x_0" localSheetId="52">'330'!$H$120:$H$123</definedName>
    <definedName name="OSRRefH22_11x_0" localSheetId="58">'331'!$H$126</definedName>
    <definedName name="OSRRefH22_11x_0" localSheetId="61">'332'!$H$78:$H$83</definedName>
    <definedName name="OSRRefH22_11x_0" localSheetId="76">'405'!$H$58</definedName>
    <definedName name="OSRRefH22_11x_0" localSheetId="77">'406'!$H$61:$H$65</definedName>
    <definedName name="OSRRefH22_11x_0" localSheetId="78">'411'!$H$57</definedName>
    <definedName name="OSRRefH22_11x_0" localSheetId="79">'412'!$H$59:$H$64</definedName>
    <definedName name="OSRRefH22_11x_0" localSheetId="80">'413'!$H$66</definedName>
    <definedName name="OSRRefH22_11x_0" localSheetId="81">'414'!$H$59</definedName>
    <definedName name="OSRRefH22_11x_0" localSheetId="82">'415'!$H$59:$H$62</definedName>
    <definedName name="OSRRefH22_11x_0" localSheetId="83">'418'!$H$60:$H$62</definedName>
    <definedName name="OSRRefH22_11x_0" localSheetId="86">'424'!$H$52:$H$56</definedName>
    <definedName name="OSRRefH22_11x_0" localSheetId="87">'425'!$H$63:$H$64</definedName>
    <definedName name="OSRRefH22_11x_0" localSheetId="91">'433'!$H$60:$H$62</definedName>
    <definedName name="OSRRefH22_11x_0" localSheetId="93">'444'!$H$60:$H$62</definedName>
    <definedName name="OSRRefH22_11x_0" localSheetId="95">'450'!$H$60</definedName>
    <definedName name="OSRRefH22_11x_0" localSheetId="75">'491'!$H$70:$H$71</definedName>
    <definedName name="OSRRefH22_11x_0" localSheetId="89">'492'!$H$63</definedName>
    <definedName name="OSRRefH22_11x_0" localSheetId="97">'501'!$H$58:$H$60</definedName>
    <definedName name="OSRRefH22_11x_0" localSheetId="39">'Div 2'!$H$59</definedName>
    <definedName name="OSRRefH22_11x_0" localSheetId="47">'Div 3'!$H$211</definedName>
    <definedName name="OSRRefH22_11x_0" localSheetId="73">'Div 4'!$H$70:$H$71</definedName>
    <definedName name="OSRRefH22_11x_0" localSheetId="96">'Div 5'!$H$58:$H$60</definedName>
    <definedName name="OSRRefH22_11x_0" localSheetId="64">'Div 6'!$H$95</definedName>
    <definedName name="OSRRefH22_11x_0" localSheetId="2">Summary!$H$244:$H$245</definedName>
    <definedName name="OSRRefH22_12x_0" localSheetId="41">'201'!$H$57:$H$60</definedName>
    <definedName name="OSRRefH22_12x_0" localSheetId="42">'202'!$H$59</definedName>
    <definedName name="OSRRefH22_12x_0" localSheetId="43">'203'!$H$59:$H$62</definedName>
    <definedName name="OSRRefH22_12x_0" localSheetId="48">'300'!$H$208</definedName>
    <definedName name="OSRRefH22_12x_0" localSheetId="49">'300 &amp; 317'!$H$233</definedName>
    <definedName name="OSRRefH22_12x_0" localSheetId="50">'301'!$H$62</definedName>
    <definedName name="OSRRefH22_12x_0" localSheetId="55">'308'!$H$109:$H$110</definedName>
    <definedName name="OSRRefH22_12x_0" localSheetId="67">'309'!$H$64</definedName>
    <definedName name="OSRRefH22_12x_0" localSheetId="66">'310'!$H$68</definedName>
    <definedName name="OSRRefH22_12x_0" localSheetId="74">'310 &amp; 491'!$H$80</definedName>
    <definedName name="OSRRefH22_12x_0" localSheetId="56">'311'!$H$108:$H$109</definedName>
    <definedName name="OSRRefH22_12x_0" localSheetId="68">'313'!$H$69</definedName>
    <definedName name="OSRRefH22_12x_0" localSheetId="59">'315'!$H$125:$H$126</definedName>
    <definedName name="OSRRefH22_12x_0" localSheetId="62">'316'!$H$78</definedName>
    <definedName name="OSRRefH22_12x_0" localSheetId="65">'317'!$H$97</definedName>
    <definedName name="OSRRefH22_12x_0" localSheetId="70">'322'!$H$67</definedName>
    <definedName name="OSRRefH22_12x_0" localSheetId="71">'325'!$H$62:$H$64</definedName>
    <definedName name="OSRRefH22_12x_0" localSheetId="60">'326'!$H$98:$H$100</definedName>
    <definedName name="OSRRefH22_12x_0" localSheetId="52">'330'!$H$125</definedName>
    <definedName name="OSRRefH22_12x_0" localSheetId="58">'331'!$H$128</definedName>
    <definedName name="OSRRefH22_12x_0" localSheetId="61">'332'!$H$85</definedName>
    <definedName name="OSRRefH22_12x_0" localSheetId="76">'405'!$H$60:$H$62</definedName>
    <definedName name="OSRRefH22_12x_0" localSheetId="77">'406'!$H$67</definedName>
    <definedName name="OSRRefH22_12x_0" localSheetId="78">'411'!$H$59:$H$61</definedName>
    <definedName name="OSRRefH22_12x_0" localSheetId="79">'412'!$H$66</definedName>
    <definedName name="OSRRefH22_12x_0" localSheetId="81">'414'!$H$61</definedName>
    <definedName name="OSRRefH22_12x_0" localSheetId="82">'415'!$H$64:$H$68</definedName>
    <definedName name="OSRRefH22_12x_0" localSheetId="83">'418'!$H$64:$H$66</definedName>
    <definedName name="OSRRefH22_12x_0" localSheetId="86">'424'!$H$58</definedName>
    <definedName name="OSRRefH22_12x_0" localSheetId="87">'425'!$H$66:$H$72</definedName>
    <definedName name="OSRRefH22_12x_0" localSheetId="91">'433'!$H$64:$H$66</definedName>
    <definedName name="OSRRefH22_12x_0" localSheetId="93">'444'!$H$64:$H$67</definedName>
    <definedName name="OSRRefH22_12x_0" localSheetId="95">'450'!$H$62:$H$63</definedName>
    <definedName name="OSRRefH22_12x_0" localSheetId="75">'491'!$H$73</definedName>
    <definedName name="OSRRefH22_12x_0" localSheetId="89">'492'!$H$65:$H$67</definedName>
    <definedName name="OSRRefH22_12x_0" localSheetId="97">'501'!$H$62</definedName>
    <definedName name="OSRRefH22_12x_0" localSheetId="39">'Div 2'!$H$61:$H$64</definedName>
    <definedName name="OSRRefH22_12x_0" localSheetId="47">'Div 3'!$H$213</definedName>
    <definedName name="OSRRefH22_12x_0" localSheetId="73">'Div 4'!$H$73</definedName>
    <definedName name="OSRRefH22_12x_0" localSheetId="96">'Div 5'!$H$62</definedName>
    <definedName name="OSRRefH22_12x_0" localSheetId="64">'Div 6'!$H$97</definedName>
    <definedName name="OSRRefH22_12x_0" localSheetId="2">Summary!$H$247</definedName>
    <definedName name="OSRRefH22_13x_0" localSheetId="41">'201'!$H$62</definedName>
    <definedName name="OSRRefH22_13x_0" localSheetId="42">'202'!$H$61</definedName>
    <definedName name="OSRRefH22_13x_0" localSheetId="43">'203'!$H$64</definedName>
    <definedName name="OSRRefH22_13x_0" localSheetId="48">'300'!$H$210</definedName>
    <definedName name="OSRRefH22_13x_0" localSheetId="49">'300 &amp; 317'!$H$235</definedName>
    <definedName name="OSRRefH22_13x_0" localSheetId="50">'301'!$H$64</definedName>
    <definedName name="OSRRefH22_13x_0" localSheetId="55">'308'!$H$112</definedName>
    <definedName name="OSRRefH22_13x_0" localSheetId="66">'310'!$H$70</definedName>
    <definedName name="OSRRefH22_13x_0" localSheetId="74">'310 &amp; 491'!$H$82</definedName>
    <definedName name="OSRRefH22_13x_0" localSheetId="56">'311'!$H$111</definedName>
    <definedName name="OSRRefH22_13x_0" localSheetId="62">'316'!$H$80</definedName>
    <definedName name="OSRRefH22_13x_0" localSheetId="65">'317'!$H$99</definedName>
    <definedName name="OSRRefH22_13x_0" localSheetId="71">'325'!$H$66</definedName>
    <definedName name="OSRRefH22_13x_0" localSheetId="60">'326'!$H$102:$H$104</definedName>
    <definedName name="OSRRefH22_13x_0" localSheetId="52">'330'!$H$127</definedName>
    <definedName name="OSRRefH22_13x_0" localSheetId="58">'331'!$H$130:$H$132</definedName>
    <definedName name="OSRRefH22_13x_0" localSheetId="61">'332'!$H$87</definedName>
    <definedName name="OSRRefH22_13x_0" localSheetId="76">'405'!$H$64:$H$65</definedName>
    <definedName name="OSRRefH22_13x_0" localSheetId="77">'406'!$H$69</definedName>
    <definedName name="OSRRefH22_13x_0" localSheetId="78">'411'!$H$63:$H$67</definedName>
    <definedName name="OSRRefH22_13x_0" localSheetId="79">'412'!$H$68</definedName>
    <definedName name="OSRRefH22_13x_0" localSheetId="81">'414'!$H$63:$H$69</definedName>
    <definedName name="OSRRefH22_13x_0" localSheetId="82">'415'!$H$70:$H$71</definedName>
    <definedName name="OSRRefH22_13x_0" localSheetId="83">'418'!$H$68:$H$69</definedName>
    <definedName name="OSRRefH22_13x_0" localSheetId="87">'425'!$H$74</definedName>
    <definedName name="OSRRefH22_13x_0" localSheetId="91">'433'!$H$68:$H$75</definedName>
    <definedName name="OSRRefH22_13x_0" localSheetId="93">'444'!$H$69</definedName>
    <definedName name="OSRRefH22_13x_0" localSheetId="95">'450'!$H$65:$H$67</definedName>
    <definedName name="OSRRefH22_13x_0" localSheetId="75">'491'!$H$75</definedName>
    <definedName name="OSRRefH22_13x_0" localSheetId="89">'492'!$H$69:$H$72</definedName>
    <definedName name="OSRRefH22_13x_0" localSheetId="39">'Div 2'!$H$66:$H$68</definedName>
    <definedName name="OSRRefH22_13x_0" localSheetId="47">'Div 3'!$H$215</definedName>
    <definedName name="OSRRefH22_13x_0" localSheetId="73">'Div 4'!$H$75</definedName>
    <definedName name="OSRRefH22_13x_0" localSheetId="64">'Div 6'!$H$99</definedName>
    <definedName name="OSRRefH22_13x_0" localSheetId="2">Summary!$H$249</definedName>
    <definedName name="OSRRefH22_14x_0" localSheetId="41">'201'!$H$64</definedName>
    <definedName name="OSRRefH22_14x_0" localSheetId="42">'202'!$H$63</definedName>
    <definedName name="OSRRefH22_14x_0" localSheetId="43">'203'!$H$66</definedName>
    <definedName name="OSRRefH22_14x_0" localSheetId="48">'300'!$H$212</definedName>
    <definedName name="OSRRefH22_14x_0" localSheetId="49">'300 &amp; 317'!$H$237</definedName>
    <definedName name="OSRRefH22_14x_0" localSheetId="50">'301'!$H$66</definedName>
    <definedName name="OSRRefH22_14x_0" localSheetId="55">'308'!$H$114</definedName>
    <definedName name="OSRRefH22_14x_0" localSheetId="66">'310'!$H$72:$H$74</definedName>
    <definedName name="OSRRefH22_14x_0" localSheetId="74">'310 &amp; 491'!$H$84</definedName>
    <definedName name="OSRRefH22_14x_0" localSheetId="56">'311'!$H$113</definedName>
    <definedName name="OSRRefH22_14x_0" localSheetId="71">'325'!$H$68:$H$72</definedName>
    <definedName name="OSRRefH22_14x_0" localSheetId="60">'326'!$H$106:$H$107</definedName>
    <definedName name="OSRRefH22_14x_0" localSheetId="52">'330'!$H$129</definedName>
    <definedName name="OSRRefH22_14x_0" localSheetId="58">'331'!$H$134:$H$135</definedName>
    <definedName name="OSRRefH22_14x_0" localSheetId="61">'332'!$H$89</definedName>
    <definedName name="OSRRefH22_14x_0" localSheetId="76">'405'!$H$67:$H$73</definedName>
    <definedName name="OSRRefH22_14x_0" localSheetId="78">'411'!$H$69</definedName>
    <definedName name="OSRRefH22_14x_0" localSheetId="81">'414'!$H$71</definedName>
    <definedName name="OSRRefH22_14x_0" localSheetId="82">'415'!$H$73:$H$81</definedName>
    <definedName name="OSRRefH22_14x_0" localSheetId="83">'418'!$H$71:$H$77</definedName>
    <definedName name="OSRRefH22_14x_0" localSheetId="87">'425'!$H$76</definedName>
    <definedName name="OSRRefH22_14x_0" localSheetId="91">'433'!$H$77</definedName>
    <definedName name="OSRRefH22_14x_0" localSheetId="93">'444'!$H$71:$H$79</definedName>
    <definedName name="OSRRefH22_14x_0" localSheetId="95">'450'!$H$69:$H$74</definedName>
    <definedName name="OSRRefH22_14x_0" localSheetId="75">'491'!$H$77</definedName>
    <definedName name="OSRRefH22_14x_0" localSheetId="89">'492'!$H$74</definedName>
    <definedName name="OSRRefH22_14x_0" localSheetId="39">'Div 2'!$H$70:$H$71</definedName>
    <definedName name="OSRRefH22_14x_0" localSheetId="47">'Div 3'!$H$217</definedName>
    <definedName name="OSRRefH22_14x_0" localSheetId="73">'Div 4'!$H$77</definedName>
    <definedName name="OSRRefH22_14x_0" localSheetId="2">Summary!$H$251</definedName>
    <definedName name="OSRRefH22_15x_0" localSheetId="41">'201'!$H$66</definedName>
    <definedName name="OSRRefH22_15x_0" localSheetId="43">'203'!$H$68</definedName>
    <definedName name="OSRRefH22_15x_0" localSheetId="48">'300'!$H$214</definedName>
    <definedName name="OSRRefH22_15x_0" localSheetId="49">'300 &amp; 317'!$H$239</definedName>
    <definedName name="OSRRefH22_15x_0" localSheetId="50">'301'!$H$68:$H$71</definedName>
    <definedName name="OSRRefH22_15x_0" localSheetId="66">'310'!$H$76</definedName>
    <definedName name="OSRRefH22_15x_0" localSheetId="74">'310 &amp; 491'!$H$86</definedName>
    <definedName name="OSRRefH22_15x_0" localSheetId="71">'325'!$H$74</definedName>
    <definedName name="OSRRefH22_15x_0" localSheetId="60">'326'!$H$109:$H$114</definedName>
    <definedName name="OSRRefH22_15x_0" localSheetId="58">'331'!$H$137:$H$139</definedName>
    <definedName name="OSRRefH22_15x_0" localSheetId="76">'405'!$H$75</definedName>
    <definedName name="OSRRefH22_15x_0" localSheetId="78">'411'!$H$71:$H$79</definedName>
    <definedName name="OSRRefH22_15x_0" localSheetId="81">'414'!$H$73</definedName>
    <definedName name="OSRRefH22_15x_0" localSheetId="82">'415'!$H$83</definedName>
    <definedName name="OSRRefH22_15x_0" localSheetId="83">'418'!$H$79</definedName>
    <definedName name="OSRRefH22_15x_0" localSheetId="91">'433'!$H$79</definedName>
    <definedName name="OSRRefH22_15x_0" localSheetId="93">'444'!$H$81</definedName>
    <definedName name="OSRRefH22_15x_0" localSheetId="95">'450'!$H$76</definedName>
    <definedName name="OSRRefH22_15x_0" localSheetId="75">'491'!$H$79</definedName>
    <definedName name="OSRRefH22_15x_0" localSheetId="89">'492'!$H$76:$H$84</definedName>
    <definedName name="OSRRefH22_15x_0" localSheetId="39">'Div 2'!$H$73</definedName>
    <definedName name="OSRRefH22_15x_0" localSheetId="47">'Div 3'!$H$219</definedName>
    <definedName name="OSRRefH22_15x_0" localSheetId="73">'Div 4'!$H$79</definedName>
    <definedName name="OSRRefH22_15x_0" localSheetId="2">Summary!$H$253</definedName>
    <definedName name="OSRRefH22_16x_0" localSheetId="48">'300'!$H$216:$H$219</definedName>
    <definedName name="OSRRefH22_16x_0" localSheetId="49">'300 &amp; 317'!$H$241:$H$244</definedName>
    <definedName name="OSRRefH22_16x_0" localSheetId="50">'301'!$H$73:$H$75</definedName>
    <definedName name="OSRRefH22_16x_0" localSheetId="66">'310'!$H$78:$H$81</definedName>
    <definedName name="OSRRefH22_16x_0" localSheetId="74">'310 &amp; 491'!$H$88:$H$91</definedName>
    <definedName name="OSRRefH22_16x_0" localSheetId="71">'325'!$H$76</definedName>
    <definedName name="OSRRefH22_16x_0" localSheetId="60">'326'!$H$116</definedName>
    <definedName name="OSRRefH22_16x_0" localSheetId="58">'331'!$H$141:$H$142</definedName>
    <definedName name="OSRRefH22_16x_0" localSheetId="76">'405'!$H$77</definedName>
    <definedName name="OSRRefH22_16x_0" localSheetId="78">'411'!$H$81</definedName>
    <definedName name="OSRRefH22_16x_0" localSheetId="82">'415'!$H$85</definedName>
    <definedName name="OSRRefH22_16x_0" localSheetId="83">'418'!$H$81</definedName>
    <definedName name="OSRRefH22_16x_0" localSheetId="91">'433'!$H$81</definedName>
    <definedName name="OSRRefH22_16x_0" localSheetId="93">'444'!$H$83</definedName>
    <definedName name="OSRRefH22_16x_0" localSheetId="95">'450'!$H$78</definedName>
    <definedName name="OSRRefH22_16x_0" localSheetId="75">'491'!$H$81:$H$84</definedName>
    <definedName name="OSRRefH22_16x_0" localSheetId="89">'492'!$H$86</definedName>
    <definedName name="OSRRefH22_16x_0" localSheetId="39">'Div 2'!$H$75:$H$79</definedName>
    <definedName name="OSRRefH22_16x_0" localSheetId="47">'Div 3'!$H$221</definedName>
    <definedName name="OSRRefH22_16x_0" localSheetId="73">'Div 4'!$H$81</definedName>
    <definedName name="OSRRefH22_16x_0" localSheetId="2">Summary!$H$255</definedName>
    <definedName name="OSRRefH22_17x_0" localSheetId="48">'300'!$H$221:$H$223</definedName>
    <definedName name="OSRRefH22_17x_0" localSheetId="49">'300 &amp; 317'!$H$246:$H$248</definedName>
    <definedName name="OSRRefH22_17x_0" localSheetId="50">'301'!$H$77:$H$78</definedName>
    <definedName name="OSRRefH22_17x_0" localSheetId="66">'310'!$H$83</definedName>
    <definedName name="OSRRefH22_17x_0" localSheetId="74">'310 &amp; 491'!$H$93:$H$94</definedName>
    <definedName name="OSRRefH22_17x_0" localSheetId="71">'325'!$H$78</definedName>
    <definedName name="OSRRefH22_17x_0" localSheetId="60">'326'!$H$118</definedName>
    <definedName name="OSRRefH22_17x_0" localSheetId="58">'331'!$H$144:$H$149</definedName>
    <definedName name="OSRRefH22_17x_0" localSheetId="76">'405'!$H$79</definedName>
    <definedName name="OSRRefH22_17x_0" localSheetId="78">'411'!$H$83</definedName>
    <definedName name="OSRRefH22_17x_0" localSheetId="82">'415'!$H$87</definedName>
    <definedName name="OSRRefH22_17x_0" localSheetId="93">'444'!$H$85</definedName>
    <definedName name="OSRRefH22_17x_0" localSheetId="95">'450'!$H$80</definedName>
    <definedName name="OSRRefH22_17x_0" localSheetId="75">'491'!$H$86:$H$87</definedName>
    <definedName name="OSRRefH22_17x_0" localSheetId="89">'492'!$H$88</definedName>
    <definedName name="OSRRefH22_17x_0" localSheetId="39">'Div 2'!$H$81:$H$82</definedName>
    <definedName name="OSRRefH22_17x_0" localSheetId="47">'Div 3'!$H$223:$H$226</definedName>
    <definedName name="OSRRefH22_17x_0" localSheetId="73">'Div 4'!$H$83:$H$86</definedName>
    <definedName name="OSRRefH22_17x_0" localSheetId="2">Summary!$H$257</definedName>
    <definedName name="OSRRefH22_18x_0" localSheetId="48">'300'!$H$225:$H$228</definedName>
    <definedName name="OSRRefH22_18x_0" localSheetId="49">'300 &amp; 317'!$H$250:$H$253</definedName>
    <definedName name="OSRRefH22_18x_0" localSheetId="50">'301'!$H$80:$H$85</definedName>
    <definedName name="OSRRefH22_18x_0" localSheetId="66">'310'!$H$85:$H$92</definedName>
    <definedName name="OSRRefH22_18x_0" localSheetId="74">'310 &amp; 491'!$H$96:$H$100</definedName>
    <definedName name="OSRRefH22_18x_0" localSheetId="60">'326'!$H$120</definedName>
    <definedName name="OSRRefH22_18x_0" localSheetId="58">'331'!$H$151</definedName>
    <definedName name="OSRRefH22_18x_0" localSheetId="78">'411'!$H$85:$H$87</definedName>
    <definedName name="OSRRefH22_18x_0" localSheetId="75">'491'!$H$89:$H$93</definedName>
    <definedName name="OSRRefH22_18x_0" localSheetId="89">'492'!$H$90</definedName>
    <definedName name="OSRRefH22_18x_0" localSheetId="39">'Div 2'!$H$84</definedName>
    <definedName name="OSRRefH22_18x_0" localSheetId="47">'Div 3'!$H$228:$H$230</definedName>
    <definedName name="OSRRefH22_18x_0" localSheetId="73">'Div 4'!$H$88:$H$89</definedName>
    <definedName name="OSRRefH22_18x_0" localSheetId="2">Summary!$H$259:$H$262</definedName>
    <definedName name="OSRRefH22_19x_0" localSheetId="48">'300'!$H$230:$H$231</definedName>
    <definedName name="OSRRefH22_19x_0" localSheetId="49">'300 &amp; 317'!$H$255:$H$256</definedName>
    <definedName name="OSRRefH22_19x_0" localSheetId="50">'301'!$H$87</definedName>
    <definedName name="OSRRefH22_19x_0" localSheetId="66">'310'!$H$94</definedName>
    <definedName name="OSRRefH22_19x_0" localSheetId="74">'310 &amp; 491'!$H$102:$H$103</definedName>
    <definedName name="OSRRefH22_19x_0" localSheetId="60">'326'!$H$122</definedName>
    <definedName name="OSRRefH22_19x_0" localSheetId="58">'331'!$H$153</definedName>
    <definedName name="OSRRefH22_19x_0" localSheetId="78">'411'!$H$89</definedName>
    <definedName name="OSRRefH22_19x_0" localSheetId="75">'491'!$H$95:$H$96</definedName>
    <definedName name="OSRRefH22_19x_0" localSheetId="39">'Div 2'!$H$86:$H$87</definedName>
    <definedName name="OSRRefH22_19x_0" localSheetId="47">'Div 3'!$H$232:$H$236</definedName>
    <definedName name="OSRRefH22_19x_0" localSheetId="73">'Div 4'!$H$91:$H$95</definedName>
    <definedName name="OSRRefH22_19x_0" localSheetId="2">Summary!$H$264:$H$266</definedName>
    <definedName name="OSRRefH22_1x_0" localSheetId="40">'200'!$H$22</definedName>
    <definedName name="OSRRefH22_1x_0" localSheetId="41">'201'!$H$29:$H$31</definedName>
    <definedName name="OSRRefH22_1x_0" localSheetId="42">'202'!$H$29:$H$32</definedName>
    <definedName name="OSRRefH22_1x_0" localSheetId="43">'203'!$H$31:$H$35</definedName>
    <definedName name="OSRRefH22_1x_0" localSheetId="44">'204'!$H$31:$H$35</definedName>
    <definedName name="OSRRefH22_1x_0" localSheetId="45">'205'!$H$29</definedName>
    <definedName name="OSRRefH22_1x_0" localSheetId="46">'206'!$H$29:$H$32</definedName>
    <definedName name="OSRRefH22_1x_0" localSheetId="48">'300'!$H$176:$H$182</definedName>
    <definedName name="OSRRefH22_1x_0" localSheetId="49">'300 &amp; 317'!$H$201:$H$207</definedName>
    <definedName name="OSRRefH22_1x_0" localSheetId="50">'301'!$H$31:$H$37</definedName>
    <definedName name="OSRRefH22_1x_0" localSheetId="51">'306'!$H$30:$H$35</definedName>
    <definedName name="OSRRefH22_1x_0" localSheetId="53">'307'!$H$86:$H$89</definedName>
    <definedName name="OSRRefH22_1x_0" localSheetId="55">'308'!$H$75:$H$81</definedName>
    <definedName name="OSRRefH22_1x_0" localSheetId="67">'309'!$H$33:$H$37</definedName>
    <definedName name="OSRRefH22_1x_0" localSheetId="66">'310'!$H$40:$H$45</definedName>
    <definedName name="OSRRefH22_1x_0" localSheetId="74">'310 &amp; 491'!$H$48:$H$54</definedName>
    <definedName name="OSRRefH22_1x_0" localSheetId="56">'311'!$H$74:$H$80</definedName>
    <definedName name="OSRRefH22_1x_0" localSheetId="68">'313'!$H$37:$H$41</definedName>
    <definedName name="OSRRefH22_1x_0" localSheetId="54">'314'!$H$64:$H$66</definedName>
    <definedName name="OSRRefH22_1x_0" localSheetId="59">'315'!$H$90:$H$95</definedName>
    <definedName name="OSRRefH22_1x_0" localSheetId="62">'316'!$H$45:$H$48</definedName>
    <definedName name="OSRRefH22_1x_0" localSheetId="65">'317'!$H$68:$H$72</definedName>
    <definedName name="OSRRefH22_1x_0" localSheetId="63">'320'!$H$36:$H$38</definedName>
    <definedName name="OSRRefH22_1x_0" localSheetId="69">'321'!$H$33:$H$37</definedName>
    <definedName name="OSRRefH22_1x_0" localSheetId="70">'322'!$H$33:$H$37</definedName>
    <definedName name="OSRRefH22_1x_0" localSheetId="71">'325'!$H$33:$H$37</definedName>
    <definedName name="OSRRefH22_1x_0" localSheetId="60">'326'!$H$71:$H$76</definedName>
    <definedName name="OSRRefH22_1x_0" localSheetId="72">'327'!$H$24</definedName>
    <definedName name="OSRRefH22_1x_0" localSheetId="52">'330'!$H$93:$H$97</definedName>
    <definedName name="OSRRefH22_1x_0" localSheetId="58">'331'!$H$99:$H$104</definedName>
    <definedName name="OSRRefH22_1x_0" localSheetId="61">'332'!$H$52:$H$55</definedName>
    <definedName name="OSRRefH22_1x_0" localSheetId="76">'405'!$H$33:$H$36</definedName>
    <definedName name="OSRRefH22_1x_0" localSheetId="77">'406'!$H$33:$H$38</definedName>
    <definedName name="OSRRefH22_1x_0" localSheetId="78">'411'!$H$30:$H$35</definedName>
    <definedName name="OSRRefH22_1x_0" localSheetId="79">'412'!$H$32:$H$37</definedName>
    <definedName name="OSRRefH22_1x_0" localSheetId="80">'413'!$H$33:$H$37</definedName>
    <definedName name="OSRRefH22_1x_0" localSheetId="81">'414'!$H$33:$H$38</definedName>
    <definedName name="OSRRefH22_1x_0" localSheetId="82">'415'!$H$33:$H$38</definedName>
    <definedName name="OSRRefH22_1x_0" localSheetId="83">'418'!$H$33:$H$38</definedName>
    <definedName name="OSRRefH22_1x_0" localSheetId="84">'420'!$H$32:$H$35</definedName>
    <definedName name="OSRRefH22_1x_0" localSheetId="85">'423'!$H$30</definedName>
    <definedName name="OSRRefH22_1x_0" localSheetId="86">'424'!$H$27:$H$31</definedName>
    <definedName name="OSRRefH22_1x_0" localSheetId="87">'425'!$H$36:$H$41</definedName>
    <definedName name="OSRRefH22_1x_0" localSheetId="90">'430'!$H$29</definedName>
    <definedName name="OSRRefH22_1x_0" localSheetId="91">'433'!$H$35:$H$40</definedName>
    <definedName name="OSRRefH22_1x_0" localSheetId="92">'435'!$H$29:$H$31</definedName>
    <definedName name="OSRRefH22_1x_0" localSheetId="93">'444'!$H$35:$H$40</definedName>
    <definedName name="OSRRefH22_1x_0" localSheetId="95">'450'!$H$35:$H$40</definedName>
    <definedName name="OSRRefH22_1x_0" localSheetId="88">'455'!$H$28:$H$29</definedName>
    <definedName name="OSRRefH22_1x_0" localSheetId="75">'491'!$H$42:$H$48</definedName>
    <definedName name="OSRRefH22_1x_0" localSheetId="89">'492'!$H$37:$H$43</definedName>
    <definedName name="OSRRefH22_1x_0" localSheetId="97">'501'!$H$31:$H$35</definedName>
    <definedName name="OSRRefH22_1x_0" localSheetId="39">'Div 2'!$H$32:$H$38</definedName>
    <definedName name="OSRRefH22_1x_0" localSheetId="47">'Div 3'!$H$181:$H$187</definedName>
    <definedName name="OSRRefH22_1x_0" localSheetId="73">'Div 4'!$H$42:$H$48</definedName>
    <definedName name="OSRRefH22_1x_0" localSheetId="96">'Div 5'!$H$31:$H$35</definedName>
    <definedName name="OSRRefH22_1x_0" localSheetId="64">'Div 6'!$H$68:$H$72</definedName>
    <definedName name="OSRRefH22_1x_0" localSheetId="2">Summary!$H$213:$H$219</definedName>
    <definedName name="OSRRefH22_20x_0" localSheetId="48">'300'!$H$233:$H$239</definedName>
    <definedName name="OSRRefH22_20x_0" localSheetId="49">'300 &amp; 317'!$H$258:$H$264</definedName>
    <definedName name="OSRRefH22_20x_0" localSheetId="50">'301'!$H$89</definedName>
    <definedName name="OSRRefH22_20x_0" localSheetId="66">'310'!$H$96</definedName>
    <definedName name="OSRRefH22_20x_0" localSheetId="74">'310 &amp; 491'!$H$105:$H$114</definedName>
    <definedName name="OSRRefH22_20x_0" localSheetId="58">'331'!$H$155:$H$156</definedName>
    <definedName name="OSRRefH22_20x_0" localSheetId="75">'491'!$H$98:$H$107</definedName>
    <definedName name="OSRRefH22_20x_0" localSheetId="47">'Div 3'!$H$238:$H$239</definedName>
    <definedName name="OSRRefH22_20x_0" localSheetId="73">'Div 4'!$H$97:$H$98</definedName>
    <definedName name="OSRRefH22_20x_0" localSheetId="2">Summary!$H$268:$H$272</definedName>
    <definedName name="OSRRefH22_21x_0" localSheetId="48">'300'!$H$241:$H$242</definedName>
    <definedName name="OSRRefH22_21x_0" localSheetId="49">'300 &amp; 317'!$H$266:$H$267</definedName>
    <definedName name="OSRRefH22_21x_0" localSheetId="50">'301'!$H$91:$H$93</definedName>
    <definedName name="OSRRefH22_21x_0" localSheetId="66">'310'!$H$98</definedName>
    <definedName name="OSRRefH22_21x_0" localSheetId="74">'310 &amp; 491'!$H$116</definedName>
    <definedName name="OSRRefH22_21x_0" localSheetId="58">'331'!$H$158</definedName>
    <definedName name="OSRRefH22_21x_0" localSheetId="75">'491'!$H$109</definedName>
    <definedName name="OSRRefH22_21x_0" localSheetId="47">'Div 3'!$H$241:$H$248</definedName>
    <definedName name="OSRRefH22_21x_0" localSheetId="73">'Div 4'!$H$100:$H$109</definedName>
    <definedName name="OSRRefH22_21x_0" localSheetId="2">Summary!$H$274:$H$275</definedName>
    <definedName name="OSRRefH22_22x_0" localSheetId="48">'300'!$H$244</definedName>
    <definedName name="OSRRefH22_22x_0" localSheetId="49">'300 &amp; 317'!$H$269</definedName>
    <definedName name="OSRRefH22_22x_0" localSheetId="50">'301'!$H$95</definedName>
    <definedName name="OSRRefH22_22x_0" localSheetId="74">'310 &amp; 491'!$H$118</definedName>
    <definedName name="OSRRefH22_22x_0" localSheetId="75">'491'!$H$111</definedName>
    <definedName name="OSRRefH22_22x_0" localSheetId="47">'Div 3'!$H$250:$H$251</definedName>
    <definedName name="OSRRefH22_22x_0" localSheetId="73">'Div 4'!$H$111</definedName>
    <definedName name="OSRRefH22_22x_0" localSheetId="2">Summary!$H$277:$H$286</definedName>
    <definedName name="OSRRefH22_23x_0" localSheetId="48">'300'!$H$246:$H$248</definedName>
    <definedName name="OSRRefH22_23x_0" localSheetId="49">'300 &amp; 317'!$H$271:$H$273</definedName>
    <definedName name="OSRRefH22_23x_0" localSheetId="74">'310 &amp; 491'!$H$120:$H$122</definedName>
    <definedName name="OSRRefH22_23x_0" localSheetId="75">'491'!$H$113:$H$115</definedName>
    <definedName name="OSRRefH22_23x_0" localSheetId="47">'Div 3'!$H$253</definedName>
    <definedName name="OSRRefH22_23x_0" localSheetId="73">'Div 4'!$H$113</definedName>
    <definedName name="OSRRefH22_23x_0" localSheetId="2">Summary!$H$288:$H$289</definedName>
    <definedName name="OSRRefH22_24x_0" localSheetId="48">'300'!$H$250</definedName>
    <definedName name="OSRRefH22_24x_0" localSheetId="49">'300 &amp; 317'!$H$275</definedName>
    <definedName name="OSRRefH22_24x_0" localSheetId="74">'310 &amp; 491'!$H$124</definedName>
    <definedName name="OSRRefH22_24x_0" localSheetId="75">'491'!$H$117</definedName>
    <definedName name="OSRRefH22_24x_0" localSheetId="47">'Div 3'!$H$255:$H$257</definedName>
    <definedName name="OSRRefH22_24x_0" localSheetId="73">'Div 4'!$H$115:$H$117</definedName>
    <definedName name="OSRRefH22_24x_0" localSheetId="2">Summary!$H$291</definedName>
    <definedName name="OSRRefH22_25x_0" localSheetId="47">'Div 3'!$H$259</definedName>
    <definedName name="OSRRefH22_25x_0" localSheetId="73">'Div 4'!$H$119</definedName>
    <definedName name="OSRRefH22_25x_0" localSheetId="2">Summary!$H$293:$H$295</definedName>
    <definedName name="OSRRefH22_26x_0" localSheetId="2">Summary!$H$297</definedName>
    <definedName name="OSRRefH22_2x_0" localSheetId="40">'200'!$H$24</definedName>
    <definedName name="OSRRefH22_2x_0" localSheetId="41">'201'!$H$33</definedName>
    <definedName name="OSRRefH22_2x_0" localSheetId="42">'202'!$H$34</definedName>
    <definedName name="OSRRefH22_2x_0" localSheetId="43">'203'!$H$37</definedName>
    <definedName name="OSRRefH22_2x_0" localSheetId="44">'204'!$H$37</definedName>
    <definedName name="OSRRefH22_2x_0" localSheetId="45">'205'!$H$31</definedName>
    <definedName name="OSRRefH22_2x_0" localSheetId="46">'206'!$H$34</definedName>
    <definedName name="OSRRefH22_2x_0" localSheetId="48">'300'!$H$184</definedName>
    <definedName name="OSRRefH22_2x_0" localSheetId="49">'300 &amp; 317'!$H$209</definedName>
    <definedName name="OSRRefH22_2x_0" localSheetId="50">'301'!$H$39</definedName>
    <definedName name="OSRRefH22_2x_0" localSheetId="51">'306'!$H$37</definedName>
    <definedName name="OSRRefH22_2x_0" localSheetId="53">'307'!$H$91</definedName>
    <definedName name="OSRRefH22_2x_0" localSheetId="55">'308'!$H$83</definedName>
    <definedName name="OSRRefH22_2x_0" localSheetId="67">'309'!$H$39</definedName>
    <definedName name="OSRRefH22_2x_0" localSheetId="66">'310'!$H$47</definedName>
    <definedName name="OSRRefH22_2x_0" localSheetId="74">'310 &amp; 491'!$H$56</definedName>
    <definedName name="OSRRefH22_2x_0" localSheetId="56">'311'!$H$82</definedName>
    <definedName name="OSRRefH22_2x_0" localSheetId="68">'313'!$H$43</definedName>
    <definedName name="OSRRefH22_2x_0" localSheetId="54">'314'!$H$68</definedName>
    <definedName name="OSRRefH22_2x_0" localSheetId="59">'315'!$H$97</definedName>
    <definedName name="OSRRefH22_2x_0" localSheetId="62">'316'!$H$50</definedName>
    <definedName name="OSRRefH22_2x_0" localSheetId="65">'317'!$H$74</definedName>
    <definedName name="OSRRefH22_2x_0" localSheetId="63">'320'!$H$40</definedName>
    <definedName name="OSRRefH22_2x_0" localSheetId="69">'321'!$H$39</definedName>
    <definedName name="OSRRefH22_2x_0" localSheetId="70">'322'!$H$39</definedName>
    <definedName name="OSRRefH22_2x_0" localSheetId="71">'325'!$H$39</definedName>
    <definedName name="OSRRefH22_2x_0" localSheetId="60">'326'!$H$78</definedName>
    <definedName name="OSRRefH22_2x_0" localSheetId="72">'327'!$H$26</definedName>
    <definedName name="OSRRefH22_2x_0" localSheetId="52">'330'!$H$99</definedName>
    <definedName name="OSRRefH22_2x_0" localSheetId="58">'331'!$H$106</definedName>
    <definedName name="OSRRefH22_2x_0" localSheetId="61">'332'!$H$57</definedName>
    <definedName name="OSRRefH22_2x_0" localSheetId="76">'405'!$H$38</definedName>
    <definedName name="OSRRefH22_2x_0" localSheetId="77">'406'!$H$40</definedName>
    <definedName name="OSRRefH22_2x_0" localSheetId="78">'411'!$H$37</definedName>
    <definedName name="OSRRefH22_2x_0" localSheetId="79">'412'!$H$39</definedName>
    <definedName name="OSRRefH22_2x_0" localSheetId="80">'413'!$H$39</definedName>
    <definedName name="OSRRefH22_2x_0" localSheetId="81">'414'!$H$40</definedName>
    <definedName name="OSRRefH22_2x_0" localSheetId="82">'415'!$H$40</definedName>
    <definedName name="OSRRefH22_2x_0" localSheetId="83">'418'!$H$40</definedName>
    <definedName name="OSRRefH22_2x_0" localSheetId="84">'420'!$H$37</definedName>
    <definedName name="OSRRefH22_2x_0" localSheetId="85">'423'!$H$32</definedName>
    <definedName name="OSRRefH22_2x_0" localSheetId="86">'424'!$H$33</definedName>
    <definedName name="OSRRefH22_2x_0" localSheetId="87">'425'!$H$43</definedName>
    <definedName name="OSRRefH22_2x_0" localSheetId="90">'430'!$H$31</definedName>
    <definedName name="OSRRefH22_2x_0" localSheetId="91">'433'!$H$42</definedName>
    <definedName name="OSRRefH22_2x_0" localSheetId="92">'435'!$H$33</definedName>
    <definedName name="OSRRefH22_2x_0" localSheetId="93">'444'!$H$42</definedName>
    <definedName name="OSRRefH22_2x_0" localSheetId="95">'450'!$H$42</definedName>
    <definedName name="OSRRefH22_2x_0" localSheetId="75">'491'!$H$50</definedName>
    <definedName name="OSRRefH22_2x_0" localSheetId="89">'492'!$H$45</definedName>
    <definedName name="OSRRefH22_2x_0" localSheetId="97">'501'!$H$37</definedName>
    <definedName name="OSRRefH22_2x_0" localSheetId="39">'Div 2'!$H$40</definedName>
    <definedName name="OSRRefH22_2x_0" localSheetId="47">'Div 3'!$H$189</definedName>
    <definedName name="OSRRefH22_2x_0" localSheetId="73">'Div 4'!$H$50</definedName>
    <definedName name="OSRRefH22_2x_0" localSheetId="96">'Div 5'!$H$37</definedName>
    <definedName name="OSRRefH22_2x_0" localSheetId="64">'Div 6'!$H$74</definedName>
    <definedName name="OSRRefH22_2x_0" localSheetId="2">Summary!$H$221</definedName>
    <definedName name="OSRRefH22_3x_0" localSheetId="40">'200'!$H$26</definedName>
    <definedName name="OSRRefH22_3x_0" localSheetId="41">'201'!$H$35</definedName>
    <definedName name="OSRRefH22_3x_0" localSheetId="42">'202'!$H$36</definedName>
    <definedName name="OSRRefH22_3x_0" localSheetId="43">'203'!$H$39</definedName>
    <definedName name="OSRRefH22_3x_0" localSheetId="44">'204'!$H$39</definedName>
    <definedName name="OSRRefH22_3x_0" localSheetId="45">'205'!$H$33</definedName>
    <definedName name="OSRRefH22_3x_0" localSheetId="46">'206'!$H$36</definedName>
    <definedName name="OSRRefH22_3x_0" localSheetId="48">'300'!$H$186:$H$187</definedName>
    <definedName name="OSRRefH22_3x_0" localSheetId="49">'300 &amp; 317'!$H$211:$H$212</definedName>
    <definedName name="OSRRefH22_3x_0" localSheetId="50">'301'!$H$41:$H$42</definedName>
    <definedName name="OSRRefH22_3x_0" localSheetId="51">'306'!$H$39</definedName>
    <definedName name="OSRRefH22_3x_0" localSheetId="53">'307'!$H$93</definedName>
    <definedName name="OSRRefH22_3x_0" localSheetId="55">'308'!$H$85:$H$86</definedName>
    <definedName name="OSRRefH22_3x_0" localSheetId="67">'309'!$H$41</definedName>
    <definedName name="OSRRefH22_3x_0" localSheetId="66">'310'!$H$49</definedName>
    <definedName name="OSRRefH22_3x_0" localSheetId="74">'310 &amp; 491'!$H$58</definedName>
    <definedName name="OSRRefH22_3x_0" localSheetId="56">'311'!$H$84:$H$85</definedName>
    <definedName name="OSRRefH22_3x_0" localSheetId="68">'313'!$H$45</definedName>
    <definedName name="OSRRefH22_3x_0" localSheetId="54">'314'!$H$70:$H$71</definedName>
    <definedName name="OSRRefH22_3x_0" localSheetId="59">'315'!$H$99:$H$100</definedName>
    <definedName name="OSRRefH22_3x_0" localSheetId="62">'316'!$H$52</definedName>
    <definedName name="OSRRefH22_3x_0" localSheetId="65">'317'!$H$76</definedName>
    <definedName name="OSRRefH22_3x_0" localSheetId="63">'320'!$H$42</definedName>
    <definedName name="OSRRefH22_3x_0" localSheetId="69">'321'!$H$41</definedName>
    <definedName name="OSRRefH22_3x_0" localSheetId="70">'322'!$H$41</definedName>
    <definedName name="OSRRefH22_3x_0" localSheetId="71">'325'!$H$41</definedName>
    <definedName name="OSRRefH22_3x_0" localSheetId="60">'326'!$H$80</definedName>
    <definedName name="OSRRefH22_3x_0" localSheetId="52">'330'!$H$101</definedName>
    <definedName name="OSRRefH22_3x_0" localSheetId="58">'331'!$H$108</definedName>
    <definedName name="OSRRefH22_3x_0" localSheetId="61">'332'!$H$59</definedName>
    <definedName name="OSRRefH22_3x_0" localSheetId="76">'405'!$H$40</definedName>
    <definedName name="OSRRefH22_3x_0" localSheetId="77">'406'!$H$42</definedName>
    <definedName name="OSRRefH22_3x_0" localSheetId="78">'411'!$H$39</definedName>
    <definedName name="OSRRefH22_3x_0" localSheetId="79">'412'!$H$41</definedName>
    <definedName name="OSRRefH22_3x_0" localSheetId="80">'413'!$H$41</definedName>
    <definedName name="OSRRefH22_3x_0" localSheetId="81">'414'!$H$42</definedName>
    <definedName name="OSRRefH22_3x_0" localSheetId="82">'415'!$H$42</definedName>
    <definedName name="OSRRefH22_3x_0" localSheetId="83">'418'!$H$42</definedName>
    <definedName name="OSRRefH22_3x_0" localSheetId="84">'420'!$H$39</definedName>
    <definedName name="OSRRefH22_3x_0" localSheetId="85">'423'!$H$34</definedName>
    <definedName name="OSRRefH22_3x_0" localSheetId="86">'424'!$H$35</definedName>
    <definedName name="OSRRefH22_3x_0" localSheetId="87">'425'!$H$45</definedName>
    <definedName name="OSRRefH22_3x_0" localSheetId="90">'430'!$H$33</definedName>
    <definedName name="OSRRefH22_3x_0" localSheetId="91">'433'!$H$44</definedName>
    <definedName name="OSRRefH22_3x_0" localSheetId="92">'435'!$H$35</definedName>
    <definedName name="OSRRefH22_3x_0" localSheetId="93">'444'!$H$44</definedName>
    <definedName name="OSRRefH22_3x_0" localSheetId="95">'450'!$H$44</definedName>
    <definedName name="OSRRefH22_3x_0" localSheetId="75">'491'!$H$52</definedName>
    <definedName name="OSRRefH22_3x_0" localSheetId="89">'492'!$H$47</definedName>
    <definedName name="OSRRefH22_3x_0" localSheetId="97">'501'!$H$39</definedName>
    <definedName name="OSRRefH22_3x_0" localSheetId="39">'Div 2'!$H$42</definedName>
    <definedName name="OSRRefH22_3x_0" localSheetId="47">'Div 3'!$H$191:$H$192</definedName>
    <definedName name="OSRRefH22_3x_0" localSheetId="73">'Div 4'!$H$52</definedName>
    <definedName name="OSRRefH22_3x_0" localSheetId="96">'Div 5'!$H$39</definedName>
    <definedName name="OSRRefH22_3x_0" localSheetId="64">'Div 6'!$H$76</definedName>
    <definedName name="OSRRefH22_3x_0" localSheetId="2">Summary!$H$223:$H$224</definedName>
    <definedName name="OSRRefH22_4x_0" localSheetId="40">'200'!$H$28:$H$29</definedName>
    <definedName name="OSRRefH22_4x_0" localSheetId="41">'201'!$H$37</definedName>
    <definedName name="OSRRefH22_4x_0" localSheetId="42">'202'!$H$38</definedName>
    <definedName name="OSRRefH22_4x_0" localSheetId="43">'203'!$H$41</definedName>
    <definedName name="OSRRefH22_4x_0" localSheetId="44">'204'!$H$41</definedName>
    <definedName name="OSRRefH22_4x_0" localSheetId="45">'205'!$H$35:$H$36</definedName>
    <definedName name="OSRRefH22_4x_0" localSheetId="46">'206'!$H$38</definedName>
    <definedName name="OSRRefH22_4x_0" localSheetId="48">'300'!$H$189</definedName>
    <definedName name="OSRRefH22_4x_0" localSheetId="49">'300 &amp; 317'!$H$214</definedName>
    <definedName name="OSRRefH22_4x_0" localSheetId="50">'301'!$H$44</definedName>
    <definedName name="OSRRefH22_4x_0" localSheetId="51">'306'!$H$41</definedName>
    <definedName name="OSRRefH22_4x_0" localSheetId="53">'307'!$H$95:$H$96</definedName>
    <definedName name="OSRRefH22_4x_0" localSheetId="55">'308'!$H$88</definedName>
    <definedName name="OSRRefH22_4x_0" localSheetId="67">'309'!$H$43</definedName>
    <definedName name="OSRRefH22_4x_0" localSheetId="66">'310'!$H$51</definedName>
    <definedName name="OSRRefH22_4x_0" localSheetId="74">'310 &amp; 491'!$H$60</definedName>
    <definedName name="OSRRefH22_4x_0" localSheetId="56">'311'!$H$87</definedName>
    <definedName name="OSRRefH22_4x_0" localSheetId="68">'313'!$H$47</definedName>
    <definedName name="OSRRefH22_4x_0" localSheetId="54">'314'!$H$73</definedName>
    <definedName name="OSRRefH22_4x_0" localSheetId="59">'315'!$H$102</definedName>
    <definedName name="OSRRefH22_4x_0" localSheetId="62">'316'!$H$54</definedName>
    <definedName name="OSRRefH22_4x_0" localSheetId="65">'317'!$H$78</definedName>
    <definedName name="OSRRefH22_4x_0" localSheetId="63">'320'!$H$44:$H$45</definedName>
    <definedName name="OSRRefH22_4x_0" localSheetId="69">'321'!$H$43</definedName>
    <definedName name="OSRRefH22_4x_0" localSheetId="70">'322'!$H$43</definedName>
    <definedName name="OSRRefH22_4x_0" localSheetId="71">'325'!$H$43</definedName>
    <definedName name="OSRRefH22_4x_0" localSheetId="60">'326'!$H$82</definedName>
    <definedName name="OSRRefH22_4x_0" localSheetId="52">'330'!$H$103:$H$104</definedName>
    <definedName name="OSRRefH22_4x_0" localSheetId="58">'331'!$H$110</definedName>
    <definedName name="OSRRefH22_4x_0" localSheetId="61">'332'!$H$61</definedName>
    <definedName name="OSRRefH22_4x_0" localSheetId="76">'405'!$H$42</definedName>
    <definedName name="OSRRefH22_4x_0" localSheetId="77">'406'!$H$44</definedName>
    <definedName name="OSRRefH22_4x_0" localSheetId="78">'411'!$H$41:$H$43</definedName>
    <definedName name="OSRRefH22_4x_0" localSheetId="79">'412'!$H$43</definedName>
    <definedName name="OSRRefH22_4x_0" localSheetId="80">'413'!$H$43</definedName>
    <definedName name="OSRRefH22_4x_0" localSheetId="81">'414'!$H$44</definedName>
    <definedName name="OSRRefH22_4x_0" localSheetId="82">'415'!$H$44</definedName>
    <definedName name="OSRRefH22_4x_0" localSheetId="83">'418'!$H$44</definedName>
    <definedName name="OSRRefH22_4x_0" localSheetId="84">'420'!$H$41</definedName>
    <definedName name="OSRRefH22_4x_0" localSheetId="85">'423'!$H$36</definedName>
    <definedName name="OSRRefH22_4x_0" localSheetId="86">'424'!$H$37</definedName>
    <definedName name="OSRRefH22_4x_0" localSheetId="87">'425'!$H$47</definedName>
    <definedName name="OSRRefH22_4x_0" localSheetId="90">'430'!$H$35:$H$36</definedName>
    <definedName name="OSRRefH22_4x_0" localSheetId="91">'433'!$H$46</definedName>
    <definedName name="OSRRefH22_4x_0" localSheetId="92">'435'!$H$37</definedName>
    <definedName name="OSRRefH22_4x_0" localSheetId="93">'444'!$H$46</definedName>
    <definedName name="OSRRefH22_4x_0" localSheetId="95">'450'!$H$46</definedName>
    <definedName name="OSRRefH22_4x_0" localSheetId="75">'491'!$H$54</definedName>
    <definedName name="OSRRefH22_4x_0" localSheetId="89">'492'!$H$49</definedName>
    <definedName name="OSRRefH22_4x_0" localSheetId="97">'501'!$H$41</definedName>
    <definedName name="OSRRefH22_4x_0" localSheetId="39">'Div 2'!$H$44</definedName>
    <definedName name="OSRRefH22_4x_0" localSheetId="47">'Div 3'!$H$194</definedName>
    <definedName name="OSRRefH22_4x_0" localSheetId="73">'Div 4'!$H$54</definedName>
    <definedName name="OSRRefH22_4x_0" localSheetId="96">'Div 5'!$H$41</definedName>
    <definedName name="OSRRefH22_4x_0" localSheetId="64">'Div 6'!$H$78</definedName>
    <definedName name="OSRRefH22_4x_0" localSheetId="2">Summary!$H$226</definedName>
    <definedName name="OSRRefH22_5x_0" localSheetId="41">'201'!$H$39</definedName>
    <definedName name="OSRRefH22_5x_0" localSheetId="42">'202'!$H$40:$H$41</definedName>
    <definedName name="OSRRefH22_5x_0" localSheetId="43">'203'!$H$43</definedName>
    <definedName name="OSRRefH22_5x_0" localSheetId="44">'204'!$H$43</definedName>
    <definedName name="OSRRefH22_5x_0" localSheetId="45">'205'!$H$38</definedName>
    <definedName name="OSRRefH22_5x_0" localSheetId="46">'206'!$H$40:$H$41</definedName>
    <definedName name="OSRRefH22_5x_0" localSheetId="48">'300'!$H$191:$H$192</definedName>
    <definedName name="OSRRefH22_5x_0" localSheetId="49">'300 &amp; 317'!$H$216:$H$217</definedName>
    <definedName name="OSRRefH22_5x_0" localSheetId="50">'301'!$H$46:$H$47</definedName>
    <definedName name="OSRRefH22_5x_0" localSheetId="51">'306'!$H$43</definedName>
    <definedName name="OSRRefH22_5x_0" localSheetId="53">'307'!$H$98</definedName>
    <definedName name="OSRRefH22_5x_0" localSheetId="55">'308'!$H$90</definedName>
    <definedName name="OSRRefH22_5x_0" localSheetId="67">'309'!$H$45</definedName>
    <definedName name="OSRRefH22_5x_0" localSheetId="66">'310'!$H$53:$H$54</definedName>
    <definedName name="OSRRefH22_5x_0" localSheetId="74">'310 &amp; 491'!$H$62:$H$64</definedName>
    <definedName name="OSRRefH22_5x_0" localSheetId="56">'311'!$H$89</definedName>
    <definedName name="OSRRefH22_5x_0" localSheetId="68">'313'!$H$49</definedName>
    <definedName name="OSRRefH22_5x_0" localSheetId="54">'314'!$H$75</definedName>
    <definedName name="OSRRefH22_5x_0" localSheetId="59">'315'!$H$104:$H$105</definedName>
    <definedName name="OSRRefH22_5x_0" localSheetId="62">'316'!$H$56</definedName>
    <definedName name="OSRRefH22_5x_0" localSheetId="65">'317'!$H$80:$H$81</definedName>
    <definedName name="OSRRefH22_5x_0" localSheetId="63">'320'!$H$47</definedName>
    <definedName name="OSRRefH22_5x_0" localSheetId="69">'321'!$H$45</definedName>
    <definedName name="OSRRefH22_5x_0" localSheetId="70">'322'!$H$45</definedName>
    <definedName name="OSRRefH22_5x_0" localSheetId="71">'325'!$H$45:$H$46</definedName>
    <definedName name="OSRRefH22_5x_0" localSheetId="60">'326'!$H$84</definedName>
    <definedName name="OSRRefH22_5x_0" localSheetId="52">'330'!$H$106</definedName>
    <definedName name="OSRRefH22_5x_0" localSheetId="58">'331'!$H$112:$H$113</definedName>
    <definedName name="OSRRefH22_5x_0" localSheetId="61">'332'!$H$63</definedName>
    <definedName name="OSRRefH22_5x_0" localSheetId="76">'405'!$H$44:$H$45</definedName>
    <definedName name="OSRRefH22_5x_0" localSheetId="77">'406'!$H$46</definedName>
    <definedName name="OSRRefH22_5x_0" localSheetId="78">'411'!$H$45</definedName>
    <definedName name="OSRRefH22_5x_0" localSheetId="79">'412'!$H$45</definedName>
    <definedName name="OSRRefH22_5x_0" localSheetId="80">'413'!$H$45</definedName>
    <definedName name="OSRRefH22_5x_0" localSheetId="81">'414'!$H$46</definedName>
    <definedName name="OSRRefH22_5x_0" localSheetId="82">'415'!$H$46:$H$47</definedName>
    <definedName name="OSRRefH22_5x_0" localSheetId="83">'418'!$H$46:$H$47</definedName>
    <definedName name="OSRRefH22_5x_0" localSheetId="84">'420'!$H$43:$H$44</definedName>
    <definedName name="OSRRefH22_5x_0" localSheetId="85">'423'!$H$38</definedName>
    <definedName name="OSRRefH22_5x_0" localSheetId="86">'424'!$H$39</definedName>
    <definedName name="OSRRefH22_5x_0" localSheetId="87">'425'!$H$49</definedName>
    <definedName name="OSRRefH22_5x_0" localSheetId="90">'430'!$H$38</definedName>
    <definedName name="OSRRefH22_5x_0" localSheetId="91">'433'!$H$48</definedName>
    <definedName name="OSRRefH22_5x_0" localSheetId="92">'435'!$H$39</definedName>
    <definedName name="OSRRefH22_5x_0" localSheetId="93">'444'!$H$48</definedName>
    <definedName name="OSRRefH22_5x_0" localSheetId="95">'450'!$H$48</definedName>
    <definedName name="OSRRefH22_5x_0" localSheetId="75">'491'!$H$56:$H$58</definedName>
    <definedName name="OSRRefH22_5x_0" localSheetId="89">'492'!$H$51</definedName>
    <definedName name="OSRRefH22_5x_0" localSheetId="97">'501'!$H$43:$H$44</definedName>
    <definedName name="OSRRefH22_5x_0" localSheetId="39">'Div 2'!$H$46</definedName>
    <definedName name="OSRRefH22_5x_0" localSheetId="47">'Div 3'!$H$196:$H$197</definedName>
    <definedName name="OSRRefH22_5x_0" localSheetId="73">'Div 4'!$H$56:$H$58</definedName>
    <definedName name="OSRRefH22_5x_0" localSheetId="96">'Div 5'!$H$43:$H$44</definedName>
    <definedName name="OSRRefH22_5x_0" localSheetId="64">'Div 6'!$H$80:$H$81</definedName>
    <definedName name="OSRRefH22_5x_0" localSheetId="2">Summary!$H$228:$H$230</definedName>
    <definedName name="OSRRefH22_6x_0" localSheetId="41">'201'!$H$41</definedName>
    <definedName name="OSRRefH22_6x_0" localSheetId="42">'202'!$H$43</definedName>
    <definedName name="OSRRefH22_6x_0" localSheetId="43">'203'!$H$45</definedName>
    <definedName name="OSRRefH22_6x_0" localSheetId="44">'204'!$H$45:$H$47</definedName>
    <definedName name="OSRRefH22_6x_0" localSheetId="45">'205'!$H$40:$H$42</definedName>
    <definedName name="OSRRefH22_6x_0" localSheetId="46">'206'!$H$43</definedName>
    <definedName name="OSRRefH22_6x_0" localSheetId="48">'300'!$H$194:$H$195</definedName>
    <definedName name="OSRRefH22_6x_0" localSheetId="49">'300 &amp; 317'!$H$219:$H$220</definedName>
    <definedName name="OSRRefH22_6x_0" localSheetId="50">'301'!$H$49:$H$50</definedName>
    <definedName name="OSRRefH22_6x_0" localSheetId="51">'306'!$H$45:$H$46</definedName>
    <definedName name="OSRRefH22_6x_0" localSheetId="53">'307'!$H$100</definedName>
    <definedName name="OSRRefH22_6x_0" localSheetId="55">'308'!$H$92:$H$93</definedName>
    <definedName name="OSRRefH22_6x_0" localSheetId="67">'309'!$H$47</definedName>
    <definedName name="OSRRefH22_6x_0" localSheetId="66">'310'!$H$56</definedName>
    <definedName name="OSRRefH22_6x_0" localSheetId="74">'310 &amp; 491'!$H$66</definedName>
    <definedName name="OSRRefH22_6x_0" localSheetId="56">'311'!$H$91:$H$92</definedName>
    <definedName name="OSRRefH22_6x_0" localSheetId="68">'313'!$H$51</definedName>
    <definedName name="OSRRefH22_6x_0" localSheetId="54">'314'!$H$77</definedName>
    <definedName name="OSRRefH22_6x_0" localSheetId="59">'315'!$H$107</definedName>
    <definedName name="OSRRefH22_6x_0" localSheetId="62">'316'!$H$58:$H$59</definedName>
    <definedName name="OSRRefH22_6x_0" localSheetId="65">'317'!$H$83</definedName>
    <definedName name="OSRRefH22_6x_0" localSheetId="63">'320'!$H$49</definedName>
    <definedName name="OSRRefH22_6x_0" localSheetId="69">'321'!$H$47:$H$49</definedName>
    <definedName name="OSRRefH22_6x_0" localSheetId="70">'322'!$H$47</definedName>
    <definedName name="OSRRefH22_6x_0" localSheetId="71">'325'!$H$48</definedName>
    <definedName name="OSRRefH22_6x_0" localSheetId="60">'326'!$H$86</definedName>
    <definedName name="OSRRefH22_6x_0" localSheetId="52">'330'!$H$108</definedName>
    <definedName name="OSRRefH22_6x_0" localSheetId="58">'331'!$H$115</definedName>
    <definedName name="OSRRefH22_6x_0" localSheetId="61">'332'!$H$65:$H$66</definedName>
    <definedName name="OSRRefH22_6x_0" localSheetId="76">'405'!$H$47</definedName>
    <definedName name="OSRRefH22_6x_0" localSheetId="77">'406'!$H$48</definedName>
    <definedName name="OSRRefH22_6x_0" localSheetId="78">'411'!$H$47</definedName>
    <definedName name="OSRRefH22_6x_0" localSheetId="79">'412'!$H$47</definedName>
    <definedName name="OSRRefH22_6x_0" localSheetId="80">'413'!$H$47</definedName>
    <definedName name="OSRRefH22_6x_0" localSheetId="81">'414'!$H$48</definedName>
    <definedName name="OSRRefH22_6x_0" localSheetId="82">'415'!$H$49</definedName>
    <definedName name="OSRRefH22_6x_0" localSheetId="83">'418'!$H$49</definedName>
    <definedName name="OSRRefH22_6x_0" localSheetId="84">'420'!$H$46</definedName>
    <definedName name="OSRRefH22_6x_0" localSheetId="86">'424'!$H$41</definedName>
    <definedName name="OSRRefH22_6x_0" localSheetId="87">'425'!$H$51</definedName>
    <definedName name="OSRRefH22_6x_0" localSheetId="90">'430'!$H$40</definedName>
    <definedName name="OSRRefH22_6x_0" localSheetId="91">'433'!$H$50</definedName>
    <definedName name="OSRRefH22_6x_0" localSheetId="92">'435'!$H$41</definedName>
    <definedName name="OSRRefH22_6x_0" localSheetId="93">'444'!$H$50</definedName>
    <definedName name="OSRRefH22_6x_0" localSheetId="95">'450'!$H$50</definedName>
    <definedName name="OSRRefH22_6x_0" localSheetId="75">'491'!$H$60</definedName>
    <definedName name="OSRRefH22_6x_0" localSheetId="89">'492'!$H$53</definedName>
    <definedName name="OSRRefH22_6x_0" localSheetId="97">'501'!$H$46</definedName>
    <definedName name="OSRRefH22_6x_0" localSheetId="39">'Div 2'!$H$48</definedName>
    <definedName name="OSRRefH22_6x_0" localSheetId="47">'Div 3'!$H$199:$H$200</definedName>
    <definedName name="OSRRefH22_6x_0" localSheetId="73">'Div 4'!$H$60</definedName>
    <definedName name="OSRRefH22_6x_0" localSheetId="96">'Div 5'!$H$46</definedName>
    <definedName name="OSRRefH22_6x_0" localSheetId="64">'Div 6'!$H$83</definedName>
    <definedName name="OSRRefH22_6x_0" localSheetId="2">Summary!$H$232:$H$233</definedName>
    <definedName name="OSRRefH22_7x_0" localSheetId="41">'201'!$H$43</definedName>
    <definedName name="OSRRefH22_7x_0" localSheetId="42">'202'!$H$45</definedName>
    <definedName name="OSRRefH22_7x_0" localSheetId="43">'203'!$H$47</definedName>
    <definedName name="OSRRefH22_7x_0" localSheetId="44">'204'!$H$49</definedName>
    <definedName name="OSRRefH22_7x_0" localSheetId="45">'205'!$H$44</definedName>
    <definedName name="OSRRefH22_7x_0" localSheetId="46">'206'!$H$45</definedName>
    <definedName name="OSRRefH22_7x_0" localSheetId="48">'300'!$H$197</definedName>
    <definedName name="OSRRefH22_7x_0" localSheetId="49">'300 &amp; 317'!$H$222</definedName>
    <definedName name="OSRRefH22_7x_0" localSheetId="50">'301'!$H$52</definedName>
    <definedName name="OSRRefH22_7x_0" localSheetId="51">'306'!$H$48:$H$50</definedName>
    <definedName name="OSRRefH22_7x_0" localSheetId="53">'307'!$H$102:$H$103</definedName>
    <definedName name="OSRRefH22_7x_0" localSheetId="55">'308'!$H$95</definedName>
    <definedName name="OSRRefH22_7x_0" localSheetId="67">'309'!$H$49</definedName>
    <definedName name="OSRRefH22_7x_0" localSheetId="66">'310'!$H$58</definedName>
    <definedName name="OSRRefH22_7x_0" localSheetId="74">'310 &amp; 491'!$H$68</definedName>
    <definedName name="OSRRefH22_7x_0" localSheetId="56">'311'!$H$94</definedName>
    <definedName name="OSRRefH22_7x_0" localSheetId="68">'313'!$H$53</definedName>
    <definedName name="OSRRefH22_7x_0" localSheetId="54">'314'!$H$79</definedName>
    <definedName name="OSRRefH22_7x_0" localSheetId="59">'315'!$H$109:$H$110</definedName>
    <definedName name="OSRRefH22_7x_0" localSheetId="62">'316'!$H$61</definedName>
    <definedName name="OSRRefH22_7x_0" localSheetId="65">'317'!$H$85</definedName>
    <definedName name="OSRRefH22_7x_0" localSheetId="63">'320'!$H$51:$H$52</definedName>
    <definedName name="OSRRefH22_7x_0" localSheetId="69">'321'!$H$51</definedName>
    <definedName name="OSRRefH22_7x_0" localSheetId="70">'322'!$H$49</definedName>
    <definedName name="OSRRefH22_7x_0" localSheetId="71">'325'!$H$50</definedName>
    <definedName name="OSRRefH22_7x_0" localSheetId="60">'326'!$H$88</definedName>
    <definedName name="OSRRefH22_7x_0" localSheetId="52">'330'!$H$110</definedName>
    <definedName name="OSRRefH22_7x_0" localSheetId="58">'331'!$H$117:$H$118</definedName>
    <definedName name="OSRRefH22_7x_0" localSheetId="61">'332'!$H$68</definedName>
    <definedName name="OSRRefH22_7x_0" localSheetId="76">'405'!$H$49</definedName>
    <definedName name="OSRRefH22_7x_0" localSheetId="77">'406'!$H$50</definedName>
    <definedName name="OSRRefH22_7x_0" localSheetId="78">'411'!$H$49</definedName>
    <definedName name="OSRRefH22_7x_0" localSheetId="79">'412'!$H$49</definedName>
    <definedName name="OSRRefH22_7x_0" localSheetId="80">'413'!$H$49:$H$51</definedName>
    <definedName name="OSRRefH22_7x_0" localSheetId="81">'414'!$H$50</definedName>
    <definedName name="OSRRefH22_7x_0" localSheetId="82">'415'!$H$51</definedName>
    <definedName name="OSRRefH22_7x_0" localSheetId="83">'418'!$H$51</definedName>
    <definedName name="OSRRefH22_7x_0" localSheetId="86">'424'!$H$43</definedName>
    <definedName name="OSRRefH22_7x_0" localSheetId="87">'425'!$H$53</definedName>
    <definedName name="OSRRefH22_7x_0" localSheetId="90">'430'!$H$42</definedName>
    <definedName name="OSRRefH22_7x_0" localSheetId="91">'433'!$H$52</definedName>
    <definedName name="OSRRefH22_7x_0" localSheetId="92">'435'!$H$43:$H$45</definedName>
    <definedName name="OSRRefH22_7x_0" localSheetId="93">'444'!$H$52</definedName>
    <definedName name="OSRRefH22_7x_0" localSheetId="95">'450'!$H$52</definedName>
    <definedName name="OSRRefH22_7x_0" localSheetId="75">'491'!$H$62</definedName>
    <definedName name="OSRRefH22_7x_0" localSheetId="89">'492'!$H$55</definedName>
    <definedName name="OSRRefH22_7x_0" localSheetId="97">'501'!$H$48</definedName>
    <definedName name="OSRRefH22_7x_0" localSheetId="39">'Div 2'!$H$50</definedName>
    <definedName name="OSRRefH22_7x_0" localSheetId="47">'Div 3'!$H$202</definedName>
    <definedName name="OSRRefH22_7x_0" localSheetId="73">'Div 4'!$H$62</definedName>
    <definedName name="OSRRefH22_7x_0" localSheetId="96">'Div 5'!$H$48</definedName>
    <definedName name="OSRRefH22_7x_0" localSheetId="64">'Div 6'!$H$85</definedName>
    <definedName name="OSRRefH22_7x_0" localSheetId="2">Summary!$H$235</definedName>
    <definedName name="OSRRefH22_8x_0" localSheetId="41">'201'!$H$45</definedName>
    <definedName name="OSRRefH22_8x_0" localSheetId="42">'202'!$H$47:$H$49</definedName>
    <definedName name="OSRRefH22_8x_0" localSheetId="43">'203'!$H$49</definedName>
    <definedName name="OSRRefH22_8x_0" localSheetId="44">'204'!$H$51:$H$52</definedName>
    <definedName name="OSRRefH22_8x_0" localSheetId="45">'205'!$H$46</definedName>
    <definedName name="OSRRefH22_8x_0" localSheetId="48">'300'!$H$199</definedName>
    <definedName name="OSRRefH22_8x_0" localSheetId="49">'300 &amp; 317'!$H$224</definedName>
    <definedName name="OSRRefH22_8x_0" localSheetId="50">'301'!$H$54</definedName>
    <definedName name="OSRRefH22_8x_0" localSheetId="51">'306'!$H$52</definedName>
    <definedName name="OSRRefH22_8x_0" localSheetId="53">'307'!$H$105:$H$106</definedName>
    <definedName name="OSRRefH22_8x_0" localSheetId="55">'308'!$H$97</definedName>
    <definedName name="OSRRefH22_8x_0" localSheetId="67">'309'!$H$51</definedName>
    <definedName name="OSRRefH22_8x_0" localSheetId="66">'310'!$H$60</definedName>
    <definedName name="OSRRefH22_8x_0" localSheetId="74">'310 &amp; 491'!$H$70</definedName>
    <definedName name="OSRRefH22_8x_0" localSheetId="56">'311'!$H$96</definedName>
    <definedName name="OSRRefH22_8x_0" localSheetId="68">'313'!$H$55:$H$57</definedName>
    <definedName name="OSRRefH22_8x_0" localSheetId="54">'314'!$H$81</definedName>
    <definedName name="OSRRefH22_8x_0" localSheetId="59">'315'!$H$112:$H$113</definedName>
    <definedName name="OSRRefH22_8x_0" localSheetId="62">'316'!$H$63:$H$65</definedName>
    <definedName name="OSRRefH22_8x_0" localSheetId="65">'317'!$H$87</definedName>
    <definedName name="OSRRefH22_8x_0" localSheetId="63">'320'!$H$54</definedName>
    <definedName name="OSRRefH22_8x_0" localSheetId="69">'321'!$H$53:$H$55</definedName>
    <definedName name="OSRRefH22_8x_0" localSheetId="70">'322'!$H$51:$H$52</definedName>
    <definedName name="OSRRefH22_8x_0" localSheetId="71">'325'!$H$52</definedName>
    <definedName name="OSRRefH22_8x_0" localSheetId="60">'326'!$H$90</definedName>
    <definedName name="OSRRefH22_8x_0" localSheetId="52">'330'!$H$112:$H$113</definedName>
    <definedName name="OSRRefH22_8x_0" localSheetId="58">'331'!$H$120</definedName>
    <definedName name="OSRRefH22_8x_0" localSheetId="61">'332'!$H$70</definedName>
    <definedName name="OSRRefH22_8x_0" localSheetId="76">'405'!$H$51</definedName>
    <definedName name="OSRRefH22_8x_0" localSheetId="77">'406'!$H$52</definedName>
    <definedName name="OSRRefH22_8x_0" localSheetId="78">'411'!$H$51</definedName>
    <definedName name="OSRRefH22_8x_0" localSheetId="79">'412'!$H$51</definedName>
    <definedName name="OSRRefH22_8x_0" localSheetId="80">'413'!$H$53:$H$55</definedName>
    <definedName name="OSRRefH22_8x_0" localSheetId="81">'414'!$H$52</definedName>
    <definedName name="OSRRefH22_8x_0" localSheetId="82">'415'!$H$53</definedName>
    <definedName name="OSRRefH22_8x_0" localSheetId="83">'418'!$H$53</definedName>
    <definedName name="OSRRefH22_8x_0" localSheetId="86">'424'!$H$45:$H$46</definedName>
    <definedName name="OSRRefH22_8x_0" localSheetId="87">'425'!$H$55</definedName>
    <definedName name="OSRRefH22_8x_0" localSheetId="91">'433'!$H$54</definedName>
    <definedName name="OSRRefH22_8x_0" localSheetId="92">'435'!$H$47</definedName>
    <definedName name="OSRRefH22_8x_0" localSheetId="93">'444'!$H$54</definedName>
    <definedName name="OSRRefH22_8x_0" localSheetId="95">'450'!$H$54</definedName>
    <definedName name="OSRRefH22_8x_0" localSheetId="75">'491'!$H$64</definedName>
    <definedName name="OSRRefH22_8x_0" localSheetId="89">'492'!$H$57</definedName>
    <definedName name="OSRRefH22_8x_0" localSheetId="97">'501'!$H$50</definedName>
    <definedName name="OSRRefH22_8x_0" localSheetId="39">'Div 2'!$H$52</definedName>
    <definedName name="OSRRefH22_8x_0" localSheetId="47">'Div 3'!$H$204</definedName>
    <definedName name="OSRRefH22_8x_0" localSheetId="73">'Div 4'!$H$64</definedName>
    <definedName name="OSRRefH22_8x_0" localSheetId="96">'Div 5'!$H$50</definedName>
    <definedName name="OSRRefH22_8x_0" localSheetId="64">'Div 6'!$H$87</definedName>
    <definedName name="OSRRefH22_8x_0" localSheetId="2">Summary!$H$237</definedName>
    <definedName name="OSRRefH22_9x_0" localSheetId="41">'201'!$H$47:$H$49</definedName>
    <definedName name="OSRRefH22_9x_0" localSheetId="42">'202'!$H$51</definedName>
    <definedName name="OSRRefH22_9x_0" localSheetId="43">'203'!$H$51:$H$52</definedName>
    <definedName name="OSRRefH22_9x_0" localSheetId="44">'204'!$H$54</definedName>
    <definedName name="OSRRefH22_9x_0" localSheetId="48">'300'!$H$201</definedName>
    <definedName name="OSRRefH22_9x_0" localSheetId="49">'300 &amp; 317'!$H$226</definedName>
    <definedName name="OSRRefH22_9x_0" localSheetId="50">'301'!$H$56</definedName>
    <definedName name="OSRRefH22_9x_0" localSheetId="51">'306'!$H$54</definedName>
    <definedName name="OSRRefH22_9x_0" localSheetId="53">'307'!$H$108:$H$111</definedName>
    <definedName name="OSRRefH22_9x_0" localSheetId="55">'308'!$H$99:$H$100</definedName>
    <definedName name="OSRRefH22_9x_0" localSheetId="67">'309'!$H$53:$H$54</definedName>
    <definedName name="OSRRefH22_9x_0" localSheetId="66">'310'!$H$62</definedName>
    <definedName name="OSRRefH22_9x_0" localSheetId="74">'310 &amp; 491'!$H$72</definedName>
    <definedName name="OSRRefH22_9x_0" localSheetId="56">'311'!$H$98:$H$99</definedName>
    <definedName name="OSRRefH22_9x_0" localSheetId="68">'313'!$H$59</definedName>
    <definedName name="OSRRefH22_9x_0" localSheetId="59">'315'!$H$115:$H$119</definedName>
    <definedName name="OSRRefH22_9x_0" localSheetId="62">'316'!$H$67</definedName>
    <definedName name="OSRRefH22_9x_0" localSheetId="65">'317'!$H$89</definedName>
    <definedName name="OSRRefH22_9x_0" localSheetId="69">'321'!$H$57:$H$60</definedName>
    <definedName name="OSRRefH22_9x_0" localSheetId="70">'322'!$H$54:$H$56</definedName>
    <definedName name="OSRRefH22_9x_0" localSheetId="71">'325'!$H$54</definedName>
    <definedName name="OSRRefH22_9x_0" localSheetId="60">'326'!$H$92</definedName>
    <definedName name="OSRRefH22_9x_0" localSheetId="52">'330'!$H$115:$H$116</definedName>
    <definedName name="OSRRefH22_9x_0" localSheetId="58">'331'!$H$122</definedName>
    <definedName name="OSRRefH22_9x_0" localSheetId="61">'332'!$H$72:$H$74</definedName>
    <definedName name="OSRRefH22_9x_0" localSheetId="76">'405'!$H$53</definedName>
    <definedName name="OSRRefH22_9x_0" localSheetId="77">'406'!$H$54:$H$56</definedName>
    <definedName name="OSRRefH22_9x_0" localSheetId="78">'411'!$H$53</definedName>
    <definedName name="OSRRefH22_9x_0" localSheetId="79">'412'!$H$53:$H$54</definedName>
    <definedName name="OSRRefH22_9x_0" localSheetId="80">'413'!$H$57:$H$62</definedName>
    <definedName name="OSRRefH22_9x_0" localSheetId="81">'414'!$H$54:$H$55</definedName>
    <definedName name="OSRRefH22_9x_0" localSheetId="82">'415'!$H$55</definedName>
    <definedName name="OSRRefH22_9x_0" localSheetId="83">'418'!$H$55</definedName>
    <definedName name="OSRRefH22_9x_0" localSheetId="86">'424'!$H$48</definedName>
    <definedName name="OSRRefH22_9x_0" localSheetId="87">'425'!$H$57:$H$59</definedName>
    <definedName name="OSRRefH22_9x_0" localSheetId="91">'433'!$H$56</definedName>
    <definedName name="OSRRefH22_9x_0" localSheetId="93">'444'!$H$56</definedName>
    <definedName name="OSRRefH22_9x_0" localSheetId="95">'450'!$H$56</definedName>
    <definedName name="OSRRefH22_9x_0" localSheetId="75">'491'!$H$66</definedName>
    <definedName name="OSRRefH22_9x_0" localSheetId="89">'492'!$H$59</definedName>
    <definedName name="OSRRefH22_9x_0" localSheetId="97">'501'!$H$52:$H$54</definedName>
    <definedName name="OSRRefH22_9x_0" localSheetId="39">'Div 2'!$H$54:$H$55</definedName>
    <definedName name="OSRRefH22_9x_0" localSheetId="47">'Div 3'!$H$206</definedName>
    <definedName name="OSRRefH22_9x_0" localSheetId="73">'Div 4'!$H$66</definedName>
    <definedName name="OSRRefH22_9x_0" localSheetId="96">'Div 5'!$H$52:$H$54</definedName>
    <definedName name="OSRRefH22_9x_0" localSheetId="64">'Div 6'!$H$89</definedName>
    <definedName name="OSRRefH22_9x_0" localSheetId="2">Summary!$H$239</definedName>
    <definedName name="OSRRefH22x_0" localSheetId="40">'200'!$H$20,'200'!$H$22,'200'!$H$24,'200'!$H$26,'200'!$H$28:$H$29</definedName>
    <definedName name="OSRRefH22x_0" localSheetId="41">'201'!$H$20:$H$27,'201'!$H$29:$H$31,'201'!$H$33,'201'!$H$35,'201'!$H$37,'201'!$H$39,'201'!$H$41,'201'!$H$43,'201'!$H$45,'201'!$H$47:$H$49,'201'!$H$51:$H$53,'201'!$H$55,'201'!$H$57:$H$60,'201'!$H$62,'201'!$H$64,'201'!$H$66</definedName>
    <definedName name="OSRRefH22x_0" localSheetId="42">'202'!$H$20:$H$27,'202'!$H$29:$H$32,'202'!$H$34,'202'!$H$36,'202'!$H$38,'202'!$H$40:$H$41,'202'!$H$43,'202'!$H$45,'202'!$H$47:$H$49,'202'!$H$51,'202'!$H$53,'202'!$H$55:$H$57,'202'!$H$59,'202'!$H$61,'202'!$H$63</definedName>
    <definedName name="OSRRefH22x_0" localSheetId="43">'203'!$H$20:$H$29,'203'!$H$31:$H$35,'203'!$H$37,'203'!$H$39,'203'!$H$41,'203'!$H$43,'203'!$H$45,'203'!$H$47,'203'!$H$49,'203'!$H$51:$H$52,'203'!$H$54:$H$55,'203'!$H$57,'203'!$H$59:$H$62,'203'!$H$64,'203'!$H$66,'203'!$H$68</definedName>
    <definedName name="OSRRefH22x_0" localSheetId="44">'204'!$H$20:$H$29,'204'!$H$31:$H$35,'204'!$H$37,'204'!$H$39,'204'!$H$41,'204'!$H$43,'204'!$H$45:$H$47,'204'!$H$49,'204'!$H$51:$H$52,'204'!$H$54,'204'!$H$56:$H$57</definedName>
    <definedName name="OSRRefH22x_0" localSheetId="45">'205'!$H$20:$H$27,'205'!$H$29,'205'!$H$31,'205'!$H$33,'205'!$H$35:$H$36,'205'!$H$38,'205'!$H$40:$H$42,'205'!$H$44,'205'!$H$46</definedName>
    <definedName name="OSRRefH22x_0" localSheetId="46">'206'!$H$20:$H$27,'206'!$H$29:$H$32,'206'!$H$34,'206'!$H$36,'206'!$H$38,'206'!$H$40:$H$41,'206'!$H$43,'206'!$H$45</definedName>
    <definedName name="OSRRefH22x_0" localSheetId="48">'300'!$H$165:$H$174,'300'!$H$176:$H$182,'300'!$H$184,'300'!$H$186:$H$187,'300'!$H$189,'300'!$H$191:$H$192,'300'!$H$194:$H$195,'300'!$H$197,'300'!$H$199,'300'!$H$201,'300'!$H$203:$H$204,'300'!$H$206,'300'!$H$208,'300'!$H$210,'300'!$H$212,'300'!$H$214,'300'!$H$216:$H$219,'300'!$H$221:$H$223,'300'!$H$225:$H$228,'300'!$H$230:$H$231,'300'!$H$233:$H$239,'300'!$H$241:$H$242,'300'!$H$244,'300'!$H$246:$H$248,'300'!$H$250</definedName>
    <definedName name="OSRRefH22x_0" localSheetId="49">'300 &amp; 317'!$H$190:$H$199,'300 &amp; 317'!$H$201:$H$207,'300 &amp; 317'!$H$209,'300 &amp; 317'!$H$211:$H$212,'300 &amp; 317'!$H$214,'300 &amp; 317'!$H$216:$H$217,'300 &amp; 317'!$H$219:$H$220,'300 &amp; 317'!$H$222,'300 &amp; 317'!$H$224,'300 &amp; 317'!$H$226,'300 &amp; 317'!$H$228:$H$229,'300 &amp; 317'!$H$231,'300 &amp; 317'!$H$233,'300 &amp; 317'!$H$235,'300 &amp; 317'!$H$237,'300 &amp; 317'!$H$239,'300 &amp; 317'!$H$241:$H$244,'300 &amp; 317'!$H$246:$H$248,'300 &amp; 317'!$H$250:$H$253,'300 &amp; 317'!$H$255:$H$256,'300 &amp; 317'!$H$258:$H$264,'300 &amp; 317'!$H$266:$H$267,'300 &amp; 317'!$H$269,'300 &amp; 317'!$H$271:$H$273,'300 &amp; 317'!$H$275</definedName>
    <definedName name="OSRRefH22x_0" localSheetId="50">'301'!$H$20:$H$29,'301'!$H$31:$H$37,'301'!$H$39,'301'!$H$41:$H$42,'301'!$H$44,'301'!$H$46:$H$47,'301'!$H$49:$H$50,'301'!$H$52,'301'!$H$54,'301'!$H$56,'301'!$H$58,'301'!$H$60,'301'!$H$62,'301'!$H$64,'301'!$H$66,'301'!$H$68:$H$71,'301'!$H$73:$H$75,'301'!$H$77:$H$78,'301'!$H$80:$H$85,'301'!$H$87,'301'!$H$89,'301'!$H$91:$H$93,'301'!$H$95</definedName>
    <definedName name="OSRRefH22x_0" localSheetId="51">'306'!$H$20:$H$28,'306'!$H$30:$H$35,'306'!$H$37,'306'!$H$39,'306'!$H$41,'306'!$H$43,'306'!$H$45:$H$46,'306'!$H$48:$H$50,'306'!$H$52,'306'!$H$54</definedName>
    <definedName name="OSRRefH22x_0" localSheetId="53">'307'!$H$77:$H$84,'307'!$H$86:$H$89,'307'!$H$91,'307'!$H$93,'307'!$H$95:$H$96,'307'!$H$98,'307'!$H$100,'307'!$H$102:$H$103,'307'!$H$105:$H$106,'307'!$H$108:$H$111,'307'!$H$113,'307'!$H$115</definedName>
    <definedName name="OSRRefH22x_0" localSheetId="55">'308'!$H$65:$H$73,'308'!$H$75:$H$81,'308'!$H$83,'308'!$H$85:$H$86,'308'!$H$88,'308'!$H$90,'308'!$H$92:$H$93,'308'!$H$95,'308'!$H$97,'308'!$H$99:$H$100,'308'!$H$102:$H$103,'308'!$H$105:$H$107,'308'!$H$109:$H$110,'308'!$H$112,'308'!$H$114</definedName>
    <definedName name="OSRRefH22x_0" localSheetId="67">'309'!$H$24:$H$31,'309'!$H$33:$H$37,'309'!$H$39,'309'!$H$41,'309'!$H$43,'309'!$H$45,'309'!$H$47,'309'!$H$49,'309'!$H$51,'309'!$H$53:$H$54,'309'!$H$56:$H$58,'309'!$H$60:$H$62,'309'!$H$64</definedName>
    <definedName name="OSRRefH22x_0" localSheetId="66">'310'!$H$31:$H$38,'310'!$H$40:$H$45,'310'!$H$47,'310'!$H$49,'310'!$H$51,'310'!$H$53:$H$54,'310'!$H$56,'310'!$H$58,'310'!$H$60,'310'!$H$62,'310'!$H$64,'310'!$H$66,'310'!$H$68,'310'!$H$70,'310'!$H$72:$H$74,'310'!$H$76,'310'!$H$78:$H$81,'310'!$H$83,'310'!$H$85:$H$92,'310'!$H$94,'310'!$H$96,'310'!$H$98</definedName>
    <definedName name="OSRRefH22x_0" localSheetId="74">'310 &amp; 491'!$H$38:$H$46,'310 &amp; 491'!$H$48:$H$54,'310 &amp; 491'!$H$56,'310 &amp; 491'!$H$58,'310 &amp; 491'!$H$60,'310 &amp; 491'!$H$62:$H$64,'310 &amp; 491'!$H$66,'310 &amp; 491'!$H$68,'310 &amp; 491'!$H$70,'310 &amp; 491'!$H$72,'310 &amp; 491'!$H$74:$H$75,'310 &amp; 491'!$H$77:$H$78,'310 &amp; 491'!$H$80,'310 &amp; 491'!$H$82,'310 &amp; 491'!$H$84,'310 &amp; 491'!$H$86,'310 &amp; 491'!$H$88:$H$91,'310 &amp; 491'!$H$93:$H$94,'310 &amp; 491'!$H$96:$H$100,'310 &amp; 491'!$H$102:$H$103,'310 &amp; 491'!$H$105:$H$114,'310 &amp; 491'!$H$116,'310 &amp; 491'!$H$118,'310 &amp; 491'!$H$120:$H$122,'310 &amp; 491'!$H$124</definedName>
    <definedName name="OSRRefH22x_0" localSheetId="56">'311'!$H$64:$H$72,'311'!$H$74:$H$80,'311'!$H$82,'311'!$H$84:$H$85,'311'!$H$87,'311'!$H$89,'311'!$H$91:$H$92,'311'!$H$94,'311'!$H$96,'311'!$H$98:$H$99,'311'!$H$101:$H$102,'311'!$H$104:$H$106,'311'!$H$108:$H$109,'311'!$H$111,'311'!$H$113</definedName>
    <definedName name="OSRRefH22x_0" localSheetId="68">'313'!$H$28:$H$35,'313'!$H$37:$H$41,'313'!$H$43,'313'!$H$45,'313'!$H$47,'313'!$H$49,'313'!$H$51,'313'!$H$53,'313'!$H$55:$H$57,'313'!$H$59,'313'!$H$61:$H$65,'313'!$H$67,'313'!$H$69</definedName>
    <definedName name="OSRRefH22x_0" localSheetId="54">'314'!$H$55:$H$62,'314'!$H$64:$H$66,'314'!$H$68,'314'!$H$70:$H$71,'314'!$H$73,'314'!$H$75,'314'!$H$77,'314'!$H$79,'314'!$H$81</definedName>
    <definedName name="OSRRefH22x_0" localSheetId="59">'315'!$H$81:$H$88,'315'!$H$90:$H$95,'315'!$H$97,'315'!$H$99:$H$100,'315'!$H$102,'315'!$H$104:$H$105,'315'!$H$107,'315'!$H$109:$H$110,'315'!$H$112:$H$113,'315'!$H$115:$H$119,'315'!$H$121,'315'!$H$123,'315'!$H$125:$H$126</definedName>
    <definedName name="OSRRefH22x_0" localSheetId="62">'316'!$H$36:$H$43,'316'!$H$45:$H$48,'316'!$H$50,'316'!$H$52,'316'!$H$54,'316'!$H$56,'316'!$H$58:$H$59,'316'!$H$61,'316'!$H$63:$H$65,'316'!$H$67,'316'!$H$69:$H$74,'316'!$H$76,'316'!$H$78,'316'!$H$80</definedName>
    <definedName name="OSRRefH22x_0" localSheetId="65">'317'!$H$58:$H$66,'317'!$H$68:$H$72,'317'!$H$74,'317'!$H$76,'317'!$H$78,'317'!$H$80:$H$81,'317'!$H$83,'317'!$H$85,'317'!$H$87,'317'!$H$89,'317'!$H$91:$H$93,'317'!$H$95,'317'!$H$97,'317'!$H$99</definedName>
    <definedName name="OSRRefH22x_0" localSheetId="63">'320'!$H$28:$H$34,'320'!$H$36:$H$38,'320'!$H$40,'320'!$H$42,'320'!$H$44:$H$45,'320'!$H$47,'320'!$H$49,'320'!$H$51:$H$52,'320'!$H$54</definedName>
    <definedName name="OSRRefH22x_0" localSheetId="69">'321'!$H$24:$H$31,'321'!$H$33:$H$37,'321'!$H$39,'321'!$H$41,'321'!$H$43,'321'!$H$45,'321'!$H$47:$H$49,'321'!$H$51,'321'!$H$53:$H$55,'321'!$H$57:$H$60,'321'!$H$62,'321'!$H$64</definedName>
    <definedName name="OSRRefH22x_0" localSheetId="70">'322'!$H$24:$H$31,'322'!$H$33:$H$37,'322'!$H$39,'322'!$H$41,'322'!$H$43,'322'!$H$45,'322'!$H$47,'322'!$H$49,'322'!$H$51:$H$52,'322'!$H$54:$H$56,'322'!$H$58:$H$63,'322'!$H$65,'322'!$H$67</definedName>
    <definedName name="OSRRefH22x_0" localSheetId="71">'325'!$H$24:$H$31,'325'!$H$33:$H$37,'325'!$H$39,'325'!$H$41,'325'!$H$43,'325'!$H$45:$H$46,'325'!$H$48,'325'!$H$50,'325'!$H$52,'325'!$H$54,'325'!$H$56,'325'!$H$58:$H$60,'325'!$H$62:$H$64,'325'!$H$66,'325'!$H$68:$H$72,'325'!$H$74,'325'!$H$76,'325'!$H$78</definedName>
    <definedName name="OSRRefH22x_0" localSheetId="60">'326'!$H$62:$H$69,'326'!$H$71:$H$76,'326'!$H$78,'326'!$H$80,'326'!$H$82,'326'!$H$84,'326'!$H$86,'326'!$H$88,'326'!$H$90,'326'!$H$92,'326'!$H$94,'326'!$H$96,'326'!$H$98:$H$100,'326'!$H$102:$H$104,'326'!$H$106:$H$107,'326'!$H$109:$H$114,'326'!$H$116,'326'!$H$118,'326'!$H$120,'326'!$H$122</definedName>
    <definedName name="OSRRefH22x_0" localSheetId="72">'327'!$H$22,'327'!$H$24,'327'!$H$26</definedName>
    <definedName name="OSRRefH22x_0" localSheetId="52">'330'!$H$84:$H$91,'330'!$H$93:$H$97,'330'!$H$99,'330'!$H$101,'330'!$H$103:$H$104,'330'!$H$106,'330'!$H$108,'330'!$H$110,'330'!$H$112:$H$113,'330'!$H$115:$H$116,'330'!$H$118,'330'!$H$120:$H$123,'330'!$H$125,'330'!$H$127,'330'!$H$129</definedName>
    <definedName name="OSRRefH22x_0" localSheetId="58">'331'!$H$90:$H$97,'331'!$H$99:$H$104,'331'!$H$106,'331'!$H$108,'331'!$H$110,'331'!$H$112:$H$113,'331'!$H$115,'331'!$H$117:$H$118,'331'!$H$120,'331'!$H$122,'331'!$H$124,'331'!$H$126,'331'!$H$128,'331'!$H$130:$H$132,'331'!$H$134:$H$135,'331'!$H$137:$H$139,'331'!$H$141:$H$142,'331'!$H$144:$H$149,'331'!$H$151,'331'!$H$153,'331'!$H$155:$H$156,'331'!$H$158</definedName>
    <definedName name="OSRRefH22x_0" localSheetId="61">'332'!$H$43:$H$50,'332'!$H$52:$H$55,'332'!$H$57,'332'!$H$59,'332'!$H$61,'332'!$H$63,'332'!$H$65:$H$66,'332'!$H$68,'332'!$H$70,'332'!$H$72:$H$74,'332'!$H$76,'332'!$H$78:$H$83,'332'!$H$85,'332'!$H$87,'332'!$H$89</definedName>
    <definedName name="OSRRefH22x_0" localSheetId="76">'405'!$H$24:$H$31,'405'!$H$33:$H$36,'405'!$H$38,'405'!$H$40,'405'!$H$42,'405'!$H$44:$H$45,'405'!$H$47,'405'!$H$49,'405'!$H$51,'405'!$H$53,'405'!$H$55:$H$56,'405'!$H$58,'405'!$H$60:$H$62,'405'!$H$64:$H$65,'405'!$H$67:$H$73,'405'!$H$75,'405'!$H$77,'405'!$H$79</definedName>
    <definedName name="OSRRefH22x_0" localSheetId="77">'406'!$H$24:$H$31,'406'!$H$33:$H$38,'406'!$H$40,'406'!$H$42,'406'!$H$44,'406'!$H$46,'406'!$H$48,'406'!$H$50,'406'!$H$52,'406'!$H$54:$H$56,'406'!$H$58:$H$59,'406'!$H$61:$H$65,'406'!$H$67,'406'!$H$69</definedName>
    <definedName name="OSRRefH22x_0" localSheetId="78">'411'!$H$20:$H$28,'411'!$H$30:$H$35,'411'!$H$37,'411'!$H$39,'411'!$H$41:$H$43,'411'!$H$45,'411'!$H$47,'411'!$H$49,'411'!$H$51,'411'!$H$53,'411'!$H$55,'411'!$H$57,'411'!$H$59:$H$61,'411'!$H$63:$H$67,'411'!$H$69,'411'!$H$71:$H$79,'411'!$H$81,'411'!$H$83,'411'!$H$85:$H$87,'411'!$H$89</definedName>
    <definedName name="OSRRefH22x_0" localSheetId="79">'412'!$H$23:$H$30,'412'!$H$32:$H$37,'412'!$H$39,'412'!$H$41,'412'!$H$43,'412'!$H$45,'412'!$H$47,'412'!$H$49,'412'!$H$51,'412'!$H$53:$H$54,'412'!$H$56:$H$57,'412'!$H$59:$H$64,'412'!$H$66,'412'!$H$68</definedName>
    <definedName name="OSRRefH22x_0" localSheetId="80">'413'!$H$24:$H$31,'413'!$H$33:$H$37,'413'!$H$39,'413'!$H$41,'413'!$H$43,'413'!$H$45,'413'!$H$47,'413'!$H$49:$H$51,'413'!$H$53:$H$55,'413'!$H$57:$H$62,'413'!$H$64,'413'!$H$66</definedName>
    <definedName name="OSRRefH22x_0" localSheetId="81">'414'!$H$24:$H$31,'414'!$H$33:$H$38,'414'!$H$40,'414'!$H$42,'414'!$H$44,'414'!$H$46,'414'!$H$48,'414'!$H$50,'414'!$H$52,'414'!$H$54:$H$55,'414'!$H$57,'414'!$H$59,'414'!$H$61,'414'!$H$63:$H$69,'414'!$H$71,'414'!$H$73</definedName>
    <definedName name="OSRRefH22x_0" localSheetId="82">'415'!$H$24:$H$31,'415'!$H$33:$H$38,'415'!$H$40,'415'!$H$42,'415'!$H$44,'415'!$H$46:$H$47,'415'!$H$49,'415'!$H$51,'415'!$H$53,'415'!$H$55,'415'!$H$57,'415'!$H$59:$H$62,'415'!$H$64:$H$68,'415'!$H$70:$H$71,'415'!$H$73:$H$81,'415'!$H$83,'415'!$H$85,'415'!$H$87</definedName>
    <definedName name="OSRRefH22x_0" localSheetId="83">'418'!$H$24:$H$31,'418'!$H$33:$H$38,'418'!$H$40,'418'!$H$42,'418'!$H$44,'418'!$H$46:$H$47,'418'!$H$49,'418'!$H$51,'418'!$H$53,'418'!$H$55,'418'!$H$57:$H$58,'418'!$H$60:$H$62,'418'!$H$64:$H$66,'418'!$H$68:$H$69,'418'!$H$71:$H$77,'418'!$H$79,'418'!$H$81</definedName>
    <definedName name="OSRRefH22x_0" localSheetId="84">'420'!$H$23:$H$30,'420'!$H$32:$H$35,'420'!$H$37,'420'!$H$39,'420'!$H$41,'420'!$H$43:$H$44,'420'!$H$46</definedName>
    <definedName name="OSRRefH22x_0" localSheetId="85">'423'!$H$21:$H$28,'423'!$H$30,'423'!$H$32,'423'!$H$34,'423'!$H$36,'423'!$H$38</definedName>
    <definedName name="OSRRefH22x_0" localSheetId="86">'424'!$H$24:$H$25,'424'!$H$27:$H$31,'424'!$H$33,'424'!$H$35,'424'!$H$37,'424'!$H$39,'424'!$H$41,'424'!$H$43,'424'!$H$45:$H$46,'424'!$H$48,'424'!$H$50,'424'!$H$52:$H$56,'424'!$H$58</definedName>
    <definedName name="OSRRefH22x_0" localSheetId="87">'425'!$H$26:$H$34,'425'!$H$36:$H$41,'425'!$H$43,'425'!$H$45,'425'!$H$47,'425'!$H$49,'425'!$H$51,'425'!$H$53,'425'!$H$55,'425'!$H$57:$H$59,'425'!$H$61,'425'!$H$63:$H$64,'425'!$H$66:$H$72,'425'!$H$74,'425'!$H$76</definedName>
    <definedName name="OSRRefH22x_0" localSheetId="90">'430'!$H$20:$H$27,'430'!$H$29,'430'!$H$31,'430'!$H$33,'430'!$H$35:$H$36,'430'!$H$38,'430'!$H$40,'430'!$H$42</definedName>
    <definedName name="OSRRefH22x_0" localSheetId="91">'433'!$H$25:$H$33,'433'!$H$35:$H$40,'433'!$H$42,'433'!$H$44,'433'!$H$46,'433'!$H$48,'433'!$H$50,'433'!$H$52,'433'!$H$54,'433'!$H$56,'433'!$H$58,'433'!$H$60:$H$62,'433'!$H$64:$H$66,'433'!$H$68:$H$75,'433'!$H$77,'433'!$H$79,'433'!$H$81</definedName>
    <definedName name="OSRRefH22x_0" localSheetId="92">'435'!$H$25:$H$27,'435'!$H$29:$H$31,'435'!$H$33,'435'!$H$35,'435'!$H$37,'435'!$H$39,'435'!$H$41,'435'!$H$43:$H$45,'435'!$H$47</definedName>
    <definedName name="OSRRefH22x_0" localSheetId="93">'444'!$H$25:$H$33,'444'!$H$35:$H$40,'444'!$H$42,'444'!$H$44,'444'!$H$46,'444'!$H$48,'444'!$H$50,'444'!$H$52,'444'!$H$54,'444'!$H$56,'444'!$H$58,'444'!$H$60:$H$62,'444'!$H$64:$H$67,'444'!$H$69,'444'!$H$71:$H$79,'444'!$H$81,'444'!$H$83,'444'!$H$85</definedName>
    <definedName name="OSRRefH22x_0" localSheetId="95">'450'!$H$25:$H$33,'450'!$H$35:$H$40,'450'!$H$42,'450'!$H$44,'450'!$H$46,'450'!$H$48,'450'!$H$50,'450'!$H$52,'450'!$H$54,'450'!$H$56,'450'!$H$58,'450'!$H$60,'450'!$H$62:$H$63,'450'!$H$65:$H$67,'450'!$H$69:$H$74,'450'!$H$76,'450'!$H$78,'450'!$H$80</definedName>
    <definedName name="OSRRefH22x_0" localSheetId="88">'455'!$H$20:$H$26,'455'!$H$28:$H$29</definedName>
    <definedName name="OSRRefH22x_0" localSheetId="75">'491'!$H$32:$H$40,'491'!$H$42:$H$48,'491'!$H$50,'491'!$H$52,'491'!$H$54,'491'!$H$56:$H$58,'491'!$H$60,'491'!$H$62,'491'!$H$64,'491'!$H$66,'491'!$H$68,'491'!$H$70:$H$71,'491'!$H$73,'491'!$H$75,'491'!$H$77,'491'!$H$79,'491'!$H$81:$H$84,'491'!$H$86:$H$87,'491'!$H$89:$H$93,'491'!$H$95:$H$96,'491'!$H$98:$H$107,'491'!$H$109,'491'!$H$111,'491'!$H$113:$H$115,'491'!$H$117</definedName>
    <definedName name="OSRRefH22x_0" localSheetId="89">'492'!$H$27:$H$35,'492'!$H$37:$H$43,'492'!$H$45,'492'!$H$47,'492'!$H$49,'492'!$H$51,'492'!$H$53,'492'!$H$55,'492'!$H$57,'492'!$H$59,'492'!$H$61,'492'!$H$63,'492'!$H$65:$H$67,'492'!$H$69:$H$72,'492'!$H$74,'492'!$H$76:$H$84,'492'!$H$86,'492'!$H$88,'492'!$H$90</definedName>
    <definedName name="OSRRefH22x_0" localSheetId="97">'501'!$H$21:$H$29,'501'!$H$31:$H$35,'501'!$H$37,'501'!$H$39,'501'!$H$41,'501'!$H$43:$H$44,'501'!$H$46,'501'!$H$48,'501'!$H$50,'501'!$H$52:$H$54,'501'!$H$56,'501'!$H$58:$H$60,'501'!$H$62</definedName>
    <definedName name="OSRRefH22x_0" localSheetId="39">'Div 2'!$H$20:$H$30,'Div 2'!$H$32:$H$38,'Div 2'!$H$40,'Div 2'!$H$42,'Div 2'!$H$44,'Div 2'!$H$46,'Div 2'!$H$48,'Div 2'!$H$50,'Div 2'!$H$52,'Div 2'!$H$54:$H$55,'Div 2'!$H$57,'Div 2'!$H$59,'Div 2'!$H$61:$H$64,'Div 2'!$H$66:$H$68,'Div 2'!$H$70:$H$71,'Div 2'!$H$73,'Div 2'!$H$75:$H$79,'Div 2'!$H$81:$H$82,'Div 2'!$H$84,'Div 2'!$H$86:$H$87</definedName>
    <definedName name="OSRRefH22x_0" localSheetId="47">'Div 3'!$H$170:$H$179,'Div 3'!$H$181:$H$187,'Div 3'!$H$189,'Div 3'!$H$191:$H$192,'Div 3'!$H$194,'Div 3'!$H$196:$H$197,'Div 3'!$H$199:$H$200,'Div 3'!$H$202,'Div 3'!$H$204,'Div 3'!$H$206,'Div 3'!$H$208:$H$209,'Div 3'!$H$211,'Div 3'!$H$213,'Div 3'!$H$215,'Div 3'!$H$217,'Div 3'!$H$219,'Div 3'!$H$221,'Div 3'!$H$223:$H$226,'Div 3'!$H$228:$H$230,'Div 3'!$H$232:$H$236,'Div 3'!$H$238:$H$239,'Div 3'!$H$241:$H$248,'Div 3'!$H$250:$H$251,'Div 3'!$H$253,'Div 3'!$H$255:$H$257,'Div 3'!$H$259</definedName>
    <definedName name="OSRRefH22x_0" localSheetId="73">'Div 4'!$H$32:$H$40,'Div 4'!$H$42:$H$48,'Div 4'!$H$50,'Div 4'!$H$52,'Div 4'!$H$54,'Div 4'!$H$56:$H$58,'Div 4'!$H$60,'Div 4'!$H$62,'Div 4'!$H$64,'Div 4'!$H$66,'Div 4'!$H$68,'Div 4'!$H$70:$H$71,'Div 4'!$H$73,'Div 4'!$H$75,'Div 4'!$H$77,'Div 4'!$H$79,'Div 4'!$H$81,'Div 4'!$H$83:$H$86,'Div 4'!$H$88:$H$89,'Div 4'!$H$91:$H$95,'Div 4'!$H$97:$H$98,'Div 4'!$H$100:$H$109,'Div 4'!$H$111,'Div 4'!$H$113,'Div 4'!$H$115:$H$117,'Div 4'!$H$119</definedName>
    <definedName name="OSRRefH22x_0" localSheetId="96">'Div 5'!$H$21:$H$29,'Div 5'!$H$31:$H$35,'Div 5'!$H$37,'Div 5'!$H$39,'Div 5'!$H$41,'Div 5'!$H$43:$H$44,'Div 5'!$H$46,'Div 5'!$H$48,'Div 5'!$H$50,'Div 5'!$H$52:$H$54,'Div 5'!$H$56,'Div 5'!$H$58:$H$60,'Div 5'!$H$62</definedName>
    <definedName name="OSRRefH22x_0" localSheetId="64">'Div 6'!$H$58:$H$66,'Div 6'!$H$68:$H$72,'Div 6'!$H$74,'Div 6'!$H$76,'Div 6'!$H$78,'Div 6'!$H$80:$H$81,'Div 6'!$H$83,'Div 6'!$H$85,'Div 6'!$H$87,'Div 6'!$H$89,'Div 6'!$H$91:$H$93,'Div 6'!$H$95,'Div 6'!$H$97,'Div 6'!$H$99</definedName>
    <definedName name="OSRRefH22x_0" localSheetId="2">Summary!$H$202:$H$211,Summary!$H$213:$H$219,Summary!$H$221,Summary!$H$223:$H$224,Summary!$H$226,Summary!$H$228:$H$230,Summary!$H$232:$H$233,Summary!$H$235,Summary!$H$237,Summary!$H$239,Summary!$H$241:$H$242,Summary!$H$244:$H$245,Summary!$H$247,Summary!$H$249,Summary!$H$251,Summary!$H$253,Summary!$H$255,Summary!$H$257,Summary!$H$259:$H$262,Summary!$H$264:$H$266,Summary!$H$268:$H$272,Summary!$H$274:$H$275,Summary!$H$277:$H$286,Summary!$H$288:$H$289,Summary!$H$291,Summary!$H$293:$H$295,Summary!$H$297</definedName>
    <definedName name="OSRRefH25x_0" localSheetId="48">'300'!$H$253:$H$261</definedName>
    <definedName name="OSRRefH25x_0" localSheetId="49">'300 &amp; 317'!$H$278:$H$289</definedName>
    <definedName name="OSRRefH25x_0" localSheetId="50">'301'!$H$98:$H$100</definedName>
    <definedName name="OSRRefH25x_0" localSheetId="53">'307'!$H$118</definedName>
    <definedName name="OSRRefH25x_0" localSheetId="55">'308'!$H$117:$H$119</definedName>
    <definedName name="OSRRefH25x_0" localSheetId="74">'310 &amp; 491'!$H$127:$H$129</definedName>
    <definedName name="OSRRefH25x_0" localSheetId="56">'311'!$H$116:$H$118</definedName>
    <definedName name="OSRRefH25x_0" localSheetId="59">'315'!$H$129:$H$130</definedName>
    <definedName name="OSRRefH25x_0" localSheetId="62">'316'!$H$83</definedName>
    <definedName name="OSRRefH25x_0" localSheetId="65">'317'!$H$102:$H$105</definedName>
    <definedName name="OSRRefH25x_0" localSheetId="63">'320'!$H$57:$H$61</definedName>
    <definedName name="OSRRefH25x_0" localSheetId="52">'330'!$H$132</definedName>
    <definedName name="OSRRefH25x_0" localSheetId="58">'331'!$H$161:$H$162</definedName>
    <definedName name="OSRRefH25x_0" localSheetId="61">'332'!$H$92:$H$97</definedName>
    <definedName name="OSRRefH25x_0" localSheetId="78">'411'!$H$92:$H$93</definedName>
    <definedName name="OSRRefH25x_0" localSheetId="80">'413'!$H$69</definedName>
    <definedName name="OSRRefH25x_0" localSheetId="82">'415'!$H$90</definedName>
    <definedName name="OSRRefH25x_0" localSheetId="83">'418'!$H$84</definedName>
    <definedName name="OSRRefH25x_0" localSheetId="85">'423'!$H$41</definedName>
    <definedName name="OSRRefH25x_0" localSheetId="86">'424'!$H$61</definedName>
    <definedName name="OSRRefH25x_0" localSheetId="87">'425'!$H$79</definedName>
    <definedName name="OSRRefH25x_0" localSheetId="88">'455'!$H$32:$H$33</definedName>
    <definedName name="OSRRefH25x_0" localSheetId="75">'491'!$H$120:$H$122</definedName>
    <definedName name="OSRRefH25x_0" localSheetId="97">'501'!$H$65</definedName>
    <definedName name="OSRRefH25x_0" localSheetId="47">'Div 3'!$H$262:$H$270</definedName>
    <definedName name="OSRRefH25x_0" localSheetId="73">'Div 4'!$H$122:$H$124</definedName>
    <definedName name="OSRRefH25x_0" localSheetId="96">'Div 5'!$H$65</definedName>
    <definedName name="OSRRefH25x_0" localSheetId="64">'Div 6'!$H$102:$H$105</definedName>
    <definedName name="OSRRefH25x_0" localSheetId="2">Summary!$H$300:$H$312</definedName>
    <definedName name="OSRRefP13x_0" localSheetId="48">'300'!$P$13:$P$107</definedName>
    <definedName name="OSRRefP13x_0" localSheetId="49">'300 &amp; 317'!$P$13:$P$125</definedName>
    <definedName name="OSRRefP13x_0" localSheetId="53">'307'!$P$13:$P$49</definedName>
    <definedName name="OSRRefP13x_0" localSheetId="55">'308'!$P$13:$P$41</definedName>
    <definedName name="OSRRefP13x_0" localSheetId="67">'309'!$P$13:$P$14</definedName>
    <definedName name="OSRRefP13x_0" localSheetId="66">'310'!$P$13:$P$21</definedName>
    <definedName name="OSRRefP13x_0" localSheetId="74">'310 &amp; 491'!$P$13:$P$28</definedName>
    <definedName name="OSRRefP13x_0" localSheetId="56">'311'!$P$13:$P$40</definedName>
    <definedName name="OSRRefP13x_0" localSheetId="68">'313'!$P$13:$P$18</definedName>
    <definedName name="OSRRefP13x_0" localSheetId="54">'314'!$P$13:$P$32</definedName>
    <definedName name="OSRRefP13x_0" localSheetId="59">'315'!$P$13:$P$50</definedName>
    <definedName name="OSRRefP13x_0" localSheetId="62">'316'!$P$13:$P$28</definedName>
    <definedName name="OSRRefP13x_0" localSheetId="65">'317'!$P$13:$P$37</definedName>
    <definedName name="OSRRefP13x_0" localSheetId="63">'320'!$P$13:$P$15</definedName>
    <definedName name="OSRRefP13x_0" localSheetId="69">'321'!$P$13:$P$14</definedName>
    <definedName name="OSRRefP13x_0" localSheetId="70">'322'!$P$13:$P$14</definedName>
    <definedName name="OSRRefP13x_0" localSheetId="57">'324'!$P$13:$P$15</definedName>
    <definedName name="OSRRefP13x_0" localSheetId="71">'325'!$P$13:$P$14</definedName>
    <definedName name="OSRRefP13x_0" localSheetId="60">'326'!$P$13:$P$38</definedName>
    <definedName name="OSRRefP13x_0" localSheetId="72">'327'!$P$13</definedName>
    <definedName name="OSRRefP13x_0" localSheetId="52">'330'!$P$13:$P$53</definedName>
    <definedName name="OSRRefP13x_0" localSheetId="58">'331'!$P$13:$P$54</definedName>
    <definedName name="OSRRefP13x_0" localSheetId="61">'332'!$P$13:$P$30</definedName>
    <definedName name="OSRRefP13x_0" localSheetId="76">'405'!$P$13:$P$14</definedName>
    <definedName name="OSRRefP13x_0" localSheetId="77">'406'!$P$13:$P$14</definedName>
    <definedName name="OSRRefP13x_0" localSheetId="79">'412'!$P$13:$P$14</definedName>
    <definedName name="OSRRefP13x_0" localSheetId="80">'413'!$P$13:$P$14</definedName>
    <definedName name="OSRRefP13x_0" localSheetId="81">'414'!$P$13:$P$14</definedName>
    <definedName name="OSRRefP13x_0" localSheetId="82">'415'!$P$13:$P$14</definedName>
    <definedName name="OSRRefP13x_0" localSheetId="83">'418'!$P$13:$P$14</definedName>
    <definedName name="OSRRefP13x_0" localSheetId="84">'420'!$P$13:$P$14</definedName>
    <definedName name="OSRRefP13x_0" localSheetId="86">'424'!$P$13:$P$14</definedName>
    <definedName name="OSRRefP13x_0" localSheetId="87">'425'!$P$13:$P$16</definedName>
    <definedName name="OSRRefP13x_0" localSheetId="91">'433'!$P$13:$P$15</definedName>
    <definedName name="OSRRefP13x_0" localSheetId="92">'435'!$P$13:$P$15</definedName>
    <definedName name="OSRRefP13x_0" localSheetId="93">'444'!$P$13:$P$15</definedName>
    <definedName name="OSRRefP13x_0" localSheetId="95">'450'!$P$13:$P$15</definedName>
    <definedName name="OSRRefP13x_0" localSheetId="75">'491'!$P$13:$P$22</definedName>
    <definedName name="OSRRefP13x_0" localSheetId="89">'492'!$P$13:$P$17</definedName>
    <definedName name="OSRRefP13x_0" localSheetId="97">'501'!$P$13</definedName>
    <definedName name="OSRRefP13x_0" localSheetId="47">'Div 3'!$P$13:$P$110</definedName>
    <definedName name="OSRRefP13x_0" localSheetId="73">'Div 4'!$P$13:$P$22</definedName>
    <definedName name="OSRRefP13x_0" localSheetId="96">'Div 5'!$P$13</definedName>
    <definedName name="OSRRefP13x_0" localSheetId="64">'Div 6'!$P$13:$P$37</definedName>
    <definedName name="OSRRefP13x_0" localSheetId="2">Summary!$P$13:$P$135</definedName>
    <definedName name="OSRRefP16x_0" localSheetId="48">'300'!$P$110:$P$159</definedName>
    <definedName name="OSRRefP16x_0" localSheetId="49">'300 &amp; 317'!$P$128:$P$184</definedName>
    <definedName name="OSRRefP16x_0" localSheetId="53">'307'!$P$52:$P$71</definedName>
    <definedName name="OSRRefP16x_0" localSheetId="55">'308'!$P$44:$P$59</definedName>
    <definedName name="OSRRefP16x_0" localSheetId="67">'309'!$P$17:$P$18</definedName>
    <definedName name="OSRRefP16x_0" localSheetId="66">'310'!$P$24:$P$25</definedName>
    <definedName name="OSRRefP16x_0" localSheetId="74">'310 &amp; 491'!$P$31:$P$32</definedName>
    <definedName name="OSRRefP16x_0" localSheetId="56">'311'!$P$43:$P$58</definedName>
    <definedName name="OSRRefP16x_0" localSheetId="68">'313'!$P$21:$P$22</definedName>
    <definedName name="OSRRefP16x_0" localSheetId="54">'314'!$P$35:$P$49</definedName>
    <definedName name="OSRRefP16x_0" localSheetId="59">'315'!$P$53:$P$75</definedName>
    <definedName name="OSRRefP16x_0" localSheetId="65">'317'!$P$40:$P$52</definedName>
    <definedName name="OSRRefP16x_0" localSheetId="63">'320'!$P$18:$P$22</definedName>
    <definedName name="OSRRefP16x_0" localSheetId="69">'321'!$P$17:$P$18</definedName>
    <definedName name="OSRRefP16x_0" localSheetId="70">'322'!$P$17:$P$18</definedName>
    <definedName name="OSRRefP16x_0" localSheetId="57">'324'!$P$18:$P$19</definedName>
    <definedName name="OSRRefP16x_0" localSheetId="71">'325'!$P$17:$P$18</definedName>
    <definedName name="OSRRefP16x_0" localSheetId="60">'326'!$P$41:$P$56</definedName>
    <definedName name="OSRRefP16x_0" localSheetId="72">'327'!$P$16</definedName>
    <definedName name="OSRRefP16x_0" localSheetId="52">'330'!$P$56:$P$78</definedName>
    <definedName name="OSRRefP16x_0" localSheetId="58">'331'!$P$57:$P$84</definedName>
    <definedName name="OSRRefP16x_0" localSheetId="61">'332'!$P$33:$P$37</definedName>
    <definedName name="OSRRefP16x_0" localSheetId="76">'405'!$P$17:$P$18</definedName>
    <definedName name="OSRRefP16x_0" localSheetId="77">'406'!$P$17:$P$18</definedName>
    <definedName name="OSRRefP16x_0" localSheetId="79">'412'!$P$17</definedName>
    <definedName name="OSRRefP16x_0" localSheetId="80">'413'!$P$17:$P$18</definedName>
    <definedName name="OSRRefP16x_0" localSheetId="81">'414'!$P$17:$P$18</definedName>
    <definedName name="OSRRefP16x_0" localSheetId="82">'415'!$P$17:$P$18</definedName>
    <definedName name="OSRRefP16x_0" localSheetId="83">'418'!$P$17:$P$18</definedName>
    <definedName name="OSRRefP16x_0" localSheetId="84">'420'!$P$17</definedName>
    <definedName name="OSRRefP16x_0" localSheetId="85">'423'!$P$15</definedName>
    <definedName name="OSRRefP16x_0" localSheetId="86">'424'!$P$17:$P$18</definedName>
    <definedName name="OSRRefP16x_0" localSheetId="87">'425'!$P$19:$P$20</definedName>
    <definedName name="OSRRefP16x_0" localSheetId="91">'433'!$P$18:$P$19</definedName>
    <definedName name="OSRRefP16x_0" localSheetId="92">'435'!$P$18:$P$19</definedName>
    <definedName name="OSRRefP16x_0" localSheetId="93">'444'!$P$18:$P$19</definedName>
    <definedName name="OSRRefP16x_0" localSheetId="95">'450'!$P$18:$P$19</definedName>
    <definedName name="OSRRefP16x_0" localSheetId="75">'491'!$P$25:$P$26</definedName>
    <definedName name="OSRRefP16x_0" localSheetId="89">'492'!$P$20:$P$21</definedName>
    <definedName name="OSRRefP16x_0" localSheetId="47">'Div 3'!$P$113:$P$164</definedName>
    <definedName name="OSRRefP16x_0" localSheetId="73">'Div 4'!$P$25:$P$26</definedName>
    <definedName name="OSRRefP16x_0" localSheetId="64">'Div 6'!$P$40:$P$52</definedName>
    <definedName name="OSRRefP16x_0" localSheetId="2">Summary!$P$138:$P$196</definedName>
    <definedName name="OSRRefP22_0x_0" localSheetId="40">'200'!$P$20</definedName>
    <definedName name="OSRRefP22_0x_0" localSheetId="41">'201'!$P$20:$P$27</definedName>
    <definedName name="OSRRefP22_0x_0" localSheetId="42">'202'!$P$20:$P$27</definedName>
    <definedName name="OSRRefP22_0x_0" localSheetId="43">'203'!$P$20:$P$29</definedName>
    <definedName name="OSRRefP22_0x_0" localSheetId="44">'204'!$P$20:$P$29</definedName>
    <definedName name="OSRRefP22_0x_0" localSheetId="45">'205'!$P$20:$P$27</definedName>
    <definedName name="OSRRefP22_0x_0" localSheetId="46">'206'!$P$20:$P$27</definedName>
    <definedName name="OSRRefP22_0x_0" localSheetId="48">'300'!$P$165:$P$174</definedName>
    <definedName name="OSRRefP22_0x_0" localSheetId="49">'300 &amp; 317'!$P$190:$P$199</definedName>
    <definedName name="OSRRefP22_0x_0" localSheetId="50">'301'!$P$20:$P$29</definedName>
    <definedName name="OSRRefP22_0x_0" localSheetId="51">'306'!$P$20:$P$28</definedName>
    <definedName name="OSRRefP22_0x_0" localSheetId="53">'307'!$P$77:$P$84</definedName>
    <definedName name="OSRRefP22_0x_0" localSheetId="55">'308'!$P$65:$P$73</definedName>
    <definedName name="OSRRefP22_0x_0" localSheetId="67">'309'!$P$24:$P$31</definedName>
    <definedName name="OSRRefP22_0x_0" localSheetId="66">'310'!$P$31:$P$38</definedName>
    <definedName name="OSRRefP22_0x_0" localSheetId="74">'310 &amp; 491'!$P$38:$P$46</definedName>
    <definedName name="OSRRefP22_0x_0" localSheetId="56">'311'!$P$64:$P$72</definedName>
    <definedName name="OSRRefP22_0x_0" localSheetId="68">'313'!$P$28:$P$35</definedName>
    <definedName name="OSRRefP22_0x_0" localSheetId="54">'314'!$P$55:$P$62</definedName>
    <definedName name="OSRRefP22_0x_0" localSheetId="59">'315'!$P$81:$P$88</definedName>
    <definedName name="OSRRefP22_0x_0" localSheetId="62">'316'!$P$36:$P$43</definedName>
    <definedName name="OSRRefP22_0x_0" localSheetId="65">'317'!$P$58:$P$66</definedName>
    <definedName name="OSRRefP22_0x_0" localSheetId="63">'320'!$P$28:$P$34</definedName>
    <definedName name="OSRRefP22_0x_0" localSheetId="69">'321'!$P$24:$P$31</definedName>
    <definedName name="OSRRefP22_0x_0" localSheetId="70">'322'!$P$24:$P$31</definedName>
    <definedName name="OSRRefP22_0x_0" localSheetId="71">'325'!$P$24:$P$31</definedName>
    <definedName name="OSRRefP22_0x_0" localSheetId="60">'326'!$P$62:$P$69</definedName>
    <definedName name="OSRRefP22_0x_0" localSheetId="72">'327'!$P$22</definedName>
    <definedName name="OSRRefP22_0x_0" localSheetId="52">'330'!$P$84:$P$91</definedName>
    <definedName name="OSRRefP22_0x_0" localSheetId="58">'331'!$P$90:$P$97</definedName>
    <definedName name="OSRRefP22_0x_0" localSheetId="61">'332'!$P$43:$P$50</definedName>
    <definedName name="OSRRefP22_0x_0" localSheetId="76">'405'!$P$24:$P$31</definedName>
    <definedName name="OSRRefP22_0x_0" localSheetId="77">'406'!$P$24:$P$31</definedName>
    <definedName name="OSRRefP22_0x_0" localSheetId="78">'411'!$P$20:$P$28</definedName>
    <definedName name="OSRRefP22_0x_0" localSheetId="79">'412'!$P$23:$P$30</definedName>
    <definedName name="OSRRefP22_0x_0" localSheetId="80">'413'!$P$24:$P$31</definedName>
    <definedName name="OSRRefP22_0x_0" localSheetId="81">'414'!$P$24:$P$31</definedName>
    <definedName name="OSRRefP22_0x_0" localSheetId="82">'415'!$P$24:$P$31</definedName>
    <definedName name="OSRRefP22_0x_0" localSheetId="83">'418'!$P$24:$P$31</definedName>
    <definedName name="OSRRefP22_0x_0" localSheetId="84">'420'!$P$23:$P$30</definedName>
    <definedName name="OSRRefP22_0x_0" localSheetId="85">'423'!$P$21:$P$28</definedName>
    <definedName name="OSRRefP22_0x_0" localSheetId="86">'424'!$P$24:$P$25</definedName>
    <definedName name="OSRRefP22_0x_0" localSheetId="87">'425'!$P$26:$P$34</definedName>
    <definedName name="OSRRefP22_0x_0" localSheetId="90">'430'!$P$20:$P$27</definedName>
    <definedName name="OSRRefP22_0x_0" localSheetId="91">'433'!$P$25:$P$33</definedName>
    <definedName name="OSRRefP22_0x_0" localSheetId="92">'435'!$P$25:$P$27</definedName>
    <definedName name="OSRRefP22_0x_0" localSheetId="93">'444'!$P$25:$P$33</definedName>
    <definedName name="OSRRefP22_0x_0" localSheetId="95">'450'!$P$25:$P$33</definedName>
    <definedName name="OSRRefP22_0x_0" localSheetId="88">'455'!$P$20:$P$26</definedName>
    <definedName name="OSRRefP22_0x_0" localSheetId="75">'491'!$P$32:$P$40</definedName>
    <definedName name="OSRRefP22_0x_0" localSheetId="89">'492'!$P$27:$P$35</definedName>
    <definedName name="OSRRefP22_0x_0" localSheetId="97">'501'!$P$21:$P$29</definedName>
    <definedName name="OSRRefP22_0x_0" localSheetId="39">'Div 2'!$P$20:$P$30</definedName>
    <definedName name="OSRRefP22_0x_0" localSheetId="47">'Div 3'!$P$170:$P$179</definedName>
    <definedName name="OSRRefP22_0x_0" localSheetId="73">'Div 4'!$P$32:$P$40</definedName>
    <definedName name="OSRRefP22_0x_0" localSheetId="96">'Div 5'!$P$21:$P$29</definedName>
    <definedName name="OSRRefP22_0x_0" localSheetId="64">'Div 6'!$P$58:$P$66</definedName>
    <definedName name="OSRRefP22_0x_0" localSheetId="2">Summary!$P$202:$P$211</definedName>
    <definedName name="OSRRefP22_10x_0" localSheetId="41">'201'!$P$51:$P$53</definedName>
    <definedName name="OSRRefP22_10x_0" localSheetId="42">'202'!$P$53</definedName>
    <definedName name="OSRRefP22_10x_0" localSheetId="43">'203'!$P$54:$P$55</definedName>
    <definedName name="OSRRefP22_10x_0" localSheetId="44">'204'!$P$56:$P$57</definedName>
    <definedName name="OSRRefP22_10x_0" localSheetId="48">'300'!$P$203:$P$204</definedName>
    <definedName name="OSRRefP22_10x_0" localSheetId="49">'300 &amp; 317'!$P$228:$P$229</definedName>
    <definedName name="OSRRefP22_10x_0" localSheetId="50">'301'!$P$58</definedName>
    <definedName name="OSRRefP22_10x_0" localSheetId="53">'307'!$P$113</definedName>
    <definedName name="OSRRefP22_10x_0" localSheetId="55">'308'!$P$102:$P$103</definedName>
    <definedName name="OSRRefP22_10x_0" localSheetId="67">'309'!$P$56:$P$58</definedName>
    <definedName name="OSRRefP22_10x_0" localSheetId="66">'310'!$P$64</definedName>
    <definedName name="OSRRefP22_10x_0" localSheetId="74">'310 &amp; 491'!$P$74:$P$75</definedName>
    <definedName name="OSRRefP22_10x_0" localSheetId="56">'311'!$P$101:$P$102</definedName>
    <definedName name="OSRRefP22_10x_0" localSheetId="68">'313'!$P$61:$P$65</definedName>
    <definedName name="OSRRefP22_10x_0" localSheetId="59">'315'!$P$121</definedName>
    <definedName name="OSRRefP22_10x_0" localSheetId="62">'316'!$P$69:$P$74</definedName>
    <definedName name="OSRRefP22_10x_0" localSheetId="65">'317'!$P$91:$P$93</definedName>
    <definedName name="OSRRefP22_10x_0" localSheetId="69">'321'!$P$62</definedName>
    <definedName name="OSRRefP22_10x_0" localSheetId="70">'322'!$P$58:$P$63</definedName>
    <definedName name="OSRRefP22_10x_0" localSheetId="71">'325'!$P$56</definedName>
    <definedName name="OSRRefP22_10x_0" localSheetId="60">'326'!$P$94</definedName>
    <definedName name="OSRRefP22_10x_0" localSheetId="52">'330'!$P$118</definedName>
    <definedName name="OSRRefP22_10x_0" localSheetId="58">'331'!$P$124</definedName>
    <definedName name="OSRRefP22_10x_0" localSheetId="61">'332'!$P$76</definedName>
    <definedName name="OSRRefP22_10x_0" localSheetId="76">'405'!$P$55:$P$56</definedName>
    <definedName name="OSRRefP22_10x_0" localSheetId="77">'406'!$P$58:$P$59</definedName>
    <definedName name="OSRRefP22_10x_0" localSheetId="78">'411'!$P$55</definedName>
    <definedName name="OSRRefP22_10x_0" localSheetId="79">'412'!$P$56:$P$57</definedName>
    <definedName name="OSRRefP22_10x_0" localSheetId="80">'413'!$P$64</definedName>
    <definedName name="OSRRefP22_10x_0" localSheetId="81">'414'!$P$57</definedName>
    <definedName name="OSRRefP22_10x_0" localSheetId="82">'415'!$P$57</definedName>
    <definedName name="OSRRefP22_10x_0" localSheetId="83">'418'!$P$57:$P$58</definedName>
    <definedName name="OSRRefP22_10x_0" localSheetId="86">'424'!$P$50</definedName>
    <definedName name="OSRRefP22_10x_0" localSheetId="87">'425'!$P$61</definedName>
    <definedName name="OSRRefP22_10x_0" localSheetId="91">'433'!$P$58</definedName>
    <definedName name="OSRRefP22_10x_0" localSheetId="93">'444'!$P$58</definedName>
    <definedName name="OSRRefP22_10x_0" localSheetId="95">'450'!$P$58</definedName>
    <definedName name="OSRRefP22_10x_0" localSheetId="75">'491'!$P$68</definedName>
    <definedName name="OSRRefP22_10x_0" localSheetId="89">'492'!$P$61</definedName>
    <definedName name="OSRRefP22_10x_0" localSheetId="97">'501'!$P$56</definedName>
    <definedName name="OSRRefP22_10x_0" localSheetId="39">'Div 2'!$P$57</definedName>
    <definedName name="OSRRefP22_10x_0" localSheetId="47">'Div 3'!$P$208:$P$209</definedName>
    <definedName name="OSRRefP22_10x_0" localSheetId="73">'Div 4'!$P$68</definedName>
    <definedName name="OSRRefP22_10x_0" localSheetId="96">'Div 5'!$P$56</definedName>
    <definedName name="OSRRefP22_10x_0" localSheetId="64">'Div 6'!$P$91:$P$93</definedName>
    <definedName name="OSRRefP22_10x_0" localSheetId="2">Summary!$P$241:$P$242</definedName>
    <definedName name="OSRRefP22_11x_0" localSheetId="41">'201'!$P$55</definedName>
    <definedName name="OSRRefP22_11x_0" localSheetId="42">'202'!$P$55:$P$57</definedName>
    <definedName name="OSRRefP22_11x_0" localSheetId="43">'203'!$P$57</definedName>
    <definedName name="OSRRefP22_11x_0" localSheetId="48">'300'!$P$206</definedName>
    <definedName name="OSRRefP22_11x_0" localSheetId="49">'300 &amp; 317'!$P$231</definedName>
    <definedName name="OSRRefP22_11x_0" localSheetId="50">'301'!$P$60</definedName>
    <definedName name="OSRRefP22_11x_0" localSheetId="53">'307'!$P$115</definedName>
    <definedName name="OSRRefP22_11x_0" localSheetId="55">'308'!$P$105:$P$107</definedName>
    <definedName name="OSRRefP22_11x_0" localSheetId="67">'309'!$P$60:$P$62</definedName>
    <definedName name="OSRRefP22_11x_0" localSheetId="66">'310'!$P$66</definedName>
    <definedName name="OSRRefP22_11x_0" localSheetId="74">'310 &amp; 491'!$P$77:$P$78</definedName>
    <definedName name="OSRRefP22_11x_0" localSheetId="56">'311'!$P$104:$P$106</definedName>
    <definedName name="OSRRefP22_11x_0" localSheetId="68">'313'!$P$67</definedName>
    <definedName name="OSRRefP22_11x_0" localSheetId="59">'315'!$P$123</definedName>
    <definedName name="OSRRefP22_11x_0" localSheetId="62">'316'!$P$76</definedName>
    <definedName name="OSRRefP22_11x_0" localSheetId="65">'317'!$P$95</definedName>
    <definedName name="OSRRefP22_11x_0" localSheetId="69">'321'!$P$64</definedName>
    <definedName name="OSRRefP22_11x_0" localSheetId="70">'322'!$P$65</definedName>
    <definedName name="OSRRefP22_11x_0" localSheetId="71">'325'!$P$58:$P$60</definedName>
    <definedName name="OSRRefP22_11x_0" localSheetId="60">'326'!$P$96</definedName>
    <definedName name="OSRRefP22_11x_0" localSheetId="52">'330'!$P$120:$P$123</definedName>
    <definedName name="OSRRefP22_11x_0" localSheetId="58">'331'!$P$126</definedName>
    <definedName name="OSRRefP22_11x_0" localSheetId="61">'332'!$P$78:$P$83</definedName>
    <definedName name="OSRRefP22_11x_0" localSheetId="76">'405'!$P$58</definedName>
    <definedName name="OSRRefP22_11x_0" localSheetId="77">'406'!$P$61:$P$65</definedName>
    <definedName name="OSRRefP22_11x_0" localSheetId="78">'411'!$P$57</definedName>
    <definedName name="OSRRefP22_11x_0" localSheetId="79">'412'!$P$59:$P$64</definedName>
    <definedName name="OSRRefP22_11x_0" localSheetId="80">'413'!$P$66</definedName>
    <definedName name="OSRRefP22_11x_0" localSheetId="81">'414'!$P$59</definedName>
    <definedName name="OSRRefP22_11x_0" localSheetId="82">'415'!$P$59:$P$62</definedName>
    <definedName name="OSRRefP22_11x_0" localSheetId="83">'418'!$P$60:$P$62</definedName>
    <definedName name="OSRRefP22_11x_0" localSheetId="86">'424'!$P$52:$P$56</definedName>
    <definedName name="OSRRefP22_11x_0" localSheetId="87">'425'!$P$63:$P$64</definedName>
    <definedName name="OSRRefP22_11x_0" localSheetId="91">'433'!$P$60:$P$62</definedName>
    <definedName name="OSRRefP22_11x_0" localSheetId="93">'444'!$P$60:$P$62</definedName>
    <definedName name="OSRRefP22_11x_0" localSheetId="95">'450'!$P$60</definedName>
    <definedName name="OSRRefP22_11x_0" localSheetId="75">'491'!$P$70:$P$71</definedName>
    <definedName name="OSRRefP22_11x_0" localSheetId="89">'492'!$P$63</definedName>
    <definedName name="OSRRefP22_11x_0" localSheetId="97">'501'!$P$58:$P$60</definedName>
    <definedName name="OSRRefP22_11x_0" localSheetId="39">'Div 2'!$P$59</definedName>
    <definedName name="OSRRefP22_11x_0" localSheetId="47">'Div 3'!$P$211</definedName>
    <definedName name="OSRRefP22_11x_0" localSheetId="73">'Div 4'!$P$70:$P$71</definedName>
    <definedName name="OSRRefP22_11x_0" localSheetId="96">'Div 5'!$P$58:$P$60</definedName>
    <definedName name="OSRRefP22_11x_0" localSheetId="64">'Div 6'!$P$95</definedName>
    <definedName name="OSRRefP22_11x_0" localSheetId="2">Summary!$P$244:$P$245</definedName>
    <definedName name="OSRRefP22_12x_0" localSheetId="41">'201'!$P$57:$P$60</definedName>
    <definedName name="OSRRefP22_12x_0" localSheetId="42">'202'!$P$59</definedName>
    <definedName name="OSRRefP22_12x_0" localSheetId="43">'203'!$P$59:$P$62</definedName>
    <definedName name="OSRRefP22_12x_0" localSheetId="48">'300'!$P$208</definedName>
    <definedName name="OSRRefP22_12x_0" localSheetId="49">'300 &amp; 317'!$P$233</definedName>
    <definedName name="OSRRefP22_12x_0" localSheetId="50">'301'!$P$62</definedName>
    <definedName name="OSRRefP22_12x_0" localSheetId="55">'308'!$P$109:$P$110</definedName>
    <definedName name="OSRRefP22_12x_0" localSheetId="67">'309'!$P$64</definedName>
    <definedName name="OSRRefP22_12x_0" localSheetId="66">'310'!$P$68</definedName>
    <definedName name="OSRRefP22_12x_0" localSheetId="74">'310 &amp; 491'!$P$80</definedName>
    <definedName name="OSRRefP22_12x_0" localSheetId="56">'311'!$P$108:$P$109</definedName>
    <definedName name="OSRRefP22_12x_0" localSheetId="68">'313'!$P$69</definedName>
    <definedName name="OSRRefP22_12x_0" localSheetId="59">'315'!$P$125:$P$126</definedName>
    <definedName name="OSRRefP22_12x_0" localSheetId="62">'316'!$P$78</definedName>
    <definedName name="OSRRefP22_12x_0" localSheetId="65">'317'!$P$97</definedName>
    <definedName name="OSRRefP22_12x_0" localSheetId="70">'322'!$P$67</definedName>
    <definedName name="OSRRefP22_12x_0" localSheetId="71">'325'!$P$62:$P$64</definedName>
    <definedName name="OSRRefP22_12x_0" localSheetId="60">'326'!$P$98:$P$100</definedName>
    <definedName name="OSRRefP22_12x_0" localSheetId="52">'330'!$P$125</definedName>
    <definedName name="OSRRefP22_12x_0" localSheetId="58">'331'!$P$128</definedName>
    <definedName name="OSRRefP22_12x_0" localSheetId="61">'332'!$P$85</definedName>
    <definedName name="OSRRefP22_12x_0" localSheetId="76">'405'!$P$60:$P$62</definedName>
    <definedName name="OSRRefP22_12x_0" localSheetId="77">'406'!$P$67</definedName>
    <definedName name="OSRRefP22_12x_0" localSheetId="78">'411'!$P$59:$P$61</definedName>
    <definedName name="OSRRefP22_12x_0" localSheetId="79">'412'!$P$66</definedName>
    <definedName name="OSRRefP22_12x_0" localSheetId="81">'414'!$P$61</definedName>
    <definedName name="OSRRefP22_12x_0" localSheetId="82">'415'!$P$64:$P$68</definedName>
    <definedName name="OSRRefP22_12x_0" localSheetId="83">'418'!$P$64:$P$66</definedName>
    <definedName name="OSRRefP22_12x_0" localSheetId="86">'424'!$P$58</definedName>
    <definedName name="OSRRefP22_12x_0" localSheetId="87">'425'!$P$66:$P$72</definedName>
    <definedName name="OSRRefP22_12x_0" localSheetId="91">'433'!$P$64:$P$66</definedName>
    <definedName name="OSRRefP22_12x_0" localSheetId="93">'444'!$P$64:$P$67</definedName>
    <definedName name="OSRRefP22_12x_0" localSheetId="95">'450'!$P$62:$P$63</definedName>
    <definedName name="OSRRefP22_12x_0" localSheetId="75">'491'!$P$73</definedName>
    <definedName name="OSRRefP22_12x_0" localSheetId="89">'492'!$P$65:$P$67</definedName>
    <definedName name="OSRRefP22_12x_0" localSheetId="97">'501'!$P$62</definedName>
    <definedName name="OSRRefP22_12x_0" localSheetId="39">'Div 2'!$P$61:$P$64</definedName>
    <definedName name="OSRRefP22_12x_0" localSheetId="47">'Div 3'!$P$213</definedName>
    <definedName name="OSRRefP22_12x_0" localSheetId="73">'Div 4'!$P$73</definedName>
    <definedName name="OSRRefP22_12x_0" localSheetId="96">'Div 5'!$P$62</definedName>
    <definedName name="OSRRefP22_12x_0" localSheetId="64">'Div 6'!$P$97</definedName>
    <definedName name="OSRRefP22_12x_0" localSheetId="2">Summary!$P$247</definedName>
    <definedName name="OSRRefP22_13x_0" localSheetId="41">'201'!$P$62</definedName>
    <definedName name="OSRRefP22_13x_0" localSheetId="42">'202'!$P$61</definedName>
    <definedName name="OSRRefP22_13x_0" localSheetId="43">'203'!$P$64</definedName>
    <definedName name="OSRRefP22_13x_0" localSheetId="48">'300'!$P$210</definedName>
    <definedName name="OSRRefP22_13x_0" localSheetId="49">'300 &amp; 317'!$P$235</definedName>
    <definedName name="OSRRefP22_13x_0" localSheetId="50">'301'!$P$64</definedName>
    <definedName name="OSRRefP22_13x_0" localSheetId="55">'308'!$P$112</definedName>
    <definedName name="OSRRefP22_13x_0" localSheetId="66">'310'!$P$70</definedName>
    <definedName name="OSRRefP22_13x_0" localSheetId="74">'310 &amp; 491'!$P$82</definedName>
    <definedName name="OSRRefP22_13x_0" localSheetId="56">'311'!$P$111</definedName>
    <definedName name="OSRRefP22_13x_0" localSheetId="62">'316'!$P$80</definedName>
    <definedName name="OSRRefP22_13x_0" localSheetId="65">'317'!$P$99</definedName>
    <definedName name="OSRRefP22_13x_0" localSheetId="71">'325'!$P$66</definedName>
    <definedName name="OSRRefP22_13x_0" localSheetId="60">'326'!$P$102:$P$104</definedName>
    <definedName name="OSRRefP22_13x_0" localSheetId="52">'330'!$P$127</definedName>
    <definedName name="OSRRefP22_13x_0" localSheetId="58">'331'!$P$130:$P$132</definedName>
    <definedName name="OSRRefP22_13x_0" localSheetId="61">'332'!$P$87</definedName>
    <definedName name="OSRRefP22_13x_0" localSheetId="76">'405'!$P$64:$P$65</definedName>
    <definedName name="OSRRefP22_13x_0" localSheetId="77">'406'!$P$69</definedName>
    <definedName name="OSRRefP22_13x_0" localSheetId="78">'411'!$P$63:$P$67</definedName>
    <definedName name="OSRRefP22_13x_0" localSheetId="79">'412'!$P$68</definedName>
    <definedName name="OSRRefP22_13x_0" localSheetId="81">'414'!$P$63:$P$69</definedName>
    <definedName name="OSRRefP22_13x_0" localSheetId="82">'415'!$P$70:$P$71</definedName>
    <definedName name="OSRRefP22_13x_0" localSheetId="83">'418'!$P$68:$P$69</definedName>
    <definedName name="OSRRefP22_13x_0" localSheetId="87">'425'!$P$74</definedName>
    <definedName name="OSRRefP22_13x_0" localSheetId="91">'433'!$P$68:$P$75</definedName>
    <definedName name="OSRRefP22_13x_0" localSheetId="93">'444'!$P$69</definedName>
    <definedName name="OSRRefP22_13x_0" localSheetId="95">'450'!$P$65:$P$67</definedName>
    <definedName name="OSRRefP22_13x_0" localSheetId="75">'491'!$P$75</definedName>
    <definedName name="OSRRefP22_13x_0" localSheetId="89">'492'!$P$69:$P$72</definedName>
    <definedName name="OSRRefP22_13x_0" localSheetId="39">'Div 2'!$P$66:$P$68</definedName>
    <definedName name="OSRRefP22_13x_0" localSheetId="47">'Div 3'!$P$215</definedName>
    <definedName name="OSRRefP22_13x_0" localSheetId="73">'Div 4'!$P$75</definedName>
    <definedName name="OSRRefP22_13x_0" localSheetId="64">'Div 6'!$P$99</definedName>
    <definedName name="OSRRefP22_13x_0" localSheetId="2">Summary!$P$249</definedName>
    <definedName name="OSRRefP22_14x_0" localSheetId="41">'201'!$P$64</definedName>
    <definedName name="OSRRefP22_14x_0" localSheetId="42">'202'!$P$63</definedName>
    <definedName name="OSRRefP22_14x_0" localSheetId="43">'203'!$P$66</definedName>
    <definedName name="OSRRefP22_14x_0" localSheetId="48">'300'!$P$212</definedName>
    <definedName name="OSRRefP22_14x_0" localSheetId="49">'300 &amp; 317'!$P$237</definedName>
    <definedName name="OSRRefP22_14x_0" localSheetId="50">'301'!$P$66</definedName>
    <definedName name="OSRRefP22_14x_0" localSheetId="55">'308'!$P$114</definedName>
    <definedName name="OSRRefP22_14x_0" localSheetId="66">'310'!$P$72:$P$74</definedName>
    <definedName name="OSRRefP22_14x_0" localSheetId="74">'310 &amp; 491'!$P$84</definedName>
    <definedName name="OSRRefP22_14x_0" localSheetId="56">'311'!$P$113</definedName>
    <definedName name="OSRRefP22_14x_0" localSheetId="71">'325'!$P$68:$P$72</definedName>
    <definedName name="OSRRefP22_14x_0" localSheetId="60">'326'!$P$106:$P$107</definedName>
    <definedName name="OSRRefP22_14x_0" localSheetId="52">'330'!$P$129</definedName>
    <definedName name="OSRRefP22_14x_0" localSheetId="58">'331'!$P$134:$P$135</definedName>
    <definedName name="OSRRefP22_14x_0" localSheetId="61">'332'!$P$89</definedName>
    <definedName name="OSRRefP22_14x_0" localSheetId="76">'405'!$P$67:$P$73</definedName>
    <definedName name="OSRRefP22_14x_0" localSheetId="78">'411'!$P$69</definedName>
    <definedName name="OSRRefP22_14x_0" localSheetId="81">'414'!$P$71</definedName>
    <definedName name="OSRRefP22_14x_0" localSheetId="82">'415'!$P$73:$P$81</definedName>
    <definedName name="OSRRefP22_14x_0" localSheetId="83">'418'!$P$71:$P$77</definedName>
    <definedName name="OSRRefP22_14x_0" localSheetId="87">'425'!$P$76</definedName>
    <definedName name="OSRRefP22_14x_0" localSheetId="91">'433'!$P$77</definedName>
    <definedName name="OSRRefP22_14x_0" localSheetId="93">'444'!$P$71:$P$79</definedName>
    <definedName name="OSRRefP22_14x_0" localSheetId="95">'450'!$P$69:$P$74</definedName>
    <definedName name="OSRRefP22_14x_0" localSheetId="75">'491'!$P$77</definedName>
    <definedName name="OSRRefP22_14x_0" localSheetId="89">'492'!$P$74</definedName>
    <definedName name="OSRRefP22_14x_0" localSheetId="39">'Div 2'!$P$70:$P$71</definedName>
    <definedName name="OSRRefP22_14x_0" localSheetId="47">'Div 3'!$P$217</definedName>
    <definedName name="OSRRefP22_14x_0" localSheetId="73">'Div 4'!$P$77</definedName>
    <definedName name="OSRRefP22_14x_0" localSheetId="2">Summary!$P$251</definedName>
    <definedName name="OSRRefP22_15x_0" localSheetId="41">'201'!$P$66</definedName>
    <definedName name="OSRRefP22_15x_0" localSheetId="43">'203'!$P$68</definedName>
    <definedName name="OSRRefP22_15x_0" localSheetId="48">'300'!$P$214</definedName>
    <definedName name="OSRRefP22_15x_0" localSheetId="49">'300 &amp; 317'!$P$239</definedName>
    <definedName name="OSRRefP22_15x_0" localSheetId="50">'301'!$P$68:$P$71</definedName>
    <definedName name="OSRRefP22_15x_0" localSheetId="66">'310'!$P$76</definedName>
    <definedName name="OSRRefP22_15x_0" localSheetId="74">'310 &amp; 491'!$P$86</definedName>
    <definedName name="OSRRefP22_15x_0" localSheetId="71">'325'!$P$74</definedName>
    <definedName name="OSRRefP22_15x_0" localSheetId="60">'326'!$P$109:$P$114</definedName>
    <definedName name="OSRRefP22_15x_0" localSheetId="58">'331'!$P$137:$P$139</definedName>
    <definedName name="OSRRefP22_15x_0" localSheetId="76">'405'!$P$75</definedName>
    <definedName name="OSRRefP22_15x_0" localSheetId="78">'411'!$P$71:$P$79</definedName>
    <definedName name="OSRRefP22_15x_0" localSheetId="81">'414'!$P$73</definedName>
    <definedName name="OSRRefP22_15x_0" localSheetId="82">'415'!$P$83</definedName>
    <definedName name="OSRRefP22_15x_0" localSheetId="83">'418'!$P$79</definedName>
    <definedName name="OSRRefP22_15x_0" localSheetId="91">'433'!$P$79</definedName>
    <definedName name="OSRRefP22_15x_0" localSheetId="93">'444'!$P$81</definedName>
    <definedName name="OSRRefP22_15x_0" localSheetId="95">'450'!$P$76</definedName>
    <definedName name="OSRRefP22_15x_0" localSheetId="75">'491'!$P$79</definedName>
    <definedName name="OSRRefP22_15x_0" localSheetId="89">'492'!$P$76:$P$84</definedName>
    <definedName name="OSRRefP22_15x_0" localSheetId="39">'Div 2'!$P$73</definedName>
    <definedName name="OSRRefP22_15x_0" localSheetId="47">'Div 3'!$P$219</definedName>
    <definedName name="OSRRefP22_15x_0" localSheetId="73">'Div 4'!$P$79</definedName>
    <definedName name="OSRRefP22_15x_0" localSheetId="2">Summary!$P$253</definedName>
    <definedName name="OSRRefP22_16x_0" localSheetId="48">'300'!$P$216:$P$219</definedName>
    <definedName name="OSRRefP22_16x_0" localSheetId="49">'300 &amp; 317'!$P$241:$P$244</definedName>
    <definedName name="OSRRefP22_16x_0" localSheetId="50">'301'!$P$73:$P$75</definedName>
    <definedName name="OSRRefP22_16x_0" localSheetId="66">'310'!$P$78:$P$81</definedName>
    <definedName name="OSRRefP22_16x_0" localSheetId="74">'310 &amp; 491'!$P$88:$P$91</definedName>
    <definedName name="OSRRefP22_16x_0" localSheetId="71">'325'!$P$76</definedName>
    <definedName name="OSRRefP22_16x_0" localSheetId="60">'326'!$P$116</definedName>
    <definedName name="OSRRefP22_16x_0" localSheetId="58">'331'!$P$141:$P$142</definedName>
    <definedName name="OSRRefP22_16x_0" localSheetId="76">'405'!$P$77</definedName>
    <definedName name="OSRRefP22_16x_0" localSheetId="78">'411'!$P$81</definedName>
    <definedName name="OSRRefP22_16x_0" localSheetId="82">'415'!$P$85</definedName>
    <definedName name="OSRRefP22_16x_0" localSheetId="83">'418'!$P$81</definedName>
    <definedName name="OSRRefP22_16x_0" localSheetId="91">'433'!$P$81</definedName>
    <definedName name="OSRRefP22_16x_0" localSheetId="93">'444'!$P$83</definedName>
    <definedName name="OSRRefP22_16x_0" localSheetId="95">'450'!$P$78</definedName>
    <definedName name="OSRRefP22_16x_0" localSheetId="75">'491'!$P$81:$P$84</definedName>
    <definedName name="OSRRefP22_16x_0" localSheetId="89">'492'!$P$86</definedName>
    <definedName name="OSRRefP22_16x_0" localSheetId="39">'Div 2'!$P$75:$P$79</definedName>
    <definedName name="OSRRefP22_16x_0" localSheetId="47">'Div 3'!$P$221</definedName>
    <definedName name="OSRRefP22_16x_0" localSheetId="73">'Div 4'!$P$81</definedName>
    <definedName name="OSRRefP22_16x_0" localSheetId="2">Summary!$P$255</definedName>
    <definedName name="OSRRefP22_17x_0" localSheetId="48">'300'!$P$221:$P$223</definedName>
    <definedName name="OSRRefP22_17x_0" localSheetId="49">'300 &amp; 317'!$P$246:$P$248</definedName>
    <definedName name="OSRRefP22_17x_0" localSheetId="50">'301'!$P$77:$P$78</definedName>
    <definedName name="OSRRefP22_17x_0" localSheetId="66">'310'!$P$83</definedName>
    <definedName name="OSRRefP22_17x_0" localSheetId="74">'310 &amp; 491'!$P$93:$P$94</definedName>
    <definedName name="OSRRefP22_17x_0" localSheetId="71">'325'!$P$78</definedName>
    <definedName name="OSRRefP22_17x_0" localSheetId="60">'326'!$P$118</definedName>
    <definedName name="OSRRefP22_17x_0" localSheetId="58">'331'!$P$144:$P$149</definedName>
    <definedName name="OSRRefP22_17x_0" localSheetId="76">'405'!$P$79</definedName>
    <definedName name="OSRRefP22_17x_0" localSheetId="78">'411'!$P$83</definedName>
    <definedName name="OSRRefP22_17x_0" localSheetId="82">'415'!$P$87</definedName>
    <definedName name="OSRRefP22_17x_0" localSheetId="93">'444'!$P$85</definedName>
    <definedName name="OSRRefP22_17x_0" localSheetId="95">'450'!$P$80</definedName>
    <definedName name="OSRRefP22_17x_0" localSheetId="75">'491'!$P$86:$P$87</definedName>
    <definedName name="OSRRefP22_17x_0" localSheetId="89">'492'!$P$88</definedName>
    <definedName name="OSRRefP22_17x_0" localSheetId="39">'Div 2'!$P$81:$P$82</definedName>
    <definedName name="OSRRefP22_17x_0" localSheetId="47">'Div 3'!$P$223:$P$226</definedName>
    <definedName name="OSRRefP22_17x_0" localSheetId="73">'Div 4'!$P$83:$P$86</definedName>
    <definedName name="OSRRefP22_17x_0" localSheetId="2">Summary!$P$257</definedName>
    <definedName name="OSRRefP22_18x_0" localSheetId="48">'300'!$P$225:$P$228</definedName>
    <definedName name="OSRRefP22_18x_0" localSheetId="49">'300 &amp; 317'!$P$250:$P$253</definedName>
    <definedName name="OSRRefP22_18x_0" localSheetId="50">'301'!$P$80:$P$85</definedName>
    <definedName name="OSRRefP22_18x_0" localSheetId="66">'310'!$P$85:$P$92</definedName>
    <definedName name="OSRRefP22_18x_0" localSheetId="74">'310 &amp; 491'!$P$96:$P$100</definedName>
    <definedName name="OSRRefP22_18x_0" localSheetId="60">'326'!$P$120</definedName>
    <definedName name="OSRRefP22_18x_0" localSheetId="58">'331'!$P$151</definedName>
    <definedName name="OSRRefP22_18x_0" localSheetId="78">'411'!$P$85:$P$87</definedName>
    <definedName name="OSRRefP22_18x_0" localSheetId="75">'491'!$P$89:$P$93</definedName>
    <definedName name="OSRRefP22_18x_0" localSheetId="89">'492'!$P$90</definedName>
    <definedName name="OSRRefP22_18x_0" localSheetId="39">'Div 2'!$P$84</definedName>
    <definedName name="OSRRefP22_18x_0" localSheetId="47">'Div 3'!$P$228:$P$230</definedName>
    <definedName name="OSRRefP22_18x_0" localSheetId="73">'Div 4'!$P$88:$P$89</definedName>
    <definedName name="OSRRefP22_18x_0" localSheetId="2">Summary!$P$259:$P$262</definedName>
    <definedName name="OSRRefP22_19x_0" localSheetId="48">'300'!$P$230:$P$231</definedName>
    <definedName name="OSRRefP22_19x_0" localSheetId="49">'300 &amp; 317'!$P$255:$P$256</definedName>
    <definedName name="OSRRefP22_19x_0" localSheetId="50">'301'!$P$87</definedName>
    <definedName name="OSRRefP22_19x_0" localSheetId="66">'310'!$P$94</definedName>
    <definedName name="OSRRefP22_19x_0" localSheetId="74">'310 &amp; 491'!$P$102:$P$103</definedName>
    <definedName name="OSRRefP22_19x_0" localSheetId="60">'326'!$P$122</definedName>
    <definedName name="OSRRefP22_19x_0" localSheetId="58">'331'!$P$153</definedName>
    <definedName name="OSRRefP22_19x_0" localSheetId="78">'411'!$P$89</definedName>
    <definedName name="OSRRefP22_19x_0" localSheetId="75">'491'!$P$95:$P$96</definedName>
    <definedName name="OSRRefP22_19x_0" localSheetId="39">'Div 2'!$P$86:$P$87</definedName>
    <definedName name="OSRRefP22_19x_0" localSheetId="47">'Div 3'!$P$232:$P$236</definedName>
    <definedName name="OSRRefP22_19x_0" localSheetId="73">'Div 4'!$P$91:$P$95</definedName>
    <definedName name="OSRRefP22_19x_0" localSheetId="2">Summary!$P$264:$P$266</definedName>
    <definedName name="OSRRefP22_1x_0" localSheetId="40">'200'!$P$22</definedName>
    <definedName name="OSRRefP22_1x_0" localSheetId="41">'201'!$P$29:$P$31</definedName>
    <definedName name="OSRRefP22_1x_0" localSheetId="42">'202'!$P$29:$P$32</definedName>
    <definedName name="OSRRefP22_1x_0" localSheetId="43">'203'!$P$31:$P$35</definedName>
    <definedName name="OSRRefP22_1x_0" localSheetId="44">'204'!$P$31:$P$35</definedName>
    <definedName name="OSRRefP22_1x_0" localSheetId="45">'205'!$P$29</definedName>
    <definedName name="OSRRefP22_1x_0" localSheetId="46">'206'!$P$29:$P$32</definedName>
    <definedName name="OSRRefP22_1x_0" localSheetId="48">'300'!$P$176:$P$182</definedName>
    <definedName name="OSRRefP22_1x_0" localSheetId="49">'300 &amp; 317'!$P$201:$P$207</definedName>
    <definedName name="OSRRefP22_1x_0" localSheetId="50">'301'!$P$31:$P$37</definedName>
    <definedName name="OSRRefP22_1x_0" localSheetId="51">'306'!$P$30:$P$35</definedName>
    <definedName name="OSRRefP22_1x_0" localSheetId="53">'307'!$P$86:$P$89</definedName>
    <definedName name="OSRRefP22_1x_0" localSheetId="55">'308'!$P$75:$P$81</definedName>
    <definedName name="OSRRefP22_1x_0" localSheetId="67">'309'!$P$33:$P$37</definedName>
    <definedName name="OSRRefP22_1x_0" localSheetId="66">'310'!$P$40:$P$45</definedName>
    <definedName name="OSRRefP22_1x_0" localSheetId="74">'310 &amp; 491'!$P$48:$P$54</definedName>
    <definedName name="OSRRefP22_1x_0" localSheetId="56">'311'!$P$74:$P$80</definedName>
    <definedName name="OSRRefP22_1x_0" localSheetId="68">'313'!$P$37:$P$41</definedName>
    <definedName name="OSRRefP22_1x_0" localSheetId="54">'314'!$P$64:$P$66</definedName>
    <definedName name="OSRRefP22_1x_0" localSheetId="59">'315'!$P$90:$P$95</definedName>
    <definedName name="OSRRefP22_1x_0" localSheetId="62">'316'!$P$45:$P$48</definedName>
    <definedName name="OSRRefP22_1x_0" localSheetId="65">'317'!$P$68:$P$72</definedName>
    <definedName name="OSRRefP22_1x_0" localSheetId="63">'320'!$P$36:$P$38</definedName>
    <definedName name="OSRRefP22_1x_0" localSheetId="69">'321'!$P$33:$P$37</definedName>
    <definedName name="OSRRefP22_1x_0" localSheetId="70">'322'!$P$33:$P$37</definedName>
    <definedName name="OSRRefP22_1x_0" localSheetId="71">'325'!$P$33:$P$37</definedName>
    <definedName name="OSRRefP22_1x_0" localSheetId="60">'326'!$P$71:$P$76</definedName>
    <definedName name="OSRRefP22_1x_0" localSheetId="72">'327'!$P$24</definedName>
    <definedName name="OSRRefP22_1x_0" localSheetId="52">'330'!$P$93:$P$97</definedName>
    <definedName name="OSRRefP22_1x_0" localSheetId="58">'331'!$P$99:$P$104</definedName>
    <definedName name="OSRRefP22_1x_0" localSheetId="61">'332'!$P$52:$P$55</definedName>
    <definedName name="OSRRefP22_1x_0" localSheetId="76">'405'!$P$33:$P$36</definedName>
    <definedName name="OSRRefP22_1x_0" localSheetId="77">'406'!$P$33:$P$38</definedName>
    <definedName name="OSRRefP22_1x_0" localSheetId="78">'411'!$P$30:$P$35</definedName>
    <definedName name="OSRRefP22_1x_0" localSheetId="79">'412'!$P$32:$P$37</definedName>
    <definedName name="OSRRefP22_1x_0" localSheetId="80">'413'!$P$33:$P$37</definedName>
    <definedName name="OSRRefP22_1x_0" localSheetId="81">'414'!$P$33:$P$38</definedName>
    <definedName name="OSRRefP22_1x_0" localSheetId="82">'415'!$P$33:$P$38</definedName>
    <definedName name="OSRRefP22_1x_0" localSheetId="83">'418'!$P$33:$P$38</definedName>
    <definedName name="OSRRefP22_1x_0" localSheetId="84">'420'!$P$32:$P$35</definedName>
    <definedName name="OSRRefP22_1x_0" localSheetId="85">'423'!$P$30</definedName>
    <definedName name="OSRRefP22_1x_0" localSheetId="86">'424'!$P$27:$P$31</definedName>
    <definedName name="OSRRefP22_1x_0" localSheetId="87">'425'!$P$36:$P$41</definedName>
    <definedName name="OSRRefP22_1x_0" localSheetId="90">'430'!$P$29</definedName>
    <definedName name="OSRRefP22_1x_0" localSheetId="91">'433'!$P$35:$P$40</definedName>
    <definedName name="OSRRefP22_1x_0" localSheetId="92">'435'!$P$29:$P$31</definedName>
    <definedName name="OSRRefP22_1x_0" localSheetId="93">'444'!$P$35:$P$40</definedName>
    <definedName name="OSRRefP22_1x_0" localSheetId="95">'450'!$P$35:$P$40</definedName>
    <definedName name="OSRRefP22_1x_0" localSheetId="88">'455'!$P$28:$P$29</definedName>
    <definedName name="OSRRefP22_1x_0" localSheetId="75">'491'!$P$42:$P$48</definedName>
    <definedName name="OSRRefP22_1x_0" localSheetId="89">'492'!$P$37:$P$43</definedName>
    <definedName name="OSRRefP22_1x_0" localSheetId="97">'501'!$P$31:$P$35</definedName>
    <definedName name="OSRRefP22_1x_0" localSheetId="39">'Div 2'!$P$32:$P$38</definedName>
    <definedName name="OSRRefP22_1x_0" localSheetId="47">'Div 3'!$P$181:$P$187</definedName>
    <definedName name="OSRRefP22_1x_0" localSheetId="73">'Div 4'!$P$42:$P$48</definedName>
    <definedName name="OSRRefP22_1x_0" localSheetId="96">'Div 5'!$P$31:$P$35</definedName>
    <definedName name="OSRRefP22_1x_0" localSheetId="64">'Div 6'!$P$68:$P$72</definedName>
    <definedName name="OSRRefP22_1x_0" localSheetId="2">Summary!$P$213:$P$219</definedName>
    <definedName name="OSRRefP22_20x_0" localSheetId="48">'300'!$P$233:$P$239</definedName>
    <definedName name="OSRRefP22_20x_0" localSheetId="49">'300 &amp; 317'!$P$258:$P$264</definedName>
    <definedName name="OSRRefP22_20x_0" localSheetId="50">'301'!$P$89</definedName>
    <definedName name="OSRRefP22_20x_0" localSheetId="66">'310'!$P$96</definedName>
    <definedName name="OSRRefP22_20x_0" localSheetId="74">'310 &amp; 491'!$P$105:$P$114</definedName>
    <definedName name="OSRRefP22_20x_0" localSheetId="58">'331'!$P$155:$P$156</definedName>
    <definedName name="OSRRefP22_20x_0" localSheetId="75">'491'!$P$98:$P$107</definedName>
    <definedName name="OSRRefP22_20x_0" localSheetId="47">'Div 3'!$P$238:$P$239</definedName>
    <definedName name="OSRRefP22_20x_0" localSheetId="73">'Div 4'!$P$97:$P$98</definedName>
    <definedName name="OSRRefP22_20x_0" localSheetId="2">Summary!$P$268:$P$272</definedName>
    <definedName name="OSRRefP22_21x_0" localSheetId="48">'300'!$P$241:$P$242</definedName>
    <definedName name="OSRRefP22_21x_0" localSheetId="49">'300 &amp; 317'!$P$266:$P$267</definedName>
    <definedName name="OSRRefP22_21x_0" localSheetId="50">'301'!$P$91:$P$93</definedName>
    <definedName name="OSRRefP22_21x_0" localSheetId="66">'310'!$P$98</definedName>
    <definedName name="OSRRefP22_21x_0" localSheetId="74">'310 &amp; 491'!$P$116</definedName>
    <definedName name="OSRRefP22_21x_0" localSheetId="58">'331'!$P$158</definedName>
    <definedName name="OSRRefP22_21x_0" localSheetId="75">'491'!$P$109</definedName>
    <definedName name="OSRRefP22_21x_0" localSheetId="47">'Div 3'!$P$241:$P$248</definedName>
    <definedName name="OSRRefP22_21x_0" localSheetId="73">'Div 4'!$P$100:$P$109</definedName>
    <definedName name="OSRRefP22_21x_0" localSheetId="2">Summary!$P$274:$P$275</definedName>
    <definedName name="OSRRefP22_22x_0" localSheetId="48">'300'!$P$244</definedName>
    <definedName name="OSRRefP22_22x_0" localSheetId="49">'300 &amp; 317'!$P$269</definedName>
    <definedName name="OSRRefP22_22x_0" localSheetId="50">'301'!$P$95</definedName>
    <definedName name="OSRRefP22_22x_0" localSheetId="74">'310 &amp; 491'!$P$118</definedName>
    <definedName name="OSRRefP22_22x_0" localSheetId="75">'491'!$P$111</definedName>
    <definedName name="OSRRefP22_22x_0" localSheetId="47">'Div 3'!$P$250:$P$251</definedName>
    <definedName name="OSRRefP22_22x_0" localSheetId="73">'Div 4'!$P$111</definedName>
    <definedName name="OSRRefP22_22x_0" localSheetId="2">Summary!$P$277:$P$286</definedName>
    <definedName name="OSRRefP22_23x_0" localSheetId="48">'300'!$P$246:$P$248</definedName>
    <definedName name="OSRRefP22_23x_0" localSheetId="49">'300 &amp; 317'!$P$271:$P$273</definedName>
    <definedName name="OSRRefP22_23x_0" localSheetId="74">'310 &amp; 491'!$P$120:$P$122</definedName>
    <definedName name="OSRRefP22_23x_0" localSheetId="75">'491'!$P$113:$P$115</definedName>
    <definedName name="OSRRefP22_23x_0" localSheetId="47">'Div 3'!$P$253</definedName>
    <definedName name="OSRRefP22_23x_0" localSheetId="73">'Div 4'!$P$113</definedName>
    <definedName name="OSRRefP22_23x_0" localSheetId="2">Summary!$P$288:$P$289</definedName>
    <definedName name="OSRRefP22_24x_0" localSheetId="48">'300'!$P$250</definedName>
    <definedName name="OSRRefP22_24x_0" localSheetId="49">'300 &amp; 317'!$P$275</definedName>
    <definedName name="OSRRefP22_24x_0" localSheetId="74">'310 &amp; 491'!$P$124</definedName>
    <definedName name="OSRRefP22_24x_0" localSheetId="75">'491'!$P$117</definedName>
    <definedName name="OSRRefP22_24x_0" localSheetId="47">'Div 3'!$P$255:$P$257</definedName>
    <definedName name="OSRRefP22_24x_0" localSheetId="73">'Div 4'!$P$115:$P$117</definedName>
    <definedName name="OSRRefP22_24x_0" localSheetId="2">Summary!$P$291</definedName>
    <definedName name="OSRRefP22_25x_0" localSheetId="47">'Div 3'!$P$259</definedName>
    <definedName name="OSRRefP22_25x_0" localSheetId="73">'Div 4'!$P$119</definedName>
    <definedName name="OSRRefP22_25x_0" localSheetId="2">Summary!$P$293:$P$295</definedName>
    <definedName name="OSRRefP22_26x_0" localSheetId="2">Summary!$P$297</definedName>
    <definedName name="OSRRefP22_2x_0" localSheetId="40">'200'!$P$24</definedName>
    <definedName name="OSRRefP22_2x_0" localSheetId="41">'201'!$P$33</definedName>
    <definedName name="OSRRefP22_2x_0" localSheetId="42">'202'!$P$34</definedName>
    <definedName name="OSRRefP22_2x_0" localSheetId="43">'203'!$P$37</definedName>
    <definedName name="OSRRefP22_2x_0" localSheetId="44">'204'!$P$37</definedName>
    <definedName name="OSRRefP22_2x_0" localSheetId="45">'205'!$P$31</definedName>
    <definedName name="OSRRefP22_2x_0" localSheetId="46">'206'!$P$34</definedName>
    <definedName name="OSRRefP22_2x_0" localSheetId="48">'300'!$P$184</definedName>
    <definedName name="OSRRefP22_2x_0" localSheetId="49">'300 &amp; 317'!$P$209</definedName>
    <definedName name="OSRRefP22_2x_0" localSheetId="50">'301'!$P$39</definedName>
    <definedName name="OSRRefP22_2x_0" localSheetId="51">'306'!$P$37</definedName>
    <definedName name="OSRRefP22_2x_0" localSheetId="53">'307'!$P$91</definedName>
    <definedName name="OSRRefP22_2x_0" localSheetId="55">'308'!$P$83</definedName>
    <definedName name="OSRRefP22_2x_0" localSheetId="67">'309'!$P$39</definedName>
    <definedName name="OSRRefP22_2x_0" localSheetId="66">'310'!$P$47</definedName>
    <definedName name="OSRRefP22_2x_0" localSheetId="74">'310 &amp; 491'!$P$56</definedName>
    <definedName name="OSRRefP22_2x_0" localSheetId="56">'311'!$P$82</definedName>
    <definedName name="OSRRefP22_2x_0" localSheetId="68">'313'!$P$43</definedName>
    <definedName name="OSRRefP22_2x_0" localSheetId="54">'314'!$P$68</definedName>
    <definedName name="OSRRefP22_2x_0" localSheetId="59">'315'!$P$97</definedName>
    <definedName name="OSRRefP22_2x_0" localSheetId="62">'316'!$P$50</definedName>
    <definedName name="OSRRefP22_2x_0" localSheetId="65">'317'!$P$74</definedName>
    <definedName name="OSRRefP22_2x_0" localSheetId="63">'320'!$P$40</definedName>
    <definedName name="OSRRefP22_2x_0" localSheetId="69">'321'!$P$39</definedName>
    <definedName name="OSRRefP22_2x_0" localSheetId="70">'322'!$P$39</definedName>
    <definedName name="OSRRefP22_2x_0" localSheetId="71">'325'!$P$39</definedName>
    <definedName name="OSRRefP22_2x_0" localSheetId="60">'326'!$P$78</definedName>
    <definedName name="OSRRefP22_2x_0" localSheetId="72">'327'!$P$26</definedName>
    <definedName name="OSRRefP22_2x_0" localSheetId="52">'330'!$P$99</definedName>
    <definedName name="OSRRefP22_2x_0" localSheetId="58">'331'!$P$106</definedName>
    <definedName name="OSRRefP22_2x_0" localSheetId="61">'332'!$P$57</definedName>
    <definedName name="OSRRefP22_2x_0" localSheetId="76">'405'!$P$38</definedName>
    <definedName name="OSRRefP22_2x_0" localSheetId="77">'406'!$P$40</definedName>
    <definedName name="OSRRefP22_2x_0" localSheetId="78">'411'!$P$37</definedName>
    <definedName name="OSRRefP22_2x_0" localSheetId="79">'412'!$P$39</definedName>
    <definedName name="OSRRefP22_2x_0" localSheetId="80">'413'!$P$39</definedName>
    <definedName name="OSRRefP22_2x_0" localSheetId="81">'414'!$P$40</definedName>
    <definedName name="OSRRefP22_2x_0" localSheetId="82">'415'!$P$40</definedName>
    <definedName name="OSRRefP22_2x_0" localSheetId="83">'418'!$P$40</definedName>
    <definedName name="OSRRefP22_2x_0" localSheetId="84">'420'!$P$37</definedName>
    <definedName name="OSRRefP22_2x_0" localSheetId="85">'423'!$P$32</definedName>
    <definedName name="OSRRefP22_2x_0" localSheetId="86">'424'!$P$33</definedName>
    <definedName name="OSRRefP22_2x_0" localSheetId="87">'425'!$P$43</definedName>
    <definedName name="OSRRefP22_2x_0" localSheetId="90">'430'!$P$31</definedName>
    <definedName name="OSRRefP22_2x_0" localSheetId="91">'433'!$P$42</definedName>
    <definedName name="OSRRefP22_2x_0" localSheetId="92">'435'!$P$33</definedName>
    <definedName name="OSRRefP22_2x_0" localSheetId="93">'444'!$P$42</definedName>
    <definedName name="OSRRefP22_2x_0" localSheetId="95">'450'!$P$42</definedName>
    <definedName name="OSRRefP22_2x_0" localSheetId="75">'491'!$P$50</definedName>
    <definedName name="OSRRefP22_2x_0" localSheetId="89">'492'!$P$45</definedName>
    <definedName name="OSRRefP22_2x_0" localSheetId="97">'501'!$P$37</definedName>
    <definedName name="OSRRefP22_2x_0" localSheetId="39">'Div 2'!$P$40</definedName>
    <definedName name="OSRRefP22_2x_0" localSheetId="47">'Div 3'!$P$189</definedName>
    <definedName name="OSRRefP22_2x_0" localSheetId="73">'Div 4'!$P$50</definedName>
    <definedName name="OSRRefP22_2x_0" localSheetId="96">'Div 5'!$P$37</definedName>
    <definedName name="OSRRefP22_2x_0" localSheetId="64">'Div 6'!$P$74</definedName>
    <definedName name="OSRRefP22_2x_0" localSheetId="2">Summary!$P$221</definedName>
    <definedName name="OSRRefP22_3x_0" localSheetId="40">'200'!$P$26</definedName>
    <definedName name="OSRRefP22_3x_0" localSheetId="41">'201'!$P$35</definedName>
    <definedName name="OSRRefP22_3x_0" localSheetId="42">'202'!$P$36</definedName>
    <definedName name="OSRRefP22_3x_0" localSheetId="43">'203'!$P$39</definedName>
    <definedName name="OSRRefP22_3x_0" localSheetId="44">'204'!$P$39</definedName>
    <definedName name="OSRRefP22_3x_0" localSheetId="45">'205'!$P$33</definedName>
    <definedName name="OSRRefP22_3x_0" localSheetId="46">'206'!$P$36</definedName>
    <definedName name="OSRRefP22_3x_0" localSheetId="48">'300'!$P$186:$P$187</definedName>
    <definedName name="OSRRefP22_3x_0" localSheetId="49">'300 &amp; 317'!$P$211:$P$212</definedName>
    <definedName name="OSRRefP22_3x_0" localSheetId="50">'301'!$P$41:$P$42</definedName>
    <definedName name="OSRRefP22_3x_0" localSheetId="51">'306'!$P$39</definedName>
    <definedName name="OSRRefP22_3x_0" localSheetId="53">'307'!$P$93</definedName>
    <definedName name="OSRRefP22_3x_0" localSheetId="55">'308'!$P$85:$P$86</definedName>
    <definedName name="OSRRefP22_3x_0" localSheetId="67">'309'!$P$41</definedName>
    <definedName name="OSRRefP22_3x_0" localSheetId="66">'310'!$P$49</definedName>
    <definedName name="OSRRefP22_3x_0" localSheetId="74">'310 &amp; 491'!$P$58</definedName>
    <definedName name="OSRRefP22_3x_0" localSheetId="56">'311'!$P$84:$P$85</definedName>
    <definedName name="OSRRefP22_3x_0" localSheetId="68">'313'!$P$45</definedName>
    <definedName name="OSRRefP22_3x_0" localSheetId="54">'314'!$P$70:$P$71</definedName>
    <definedName name="OSRRefP22_3x_0" localSheetId="59">'315'!$P$99:$P$100</definedName>
    <definedName name="OSRRefP22_3x_0" localSheetId="62">'316'!$P$52</definedName>
    <definedName name="OSRRefP22_3x_0" localSheetId="65">'317'!$P$76</definedName>
    <definedName name="OSRRefP22_3x_0" localSheetId="63">'320'!$P$42</definedName>
    <definedName name="OSRRefP22_3x_0" localSheetId="69">'321'!$P$41</definedName>
    <definedName name="OSRRefP22_3x_0" localSheetId="70">'322'!$P$41</definedName>
    <definedName name="OSRRefP22_3x_0" localSheetId="71">'325'!$P$41</definedName>
    <definedName name="OSRRefP22_3x_0" localSheetId="60">'326'!$P$80</definedName>
    <definedName name="OSRRefP22_3x_0" localSheetId="52">'330'!$P$101</definedName>
    <definedName name="OSRRefP22_3x_0" localSheetId="58">'331'!$P$108</definedName>
    <definedName name="OSRRefP22_3x_0" localSheetId="61">'332'!$P$59</definedName>
    <definedName name="OSRRefP22_3x_0" localSheetId="76">'405'!$P$40</definedName>
    <definedName name="OSRRefP22_3x_0" localSheetId="77">'406'!$P$42</definedName>
    <definedName name="OSRRefP22_3x_0" localSheetId="78">'411'!$P$39</definedName>
    <definedName name="OSRRefP22_3x_0" localSheetId="79">'412'!$P$41</definedName>
    <definedName name="OSRRefP22_3x_0" localSheetId="80">'413'!$P$41</definedName>
    <definedName name="OSRRefP22_3x_0" localSheetId="81">'414'!$P$42</definedName>
    <definedName name="OSRRefP22_3x_0" localSheetId="82">'415'!$P$42</definedName>
    <definedName name="OSRRefP22_3x_0" localSheetId="83">'418'!$P$42</definedName>
    <definedName name="OSRRefP22_3x_0" localSheetId="84">'420'!$P$39</definedName>
    <definedName name="OSRRefP22_3x_0" localSheetId="85">'423'!$P$34</definedName>
    <definedName name="OSRRefP22_3x_0" localSheetId="86">'424'!$P$35</definedName>
    <definedName name="OSRRefP22_3x_0" localSheetId="87">'425'!$P$45</definedName>
    <definedName name="OSRRefP22_3x_0" localSheetId="90">'430'!$P$33</definedName>
    <definedName name="OSRRefP22_3x_0" localSheetId="91">'433'!$P$44</definedName>
    <definedName name="OSRRefP22_3x_0" localSheetId="92">'435'!$P$35</definedName>
    <definedName name="OSRRefP22_3x_0" localSheetId="93">'444'!$P$44</definedName>
    <definedName name="OSRRefP22_3x_0" localSheetId="95">'450'!$P$44</definedName>
    <definedName name="OSRRefP22_3x_0" localSheetId="75">'491'!$P$52</definedName>
    <definedName name="OSRRefP22_3x_0" localSheetId="89">'492'!$P$47</definedName>
    <definedName name="OSRRefP22_3x_0" localSheetId="97">'501'!$P$39</definedName>
    <definedName name="OSRRefP22_3x_0" localSheetId="39">'Div 2'!$P$42</definedName>
    <definedName name="OSRRefP22_3x_0" localSheetId="47">'Div 3'!$P$191:$P$192</definedName>
    <definedName name="OSRRefP22_3x_0" localSheetId="73">'Div 4'!$P$52</definedName>
    <definedName name="OSRRefP22_3x_0" localSheetId="96">'Div 5'!$P$39</definedName>
    <definedName name="OSRRefP22_3x_0" localSheetId="64">'Div 6'!$P$76</definedName>
    <definedName name="OSRRefP22_3x_0" localSheetId="2">Summary!$P$223:$P$224</definedName>
    <definedName name="OSRRefP22_4x_0" localSheetId="40">'200'!$P$28:$P$29</definedName>
    <definedName name="OSRRefP22_4x_0" localSheetId="41">'201'!$P$37</definedName>
    <definedName name="OSRRefP22_4x_0" localSheetId="42">'202'!$P$38</definedName>
    <definedName name="OSRRefP22_4x_0" localSheetId="43">'203'!$P$41</definedName>
    <definedName name="OSRRefP22_4x_0" localSheetId="44">'204'!$P$41</definedName>
    <definedName name="OSRRefP22_4x_0" localSheetId="45">'205'!$P$35:$P$36</definedName>
    <definedName name="OSRRefP22_4x_0" localSheetId="46">'206'!$P$38</definedName>
    <definedName name="OSRRefP22_4x_0" localSheetId="48">'300'!$P$189</definedName>
    <definedName name="OSRRefP22_4x_0" localSheetId="49">'300 &amp; 317'!$P$214</definedName>
    <definedName name="OSRRefP22_4x_0" localSheetId="50">'301'!$P$44</definedName>
    <definedName name="OSRRefP22_4x_0" localSheetId="51">'306'!$P$41</definedName>
    <definedName name="OSRRefP22_4x_0" localSheetId="53">'307'!$P$95:$P$96</definedName>
    <definedName name="OSRRefP22_4x_0" localSheetId="55">'308'!$P$88</definedName>
    <definedName name="OSRRefP22_4x_0" localSheetId="67">'309'!$P$43</definedName>
    <definedName name="OSRRefP22_4x_0" localSheetId="66">'310'!$P$51</definedName>
    <definedName name="OSRRefP22_4x_0" localSheetId="74">'310 &amp; 491'!$P$60</definedName>
    <definedName name="OSRRefP22_4x_0" localSheetId="56">'311'!$P$87</definedName>
    <definedName name="OSRRefP22_4x_0" localSheetId="68">'313'!$P$47</definedName>
    <definedName name="OSRRefP22_4x_0" localSheetId="54">'314'!$P$73</definedName>
    <definedName name="OSRRefP22_4x_0" localSheetId="59">'315'!$P$102</definedName>
    <definedName name="OSRRefP22_4x_0" localSheetId="62">'316'!$P$54</definedName>
    <definedName name="OSRRefP22_4x_0" localSheetId="65">'317'!$P$78</definedName>
    <definedName name="OSRRefP22_4x_0" localSheetId="63">'320'!$P$44:$P$45</definedName>
    <definedName name="OSRRefP22_4x_0" localSheetId="69">'321'!$P$43</definedName>
    <definedName name="OSRRefP22_4x_0" localSheetId="70">'322'!$P$43</definedName>
    <definedName name="OSRRefP22_4x_0" localSheetId="71">'325'!$P$43</definedName>
    <definedName name="OSRRefP22_4x_0" localSheetId="60">'326'!$P$82</definedName>
    <definedName name="OSRRefP22_4x_0" localSheetId="52">'330'!$P$103:$P$104</definedName>
    <definedName name="OSRRefP22_4x_0" localSheetId="58">'331'!$P$110</definedName>
    <definedName name="OSRRefP22_4x_0" localSheetId="61">'332'!$P$61</definedName>
    <definedName name="OSRRefP22_4x_0" localSheetId="76">'405'!$P$42</definedName>
    <definedName name="OSRRefP22_4x_0" localSheetId="77">'406'!$P$44</definedName>
    <definedName name="OSRRefP22_4x_0" localSheetId="78">'411'!$P$41:$P$43</definedName>
    <definedName name="OSRRefP22_4x_0" localSheetId="79">'412'!$P$43</definedName>
    <definedName name="OSRRefP22_4x_0" localSheetId="80">'413'!$P$43</definedName>
    <definedName name="OSRRefP22_4x_0" localSheetId="81">'414'!$P$44</definedName>
    <definedName name="OSRRefP22_4x_0" localSheetId="82">'415'!$P$44</definedName>
    <definedName name="OSRRefP22_4x_0" localSheetId="83">'418'!$P$44</definedName>
    <definedName name="OSRRefP22_4x_0" localSheetId="84">'420'!$P$41</definedName>
    <definedName name="OSRRefP22_4x_0" localSheetId="85">'423'!$P$36</definedName>
    <definedName name="OSRRefP22_4x_0" localSheetId="86">'424'!$P$37</definedName>
    <definedName name="OSRRefP22_4x_0" localSheetId="87">'425'!$P$47</definedName>
    <definedName name="OSRRefP22_4x_0" localSheetId="90">'430'!$P$35:$P$36</definedName>
    <definedName name="OSRRefP22_4x_0" localSheetId="91">'433'!$P$46</definedName>
    <definedName name="OSRRefP22_4x_0" localSheetId="92">'435'!$P$37</definedName>
    <definedName name="OSRRefP22_4x_0" localSheetId="93">'444'!$P$46</definedName>
    <definedName name="OSRRefP22_4x_0" localSheetId="95">'450'!$P$46</definedName>
    <definedName name="OSRRefP22_4x_0" localSheetId="75">'491'!$P$54</definedName>
    <definedName name="OSRRefP22_4x_0" localSheetId="89">'492'!$P$49</definedName>
    <definedName name="OSRRefP22_4x_0" localSheetId="97">'501'!$P$41</definedName>
    <definedName name="OSRRefP22_4x_0" localSheetId="39">'Div 2'!$P$44</definedName>
    <definedName name="OSRRefP22_4x_0" localSheetId="47">'Div 3'!$P$194</definedName>
    <definedName name="OSRRefP22_4x_0" localSheetId="73">'Div 4'!$P$54</definedName>
    <definedName name="OSRRefP22_4x_0" localSheetId="96">'Div 5'!$P$41</definedName>
    <definedName name="OSRRefP22_4x_0" localSheetId="64">'Div 6'!$P$78</definedName>
    <definedName name="OSRRefP22_4x_0" localSheetId="2">Summary!$P$226</definedName>
    <definedName name="OSRRefP22_5x_0" localSheetId="41">'201'!$P$39</definedName>
    <definedName name="OSRRefP22_5x_0" localSheetId="42">'202'!$P$40:$P$41</definedName>
    <definedName name="OSRRefP22_5x_0" localSheetId="43">'203'!$P$43</definedName>
    <definedName name="OSRRefP22_5x_0" localSheetId="44">'204'!$P$43</definedName>
    <definedName name="OSRRefP22_5x_0" localSheetId="45">'205'!$P$38</definedName>
    <definedName name="OSRRefP22_5x_0" localSheetId="46">'206'!$P$40:$P$41</definedName>
    <definedName name="OSRRefP22_5x_0" localSheetId="48">'300'!$P$191:$P$192</definedName>
    <definedName name="OSRRefP22_5x_0" localSheetId="49">'300 &amp; 317'!$P$216:$P$217</definedName>
    <definedName name="OSRRefP22_5x_0" localSheetId="50">'301'!$P$46:$P$47</definedName>
    <definedName name="OSRRefP22_5x_0" localSheetId="51">'306'!$P$43</definedName>
    <definedName name="OSRRefP22_5x_0" localSheetId="53">'307'!$P$98</definedName>
    <definedName name="OSRRefP22_5x_0" localSheetId="55">'308'!$P$90</definedName>
    <definedName name="OSRRefP22_5x_0" localSheetId="67">'309'!$P$45</definedName>
    <definedName name="OSRRefP22_5x_0" localSheetId="66">'310'!$P$53:$P$54</definedName>
    <definedName name="OSRRefP22_5x_0" localSheetId="74">'310 &amp; 491'!$P$62:$P$64</definedName>
    <definedName name="OSRRefP22_5x_0" localSheetId="56">'311'!$P$89</definedName>
    <definedName name="OSRRefP22_5x_0" localSheetId="68">'313'!$P$49</definedName>
    <definedName name="OSRRefP22_5x_0" localSheetId="54">'314'!$P$75</definedName>
    <definedName name="OSRRefP22_5x_0" localSheetId="59">'315'!$P$104:$P$105</definedName>
    <definedName name="OSRRefP22_5x_0" localSheetId="62">'316'!$P$56</definedName>
    <definedName name="OSRRefP22_5x_0" localSheetId="65">'317'!$P$80:$P$81</definedName>
    <definedName name="OSRRefP22_5x_0" localSheetId="63">'320'!$P$47</definedName>
    <definedName name="OSRRefP22_5x_0" localSheetId="69">'321'!$P$45</definedName>
    <definedName name="OSRRefP22_5x_0" localSheetId="70">'322'!$P$45</definedName>
    <definedName name="OSRRefP22_5x_0" localSheetId="71">'325'!$P$45:$P$46</definedName>
    <definedName name="OSRRefP22_5x_0" localSheetId="60">'326'!$P$84</definedName>
    <definedName name="OSRRefP22_5x_0" localSheetId="52">'330'!$P$106</definedName>
    <definedName name="OSRRefP22_5x_0" localSheetId="58">'331'!$P$112:$P$113</definedName>
    <definedName name="OSRRefP22_5x_0" localSheetId="61">'332'!$P$63</definedName>
    <definedName name="OSRRefP22_5x_0" localSheetId="76">'405'!$P$44:$P$45</definedName>
    <definedName name="OSRRefP22_5x_0" localSheetId="77">'406'!$P$46</definedName>
    <definedName name="OSRRefP22_5x_0" localSheetId="78">'411'!$P$45</definedName>
    <definedName name="OSRRefP22_5x_0" localSheetId="79">'412'!$P$45</definedName>
    <definedName name="OSRRefP22_5x_0" localSheetId="80">'413'!$P$45</definedName>
    <definedName name="OSRRefP22_5x_0" localSheetId="81">'414'!$P$46</definedName>
    <definedName name="OSRRefP22_5x_0" localSheetId="82">'415'!$P$46:$P$47</definedName>
    <definedName name="OSRRefP22_5x_0" localSheetId="83">'418'!$P$46:$P$47</definedName>
    <definedName name="OSRRefP22_5x_0" localSheetId="84">'420'!$P$43:$P$44</definedName>
    <definedName name="OSRRefP22_5x_0" localSheetId="85">'423'!$P$38</definedName>
    <definedName name="OSRRefP22_5x_0" localSheetId="86">'424'!$P$39</definedName>
    <definedName name="OSRRefP22_5x_0" localSheetId="87">'425'!$P$49</definedName>
    <definedName name="OSRRefP22_5x_0" localSheetId="90">'430'!$P$38</definedName>
    <definedName name="OSRRefP22_5x_0" localSheetId="91">'433'!$P$48</definedName>
    <definedName name="OSRRefP22_5x_0" localSheetId="92">'435'!$P$39</definedName>
    <definedName name="OSRRefP22_5x_0" localSheetId="93">'444'!$P$48</definedName>
    <definedName name="OSRRefP22_5x_0" localSheetId="95">'450'!$P$48</definedName>
    <definedName name="OSRRefP22_5x_0" localSheetId="75">'491'!$P$56:$P$58</definedName>
    <definedName name="OSRRefP22_5x_0" localSheetId="89">'492'!$P$51</definedName>
    <definedName name="OSRRefP22_5x_0" localSheetId="97">'501'!$P$43:$P$44</definedName>
    <definedName name="OSRRefP22_5x_0" localSheetId="39">'Div 2'!$P$46</definedName>
    <definedName name="OSRRefP22_5x_0" localSheetId="47">'Div 3'!$P$196:$P$197</definedName>
    <definedName name="OSRRefP22_5x_0" localSheetId="73">'Div 4'!$P$56:$P$58</definedName>
    <definedName name="OSRRefP22_5x_0" localSheetId="96">'Div 5'!$P$43:$P$44</definedName>
    <definedName name="OSRRefP22_5x_0" localSheetId="64">'Div 6'!$P$80:$P$81</definedName>
    <definedName name="OSRRefP22_5x_0" localSheetId="2">Summary!$P$228:$P$230</definedName>
    <definedName name="OSRRefP22_6x_0" localSheetId="41">'201'!$P$41</definedName>
    <definedName name="OSRRefP22_6x_0" localSheetId="42">'202'!$P$43</definedName>
    <definedName name="OSRRefP22_6x_0" localSheetId="43">'203'!$P$45</definedName>
    <definedName name="OSRRefP22_6x_0" localSheetId="44">'204'!$P$45:$P$47</definedName>
    <definedName name="OSRRefP22_6x_0" localSheetId="45">'205'!$P$40:$P$42</definedName>
    <definedName name="OSRRefP22_6x_0" localSheetId="46">'206'!$P$43</definedName>
    <definedName name="OSRRefP22_6x_0" localSheetId="48">'300'!$P$194:$P$195</definedName>
    <definedName name="OSRRefP22_6x_0" localSheetId="49">'300 &amp; 317'!$P$219:$P$220</definedName>
    <definedName name="OSRRefP22_6x_0" localSheetId="50">'301'!$P$49:$P$50</definedName>
    <definedName name="OSRRefP22_6x_0" localSheetId="51">'306'!$P$45:$P$46</definedName>
    <definedName name="OSRRefP22_6x_0" localSheetId="53">'307'!$P$100</definedName>
    <definedName name="OSRRefP22_6x_0" localSheetId="55">'308'!$P$92:$P$93</definedName>
    <definedName name="OSRRefP22_6x_0" localSheetId="67">'309'!$P$47</definedName>
    <definedName name="OSRRefP22_6x_0" localSheetId="66">'310'!$P$56</definedName>
    <definedName name="OSRRefP22_6x_0" localSheetId="74">'310 &amp; 491'!$P$66</definedName>
    <definedName name="OSRRefP22_6x_0" localSheetId="56">'311'!$P$91:$P$92</definedName>
    <definedName name="OSRRefP22_6x_0" localSheetId="68">'313'!$P$51</definedName>
    <definedName name="OSRRefP22_6x_0" localSheetId="54">'314'!$P$77</definedName>
    <definedName name="OSRRefP22_6x_0" localSheetId="59">'315'!$P$107</definedName>
    <definedName name="OSRRefP22_6x_0" localSheetId="62">'316'!$P$58:$P$59</definedName>
    <definedName name="OSRRefP22_6x_0" localSheetId="65">'317'!$P$83</definedName>
    <definedName name="OSRRefP22_6x_0" localSheetId="63">'320'!$P$49</definedName>
    <definedName name="OSRRefP22_6x_0" localSheetId="69">'321'!$P$47:$P$49</definedName>
    <definedName name="OSRRefP22_6x_0" localSheetId="70">'322'!$P$47</definedName>
    <definedName name="OSRRefP22_6x_0" localSheetId="71">'325'!$P$48</definedName>
    <definedName name="OSRRefP22_6x_0" localSheetId="60">'326'!$P$86</definedName>
    <definedName name="OSRRefP22_6x_0" localSheetId="52">'330'!$P$108</definedName>
    <definedName name="OSRRefP22_6x_0" localSheetId="58">'331'!$P$115</definedName>
    <definedName name="OSRRefP22_6x_0" localSheetId="61">'332'!$P$65:$P$66</definedName>
    <definedName name="OSRRefP22_6x_0" localSheetId="76">'405'!$P$47</definedName>
    <definedName name="OSRRefP22_6x_0" localSheetId="77">'406'!$P$48</definedName>
    <definedName name="OSRRefP22_6x_0" localSheetId="78">'411'!$P$47</definedName>
    <definedName name="OSRRefP22_6x_0" localSheetId="79">'412'!$P$47</definedName>
    <definedName name="OSRRefP22_6x_0" localSheetId="80">'413'!$P$47</definedName>
    <definedName name="OSRRefP22_6x_0" localSheetId="81">'414'!$P$48</definedName>
    <definedName name="OSRRefP22_6x_0" localSheetId="82">'415'!$P$49</definedName>
    <definedName name="OSRRefP22_6x_0" localSheetId="83">'418'!$P$49</definedName>
    <definedName name="OSRRefP22_6x_0" localSheetId="84">'420'!$P$46</definedName>
    <definedName name="OSRRefP22_6x_0" localSheetId="86">'424'!$P$41</definedName>
    <definedName name="OSRRefP22_6x_0" localSheetId="87">'425'!$P$51</definedName>
    <definedName name="OSRRefP22_6x_0" localSheetId="90">'430'!$P$40</definedName>
    <definedName name="OSRRefP22_6x_0" localSheetId="91">'433'!$P$50</definedName>
    <definedName name="OSRRefP22_6x_0" localSheetId="92">'435'!$P$41</definedName>
    <definedName name="OSRRefP22_6x_0" localSheetId="93">'444'!$P$50</definedName>
    <definedName name="OSRRefP22_6x_0" localSheetId="95">'450'!$P$50</definedName>
    <definedName name="OSRRefP22_6x_0" localSheetId="75">'491'!$P$60</definedName>
    <definedName name="OSRRefP22_6x_0" localSheetId="89">'492'!$P$53</definedName>
    <definedName name="OSRRefP22_6x_0" localSheetId="97">'501'!$P$46</definedName>
    <definedName name="OSRRefP22_6x_0" localSheetId="39">'Div 2'!$P$48</definedName>
    <definedName name="OSRRefP22_6x_0" localSheetId="47">'Div 3'!$P$199:$P$200</definedName>
    <definedName name="OSRRefP22_6x_0" localSheetId="73">'Div 4'!$P$60</definedName>
    <definedName name="OSRRefP22_6x_0" localSheetId="96">'Div 5'!$P$46</definedName>
    <definedName name="OSRRefP22_6x_0" localSheetId="64">'Div 6'!$P$83</definedName>
    <definedName name="OSRRefP22_6x_0" localSheetId="2">Summary!$P$232:$P$233</definedName>
    <definedName name="OSRRefP22_7x_0" localSheetId="41">'201'!$P$43</definedName>
    <definedName name="OSRRefP22_7x_0" localSheetId="42">'202'!$P$45</definedName>
    <definedName name="OSRRefP22_7x_0" localSheetId="43">'203'!$P$47</definedName>
    <definedName name="OSRRefP22_7x_0" localSheetId="44">'204'!$P$49</definedName>
    <definedName name="OSRRefP22_7x_0" localSheetId="45">'205'!$P$44</definedName>
    <definedName name="OSRRefP22_7x_0" localSheetId="46">'206'!$P$45</definedName>
    <definedName name="OSRRefP22_7x_0" localSheetId="48">'300'!$P$197</definedName>
    <definedName name="OSRRefP22_7x_0" localSheetId="49">'300 &amp; 317'!$P$222</definedName>
    <definedName name="OSRRefP22_7x_0" localSheetId="50">'301'!$P$52</definedName>
    <definedName name="OSRRefP22_7x_0" localSheetId="51">'306'!$P$48:$P$50</definedName>
    <definedName name="OSRRefP22_7x_0" localSheetId="53">'307'!$P$102:$P$103</definedName>
    <definedName name="OSRRefP22_7x_0" localSheetId="55">'308'!$P$95</definedName>
    <definedName name="OSRRefP22_7x_0" localSheetId="67">'309'!$P$49</definedName>
    <definedName name="OSRRefP22_7x_0" localSheetId="66">'310'!$P$58</definedName>
    <definedName name="OSRRefP22_7x_0" localSheetId="74">'310 &amp; 491'!$P$68</definedName>
    <definedName name="OSRRefP22_7x_0" localSheetId="56">'311'!$P$94</definedName>
    <definedName name="OSRRefP22_7x_0" localSheetId="68">'313'!$P$53</definedName>
    <definedName name="OSRRefP22_7x_0" localSheetId="54">'314'!$P$79</definedName>
    <definedName name="OSRRefP22_7x_0" localSheetId="59">'315'!$P$109:$P$110</definedName>
    <definedName name="OSRRefP22_7x_0" localSheetId="62">'316'!$P$61</definedName>
    <definedName name="OSRRefP22_7x_0" localSheetId="65">'317'!$P$85</definedName>
    <definedName name="OSRRefP22_7x_0" localSheetId="63">'320'!$P$51:$P$52</definedName>
    <definedName name="OSRRefP22_7x_0" localSheetId="69">'321'!$P$51</definedName>
    <definedName name="OSRRefP22_7x_0" localSheetId="70">'322'!$P$49</definedName>
    <definedName name="OSRRefP22_7x_0" localSheetId="71">'325'!$P$50</definedName>
    <definedName name="OSRRefP22_7x_0" localSheetId="60">'326'!$P$88</definedName>
    <definedName name="OSRRefP22_7x_0" localSheetId="52">'330'!$P$110</definedName>
    <definedName name="OSRRefP22_7x_0" localSheetId="58">'331'!$P$117:$P$118</definedName>
    <definedName name="OSRRefP22_7x_0" localSheetId="61">'332'!$P$68</definedName>
    <definedName name="OSRRefP22_7x_0" localSheetId="76">'405'!$P$49</definedName>
    <definedName name="OSRRefP22_7x_0" localSheetId="77">'406'!$P$50</definedName>
    <definedName name="OSRRefP22_7x_0" localSheetId="78">'411'!$P$49</definedName>
    <definedName name="OSRRefP22_7x_0" localSheetId="79">'412'!$P$49</definedName>
    <definedName name="OSRRefP22_7x_0" localSheetId="80">'413'!$P$49:$P$51</definedName>
    <definedName name="OSRRefP22_7x_0" localSheetId="81">'414'!$P$50</definedName>
    <definedName name="OSRRefP22_7x_0" localSheetId="82">'415'!$P$51</definedName>
    <definedName name="OSRRefP22_7x_0" localSheetId="83">'418'!$P$51</definedName>
    <definedName name="OSRRefP22_7x_0" localSheetId="86">'424'!$P$43</definedName>
    <definedName name="OSRRefP22_7x_0" localSheetId="87">'425'!$P$53</definedName>
    <definedName name="OSRRefP22_7x_0" localSheetId="90">'430'!$P$42</definedName>
    <definedName name="OSRRefP22_7x_0" localSheetId="91">'433'!$P$52</definedName>
    <definedName name="OSRRefP22_7x_0" localSheetId="92">'435'!$P$43:$P$45</definedName>
    <definedName name="OSRRefP22_7x_0" localSheetId="93">'444'!$P$52</definedName>
    <definedName name="OSRRefP22_7x_0" localSheetId="95">'450'!$P$52</definedName>
    <definedName name="OSRRefP22_7x_0" localSheetId="75">'491'!$P$62</definedName>
    <definedName name="OSRRefP22_7x_0" localSheetId="89">'492'!$P$55</definedName>
    <definedName name="OSRRefP22_7x_0" localSheetId="97">'501'!$P$48</definedName>
    <definedName name="OSRRefP22_7x_0" localSheetId="39">'Div 2'!$P$50</definedName>
    <definedName name="OSRRefP22_7x_0" localSheetId="47">'Div 3'!$P$202</definedName>
    <definedName name="OSRRefP22_7x_0" localSheetId="73">'Div 4'!$P$62</definedName>
    <definedName name="OSRRefP22_7x_0" localSheetId="96">'Div 5'!$P$48</definedName>
    <definedName name="OSRRefP22_7x_0" localSheetId="64">'Div 6'!$P$85</definedName>
    <definedName name="OSRRefP22_7x_0" localSheetId="2">Summary!$P$235</definedName>
    <definedName name="OSRRefP22_8x_0" localSheetId="41">'201'!$P$45</definedName>
    <definedName name="OSRRefP22_8x_0" localSheetId="42">'202'!$P$47:$P$49</definedName>
    <definedName name="OSRRefP22_8x_0" localSheetId="43">'203'!$P$49</definedName>
    <definedName name="OSRRefP22_8x_0" localSheetId="44">'204'!$P$51:$P$52</definedName>
    <definedName name="OSRRefP22_8x_0" localSheetId="45">'205'!$P$46</definedName>
    <definedName name="OSRRefP22_8x_0" localSheetId="48">'300'!$P$199</definedName>
    <definedName name="OSRRefP22_8x_0" localSheetId="49">'300 &amp; 317'!$P$224</definedName>
    <definedName name="OSRRefP22_8x_0" localSheetId="50">'301'!$P$54</definedName>
    <definedName name="OSRRefP22_8x_0" localSheetId="51">'306'!$P$52</definedName>
    <definedName name="OSRRefP22_8x_0" localSheetId="53">'307'!$P$105:$P$106</definedName>
    <definedName name="OSRRefP22_8x_0" localSheetId="55">'308'!$P$97</definedName>
    <definedName name="OSRRefP22_8x_0" localSheetId="67">'309'!$P$51</definedName>
    <definedName name="OSRRefP22_8x_0" localSheetId="66">'310'!$P$60</definedName>
    <definedName name="OSRRefP22_8x_0" localSheetId="74">'310 &amp; 491'!$P$70</definedName>
    <definedName name="OSRRefP22_8x_0" localSheetId="56">'311'!$P$96</definedName>
    <definedName name="OSRRefP22_8x_0" localSheetId="68">'313'!$P$55:$P$57</definedName>
    <definedName name="OSRRefP22_8x_0" localSheetId="54">'314'!$P$81</definedName>
    <definedName name="OSRRefP22_8x_0" localSheetId="59">'315'!$P$112:$P$113</definedName>
    <definedName name="OSRRefP22_8x_0" localSheetId="62">'316'!$P$63:$P$65</definedName>
    <definedName name="OSRRefP22_8x_0" localSheetId="65">'317'!$P$87</definedName>
    <definedName name="OSRRefP22_8x_0" localSheetId="63">'320'!$P$54</definedName>
    <definedName name="OSRRefP22_8x_0" localSheetId="69">'321'!$P$53:$P$55</definedName>
    <definedName name="OSRRefP22_8x_0" localSheetId="70">'322'!$P$51:$P$52</definedName>
    <definedName name="OSRRefP22_8x_0" localSheetId="71">'325'!$P$52</definedName>
    <definedName name="OSRRefP22_8x_0" localSheetId="60">'326'!$P$90</definedName>
    <definedName name="OSRRefP22_8x_0" localSheetId="52">'330'!$P$112:$P$113</definedName>
    <definedName name="OSRRefP22_8x_0" localSheetId="58">'331'!$P$120</definedName>
    <definedName name="OSRRefP22_8x_0" localSheetId="61">'332'!$P$70</definedName>
    <definedName name="OSRRefP22_8x_0" localSheetId="76">'405'!$P$51</definedName>
    <definedName name="OSRRefP22_8x_0" localSheetId="77">'406'!$P$52</definedName>
    <definedName name="OSRRefP22_8x_0" localSheetId="78">'411'!$P$51</definedName>
    <definedName name="OSRRefP22_8x_0" localSheetId="79">'412'!$P$51</definedName>
    <definedName name="OSRRefP22_8x_0" localSheetId="80">'413'!$P$53:$P$55</definedName>
    <definedName name="OSRRefP22_8x_0" localSheetId="81">'414'!$P$52</definedName>
    <definedName name="OSRRefP22_8x_0" localSheetId="82">'415'!$P$53</definedName>
    <definedName name="OSRRefP22_8x_0" localSheetId="83">'418'!$P$53</definedName>
    <definedName name="OSRRefP22_8x_0" localSheetId="86">'424'!$P$45:$P$46</definedName>
    <definedName name="OSRRefP22_8x_0" localSheetId="87">'425'!$P$55</definedName>
    <definedName name="OSRRefP22_8x_0" localSheetId="91">'433'!$P$54</definedName>
    <definedName name="OSRRefP22_8x_0" localSheetId="92">'435'!$P$47</definedName>
    <definedName name="OSRRefP22_8x_0" localSheetId="93">'444'!$P$54</definedName>
    <definedName name="OSRRefP22_8x_0" localSheetId="95">'450'!$P$54</definedName>
    <definedName name="OSRRefP22_8x_0" localSheetId="75">'491'!$P$64</definedName>
    <definedName name="OSRRefP22_8x_0" localSheetId="89">'492'!$P$57</definedName>
    <definedName name="OSRRefP22_8x_0" localSheetId="97">'501'!$P$50</definedName>
    <definedName name="OSRRefP22_8x_0" localSheetId="39">'Div 2'!$P$52</definedName>
    <definedName name="OSRRefP22_8x_0" localSheetId="47">'Div 3'!$P$204</definedName>
    <definedName name="OSRRefP22_8x_0" localSheetId="73">'Div 4'!$P$64</definedName>
    <definedName name="OSRRefP22_8x_0" localSheetId="96">'Div 5'!$P$50</definedName>
    <definedName name="OSRRefP22_8x_0" localSheetId="64">'Div 6'!$P$87</definedName>
    <definedName name="OSRRefP22_8x_0" localSheetId="2">Summary!$P$237</definedName>
    <definedName name="OSRRefP22_9x_0" localSheetId="41">'201'!$P$47:$P$49</definedName>
    <definedName name="OSRRefP22_9x_0" localSheetId="42">'202'!$P$51</definedName>
    <definedName name="OSRRefP22_9x_0" localSheetId="43">'203'!$P$51:$P$52</definedName>
    <definedName name="OSRRefP22_9x_0" localSheetId="44">'204'!$P$54</definedName>
    <definedName name="OSRRefP22_9x_0" localSheetId="48">'300'!$P$201</definedName>
    <definedName name="OSRRefP22_9x_0" localSheetId="49">'300 &amp; 317'!$P$226</definedName>
    <definedName name="OSRRefP22_9x_0" localSheetId="50">'301'!$P$56</definedName>
    <definedName name="OSRRefP22_9x_0" localSheetId="51">'306'!$P$54</definedName>
    <definedName name="OSRRefP22_9x_0" localSheetId="53">'307'!$P$108:$P$111</definedName>
    <definedName name="OSRRefP22_9x_0" localSheetId="55">'308'!$P$99:$P$100</definedName>
    <definedName name="OSRRefP22_9x_0" localSheetId="67">'309'!$P$53:$P$54</definedName>
    <definedName name="OSRRefP22_9x_0" localSheetId="66">'310'!$P$62</definedName>
    <definedName name="OSRRefP22_9x_0" localSheetId="74">'310 &amp; 491'!$P$72</definedName>
    <definedName name="OSRRefP22_9x_0" localSheetId="56">'311'!$P$98:$P$99</definedName>
    <definedName name="OSRRefP22_9x_0" localSheetId="68">'313'!$P$59</definedName>
    <definedName name="OSRRefP22_9x_0" localSheetId="59">'315'!$P$115:$P$119</definedName>
    <definedName name="OSRRefP22_9x_0" localSheetId="62">'316'!$P$67</definedName>
    <definedName name="OSRRefP22_9x_0" localSheetId="65">'317'!$P$89</definedName>
    <definedName name="OSRRefP22_9x_0" localSheetId="69">'321'!$P$57:$P$60</definedName>
    <definedName name="OSRRefP22_9x_0" localSheetId="70">'322'!$P$54:$P$56</definedName>
    <definedName name="OSRRefP22_9x_0" localSheetId="71">'325'!$P$54</definedName>
    <definedName name="OSRRefP22_9x_0" localSheetId="60">'326'!$P$92</definedName>
    <definedName name="OSRRefP22_9x_0" localSheetId="52">'330'!$P$115:$P$116</definedName>
    <definedName name="OSRRefP22_9x_0" localSheetId="58">'331'!$P$122</definedName>
    <definedName name="OSRRefP22_9x_0" localSheetId="61">'332'!$P$72:$P$74</definedName>
    <definedName name="OSRRefP22_9x_0" localSheetId="76">'405'!$P$53</definedName>
    <definedName name="OSRRefP22_9x_0" localSheetId="77">'406'!$P$54:$P$56</definedName>
    <definedName name="OSRRefP22_9x_0" localSheetId="78">'411'!$P$53</definedName>
    <definedName name="OSRRefP22_9x_0" localSheetId="79">'412'!$P$53:$P$54</definedName>
    <definedName name="OSRRefP22_9x_0" localSheetId="80">'413'!$P$57:$P$62</definedName>
    <definedName name="OSRRefP22_9x_0" localSheetId="81">'414'!$P$54:$P$55</definedName>
    <definedName name="OSRRefP22_9x_0" localSheetId="82">'415'!$P$55</definedName>
    <definedName name="OSRRefP22_9x_0" localSheetId="83">'418'!$P$55</definedName>
    <definedName name="OSRRefP22_9x_0" localSheetId="86">'424'!$P$48</definedName>
    <definedName name="OSRRefP22_9x_0" localSheetId="87">'425'!$P$57:$P$59</definedName>
    <definedName name="OSRRefP22_9x_0" localSheetId="91">'433'!$P$56</definedName>
    <definedName name="OSRRefP22_9x_0" localSheetId="93">'444'!$P$56</definedName>
    <definedName name="OSRRefP22_9x_0" localSheetId="95">'450'!$P$56</definedName>
    <definedName name="OSRRefP22_9x_0" localSheetId="75">'491'!$P$66</definedName>
    <definedName name="OSRRefP22_9x_0" localSheetId="89">'492'!$P$59</definedName>
    <definedName name="OSRRefP22_9x_0" localSheetId="97">'501'!$P$52:$P$54</definedName>
    <definedName name="OSRRefP22_9x_0" localSheetId="39">'Div 2'!$P$54:$P$55</definedName>
    <definedName name="OSRRefP22_9x_0" localSheetId="47">'Div 3'!$P$206</definedName>
    <definedName name="OSRRefP22_9x_0" localSheetId="73">'Div 4'!$P$66</definedName>
    <definedName name="OSRRefP22_9x_0" localSheetId="96">'Div 5'!$P$52:$P$54</definedName>
    <definedName name="OSRRefP22_9x_0" localSheetId="64">'Div 6'!$P$89</definedName>
    <definedName name="OSRRefP22_9x_0" localSheetId="2">Summary!$P$239</definedName>
    <definedName name="OSRRefP22x_0" localSheetId="40">'200'!$P$20,'200'!$P$22,'200'!$P$24,'200'!$P$26,'200'!$P$28:$P$29</definedName>
    <definedName name="OSRRefP22x_0" localSheetId="41">'201'!$P$20:$P$27,'201'!$P$29:$P$31,'201'!$P$33,'201'!$P$35,'201'!$P$37,'201'!$P$39,'201'!$P$41,'201'!$P$43,'201'!$P$45,'201'!$P$47:$P$49,'201'!$P$51:$P$53,'201'!$P$55,'201'!$P$57:$P$60,'201'!$P$62,'201'!$P$64,'201'!$P$66</definedName>
    <definedName name="OSRRefP22x_0" localSheetId="42">'202'!$P$20:$P$27,'202'!$P$29:$P$32,'202'!$P$34,'202'!$P$36,'202'!$P$38,'202'!$P$40:$P$41,'202'!$P$43,'202'!$P$45,'202'!$P$47:$P$49,'202'!$P$51,'202'!$P$53,'202'!$P$55:$P$57,'202'!$P$59,'202'!$P$61,'202'!$P$63</definedName>
    <definedName name="OSRRefP22x_0" localSheetId="43">'203'!$P$20:$P$29,'203'!$P$31:$P$35,'203'!$P$37,'203'!$P$39,'203'!$P$41,'203'!$P$43,'203'!$P$45,'203'!$P$47,'203'!$P$49,'203'!$P$51:$P$52,'203'!$P$54:$P$55,'203'!$P$57,'203'!$P$59:$P$62,'203'!$P$64,'203'!$P$66,'203'!$P$68</definedName>
    <definedName name="OSRRefP22x_0" localSheetId="44">'204'!$P$20:$P$29,'204'!$P$31:$P$35,'204'!$P$37,'204'!$P$39,'204'!$P$41,'204'!$P$43,'204'!$P$45:$P$47,'204'!$P$49,'204'!$P$51:$P$52,'204'!$P$54,'204'!$P$56:$P$57</definedName>
    <definedName name="OSRRefP22x_0" localSheetId="45">'205'!$P$20:$P$27,'205'!$P$29,'205'!$P$31,'205'!$P$33,'205'!$P$35:$P$36,'205'!$P$38,'205'!$P$40:$P$42,'205'!$P$44,'205'!$P$46</definedName>
    <definedName name="OSRRefP22x_0" localSheetId="46">'206'!$P$20:$P$27,'206'!$P$29:$P$32,'206'!$P$34,'206'!$P$36,'206'!$P$38,'206'!$P$40:$P$41,'206'!$P$43,'206'!$P$45</definedName>
    <definedName name="OSRRefP22x_0" localSheetId="48">'300'!$P$165:$P$174,'300'!$P$176:$P$182,'300'!$P$184,'300'!$P$186:$P$187,'300'!$P$189,'300'!$P$191:$P$192,'300'!$P$194:$P$195,'300'!$P$197,'300'!$P$199,'300'!$P$201,'300'!$P$203:$P$204,'300'!$P$206,'300'!$P$208,'300'!$P$210,'300'!$P$212,'300'!$P$214,'300'!$P$216:$P$219,'300'!$P$221:$P$223,'300'!$P$225:$P$228,'300'!$P$230:$P$231,'300'!$P$233:$P$239,'300'!$P$241:$P$242,'300'!$P$244,'300'!$P$246:$P$248,'300'!$P$250</definedName>
    <definedName name="OSRRefP22x_0" localSheetId="49">'300 &amp; 317'!$P$190:$P$199,'300 &amp; 317'!$P$201:$P$207,'300 &amp; 317'!$P$209,'300 &amp; 317'!$P$211:$P$212,'300 &amp; 317'!$P$214,'300 &amp; 317'!$P$216:$P$217,'300 &amp; 317'!$P$219:$P$220,'300 &amp; 317'!$P$222,'300 &amp; 317'!$P$224,'300 &amp; 317'!$P$226,'300 &amp; 317'!$P$228:$P$229,'300 &amp; 317'!$P$231,'300 &amp; 317'!$P$233,'300 &amp; 317'!$P$235,'300 &amp; 317'!$P$237,'300 &amp; 317'!$P$239,'300 &amp; 317'!$P$241:$P$244,'300 &amp; 317'!$P$246:$P$248,'300 &amp; 317'!$P$250:$P$253,'300 &amp; 317'!$P$255:$P$256,'300 &amp; 317'!$P$258:$P$264,'300 &amp; 317'!$P$266:$P$267,'300 &amp; 317'!$P$269,'300 &amp; 317'!$P$271:$P$273,'300 &amp; 317'!$P$275</definedName>
    <definedName name="OSRRefP22x_0" localSheetId="50">'301'!$P$20:$P$29,'301'!$P$31:$P$37,'301'!$P$39,'301'!$P$41:$P$42,'301'!$P$44,'301'!$P$46:$P$47,'301'!$P$49:$P$50,'301'!$P$52,'301'!$P$54,'301'!$P$56,'301'!$P$58,'301'!$P$60,'301'!$P$62,'301'!$P$64,'301'!$P$66,'301'!$P$68:$P$71,'301'!$P$73:$P$75,'301'!$P$77:$P$78,'301'!$P$80:$P$85,'301'!$P$87,'301'!$P$89,'301'!$P$91:$P$93,'301'!$P$95</definedName>
    <definedName name="OSRRefP22x_0" localSheetId="51">'306'!$P$20:$P$28,'306'!$P$30:$P$35,'306'!$P$37,'306'!$P$39,'306'!$P$41,'306'!$P$43,'306'!$P$45:$P$46,'306'!$P$48:$P$50,'306'!$P$52,'306'!$P$54</definedName>
    <definedName name="OSRRefP22x_0" localSheetId="53">'307'!$P$77:$P$84,'307'!$P$86:$P$89,'307'!$P$91,'307'!$P$93,'307'!$P$95:$P$96,'307'!$P$98,'307'!$P$100,'307'!$P$102:$P$103,'307'!$P$105:$P$106,'307'!$P$108:$P$111,'307'!$P$113,'307'!$P$115</definedName>
    <definedName name="OSRRefP22x_0" localSheetId="55">'308'!$P$65:$P$73,'308'!$P$75:$P$81,'308'!$P$83,'308'!$P$85:$P$86,'308'!$P$88,'308'!$P$90,'308'!$P$92:$P$93,'308'!$P$95,'308'!$P$97,'308'!$P$99:$P$100,'308'!$P$102:$P$103,'308'!$P$105:$P$107,'308'!$P$109:$P$110,'308'!$P$112,'308'!$P$114</definedName>
    <definedName name="OSRRefP22x_0" localSheetId="67">'309'!$P$24:$P$31,'309'!$P$33:$P$37,'309'!$P$39,'309'!$P$41,'309'!$P$43,'309'!$P$45,'309'!$P$47,'309'!$P$49,'309'!$P$51,'309'!$P$53:$P$54,'309'!$P$56:$P$58,'309'!$P$60:$P$62,'309'!$P$64</definedName>
    <definedName name="OSRRefP22x_0" localSheetId="66">'310'!$P$31:$P$38,'310'!$P$40:$P$45,'310'!$P$47,'310'!$P$49,'310'!$P$51,'310'!$P$53:$P$54,'310'!$P$56,'310'!$P$58,'310'!$P$60,'310'!$P$62,'310'!$P$64,'310'!$P$66,'310'!$P$68,'310'!$P$70,'310'!$P$72:$P$74,'310'!$P$76,'310'!$P$78:$P$81,'310'!$P$83,'310'!$P$85:$P$92,'310'!$P$94,'310'!$P$96,'310'!$P$98</definedName>
    <definedName name="OSRRefP22x_0" localSheetId="74">'310 &amp; 491'!$P$38:$P$46,'310 &amp; 491'!$P$48:$P$54,'310 &amp; 491'!$P$56,'310 &amp; 491'!$P$58,'310 &amp; 491'!$P$60,'310 &amp; 491'!$P$62:$P$64,'310 &amp; 491'!$P$66,'310 &amp; 491'!$P$68,'310 &amp; 491'!$P$70,'310 &amp; 491'!$P$72,'310 &amp; 491'!$P$74:$P$75,'310 &amp; 491'!$P$77:$P$78,'310 &amp; 491'!$P$80,'310 &amp; 491'!$P$82,'310 &amp; 491'!$P$84,'310 &amp; 491'!$P$86,'310 &amp; 491'!$P$88:$P$91,'310 &amp; 491'!$P$93:$P$94,'310 &amp; 491'!$P$96:$P$100,'310 &amp; 491'!$P$102:$P$103,'310 &amp; 491'!$P$105:$P$114,'310 &amp; 491'!$P$116,'310 &amp; 491'!$P$118,'310 &amp; 491'!$P$120:$P$122,'310 &amp; 491'!$P$124</definedName>
    <definedName name="OSRRefP22x_0" localSheetId="56">'311'!$P$64:$P$72,'311'!$P$74:$P$80,'311'!$P$82,'311'!$P$84:$P$85,'311'!$P$87,'311'!$P$89,'311'!$P$91:$P$92,'311'!$P$94,'311'!$P$96,'311'!$P$98:$P$99,'311'!$P$101:$P$102,'311'!$P$104:$P$106,'311'!$P$108:$P$109,'311'!$P$111,'311'!$P$113</definedName>
    <definedName name="OSRRefP22x_0" localSheetId="68">'313'!$P$28:$P$35,'313'!$P$37:$P$41,'313'!$P$43,'313'!$P$45,'313'!$P$47,'313'!$P$49,'313'!$P$51,'313'!$P$53,'313'!$P$55:$P$57,'313'!$P$59,'313'!$P$61:$P$65,'313'!$P$67,'313'!$P$69</definedName>
    <definedName name="OSRRefP22x_0" localSheetId="54">'314'!$P$55:$P$62,'314'!$P$64:$P$66,'314'!$P$68,'314'!$P$70:$P$71,'314'!$P$73,'314'!$P$75,'314'!$P$77,'314'!$P$79,'314'!$P$81</definedName>
    <definedName name="OSRRefP22x_0" localSheetId="59">'315'!$P$81:$P$88,'315'!$P$90:$P$95,'315'!$P$97,'315'!$P$99:$P$100,'315'!$P$102,'315'!$P$104:$P$105,'315'!$P$107,'315'!$P$109:$P$110,'315'!$P$112:$P$113,'315'!$P$115:$P$119,'315'!$P$121,'315'!$P$123,'315'!$P$125:$P$126</definedName>
    <definedName name="OSRRefP22x_0" localSheetId="62">'316'!$P$36:$P$43,'316'!$P$45:$P$48,'316'!$P$50,'316'!$P$52,'316'!$P$54,'316'!$P$56,'316'!$P$58:$P$59,'316'!$P$61,'316'!$P$63:$P$65,'316'!$P$67,'316'!$P$69:$P$74,'316'!$P$76,'316'!$P$78,'316'!$P$80</definedName>
    <definedName name="OSRRefP22x_0" localSheetId="65">'317'!$P$58:$P$66,'317'!$P$68:$P$72,'317'!$P$74,'317'!$P$76,'317'!$P$78,'317'!$P$80:$P$81,'317'!$P$83,'317'!$P$85,'317'!$P$87,'317'!$P$89,'317'!$P$91:$P$93,'317'!$P$95,'317'!$P$97,'317'!$P$99</definedName>
    <definedName name="OSRRefP22x_0" localSheetId="63">'320'!$P$28:$P$34,'320'!$P$36:$P$38,'320'!$P$40,'320'!$P$42,'320'!$P$44:$P$45,'320'!$P$47,'320'!$P$49,'320'!$P$51:$P$52,'320'!$P$54</definedName>
    <definedName name="OSRRefP22x_0" localSheetId="69">'321'!$P$24:$P$31,'321'!$P$33:$P$37,'321'!$P$39,'321'!$P$41,'321'!$P$43,'321'!$P$45,'321'!$P$47:$P$49,'321'!$P$51,'321'!$P$53:$P$55,'321'!$P$57:$P$60,'321'!$P$62,'321'!$P$64</definedName>
    <definedName name="OSRRefP22x_0" localSheetId="70">'322'!$P$24:$P$31,'322'!$P$33:$P$37,'322'!$P$39,'322'!$P$41,'322'!$P$43,'322'!$P$45,'322'!$P$47,'322'!$P$49,'322'!$P$51:$P$52,'322'!$P$54:$P$56,'322'!$P$58:$P$63,'322'!$P$65,'322'!$P$67</definedName>
    <definedName name="OSRRefP22x_0" localSheetId="71">'325'!$P$24:$P$31,'325'!$P$33:$P$37,'325'!$P$39,'325'!$P$41,'325'!$P$43,'325'!$P$45:$P$46,'325'!$P$48,'325'!$P$50,'325'!$P$52,'325'!$P$54,'325'!$P$56,'325'!$P$58:$P$60,'325'!$P$62:$P$64,'325'!$P$66,'325'!$P$68:$P$72,'325'!$P$74,'325'!$P$76,'325'!$P$78</definedName>
    <definedName name="OSRRefP22x_0" localSheetId="60">'326'!$P$62:$P$69,'326'!$P$71:$P$76,'326'!$P$78,'326'!$P$80,'326'!$P$82,'326'!$P$84,'326'!$P$86,'326'!$P$88,'326'!$P$90,'326'!$P$92,'326'!$P$94,'326'!$P$96,'326'!$P$98:$P$100,'326'!$P$102:$P$104,'326'!$P$106:$P$107,'326'!$P$109:$P$114,'326'!$P$116,'326'!$P$118,'326'!$P$120,'326'!$P$122</definedName>
    <definedName name="OSRRefP22x_0" localSheetId="72">'327'!$P$22,'327'!$P$24,'327'!$P$26</definedName>
    <definedName name="OSRRefP22x_0" localSheetId="52">'330'!$P$84:$P$91,'330'!$P$93:$P$97,'330'!$P$99,'330'!$P$101,'330'!$P$103:$P$104,'330'!$P$106,'330'!$P$108,'330'!$P$110,'330'!$P$112:$P$113,'330'!$P$115:$P$116,'330'!$P$118,'330'!$P$120:$P$123,'330'!$P$125,'330'!$P$127,'330'!$P$129</definedName>
    <definedName name="OSRRefP22x_0" localSheetId="58">'331'!$P$90:$P$97,'331'!$P$99:$P$104,'331'!$P$106,'331'!$P$108,'331'!$P$110,'331'!$P$112:$P$113,'331'!$P$115,'331'!$P$117:$P$118,'331'!$P$120,'331'!$P$122,'331'!$P$124,'331'!$P$126,'331'!$P$128,'331'!$P$130:$P$132,'331'!$P$134:$P$135,'331'!$P$137:$P$139,'331'!$P$141:$P$142,'331'!$P$144:$P$149,'331'!$P$151,'331'!$P$153,'331'!$P$155:$P$156,'331'!$P$158</definedName>
    <definedName name="OSRRefP22x_0" localSheetId="61">'332'!$P$43:$P$50,'332'!$P$52:$P$55,'332'!$P$57,'332'!$P$59,'332'!$P$61,'332'!$P$63,'332'!$P$65:$P$66,'332'!$P$68,'332'!$P$70,'332'!$P$72:$P$74,'332'!$P$76,'332'!$P$78:$P$83,'332'!$P$85,'332'!$P$87,'332'!$P$89</definedName>
    <definedName name="OSRRefP22x_0" localSheetId="76">'405'!$P$24:$P$31,'405'!$P$33:$P$36,'405'!$P$38,'405'!$P$40,'405'!$P$42,'405'!$P$44:$P$45,'405'!$P$47,'405'!$P$49,'405'!$P$51,'405'!$P$53,'405'!$P$55:$P$56,'405'!$P$58,'405'!$P$60:$P$62,'405'!$P$64:$P$65,'405'!$P$67:$P$73,'405'!$P$75,'405'!$P$77,'405'!$P$79</definedName>
    <definedName name="OSRRefP22x_0" localSheetId="77">'406'!$P$24:$P$31,'406'!$P$33:$P$38,'406'!$P$40,'406'!$P$42,'406'!$P$44,'406'!$P$46,'406'!$P$48,'406'!$P$50,'406'!$P$52,'406'!$P$54:$P$56,'406'!$P$58:$P$59,'406'!$P$61:$P$65,'406'!$P$67,'406'!$P$69</definedName>
    <definedName name="OSRRefP22x_0" localSheetId="78">'411'!$P$20:$P$28,'411'!$P$30:$P$35,'411'!$P$37,'411'!$P$39,'411'!$P$41:$P$43,'411'!$P$45,'411'!$P$47,'411'!$P$49,'411'!$P$51,'411'!$P$53,'411'!$P$55,'411'!$P$57,'411'!$P$59:$P$61,'411'!$P$63:$P$67,'411'!$P$69,'411'!$P$71:$P$79,'411'!$P$81,'411'!$P$83,'411'!$P$85:$P$87,'411'!$P$89</definedName>
    <definedName name="OSRRefP22x_0" localSheetId="79">'412'!$P$23:$P$30,'412'!$P$32:$P$37,'412'!$P$39,'412'!$P$41,'412'!$P$43,'412'!$P$45,'412'!$P$47,'412'!$P$49,'412'!$P$51,'412'!$P$53:$P$54,'412'!$P$56:$P$57,'412'!$P$59:$P$64,'412'!$P$66,'412'!$P$68</definedName>
    <definedName name="OSRRefP22x_0" localSheetId="80">'413'!$P$24:$P$31,'413'!$P$33:$P$37,'413'!$P$39,'413'!$P$41,'413'!$P$43,'413'!$P$45,'413'!$P$47,'413'!$P$49:$P$51,'413'!$P$53:$P$55,'413'!$P$57:$P$62,'413'!$P$64,'413'!$P$66</definedName>
    <definedName name="OSRRefP22x_0" localSheetId="81">'414'!$P$24:$P$31,'414'!$P$33:$P$38,'414'!$P$40,'414'!$P$42,'414'!$P$44,'414'!$P$46,'414'!$P$48,'414'!$P$50,'414'!$P$52,'414'!$P$54:$P$55,'414'!$P$57,'414'!$P$59,'414'!$P$61,'414'!$P$63:$P$69,'414'!$P$71,'414'!$P$73</definedName>
    <definedName name="OSRRefP22x_0" localSheetId="82">'415'!$P$24:$P$31,'415'!$P$33:$P$38,'415'!$P$40,'415'!$P$42,'415'!$P$44,'415'!$P$46:$P$47,'415'!$P$49,'415'!$P$51,'415'!$P$53,'415'!$P$55,'415'!$P$57,'415'!$P$59:$P$62,'415'!$P$64:$P$68,'415'!$P$70:$P$71,'415'!$P$73:$P$81,'415'!$P$83,'415'!$P$85,'415'!$P$87</definedName>
    <definedName name="OSRRefP22x_0" localSheetId="83">'418'!$P$24:$P$31,'418'!$P$33:$P$38,'418'!$P$40,'418'!$P$42,'418'!$P$44,'418'!$P$46:$P$47,'418'!$P$49,'418'!$P$51,'418'!$P$53,'418'!$P$55,'418'!$P$57:$P$58,'418'!$P$60:$P$62,'418'!$P$64:$P$66,'418'!$P$68:$P$69,'418'!$P$71:$P$77,'418'!$P$79,'418'!$P$81</definedName>
    <definedName name="OSRRefP22x_0" localSheetId="84">'420'!$P$23:$P$30,'420'!$P$32:$P$35,'420'!$P$37,'420'!$P$39,'420'!$P$41,'420'!$P$43:$P$44,'420'!$P$46</definedName>
    <definedName name="OSRRefP22x_0" localSheetId="85">'423'!$P$21:$P$28,'423'!$P$30,'423'!$P$32,'423'!$P$34,'423'!$P$36,'423'!$P$38</definedName>
    <definedName name="OSRRefP22x_0" localSheetId="86">'424'!$P$24:$P$25,'424'!$P$27:$P$31,'424'!$P$33,'424'!$P$35,'424'!$P$37,'424'!$P$39,'424'!$P$41,'424'!$P$43,'424'!$P$45:$P$46,'424'!$P$48,'424'!$P$50,'424'!$P$52:$P$56,'424'!$P$58</definedName>
    <definedName name="OSRRefP22x_0" localSheetId="87">'425'!$P$26:$P$34,'425'!$P$36:$P$41,'425'!$P$43,'425'!$P$45,'425'!$P$47,'425'!$P$49,'425'!$P$51,'425'!$P$53,'425'!$P$55,'425'!$P$57:$P$59,'425'!$P$61,'425'!$P$63:$P$64,'425'!$P$66:$P$72,'425'!$P$74,'425'!$P$76</definedName>
    <definedName name="OSRRefP22x_0" localSheetId="90">'430'!$P$20:$P$27,'430'!$P$29,'430'!$P$31,'430'!$P$33,'430'!$P$35:$P$36,'430'!$P$38,'430'!$P$40,'430'!$P$42</definedName>
    <definedName name="OSRRefP22x_0" localSheetId="91">'433'!$P$25:$P$33,'433'!$P$35:$P$40,'433'!$P$42,'433'!$P$44,'433'!$P$46,'433'!$P$48,'433'!$P$50,'433'!$P$52,'433'!$P$54,'433'!$P$56,'433'!$P$58,'433'!$P$60:$P$62,'433'!$P$64:$P$66,'433'!$P$68:$P$75,'433'!$P$77,'433'!$P$79,'433'!$P$81</definedName>
    <definedName name="OSRRefP22x_0" localSheetId="92">'435'!$P$25:$P$27,'435'!$P$29:$P$31,'435'!$P$33,'435'!$P$35,'435'!$P$37,'435'!$P$39,'435'!$P$41,'435'!$P$43:$P$45,'435'!$P$47</definedName>
    <definedName name="OSRRefP22x_0" localSheetId="93">'444'!$P$25:$P$33,'444'!$P$35:$P$40,'444'!$P$42,'444'!$P$44,'444'!$P$46,'444'!$P$48,'444'!$P$50,'444'!$P$52,'444'!$P$54,'444'!$P$56,'444'!$P$58,'444'!$P$60:$P$62,'444'!$P$64:$P$67,'444'!$P$69,'444'!$P$71:$P$79,'444'!$P$81,'444'!$P$83,'444'!$P$85</definedName>
    <definedName name="OSRRefP22x_0" localSheetId="95">'450'!$P$25:$P$33,'450'!$P$35:$P$40,'450'!$P$42,'450'!$P$44,'450'!$P$46,'450'!$P$48,'450'!$P$50,'450'!$P$52,'450'!$P$54,'450'!$P$56,'450'!$P$58,'450'!$P$60,'450'!$P$62:$P$63,'450'!$P$65:$P$67,'450'!$P$69:$P$74,'450'!$P$76,'450'!$P$78,'450'!$P$80</definedName>
    <definedName name="OSRRefP22x_0" localSheetId="88">'455'!$P$20:$P$26,'455'!$P$28:$P$29</definedName>
    <definedName name="OSRRefP22x_0" localSheetId="75">'491'!$P$32:$P$40,'491'!$P$42:$P$48,'491'!$P$50,'491'!$P$52,'491'!$P$54,'491'!$P$56:$P$58,'491'!$P$60,'491'!$P$62,'491'!$P$64,'491'!$P$66,'491'!$P$68,'491'!$P$70:$P$71,'491'!$P$73,'491'!$P$75,'491'!$P$77,'491'!$P$79,'491'!$P$81:$P$84,'491'!$P$86:$P$87,'491'!$P$89:$P$93,'491'!$P$95:$P$96,'491'!$P$98:$P$107,'491'!$P$109,'491'!$P$111,'491'!$P$113:$P$115,'491'!$P$117</definedName>
    <definedName name="OSRRefP22x_0" localSheetId="89">'492'!$P$27:$P$35,'492'!$P$37:$P$43,'492'!$P$45,'492'!$P$47,'492'!$P$49,'492'!$P$51,'492'!$P$53,'492'!$P$55,'492'!$P$57,'492'!$P$59,'492'!$P$61,'492'!$P$63,'492'!$P$65:$P$67,'492'!$P$69:$P$72,'492'!$P$74,'492'!$P$76:$P$84,'492'!$P$86,'492'!$P$88,'492'!$P$90</definedName>
    <definedName name="OSRRefP22x_0" localSheetId="97">'501'!$P$21:$P$29,'501'!$P$31:$P$35,'501'!$P$37,'501'!$P$39,'501'!$P$41,'501'!$P$43:$P$44,'501'!$P$46,'501'!$P$48,'501'!$P$50,'501'!$P$52:$P$54,'501'!$P$56,'501'!$P$58:$P$60,'501'!$P$62</definedName>
    <definedName name="OSRRefP22x_0" localSheetId="39">'Div 2'!$P$20:$P$30,'Div 2'!$P$32:$P$38,'Div 2'!$P$40,'Div 2'!$P$42,'Div 2'!$P$44,'Div 2'!$P$46,'Div 2'!$P$48,'Div 2'!$P$50,'Div 2'!$P$52,'Div 2'!$P$54:$P$55,'Div 2'!$P$57,'Div 2'!$P$59,'Div 2'!$P$61:$P$64,'Div 2'!$P$66:$P$68,'Div 2'!$P$70:$P$71,'Div 2'!$P$73,'Div 2'!$P$75:$P$79,'Div 2'!$P$81:$P$82,'Div 2'!$P$84,'Div 2'!$P$86:$P$87</definedName>
    <definedName name="OSRRefP22x_0" localSheetId="47">'Div 3'!$P$170:$P$179,'Div 3'!$P$181:$P$187,'Div 3'!$P$189,'Div 3'!$P$191:$P$192,'Div 3'!$P$194,'Div 3'!$P$196:$P$197,'Div 3'!$P$199:$P$200,'Div 3'!$P$202,'Div 3'!$P$204,'Div 3'!$P$206,'Div 3'!$P$208:$P$209,'Div 3'!$P$211,'Div 3'!$P$213,'Div 3'!$P$215,'Div 3'!$P$217,'Div 3'!$P$219,'Div 3'!$P$221,'Div 3'!$P$223:$P$226,'Div 3'!$P$228:$P$230,'Div 3'!$P$232:$P$236,'Div 3'!$P$238:$P$239,'Div 3'!$P$241:$P$248,'Div 3'!$P$250:$P$251,'Div 3'!$P$253,'Div 3'!$P$255:$P$257,'Div 3'!$P$259</definedName>
    <definedName name="OSRRefP22x_0" localSheetId="73">'Div 4'!$P$32:$P$40,'Div 4'!$P$42:$P$48,'Div 4'!$P$50,'Div 4'!$P$52,'Div 4'!$P$54,'Div 4'!$P$56:$P$58,'Div 4'!$P$60,'Div 4'!$P$62,'Div 4'!$P$64,'Div 4'!$P$66,'Div 4'!$P$68,'Div 4'!$P$70:$P$71,'Div 4'!$P$73,'Div 4'!$P$75,'Div 4'!$P$77,'Div 4'!$P$79,'Div 4'!$P$81,'Div 4'!$P$83:$P$86,'Div 4'!$P$88:$P$89,'Div 4'!$P$91:$P$95,'Div 4'!$P$97:$P$98,'Div 4'!$P$100:$P$109,'Div 4'!$P$111,'Div 4'!$P$113,'Div 4'!$P$115:$P$117,'Div 4'!$P$119</definedName>
    <definedName name="OSRRefP22x_0" localSheetId="96">'Div 5'!$P$21:$P$29,'Div 5'!$P$31:$P$35,'Div 5'!$P$37,'Div 5'!$P$39,'Div 5'!$P$41,'Div 5'!$P$43:$P$44,'Div 5'!$P$46,'Div 5'!$P$48,'Div 5'!$P$50,'Div 5'!$P$52:$P$54,'Div 5'!$P$56,'Div 5'!$P$58:$P$60,'Div 5'!$P$62</definedName>
    <definedName name="OSRRefP22x_0" localSheetId="64">'Div 6'!$P$58:$P$66,'Div 6'!$P$68:$P$72,'Div 6'!$P$74,'Div 6'!$P$76,'Div 6'!$P$78,'Div 6'!$P$80:$P$81,'Div 6'!$P$83,'Div 6'!$P$85,'Div 6'!$P$87,'Div 6'!$P$89,'Div 6'!$P$91:$P$93,'Div 6'!$P$95,'Div 6'!$P$97,'Div 6'!$P$99</definedName>
    <definedName name="OSRRefP22x_0" localSheetId="2">Summary!$P$202:$P$211,Summary!$P$213:$P$219,Summary!$P$221,Summary!$P$223:$P$224,Summary!$P$226,Summary!$P$228:$P$230,Summary!$P$232:$P$233,Summary!$P$235,Summary!$P$237,Summary!$P$239,Summary!$P$241:$P$242,Summary!$P$244:$P$245,Summary!$P$247,Summary!$P$249,Summary!$P$251,Summary!$P$253,Summary!$P$255,Summary!$P$257,Summary!$P$259:$P$262,Summary!$P$264:$P$266,Summary!$P$268:$P$272,Summary!$P$274:$P$275,Summary!$P$277:$P$286,Summary!$P$288:$P$289,Summary!$P$291,Summary!$P$293:$P$295,Summary!$P$297</definedName>
    <definedName name="OSRRefP25x_0" localSheetId="48">'300'!$P$253:$P$261</definedName>
    <definedName name="OSRRefP25x_0" localSheetId="49">'300 &amp; 317'!$P$278:$P$289</definedName>
    <definedName name="OSRRefP25x_0" localSheetId="50">'301'!$P$98:$P$100</definedName>
    <definedName name="OSRRefP25x_0" localSheetId="53">'307'!$P$118</definedName>
    <definedName name="OSRRefP25x_0" localSheetId="55">'308'!$P$117:$P$119</definedName>
    <definedName name="OSRRefP25x_0" localSheetId="74">'310 &amp; 491'!$P$127:$P$129</definedName>
    <definedName name="OSRRefP25x_0" localSheetId="56">'311'!$P$116:$P$118</definedName>
    <definedName name="OSRRefP25x_0" localSheetId="59">'315'!$P$129:$P$130</definedName>
    <definedName name="OSRRefP25x_0" localSheetId="62">'316'!$P$83</definedName>
    <definedName name="OSRRefP25x_0" localSheetId="65">'317'!$P$102:$P$105</definedName>
    <definedName name="OSRRefP25x_0" localSheetId="63">'320'!$P$57:$P$61</definedName>
    <definedName name="OSRRefP25x_0" localSheetId="52">'330'!$P$132</definedName>
    <definedName name="OSRRefP25x_0" localSheetId="58">'331'!$P$161:$P$162</definedName>
    <definedName name="OSRRefP25x_0" localSheetId="61">'332'!$P$92:$P$97</definedName>
    <definedName name="OSRRefP25x_0" localSheetId="78">'411'!$P$92:$P$93</definedName>
    <definedName name="OSRRefP25x_0" localSheetId="80">'413'!$P$69</definedName>
    <definedName name="OSRRefP25x_0" localSheetId="82">'415'!$P$90</definedName>
    <definedName name="OSRRefP25x_0" localSheetId="83">'418'!$P$84</definedName>
    <definedName name="OSRRefP25x_0" localSheetId="85">'423'!$P$41</definedName>
    <definedName name="OSRRefP25x_0" localSheetId="86">'424'!$P$61</definedName>
    <definedName name="OSRRefP25x_0" localSheetId="87">'425'!$P$79</definedName>
    <definedName name="OSRRefP25x_0" localSheetId="88">'455'!$P$32:$P$33</definedName>
    <definedName name="OSRRefP25x_0" localSheetId="75">'491'!$P$120:$P$122</definedName>
    <definedName name="OSRRefP25x_0" localSheetId="97">'501'!$P$65</definedName>
    <definedName name="OSRRefP25x_0" localSheetId="47">'Div 3'!$P$262:$P$270</definedName>
    <definedName name="OSRRefP25x_0" localSheetId="73">'Div 4'!$P$122:$P$124</definedName>
    <definedName name="OSRRefP25x_0" localSheetId="96">'Div 5'!$P$65</definedName>
    <definedName name="OSRRefP25x_0" localSheetId="64">'Div 6'!$P$102:$P$105</definedName>
    <definedName name="OSRRefP25x_0" localSheetId="2">Summary!$P$300:$P$312</definedName>
    <definedName name="OSRRefT13x_0" localSheetId="48">'300'!$T$13:$T$107</definedName>
    <definedName name="OSRRefT13x_0" localSheetId="49">'300 &amp; 317'!$T$13:$T$125</definedName>
    <definedName name="OSRRefT13x_0" localSheetId="53">'307'!$T$13:$T$49</definedName>
    <definedName name="OSRRefT13x_0" localSheetId="55">'308'!$T$13:$T$41</definedName>
    <definedName name="OSRRefT13x_0" localSheetId="67">'309'!$T$13:$T$14</definedName>
    <definedName name="OSRRefT13x_0" localSheetId="66">'310'!$T$13:$T$21</definedName>
    <definedName name="OSRRefT13x_0" localSheetId="74">'310 &amp; 491'!$T$13:$T$28</definedName>
    <definedName name="OSRRefT13x_0" localSheetId="56">'311'!$T$13:$T$40</definedName>
    <definedName name="OSRRefT13x_0" localSheetId="68">'313'!$T$13:$T$18</definedName>
    <definedName name="OSRRefT13x_0" localSheetId="54">'314'!$T$13:$T$32</definedName>
    <definedName name="OSRRefT13x_0" localSheetId="59">'315'!$T$13:$T$50</definedName>
    <definedName name="OSRRefT13x_0" localSheetId="62">'316'!$T$13:$T$28</definedName>
    <definedName name="OSRRefT13x_0" localSheetId="65">'317'!$T$13:$T$37</definedName>
    <definedName name="OSRRefT13x_0" localSheetId="63">'320'!$T$13:$T$15</definedName>
    <definedName name="OSRRefT13x_0" localSheetId="69">'321'!$T$13:$T$14</definedName>
    <definedName name="OSRRefT13x_0" localSheetId="70">'322'!$T$13:$T$14</definedName>
    <definedName name="OSRRefT13x_0" localSheetId="57">'324'!$T$13:$T$15</definedName>
    <definedName name="OSRRefT13x_0" localSheetId="71">'325'!$T$13:$T$14</definedName>
    <definedName name="OSRRefT13x_0" localSheetId="60">'326'!$T$13:$T$38</definedName>
    <definedName name="OSRRefT13x_0" localSheetId="72">'327'!$T$13</definedName>
    <definedName name="OSRRefT13x_0" localSheetId="52">'330'!$T$13:$T$53</definedName>
    <definedName name="OSRRefT13x_0" localSheetId="58">'331'!$T$13:$T$54</definedName>
    <definedName name="OSRRefT13x_0" localSheetId="61">'332'!$T$13:$T$30</definedName>
    <definedName name="OSRRefT13x_0" localSheetId="76">'405'!$T$13:$T$14</definedName>
    <definedName name="OSRRefT13x_0" localSheetId="77">'406'!$T$13:$T$14</definedName>
    <definedName name="OSRRefT13x_0" localSheetId="79">'412'!$T$13:$T$14</definedName>
    <definedName name="OSRRefT13x_0" localSheetId="80">'413'!$T$13:$T$14</definedName>
    <definedName name="OSRRefT13x_0" localSheetId="81">'414'!$T$13:$T$14</definedName>
    <definedName name="OSRRefT13x_0" localSheetId="82">'415'!$T$13:$T$14</definedName>
    <definedName name="OSRRefT13x_0" localSheetId="83">'418'!$T$13:$T$14</definedName>
    <definedName name="OSRRefT13x_0" localSheetId="84">'420'!$T$13:$T$14</definedName>
    <definedName name="OSRRefT13x_0" localSheetId="86">'424'!$T$13:$T$14</definedName>
    <definedName name="OSRRefT13x_0" localSheetId="87">'425'!$T$13:$T$16</definedName>
    <definedName name="OSRRefT13x_0" localSheetId="91">'433'!$T$13:$T$15</definedName>
    <definedName name="OSRRefT13x_0" localSheetId="92">'435'!$T$13:$T$15</definedName>
    <definedName name="OSRRefT13x_0" localSheetId="93">'444'!$T$13:$T$15</definedName>
    <definedName name="OSRRefT13x_0" localSheetId="95">'450'!$T$13:$T$15</definedName>
    <definedName name="OSRRefT13x_0" localSheetId="75">'491'!$T$13:$T$22</definedName>
    <definedName name="OSRRefT13x_0" localSheetId="89">'492'!$T$13:$T$17</definedName>
    <definedName name="OSRRefT13x_0" localSheetId="97">'501'!$T$13</definedName>
    <definedName name="OSRRefT13x_0" localSheetId="47">'Div 3'!$T$13:$T$110</definedName>
    <definedName name="OSRRefT13x_0" localSheetId="73">'Div 4'!$T$13:$T$22</definedName>
    <definedName name="OSRRefT13x_0" localSheetId="96">'Div 5'!$T$13</definedName>
    <definedName name="OSRRefT13x_0" localSheetId="64">'Div 6'!$T$13:$T$37</definedName>
    <definedName name="OSRRefT13x_0" localSheetId="2">Summary!$T$13:$T$135</definedName>
    <definedName name="OSRRefT16x_0" localSheetId="48">'300'!$T$110:$T$159</definedName>
    <definedName name="OSRRefT16x_0" localSheetId="49">'300 &amp; 317'!$T$128:$T$184</definedName>
    <definedName name="OSRRefT16x_0" localSheetId="53">'307'!$T$52:$T$71</definedName>
    <definedName name="OSRRefT16x_0" localSheetId="55">'308'!$T$44:$T$59</definedName>
    <definedName name="OSRRefT16x_0" localSheetId="67">'309'!$T$17:$T$18</definedName>
    <definedName name="OSRRefT16x_0" localSheetId="66">'310'!$T$24:$T$25</definedName>
    <definedName name="OSRRefT16x_0" localSheetId="74">'310 &amp; 491'!$T$31:$T$32</definedName>
    <definedName name="OSRRefT16x_0" localSheetId="56">'311'!$T$43:$T$58</definedName>
    <definedName name="OSRRefT16x_0" localSheetId="68">'313'!$T$21:$T$22</definedName>
    <definedName name="OSRRefT16x_0" localSheetId="54">'314'!$T$35:$T$49</definedName>
    <definedName name="OSRRefT16x_0" localSheetId="59">'315'!$T$53:$T$75</definedName>
    <definedName name="OSRRefT16x_0" localSheetId="65">'317'!$T$40:$T$52</definedName>
    <definedName name="OSRRefT16x_0" localSheetId="63">'320'!$T$18:$T$22</definedName>
    <definedName name="OSRRefT16x_0" localSheetId="69">'321'!$T$17:$T$18</definedName>
    <definedName name="OSRRefT16x_0" localSheetId="70">'322'!$T$17:$T$18</definedName>
    <definedName name="OSRRefT16x_0" localSheetId="57">'324'!$T$18:$T$19</definedName>
    <definedName name="OSRRefT16x_0" localSheetId="71">'325'!$T$17:$T$18</definedName>
    <definedName name="OSRRefT16x_0" localSheetId="60">'326'!$T$41:$T$56</definedName>
    <definedName name="OSRRefT16x_0" localSheetId="72">'327'!$T$16</definedName>
    <definedName name="OSRRefT16x_0" localSheetId="52">'330'!$T$56:$T$78</definedName>
    <definedName name="OSRRefT16x_0" localSheetId="58">'331'!$T$57:$T$84</definedName>
    <definedName name="OSRRefT16x_0" localSheetId="61">'332'!$T$33:$T$37</definedName>
    <definedName name="OSRRefT16x_0" localSheetId="76">'405'!$T$17:$T$18</definedName>
    <definedName name="OSRRefT16x_0" localSheetId="77">'406'!$T$17:$T$18</definedName>
    <definedName name="OSRRefT16x_0" localSheetId="79">'412'!$T$17</definedName>
    <definedName name="OSRRefT16x_0" localSheetId="80">'413'!$T$17:$T$18</definedName>
    <definedName name="OSRRefT16x_0" localSheetId="81">'414'!$T$17:$T$18</definedName>
    <definedName name="OSRRefT16x_0" localSheetId="82">'415'!$T$17:$T$18</definedName>
    <definedName name="OSRRefT16x_0" localSheetId="83">'418'!$T$17:$T$18</definedName>
    <definedName name="OSRRefT16x_0" localSheetId="84">'420'!$T$17</definedName>
    <definedName name="OSRRefT16x_0" localSheetId="85">'423'!$T$15</definedName>
    <definedName name="OSRRefT16x_0" localSheetId="86">'424'!$T$17:$T$18</definedName>
    <definedName name="OSRRefT16x_0" localSheetId="87">'425'!$T$19:$T$20</definedName>
    <definedName name="OSRRefT16x_0" localSheetId="91">'433'!$T$18:$T$19</definedName>
    <definedName name="OSRRefT16x_0" localSheetId="92">'435'!$T$18:$T$19</definedName>
    <definedName name="OSRRefT16x_0" localSheetId="93">'444'!$T$18:$T$19</definedName>
    <definedName name="OSRRefT16x_0" localSheetId="95">'450'!$T$18:$T$19</definedName>
    <definedName name="OSRRefT16x_0" localSheetId="75">'491'!$T$25:$T$26</definedName>
    <definedName name="OSRRefT16x_0" localSheetId="89">'492'!$T$20:$T$21</definedName>
    <definedName name="OSRRefT16x_0" localSheetId="47">'Div 3'!$T$113:$T$164</definedName>
    <definedName name="OSRRefT16x_0" localSheetId="73">'Div 4'!$T$25:$T$26</definedName>
    <definedName name="OSRRefT16x_0" localSheetId="64">'Div 6'!$T$40:$T$52</definedName>
    <definedName name="OSRRefT16x_0" localSheetId="2">Summary!$T$138:$T$196</definedName>
    <definedName name="OSRRefT22_0x_0" localSheetId="40">'200'!$T$20</definedName>
    <definedName name="OSRRefT22_0x_0" localSheetId="41">'201'!$T$20:$T$27</definedName>
    <definedName name="OSRRefT22_0x_0" localSheetId="42">'202'!$T$20:$T$27</definedName>
    <definedName name="OSRRefT22_0x_0" localSheetId="43">'203'!$T$20:$T$29</definedName>
    <definedName name="OSRRefT22_0x_0" localSheetId="44">'204'!$T$20:$T$29</definedName>
    <definedName name="OSRRefT22_0x_0" localSheetId="45">'205'!$T$20:$T$27</definedName>
    <definedName name="OSRRefT22_0x_0" localSheetId="46">'206'!$T$20:$T$27</definedName>
    <definedName name="OSRRefT22_0x_0" localSheetId="48">'300'!$T$165:$T$174</definedName>
    <definedName name="OSRRefT22_0x_0" localSheetId="49">'300 &amp; 317'!$T$190:$T$199</definedName>
    <definedName name="OSRRefT22_0x_0" localSheetId="50">'301'!$T$20:$T$29</definedName>
    <definedName name="OSRRefT22_0x_0" localSheetId="51">'306'!$T$20:$T$28</definedName>
    <definedName name="OSRRefT22_0x_0" localSheetId="53">'307'!$T$77:$T$84</definedName>
    <definedName name="OSRRefT22_0x_0" localSheetId="55">'308'!$T$65:$T$73</definedName>
    <definedName name="OSRRefT22_0x_0" localSheetId="67">'309'!$T$24:$T$31</definedName>
    <definedName name="OSRRefT22_0x_0" localSheetId="66">'310'!$T$31:$T$38</definedName>
    <definedName name="OSRRefT22_0x_0" localSheetId="74">'310 &amp; 491'!$T$38:$T$46</definedName>
    <definedName name="OSRRefT22_0x_0" localSheetId="56">'311'!$T$64:$T$72</definedName>
    <definedName name="OSRRefT22_0x_0" localSheetId="68">'313'!$T$28:$T$35</definedName>
    <definedName name="OSRRefT22_0x_0" localSheetId="54">'314'!$T$55:$T$62</definedName>
    <definedName name="OSRRefT22_0x_0" localSheetId="59">'315'!$T$81:$T$88</definedName>
    <definedName name="OSRRefT22_0x_0" localSheetId="62">'316'!$T$36:$T$43</definedName>
    <definedName name="OSRRefT22_0x_0" localSheetId="65">'317'!$T$58:$T$66</definedName>
    <definedName name="OSRRefT22_0x_0" localSheetId="63">'320'!$T$28:$T$34</definedName>
    <definedName name="OSRRefT22_0x_0" localSheetId="69">'321'!$T$24:$T$31</definedName>
    <definedName name="OSRRefT22_0x_0" localSheetId="70">'322'!$T$24:$T$31</definedName>
    <definedName name="OSRRefT22_0x_0" localSheetId="71">'325'!$T$24:$T$31</definedName>
    <definedName name="OSRRefT22_0x_0" localSheetId="60">'326'!$T$62:$T$69</definedName>
    <definedName name="OSRRefT22_0x_0" localSheetId="72">'327'!$T$22</definedName>
    <definedName name="OSRRefT22_0x_0" localSheetId="52">'330'!$T$84:$T$91</definedName>
    <definedName name="OSRRefT22_0x_0" localSheetId="58">'331'!$T$90:$T$97</definedName>
    <definedName name="OSRRefT22_0x_0" localSheetId="61">'332'!$T$43:$T$50</definedName>
    <definedName name="OSRRefT22_0x_0" localSheetId="76">'405'!$T$24:$T$31</definedName>
    <definedName name="OSRRefT22_0x_0" localSheetId="77">'406'!$T$24:$T$31</definedName>
    <definedName name="OSRRefT22_0x_0" localSheetId="78">'411'!$T$20:$T$28</definedName>
    <definedName name="OSRRefT22_0x_0" localSheetId="79">'412'!$T$23:$T$30</definedName>
    <definedName name="OSRRefT22_0x_0" localSheetId="80">'413'!$T$24:$T$31</definedName>
    <definedName name="OSRRefT22_0x_0" localSheetId="81">'414'!$T$24:$T$31</definedName>
    <definedName name="OSRRefT22_0x_0" localSheetId="82">'415'!$T$24:$T$31</definedName>
    <definedName name="OSRRefT22_0x_0" localSheetId="83">'418'!$T$24:$T$31</definedName>
    <definedName name="OSRRefT22_0x_0" localSheetId="84">'420'!$T$23:$T$30</definedName>
    <definedName name="OSRRefT22_0x_0" localSheetId="85">'423'!$T$21:$T$28</definedName>
    <definedName name="OSRRefT22_0x_0" localSheetId="86">'424'!$T$24:$T$25</definedName>
    <definedName name="OSRRefT22_0x_0" localSheetId="87">'425'!$T$26:$T$34</definedName>
    <definedName name="OSRRefT22_0x_0" localSheetId="90">'430'!$T$20:$T$27</definedName>
    <definedName name="OSRRefT22_0x_0" localSheetId="91">'433'!$T$25:$T$33</definedName>
    <definedName name="OSRRefT22_0x_0" localSheetId="92">'435'!$T$25:$T$27</definedName>
    <definedName name="OSRRefT22_0x_0" localSheetId="93">'444'!$T$25:$T$33</definedName>
    <definedName name="OSRRefT22_0x_0" localSheetId="95">'450'!$T$25:$T$33</definedName>
    <definedName name="OSRRefT22_0x_0" localSheetId="88">'455'!$T$20:$T$26</definedName>
    <definedName name="OSRRefT22_0x_0" localSheetId="75">'491'!$T$32:$T$40</definedName>
    <definedName name="OSRRefT22_0x_0" localSheetId="89">'492'!$T$27:$T$35</definedName>
    <definedName name="OSRRefT22_0x_0" localSheetId="97">'501'!$T$21:$T$29</definedName>
    <definedName name="OSRRefT22_0x_0" localSheetId="39">'Div 2'!$T$20:$T$30</definedName>
    <definedName name="OSRRefT22_0x_0" localSheetId="47">'Div 3'!$T$170:$T$179</definedName>
    <definedName name="OSRRefT22_0x_0" localSheetId="73">'Div 4'!$T$32:$T$40</definedName>
    <definedName name="OSRRefT22_0x_0" localSheetId="96">'Div 5'!$T$21:$T$29</definedName>
    <definedName name="OSRRefT22_0x_0" localSheetId="64">'Div 6'!$T$58:$T$66</definedName>
    <definedName name="OSRRefT22_0x_0" localSheetId="2">Summary!$T$202:$T$211</definedName>
    <definedName name="OSRRefT22_10x_0" localSheetId="41">'201'!$T$51:$T$53</definedName>
    <definedName name="OSRRefT22_10x_0" localSheetId="42">'202'!$T$53</definedName>
    <definedName name="OSRRefT22_10x_0" localSheetId="43">'203'!$T$54:$T$55</definedName>
    <definedName name="OSRRefT22_10x_0" localSheetId="44">'204'!$T$56:$T$57</definedName>
    <definedName name="OSRRefT22_10x_0" localSheetId="48">'300'!$T$203:$T$204</definedName>
    <definedName name="OSRRefT22_10x_0" localSheetId="49">'300 &amp; 317'!$T$228:$T$229</definedName>
    <definedName name="OSRRefT22_10x_0" localSheetId="50">'301'!$T$58</definedName>
    <definedName name="OSRRefT22_10x_0" localSheetId="53">'307'!$T$113</definedName>
    <definedName name="OSRRefT22_10x_0" localSheetId="55">'308'!$T$102:$T$103</definedName>
    <definedName name="OSRRefT22_10x_0" localSheetId="67">'309'!$T$56:$T$58</definedName>
    <definedName name="OSRRefT22_10x_0" localSheetId="66">'310'!$T$64</definedName>
    <definedName name="OSRRefT22_10x_0" localSheetId="74">'310 &amp; 491'!$T$74:$T$75</definedName>
    <definedName name="OSRRefT22_10x_0" localSheetId="56">'311'!$T$101:$T$102</definedName>
    <definedName name="OSRRefT22_10x_0" localSheetId="68">'313'!$T$61:$T$65</definedName>
    <definedName name="OSRRefT22_10x_0" localSheetId="59">'315'!$T$121</definedName>
    <definedName name="OSRRefT22_10x_0" localSheetId="62">'316'!$T$69:$T$74</definedName>
    <definedName name="OSRRefT22_10x_0" localSheetId="65">'317'!$T$91:$T$93</definedName>
    <definedName name="OSRRefT22_10x_0" localSheetId="69">'321'!$T$62</definedName>
    <definedName name="OSRRefT22_10x_0" localSheetId="70">'322'!$T$58:$T$63</definedName>
    <definedName name="OSRRefT22_10x_0" localSheetId="71">'325'!$T$56</definedName>
    <definedName name="OSRRefT22_10x_0" localSheetId="60">'326'!$T$94</definedName>
    <definedName name="OSRRefT22_10x_0" localSheetId="52">'330'!$T$118</definedName>
    <definedName name="OSRRefT22_10x_0" localSheetId="58">'331'!$T$124</definedName>
    <definedName name="OSRRefT22_10x_0" localSheetId="61">'332'!$T$76</definedName>
    <definedName name="OSRRefT22_10x_0" localSheetId="76">'405'!$T$55:$T$56</definedName>
    <definedName name="OSRRefT22_10x_0" localSheetId="77">'406'!$T$58:$T$59</definedName>
    <definedName name="OSRRefT22_10x_0" localSheetId="78">'411'!$T$55</definedName>
    <definedName name="OSRRefT22_10x_0" localSheetId="79">'412'!$T$56:$T$57</definedName>
    <definedName name="OSRRefT22_10x_0" localSheetId="80">'413'!$T$64</definedName>
    <definedName name="OSRRefT22_10x_0" localSheetId="81">'414'!$T$57</definedName>
    <definedName name="OSRRefT22_10x_0" localSheetId="82">'415'!$T$57</definedName>
    <definedName name="OSRRefT22_10x_0" localSheetId="83">'418'!$T$57:$T$58</definedName>
    <definedName name="OSRRefT22_10x_0" localSheetId="86">'424'!$T$50</definedName>
    <definedName name="OSRRefT22_10x_0" localSheetId="87">'425'!$T$61</definedName>
    <definedName name="OSRRefT22_10x_0" localSheetId="91">'433'!$T$58</definedName>
    <definedName name="OSRRefT22_10x_0" localSheetId="93">'444'!$T$58</definedName>
    <definedName name="OSRRefT22_10x_0" localSheetId="95">'450'!$T$58</definedName>
    <definedName name="OSRRefT22_10x_0" localSheetId="75">'491'!$T$68</definedName>
    <definedName name="OSRRefT22_10x_0" localSheetId="89">'492'!$T$61</definedName>
    <definedName name="OSRRefT22_10x_0" localSheetId="97">'501'!$T$56</definedName>
    <definedName name="OSRRefT22_10x_0" localSheetId="39">'Div 2'!$T$57</definedName>
    <definedName name="OSRRefT22_10x_0" localSheetId="47">'Div 3'!$T$208:$T$209</definedName>
    <definedName name="OSRRefT22_10x_0" localSheetId="73">'Div 4'!$T$68</definedName>
    <definedName name="OSRRefT22_10x_0" localSheetId="96">'Div 5'!$T$56</definedName>
    <definedName name="OSRRefT22_10x_0" localSheetId="64">'Div 6'!$T$91:$T$93</definedName>
    <definedName name="OSRRefT22_10x_0" localSheetId="2">Summary!$T$241:$T$242</definedName>
    <definedName name="OSRRefT22_11x_0" localSheetId="41">'201'!$T$55</definedName>
    <definedName name="OSRRefT22_11x_0" localSheetId="42">'202'!$T$55:$T$57</definedName>
    <definedName name="OSRRefT22_11x_0" localSheetId="43">'203'!$T$57</definedName>
    <definedName name="OSRRefT22_11x_0" localSheetId="48">'300'!$T$206</definedName>
    <definedName name="OSRRefT22_11x_0" localSheetId="49">'300 &amp; 317'!$T$231</definedName>
    <definedName name="OSRRefT22_11x_0" localSheetId="50">'301'!$T$60</definedName>
    <definedName name="OSRRefT22_11x_0" localSheetId="53">'307'!$T$115</definedName>
    <definedName name="OSRRefT22_11x_0" localSheetId="55">'308'!$T$105:$T$107</definedName>
    <definedName name="OSRRefT22_11x_0" localSheetId="67">'309'!$T$60:$T$62</definedName>
    <definedName name="OSRRefT22_11x_0" localSheetId="66">'310'!$T$66</definedName>
    <definedName name="OSRRefT22_11x_0" localSheetId="74">'310 &amp; 491'!$T$77:$T$78</definedName>
    <definedName name="OSRRefT22_11x_0" localSheetId="56">'311'!$T$104:$T$106</definedName>
    <definedName name="OSRRefT22_11x_0" localSheetId="68">'313'!$T$67</definedName>
    <definedName name="OSRRefT22_11x_0" localSheetId="59">'315'!$T$123</definedName>
    <definedName name="OSRRefT22_11x_0" localSheetId="62">'316'!$T$76</definedName>
    <definedName name="OSRRefT22_11x_0" localSheetId="65">'317'!$T$95</definedName>
    <definedName name="OSRRefT22_11x_0" localSheetId="69">'321'!$T$64</definedName>
    <definedName name="OSRRefT22_11x_0" localSheetId="70">'322'!$T$65</definedName>
    <definedName name="OSRRefT22_11x_0" localSheetId="71">'325'!$T$58:$T$60</definedName>
    <definedName name="OSRRefT22_11x_0" localSheetId="60">'326'!$T$96</definedName>
    <definedName name="OSRRefT22_11x_0" localSheetId="52">'330'!$T$120:$T$123</definedName>
    <definedName name="OSRRefT22_11x_0" localSheetId="58">'331'!$T$126</definedName>
    <definedName name="OSRRefT22_11x_0" localSheetId="61">'332'!$T$78:$T$83</definedName>
    <definedName name="OSRRefT22_11x_0" localSheetId="76">'405'!$T$58</definedName>
    <definedName name="OSRRefT22_11x_0" localSheetId="77">'406'!$T$61:$T$65</definedName>
    <definedName name="OSRRefT22_11x_0" localSheetId="78">'411'!$T$57</definedName>
    <definedName name="OSRRefT22_11x_0" localSheetId="79">'412'!$T$59:$T$64</definedName>
    <definedName name="OSRRefT22_11x_0" localSheetId="80">'413'!$T$66</definedName>
    <definedName name="OSRRefT22_11x_0" localSheetId="81">'414'!$T$59</definedName>
    <definedName name="OSRRefT22_11x_0" localSheetId="82">'415'!$T$59:$T$62</definedName>
    <definedName name="OSRRefT22_11x_0" localSheetId="83">'418'!$T$60:$T$62</definedName>
    <definedName name="OSRRefT22_11x_0" localSheetId="86">'424'!$T$52:$T$56</definedName>
    <definedName name="OSRRefT22_11x_0" localSheetId="87">'425'!$T$63:$T$64</definedName>
    <definedName name="OSRRefT22_11x_0" localSheetId="91">'433'!$T$60:$T$62</definedName>
    <definedName name="OSRRefT22_11x_0" localSheetId="93">'444'!$T$60:$T$62</definedName>
    <definedName name="OSRRefT22_11x_0" localSheetId="95">'450'!$T$60</definedName>
    <definedName name="OSRRefT22_11x_0" localSheetId="75">'491'!$T$70:$T$71</definedName>
    <definedName name="OSRRefT22_11x_0" localSheetId="89">'492'!$T$63</definedName>
    <definedName name="OSRRefT22_11x_0" localSheetId="97">'501'!$T$58:$T$60</definedName>
    <definedName name="OSRRefT22_11x_0" localSheetId="39">'Div 2'!$T$59</definedName>
    <definedName name="OSRRefT22_11x_0" localSheetId="47">'Div 3'!$T$211</definedName>
    <definedName name="OSRRefT22_11x_0" localSheetId="73">'Div 4'!$T$70:$T$71</definedName>
    <definedName name="OSRRefT22_11x_0" localSheetId="96">'Div 5'!$T$58:$T$60</definedName>
    <definedName name="OSRRefT22_11x_0" localSheetId="64">'Div 6'!$T$95</definedName>
    <definedName name="OSRRefT22_11x_0" localSheetId="2">Summary!$T$244:$T$245</definedName>
    <definedName name="OSRRefT22_12x_0" localSheetId="41">'201'!$T$57:$T$60</definedName>
    <definedName name="OSRRefT22_12x_0" localSheetId="42">'202'!$T$59</definedName>
    <definedName name="OSRRefT22_12x_0" localSheetId="43">'203'!$T$59:$T$62</definedName>
    <definedName name="OSRRefT22_12x_0" localSheetId="48">'300'!$T$208</definedName>
    <definedName name="OSRRefT22_12x_0" localSheetId="49">'300 &amp; 317'!$T$233</definedName>
    <definedName name="OSRRefT22_12x_0" localSheetId="50">'301'!$T$62</definedName>
    <definedName name="OSRRefT22_12x_0" localSheetId="55">'308'!$T$109:$T$110</definedName>
    <definedName name="OSRRefT22_12x_0" localSheetId="67">'309'!$T$64</definedName>
    <definedName name="OSRRefT22_12x_0" localSheetId="66">'310'!$T$68</definedName>
    <definedName name="OSRRefT22_12x_0" localSheetId="74">'310 &amp; 491'!$T$80</definedName>
    <definedName name="OSRRefT22_12x_0" localSheetId="56">'311'!$T$108:$T$109</definedName>
    <definedName name="OSRRefT22_12x_0" localSheetId="68">'313'!$T$69</definedName>
    <definedName name="OSRRefT22_12x_0" localSheetId="59">'315'!$T$125:$T$126</definedName>
    <definedName name="OSRRefT22_12x_0" localSheetId="62">'316'!$T$78</definedName>
    <definedName name="OSRRefT22_12x_0" localSheetId="65">'317'!$T$97</definedName>
    <definedName name="OSRRefT22_12x_0" localSheetId="70">'322'!$T$67</definedName>
    <definedName name="OSRRefT22_12x_0" localSheetId="71">'325'!$T$62:$T$64</definedName>
    <definedName name="OSRRefT22_12x_0" localSheetId="60">'326'!$T$98:$T$100</definedName>
    <definedName name="OSRRefT22_12x_0" localSheetId="52">'330'!$T$125</definedName>
    <definedName name="OSRRefT22_12x_0" localSheetId="58">'331'!$T$128</definedName>
    <definedName name="OSRRefT22_12x_0" localSheetId="61">'332'!$T$85</definedName>
    <definedName name="OSRRefT22_12x_0" localSheetId="76">'405'!$T$60:$T$62</definedName>
    <definedName name="OSRRefT22_12x_0" localSheetId="77">'406'!$T$67</definedName>
    <definedName name="OSRRefT22_12x_0" localSheetId="78">'411'!$T$59:$T$61</definedName>
    <definedName name="OSRRefT22_12x_0" localSheetId="79">'412'!$T$66</definedName>
    <definedName name="OSRRefT22_12x_0" localSheetId="81">'414'!$T$61</definedName>
    <definedName name="OSRRefT22_12x_0" localSheetId="82">'415'!$T$64:$T$68</definedName>
    <definedName name="OSRRefT22_12x_0" localSheetId="83">'418'!$T$64:$T$66</definedName>
    <definedName name="OSRRefT22_12x_0" localSheetId="86">'424'!$T$58</definedName>
    <definedName name="OSRRefT22_12x_0" localSheetId="87">'425'!$T$66:$T$72</definedName>
    <definedName name="OSRRefT22_12x_0" localSheetId="91">'433'!$T$64:$T$66</definedName>
    <definedName name="OSRRefT22_12x_0" localSheetId="93">'444'!$T$64:$T$67</definedName>
    <definedName name="OSRRefT22_12x_0" localSheetId="95">'450'!$T$62:$T$63</definedName>
    <definedName name="OSRRefT22_12x_0" localSheetId="75">'491'!$T$73</definedName>
    <definedName name="OSRRefT22_12x_0" localSheetId="89">'492'!$T$65:$T$67</definedName>
    <definedName name="OSRRefT22_12x_0" localSheetId="97">'501'!$T$62</definedName>
    <definedName name="OSRRefT22_12x_0" localSheetId="39">'Div 2'!$T$61:$T$64</definedName>
    <definedName name="OSRRefT22_12x_0" localSheetId="47">'Div 3'!$T$213</definedName>
    <definedName name="OSRRefT22_12x_0" localSheetId="73">'Div 4'!$T$73</definedName>
    <definedName name="OSRRefT22_12x_0" localSheetId="96">'Div 5'!$T$62</definedName>
    <definedName name="OSRRefT22_12x_0" localSheetId="64">'Div 6'!$T$97</definedName>
    <definedName name="OSRRefT22_12x_0" localSheetId="2">Summary!$T$247</definedName>
    <definedName name="OSRRefT22_13x_0" localSheetId="41">'201'!$T$62</definedName>
    <definedName name="OSRRefT22_13x_0" localSheetId="42">'202'!$T$61</definedName>
    <definedName name="OSRRefT22_13x_0" localSheetId="43">'203'!$T$64</definedName>
    <definedName name="OSRRefT22_13x_0" localSheetId="48">'300'!$T$210</definedName>
    <definedName name="OSRRefT22_13x_0" localSheetId="49">'300 &amp; 317'!$T$235</definedName>
    <definedName name="OSRRefT22_13x_0" localSheetId="50">'301'!$T$64</definedName>
    <definedName name="OSRRefT22_13x_0" localSheetId="55">'308'!$T$112</definedName>
    <definedName name="OSRRefT22_13x_0" localSheetId="66">'310'!$T$70</definedName>
    <definedName name="OSRRefT22_13x_0" localSheetId="74">'310 &amp; 491'!$T$82</definedName>
    <definedName name="OSRRefT22_13x_0" localSheetId="56">'311'!$T$111</definedName>
    <definedName name="OSRRefT22_13x_0" localSheetId="62">'316'!$T$80</definedName>
    <definedName name="OSRRefT22_13x_0" localSheetId="65">'317'!$T$99</definedName>
    <definedName name="OSRRefT22_13x_0" localSheetId="71">'325'!$T$66</definedName>
    <definedName name="OSRRefT22_13x_0" localSheetId="60">'326'!$T$102:$T$104</definedName>
    <definedName name="OSRRefT22_13x_0" localSheetId="52">'330'!$T$127</definedName>
    <definedName name="OSRRefT22_13x_0" localSheetId="58">'331'!$T$130:$T$132</definedName>
    <definedName name="OSRRefT22_13x_0" localSheetId="61">'332'!$T$87</definedName>
    <definedName name="OSRRefT22_13x_0" localSheetId="76">'405'!$T$64:$T$65</definedName>
    <definedName name="OSRRefT22_13x_0" localSheetId="77">'406'!$T$69</definedName>
    <definedName name="OSRRefT22_13x_0" localSheetId="78">'411'!$T$63:$T$67</definedName>
    <definedName name="OSRRefT22_13x_0" localSheetId="79">'412'!$T$68</definedName>
    <definedName name="OSRRefT22_13x_0" localSheetId="81">'414'!$T$63:$T$69</definedName>
    <definedName name="OSRRefT22_13x_0" localSheetId="82">'415'!$T$70:$T$71</definedName>
    <definedName name="OSRRefT22_13x_0" localSheetId="83">'418'!$T$68:$T$69</definedName>
    <definedName name="OSRRefT22_13x_0" localSheetId="87">'425'!$T$74</definedName>
    <definedName name="OSRRefT22_13x_0" localSheetId="91">'433'!$T$68:$T$75</definedName>
    <definedName name="OSRRefT22_13x_0" localSheetId="93">'444'!$T$69</definedName>
    <definedName name="OSRRefT22_13x_0" localSheetId="95">'450'!$T$65:$T$67</definedName>
    <definedName name="OSRRefT22_13x_0" localSheetId="75">'491'!$T$75</definedName>
    <definedName name="OSRRefT22_13x_0" localSheetId="89">'492'!$T$69:$T$72</definedName>
    <definedName name="OSRRefT22_13x_0" localSheetId="39">'Div 2'!$T$66:$T$68</definedName>
    <definedName name="OSRRefT22_13x_0" localSheetId="47">'Div 3'!$T$215</definedName>
    <definedName name="OSRRefT22_13x_0" localSheetId="73">'Div 4'!$T$75</definedName>
    <definedName name="OSRRefT22_13x_0" localSheetId="64">'Div 6'!$T$99</definedName>
    <definedName name="OSRRefT22_13x_0" localSheetId="2">Summary!$T$249</definedName>
    <definedName name="OSRRefT22_14x_0" localSheetId="41">'201'!$T$64</definedName>
    <definedName name="OSRRefT22_14x_0" localSheetId="42">'202'!$T$63</definedName>
    <definedName name="OSRRefT22_14x_0" localSheetId="43">'203'!$T$66</definedName>
    <definedName name="OSRRefT22_14x_0" localSheetId="48">'300'!$T$212</definedName>
    <definedName name="OSRRefT22_14x_0" localSheetId="49">'300 &amp; 317'!$T$237</definedName>
    <definedName name="OSRRefT22_14x_0" localSheetId="50">'301'!$T$66</definedName>
    <definedName name="OSRRefT22_14x_0" localSheetId="55">'308'!$T$114</definedName>
    <definedName name="OSRRefT22_14x_0" localSheetId="66">'310'!$T$72:$T$74</definedName>
    <definedName name="OSRRefT22_14x_0" localSheetId="74">'310 &amp; 491'!$T$84</definedName>
    <definedName name="OSRRefT22_14x_0" localSheetId="56">'311'!$T$113</definedName>
    <definedName name="OSRRefT22_14x_0" localSheetId="71">'325'!$T$68:$T$72</definedName>
    <definedName name="OSRRefT22_14x_0" localSheetId="60">'326'!$T$106:$T$107</definedName>
    <definedName name="OSRRefT22_14x_0" localSheetId="52">'330'!$T$129</definedName>
    <definedName name="OSRRefT22_14x_0" localSheetId="58">'331'!$T$134:$T$135</definedName>
    <definedName name="OSRRefT22_14x_0" localSheetId="61">'332'!$T$89</definedName>
    <definedName name="OSRRefT22_14x_0" localSheetId="76">'405'!$T$67:$T$73</definedName>
    <definedName name="OSRRefT22_14x_0" localSheetId="78">'411'!$T$69</definedName>
    <definedName name="OSRRefT22_14x_0" localSheetId="81">'414'!$T$71</definedName>
    <definedName name="OSRRefT22_14x_0" localSheetId="82">'415'!$T$73:$T$81</definedName>
    <definedName name="OSRRefT22_14x_0" localSheetId="83">'418'!$T$71:$T$77</definedName>
    <definedName name="OSRRefT22_14x_0" localSheetId="87">'425'!$T$76</definedName>
    <definedName name="OSRRefT22_14x_0" localSheetId="91">'433'!$T$77</definedName>
    <definedName name="OSRRefT22_14x_0" localSheetId="93">'444'!$T$71:$T$79</definedName>
    <definedName name="OSRRefT22_14x_0" localSheetId="95">'450'!$T$69:$T$74</definedName>
    <definedName name="OSRRefT22_14x_0" localSheetId="75">'491'!$T$77</definedName>
    <definedName name="OSRRefT22_14x_0" localSheetId="89">'492'!$T$74</definedName>
    <definedName name="OSRRefT22_14x_0" localSheetId="39">'Div 2'!$T$70:$T$71</definedName>
    <definedName name="OSRRefT22_14x_0" localSheetId="47">'Div 3'!$T$217</definedName>
    <definedName name="OSRRefT22_14x_0" localSheetId="73">'Div 4'!$T$77</definedName>
    <definedName name="OSRRefT22_14x_0" localSheetId="2">Summary!$T$251</definedName>
    <definedName name="OSRRefT22_15x_0" localSheetId="41">'201'!$T$66</definedName>
    <definedName name="OSRRefT22_15x_0" localSheetId="43">'203'!$T$68</definedName>
    <definedName name="OSRRefT22_15x_0" localSheetId="48">'300'!$T$214</definedName>
    <definedName name="OSRRefT22_15x_0" localSheetId="49">'300 &amp; 317'!$T$239</definedName>
    <definedName name="OSRRefT22_15x_0" localSheetId="50">'301'!$T$68:$T$71</definedName>
    <definedName name="OSRRefT22_15x_0" localSheetId="66">'310'!$T$76</definedName>
    <definedName name="OSRRefT22_15x_0" localSheetId="74">'310 &amp; 491'!$T$86</definedName>
    <definedName name="OSRRefT22_15x_0" localSheetId="71">'325'!$T$74</definedName>
    <definedName name="OSRRefT22_15x_0" localSheetId="60">'326'!$T$109:$T$114</definedName>
    <definedName name="OSRRefT22_15x_0" localSheetId="58">'331'!$T$137:$T$139</definedName>
    <definedName name="OSRRefT22_15x_0" localSheetId="76">'405'!$T$75</definedName>
    <definedName name="OSRRefT22_15x_0" localSheetId="78">'411'!$T$71:$T$79</definedName>
    <definedName name="OSRRefT22_15x_0" localSheetId="81">'414'!$T$73</definedName>
    <definedName name="OSRRefT22_15x_0" localSheetId="82">'415'!$T$83</definedName>
    <definedName name="OSRRefT22_15x_0" localSheetId="83">'418'!$T$79</definedName>
    <definedName name="OSRRefT22_15x_0" localSheetId="91">'433'!$T$79</definedName>
    <definedName name="OSRRefT22_15x_0" localSheetId="93">'444'!$T$81</definedName>
    <definedName name="OSRRefT22_15x_0" localSheetId="95">'450'!$T$76</definedName>
    <definedName name="OSRRefT22_15x_0" localSheetId="75">'491'!$T$79</definedName>
    <definedName name="OSRRefT22_15x_0" localSheetId="89">'492'!$T$76:$T$84</definedName>
    <definedName name="OSRRefT22_15x_0" localSheetId="39">'Div 2'!$T$73</definedName>
    <definedName name="OSRRefT22_15x_0" localSheetId="47">'Div 3'!$T$219</definedName>
    <definedName name="OSRRefT22_15x_0" localSheetId="73">'Div 4'!$T$79</definedName>
    <definedName name="OSRRefT22_15x_0" localSheetId="2">Summary!$T$253</definedName>
    <definedName name="OSRRefT22_16x_0" localSheetId="48">'300'!$T$216:$T$219</definedName>
    <definedName name="OSRRefT22_16x_0" localSheetId="49">'300 &amp; 317'!$T$241:$T$244</definedName>
    <definedName name="OSRRefT22_16x_0" localSheetId="50">'301'!$T$73:$T$75</definedName>
    <definedName name="OSRRefT22_16x_0" localSheetId="66">'310'!$T$78:$T$81</definedName>
    <definedName name="OSRRefT22_16x_0" localSheetId="74">'310 &amp; 491'!$T$88:$T$91</definedName>
    <definedName name="OSRRefT22_16x_0" localSheetId="71">'325'!$T$76</definedName>
    <definedName name="OSRRefT22_16x_0" localSheetId="60">'326'!$T$116</definedName>
    <definedName name="OSRRefT22_16x_0" localSheetId="58">'331'!$T$141:$T$142</definedName>
    <definedName name="OSRRefT22_16x_0" localSheetId="76">'405'!$T$77</definedName>
    <definedName name="OSRRefT22_16x_0" localSheetId="78">'411'!$T$81</definedName>
    <definedName name="OSRRefT22_16x_0" localSheetId="82">'415'!$T$85</definedName>
    <definedName name="OSRRefT22_16x_0" localSheetId="83">'418'!$T$81</definedName>
    <definedName name="OSRRefT22_16x_0" localSheetId="91">'433'!$T$81</definedName>
    <definedName name="OSRRefT22_16x_0" localSheetId="93">'444'!$T$83</definedName>
    <definedName name="OSRRefT22_16x_0" localSheetId="95">'450'!$T$78</definedName>
    <definedName name="OSRRefT22_16x_0" localSheetId="75">'491'!$T$81:$T$84</definedName>
    <definedName name="OSRRefT22_16x_0" localSheetId="89">'492'!$T$86</definedName>
    <definedName name="OSRRefT22_16x_0" localSheetId="39">'Div 2'!$T$75:$T$79</definedName>
    <definedName name="OSRRefT22_16x_0" localSheetId="47">'Div 3'!$T$221</definedName>
    <definedName name="OSRRefT22_16x_0" localSheetId="73">'Div 4'!$T$81</definedName>
    <definedName name="OSRRefT22_16x_0" localSheetId="2">Summary!$T$255</definedName>
    <definedName name="OSRRefT22_17x_0" localSheetId="48">'300'!$T$221:$T$223</definedName>
    <definedName name="OSRRefT22_17x_0" localSheetId="49">'300 &amp; 317'!$T$246:$T$248</definedName>
    <definedName name="OSRRefT22_17x_0" localSheetId="50">'301'!$T$77:$T$78</definedName>
    <definedName name="OSRRefT22_17x_0" localSheetId="66">'310'!$T$83</definedName>
    <definedName name="OSRRefT22_17x_0" localSheetId="74">'310 &amp; 491'!$T$93:$T$94</definedName>
    <definedName name="OSRRefT22_17x_0" localSheetId="71">'325'!$T$78</definedName>
    <definedName name="OSRRefT22_17x_0" localSheetId="60">'326'!$T$118</definedName>
    <definedName name="OSRRefT22_17x_0" localSheetId="58">'331'!$T$144:$T$149</definedName>
    <definedName name="OSRRefT22_17x_0" localSheetId="76">'405'!$T$79</definedName>
    <definedName name="OSRRefT22_17x_0" localSheetId="78">'411'!$T$83</definedName>
    <definedName name="OSRRefT22_17x_0" localSheetId="82">'415'!$T$87</definedName>
    <definedName name="OSRRefT22_17x_0" localSheetId="93">'444'!$T$85</definedName>
    <definedName name="OSRRefT22_17x_0" localSheetId="95">'450'!$T$80</definedName>
    <definedName name="OSRRefT22_17x_0" localSheetId="75">'491'!$T$86:$T$87</definedName>
    <definedName name="OSRRefT22_17x_0" localSheetId="89">'492'!$T$88</definedName>
    <definedName name="OSRRefT22_17x_0" localSheetId="39">'Div 2'!$T$81:$T$82</definedName>
    <definedName name="OSRRefT22_17x_0" localSheetId="47">'Div 3'!$T$223:$T$226</definedName>
    <definedName name="OSRRefT22_17x_0" localSheetId="73">'Div 4'!$T$83:$T$86</definedName>
    <definedName name="OSRRefT22_17x_0" localSheetId="2">Summary!$T$257</definedName>
    <definedName name="OSRRefT22_18x_0" localSheetId="48">'300'!$T$225:$T$228</definedName>
    <definedName name="OSRRefT22_18x_0" localSheetId="49">'300 &amp; 317'!$T$250:$T$253</definedName>
    <definedName name="OSRRefT22_18x_0" localSheetId="50">'301'!$T$80:$T$85</definedName>
    <definedName name="OSRRefT22_18x_0" localSheetId="66">'310'!$T$85:$T$92</definedName>
    <definedName name="OSRRefT22_18x_0" localSheetId="74">'310 &amp; 491'!$T$96:$T$100</definedName>
    <definedName name="OSRRefT22_18x_0" localSheetId="60">'326'!$T$120</definedName>
    <definedName name="OSRRefT22_18x_0" localSheetId="58">'331'!$T$151</definedName>
    <definedName name="OSRRefT22_18x_0" localSheetId="78">'411'!$T$85:$T$87</definedName>
    <definedName name="OSRRefT22_18x_0" localSheetId="75">'491'!$T$89:$T$93</definedName>
    <definedName name="OSRRefT22_18x_0" localSheetId="89">'492'!$T$90</definedName>
    <definedName name="OSRRefT22_18x_0" localSheetId="39">'Div 2'!$T$84</definedName>
    <definedName name="OSRRefT22_18x_0" localSheetId="47">'Div 3'!$T$228:$T$230</definedName>
    <definedName name="OSRRefT22_18x_0" localSheetId="73">'Div 4'!$T$88:$T$89</definedName>
    <definedName name="OSRRefT22_18x_0" localSheetId="2">Summary!$T$259:$T$262</definedName>
    <definedName name="OSRRefT22_19x_0" localSheetId="48">'300'!$T$230:$T$231</definedName>
    <definedName name="OSRRefT22_19x_0" localSheetId="49">'300 &amp; 317'!$T$255:$T$256</definedName>
    <definedName name="OSRRefT22_19x_0" localSheetId="50">'301'!$T$87</definedName>
    <definedName name="OSRRefT22_19x_0" localSheetId="66">'310'!$T$94</definedName>
    <definedName name="OSRRefT22_19x_0" localSheetId="74">'310 &amp; 491'!$T$102:$T$103</definedName>
    <definedName name="OSRRefT22_19x_0" localSheetId="60">'326'!$T$122</definedName>
    <definedName name="OSRRefT22_19x_0" localSheetId="58">'331'!$T$153</definedName>
    <definedName name="OSRRefT22_19x_0" localSheetId="78">'411'!$T$89</definedName>
    <definedName name="OSRRefT22_19x_0" localSheetId="75">'491'!$T$95:$T$96</definedName>
    <definedName name="OSRRefT22_19x_0" localSheetId="39">'Div 2'!$T$86:$T$87</definedName>
    <definedName name="OSRRefT22_19x_0" localSheetId="47">'Div 3'!$T$232:$T$236</definedName>
    <definedName name="OSRRefT22_19x_0" localSheetId="73">'Div 4'!$T$91:$T$95</definedName>
    <definedName name="OSRRefT22_19x_0" localSheetId="2">Summary!$T$264:$T$266</definedName>
    <definedName name="OSRRefT22_1x_0" localSheetId="40">'200'!$T$22</definedName>
    <definedName name="OSRRefT22_1x_0" localSheetId="41">'201'!$T$29:$T$31</definedName>
    <definedName name="OSRRefT22_1x_0" localSheetId="42">'202'!$T$29:$T$32</definedName>
    <definedName name="OSRRefT22_1x_0" localSheetId="43">'203'!$T$31:$T$35</definedName>
    <definedName name="OSRRefT22_1x_0" localSheetId="44">'204'!$T$31:$T$35</definedName>
    <definedName name="OSRRefT22_1x_0" localSheetId="45">'205'!$T$29</definedName>
    <definedName name="OSRRefT22_1x_0" localSheetId="46">'206'!$T$29:$T$32</definedName>
    <definedName name="OSRRefT22_1x_0" localSheetId="48">'300'!$T$176:$T$182</definedName>
    <definedName name="OSRRefT22_1x_0" localSheetId="49">'300 &amp; 317'!$T$201:$T$207</definedName>
    <definedName name="OSRRefT22_1x_0" localSheetId="50">'301'!$T$31:$T$37</definedName>
    <definedName name="OSRRefT22_1x_0" localSheetId="51">'306'!$T$30:$T$35</definedName>
    <definedName name="OSRRefT22_1x_0" localSheetId="53">'307'!$T$86:$T$89</definedName>
    <definedName name="OSRRefT22_1x_0" localSheetId="55">'308'!$T$75:$T$81</definedName>
    <definedName name="OSRRefT22_1x_0" localSheetId="67">'309'!$T$33:$T$37</definedName>
    <definedName name="OSRRefT22_1x_0" localSheetId="66">'310'!$T$40:$T$45</definedName>
    <definedName name="OSRRefT22_1x_0" localSheetId="74">'310 &amp; 491'!$T$48:$T$54</definedName>
    <definedName name="OSRRefT22_1x_0" localSheetId="56">'311'!$T$74:$T$80</definedName>
    <definedName name="OSRRefT22_1x_0" localSheetId="68">'313'!$T$37:$T$41</definedName>
    <definedName name="OSRRefT22_1x_0" localSheetId="54">'314'!$T$64:$T$66</definedName>
    <definedName name="OSRRefT22_1x_0" localSheetId="59">'315'!$T$90:$T$95</definedName>
    <definedName name="OSRRefT22_1x_0" localSheetId="62">'316'!$T$45:$T$48</definedName>
    <definedName name="OSRRefT22_1x_0" localSheetId="65">'317'!$T$68:$T$72</definedName>
    <definedName name="OSRRefT22_1x_0" localSheetId="63">'320'!$T$36:$T$38</definedName>
    <definedName name="OSRRefT22_1x_0" localSheetId="69">'321'!$T$33:$T$37</definedName>
    <definedName name="OSRRefT22_1x_0" localSheetId="70">'322'!$T$33:$T$37</definedName>
    <definedName name="OSRRefT22_1x_0" localSheetId="71">'325'!$T$33:$T$37</definedName>
    <definedName name="OSRRefT22_1x_0" localSheetId="60">'326'!$T$71:$T$76</definedName>
    <definedName name="OSRRefT22_1x_0" localSheetId="72">'327'!$T$24</definedName>
    <definedName name="OSRRefT22_1x_0" localSheetId="52">'330'!$T$93:$T$97</definedName>
    <definedName name="OSRRefT22_1x_0" localSheetId="58">'331'!$T$99:$T$104</definedName>
    <definedName name="OSRRefT22_1x_0" localSheetId="61">'332'!$T$52:$T$55</definedName>
    <definedName name="OSRRefT22_1x_0" localSheetId="76">'405'!$T$33:$T$36</definedName>
    <definedName name="OSRRefT22_1x_0" localSheetId="77">'406'!$T$33:$T$38</definedName>
    <definedName name="OSRRefT22_1x_0" localSheetId="78">'411'!$T$30:$T$35</definedName>
    <definedName name="OSRRefT22_1x_0" localSheetId="79">'412'!$T$32:$T$37</definedName>
    <definedName name="OSRRefT22_1x_0" localSheetId="80">'413'!$T$33:$T$37</definedName>
    <definedName name="OSRRefT22_1x_0" localSheetId="81">'414'!$T$33:$T$38</definedName>
    <definedName name="OSRRefT22_1x_0" localSheetId="82">'415'!$T$33:$T$38</definedName>
    <definedName name="OSRRefT22_1x_0" localSheetId="83">'418'!$T$33:$T$38</definedName>
    <definedName name="OSRRefT22_1x_0" localSheetId="84">'420'!$T$32:$T$35</definedName>
    <definedName name="OSRRefT22_1x_0" localSheetId="85">'423'!$T$30</definedName>
    <definedName name="OSRRefT22_1x_0" localSheetId="86">'424'!$T$27:$T$31</definedName>
    <definedName name="OSRRefT22_1x_0" localSheetId="87">'425'!$T$36:$T$41</definedName>
    <definedName name="OSRRefT22_1x_0" localSheetId="90">'430'!$T$29</definedName>
    <definedName name="OSRRefT22_1x_0" localSheetId="91">'433'!$T$35:$T$40</definedName>
    <definedName name="OSRRefT22_1x_0" localSheetId="92">'435'!$T$29:$T$31</definedName>
    <definedName name="OSRRefT22_1x_0" localSheetId="93">'444'!$T$35:$T$40</definedName>
    <definedName name="OSRRefT22_1x_0" localSheetId="95">'450'!$T$35:$T$40</definedName>
    <definedName name="OSRRefT22_1x_0" localSheetId="88">'455'!$T$28:$T$29</definedName>
    <definedName name="OSRRefT22_1x_0" localSheetId="75">'491'!$T$42:$T$48</definedName>
    <definedName name="OSRRefT22_1x_0" localSheetId="89">'492'!$T$37:$T$43</definedName>
    <definedName name="OSRRefT22_1x_0" localSheetId="97">'501'!$T$31:$T$35</definedName>
    <definedName name="OSRRefT22_1x_0" localSheetId="39">'Div 2'!$T$32:$T$38</definedName>
    <definedName name="OSRRefT22_1x_0" localSheetId="47">'Div 3'!$T$181:$T$187</definedName>
    <definedName name="OSRRefT22_1x_0" localSheetId="73">'Div 4'!$T$42:$T$48</definedName>
    <definedName name="OSRRefT22_1x_0" localSheetId="96">'Div 5'!$T$31:$T$35</definedName>
    <definedName name="OSRRefT22_1x_0" localSheetId="64">'Div 6'!$T$68:$T$72</definedName>
    <definedName name="OSRRefT22_1x_0" localSheetId="2">Summary!$T$213:$T$219</definedName>
    <definedName name="OSRRefT22_20x_0" localSheetId="48">'300'!$T$233:$T$239</definedName>
    <definedName name="OSRRefT22_20x_0" localSheetId="49">'300 &amp; 317'!$T$258:$T$264</definedName>
    <definedName name="OSRRefT22_20x_0" localSheetId="50">'301'!$T$89</definedName>
    <definedName name="OSRRefT22_20x_0" localSheetId="66">'310'!$T$96</definedName>
    <definedName name="OSRRefT22_20x_0" localSheetId="74">'310 &amp; 491'!$T$105:$T$114</definedName>
    <definedName name="OSRRefT22_20x_0" localSheetId="58">'331'!$T$155:$T$156</definedName>
    <definedName name="OSRRefT22_20x_0" localSheetId="75">'491'!$T$98:$T$107</definedName>
    <definedName name="OSRRefT22_20x_0" localSheetId="47">'Div 3'!$T$238:$T$239</definedName>
    <definedName name="OSRRefT22_20x_0" localSheetId="73">'Div 4'!$T$97:$T$98</definedName>
    <definedName name="OSRRefT22_20x_0" localSheetId="2">Summary!$T$268:$T$272</definedName>
    <definedName name="OSRRefT22_21x_0" localSheetId="48">'300'!$T$241:$T$242</definedName>
    <definedName name="OSRRefT22_21x_0" localSheetId="49">'300 &amp; 317'!$T$266:$T$267</definedName>
    <definedName name="OSRRefT22_21x_0" localSheetId="50">'301'!$T$91:$T$93</definedName>
    <definedName name="OSRRefT22_21x_0" localSheetId="66">'310'!$T$98</definedName>
    <definedName name="OSRRefT22_21x_0" localSheetId="74">'310 &amp; 491'!$T$116</definedName>
    <definedName name="OSRRefT22_21x_0" localSheetId="58">'331'!$T$158</definedName>
    <definedName name="OSRRefT22_21x_0" localSheetId="75">'491'!$T$109</definedName>
    <definedName name="OSRRefT22_21x_0" localSheetId="47">'Div 3'!$T$241:$T$248</definedName>
    <definedName name="OSRRefT22_21x_0" localSheetId="73">'Div 4'!$T$100:$T$109</definedName>
    <definedName name="OSRRefT22_21x_0" localSheetId="2">Summary!$T$274:$T$275</definedName>
    <definedName name="OSRRefT22_22x_0" localSheetId="48">'300'!$T$244</definedName>
    <definedName name="OSRRefT22_22x_0" localSheetId="49">'300 &amp; 317'!$T$269</definedName>
    <definedName name="OSRRefT22_22x_0" localSheetId="50">'301'!$T$95</definedName>
    <definedName name="OSRRefT22_22x_0" localSheetId="74">'310 &amp; 491'!$T$118</definedName>
    <definedName name="OSRRefT22_22x_0" localSheetId="75">'491'!$T$111</definedName>
    <definedName name="OSRRefT22_22x_0" localSheetId="47">'Div 3'!$T$250:$T$251</definedName>
    <definedName name="OSRRefT22_22x_0" localSheetId="73">'Div 4'!$T$111</definedName>
    <definedName name="OSRRefT22_22x_0" localSheetId="2">Summary!$T$277:$T$286</definedName>
    <definedName name="OSRRefT22_23x_0" localSheetId="48">'300'!$T$246:$T$248</definedName>
    <definedName name="OSRRefT22_23x_0" localSheetId="49">'300 &amp; 317'!$T$271:$T$273</definedName>
    <definedName name="OSRRefT22_23x_0" localSheetId="74">'310 &amp; 491'!$T$120:$T$122</definedName>
    <definedName name="OSRRefT22_23x_0" localSheetId="75">'491'!$T$113:$T$115</definedName>
    <definedName name="OSRRefT22_23x_0" localSheetId="47">'Div 3'!$T$253</definedName>
    <definedName name="OSRRefT22_23x_0" localSheetId="73">'Div 4'!$T$113</definedName>
    <definedName name="OSRRefT22_23x_0" localSheetId="2">Summary!$T$288:$T$289</definedName>
    <definedName name="OSRRefT22_24x_0" localSheetId="48">'300'!$T$250</definedName>
    <definedName name="OSRRefT22_24x_0" localSheetId="49">'300 &amp; 317'!$T$275</definedName>
    <definedName name="OSRRefT22_24x_0" localSheetId="74">'310 &amp; 491'!$T$124</definedName>
    <definedName name="OSRRefT22_24x_0" localSheetId="75">'491'!$T$117</definedName>
    <definedName name="OSRRefT22_24x_0" localSheetId="47">'Div 3'!$T$255:$T$257</definedName>
    <definedName name="OSRRefT22_24x_0" localSheetId="73">'Div 4'!$T$115:$T$117</definedName>
    <definedName name="OSRRefT22_24x_0" localSheetId="2">Summary!$T$291</definedName>
    <definedName name="OSRRefT22_25x_0" localSheetId="47">'Div 3'!$T$259</definedName>
    <definedName name="OSRRefT22_25x_0" localSheetId="73">'Div 4'!$T$119</definedName>
    <definedName name="OSRRefT22_25x_0" localSheetId="2">Summary!$T$293:$T$295</definedName>
    <definedName name="OSRRefT22_26x_0" localSheetId="2">Summary!$T$297</definedName>
    <definedName name="OSRRefT22_2x_0" localSheetId="40">'200'!$T$24</definedName>
    <definedName name="OSRRefT22_2x_0" localSheetId="41">'201'!$T$33</definedName>
    <definedName name="OSRRefT22_2x_0" localSheetId="42">'202'!$T$34</definedName>
    <definedName name="OSRRefT22_2x_0" localSheetId="43">'203'!$T$37</definedName>
    <definedName name="OSRRefT22_2x_0" localSheetId="44">'204'!$T$37</definedName>
    <definedName name="OSRRefT22_2x_0" localSheetId="45">'205'!$T$31</definedName>
    <definedName name="OSRRefT22_2x_0" localSheetId="46">'206'!$T$34</definedName>
    <definedName name="OSRRefT22_2x_0" localSheetId="48">'300'!$T$184</definedName>
    <definedName name="OSRRefT22_2x_0" localSheetId="49">'300 &amp; 317'!$T$209</definedName>
    <definedName name="OSRRefT22_2x_0" localSheetId="50">'301'!$T$39</definedName>
    <definedName name="OSRRefT22_2x_0" localSheetId="51">'306'!$T$37</definedName>
    <definedName name="OSRRefT22_2x_0" localSheetId="53">'307'!$T$91</definedName>
    <definedName name="OSRRefT22_2x_0" localSheetId="55">'308'!$T$83</definedName>
    <definedName name="OSRRefT22_2x_0" localSheetId="67">'309'!$T$39</definedName>
    <definedName name="OSRRefT22_2x_0" localSheetId="66">'310'!$T$47</definedName>
    <definedName name="OSRRefT22_2x_0" localSheetId="74">'310 &amp; 491'!$T$56</definedName>
    <definedName name="OSRRefT22_2x_0" localSheetId="56">'311'!$T$82</definedName>
    <definedName name="OSRRefT22_2x_0" localSheetId="68">'313'!$T$43</definedName>
    <definedName name="OSRRefT22_2x_0" localSheetId="54">'314'!$T$68</definedName>
    <definedName name="OSRRefT22_2x_0" localSheetId="59">'315'!$T$97</definedName>
    <definedName name="OSRRefT22_2x_0" localSheetId="62">'316'!$T$50</definedName>
    <definedName name="OSRRefT22_2x_0" localSheetId="65">'317'!$T$74</definedName>
    <definedName name="OSRRefT22_2x_0" localSheetId="63">'320'!$T$40</definedName>
    <definedName name="OSRRefT22_2x_0" localSheetId="69">'321'!$T$39</definedName>
    <definedName name="OSRRefT22_2x_0" localSheetId="70">'322'!$T$39</definedName>
    <definedName name="OSRRefT22_2x_0" localSheetId="71">'325'!$T$39</definedName>
    <definedName name="OSRRefT22_2x_0" localSheetId="60">'326'!$T$78</definedName>
    <definedName name="OSRRefT22_2x_0" localSheetId="72">'327'!$T$26</definedName>
    <definedName name="OSRRefT22_2x_0" localSheetId="52">'330'!$T$99</definedName>
    <definedName name="OSRRefT22_2x_0" localSheetId="58">'331'!$T$106</definedName>
    <definedName name="OSRRefT22_2x_0" localSheetId="61">'332'!$T$57</definedName>
    <definedName name="OSRRefT22_2x_0" localSheetId="76">'405'!$T$38</definedName>
    <definedName name="OSRRefT22_2x_0" localSheetId="77">'406'!$T$40</definedName>
    <definedName name="OSRRefT22_2x_0" localSheetId="78">'411'!$T$37</definedName>
    <definedName name="OSRRefT22_2x_0" localSheetId="79">'412'!$T$39</definedName>
    <definedName name="OSRRefT22_2x_0" localSheetId="80">'413'!$T$39</definedName>
    <definedName name="OSRRefT22_2x_0" localSheetId="81">'414'!$T$40</definedName>
    <definedName name="OSRRefT22_2x_0" localSheetId="82">'415'!$T$40</definedName>
    <definedName name="OSRRefT22_2x_0" localSheetId="83">'418'!$T$40</definedName>
    <definedName name="OSRRefT22_2x_0" localSheetId="84">'420'!$T$37</definedName>
    <definedName name="OSRRefT22_2x_0" localSheetId="85">'423'!$T$32</definedName>
    <definedName name="OSRRefT22_2x_0" localSheetId="86">'424'!$T$33</definedName>
    <definedName name="OSRRefT22_2x_0" localSheetId="87">'425'!$T$43</definedName>
    <definedName name="OSRRefT22_2x_0" localSheetId="90">'430'!$T$31</definedName>
    <definedName name="OSRRefT22_2x_0" localSheetId="91">'433'!$T$42</definedName>
    <definedName name="OSRRefT22_2x_0" localSheetId="92">'435'!$T$33</definedName>
    <definedName name="OSRRefT22_2x_0" localSheetId="93">'444'!$T$42</definedName>
    <definedName name="OSRRefT22_2x_0" localSheetId="95">'450'!$T$42</definedName>
    <definedName name="OSRRefT22_2x_0" localSheetId="75">'491'!$T$50</definedName>
    <definedName name="OSRRefT22_2x_0" localSheetId="89">'492'!$T$45</definedName>
    <definedName name="OSRRefT22_2x_0" localSheetId="97">'501'!$T$37</definedName>
    <definedName name="OSRRefT22_2x_0" localSheetId="39">'Div 2'!$T$40</definedName>
    <definedName name="OSRRefT22_2x_0" localSheetId="47">'Div 3'!$T$189</definedName>
    <definedName name="OSRRefT22_2x_0" localSheetId="73">'Div 4'!$T$50</definedName>
    <definedName name="OSRRefT22_2x_0" localSheetId="96">'Div 5'!$T$37</definedName>
    <definedName name="OSRRefT22_2x_0" localSheetId="64">'Div 6'!$T$74</definedName>
    <definedName name="OSRRefT22_2x_0" localSheetId="2">Summary!$T$221</definedName>
    <definedName name="OSRRefT22_3x_0" localSheetId="40">'200'!$T$26</definedName>
    <definedName name="OSRRefT22_3x_0" localSheetId="41">'201'!$T$35</definedName>
    <definedName name="OSRRefT22_3x_0" localSheetId="42">'202'!$T$36</definedName>
    <definedName name="OSRRefT22_3x_0" localSheetId="43">'203'!$T$39</definedName>
    <definedName name="OSRRefT22_3x_0" localSheetId="44">'204'!$T$39</definedName>
    <definedName name="OSRRefT22_3x_0" localSheetId="45">'205'!$T$33</definedName>
    <definedName name="OSRRefT22_3x_0" localSheetId="46">'206'!$T$36</definedName>
    <definedName name="OSRRefT22_3x_0" localSheetId="48">'300'!$T$186:$T$187</definedName>
    <definedName name="OSRRefT22_3x_0" localSheetId="49">'300 &amp; 317'!$T$211:$T$212</definedName>
    <definedName name="OSRRefT22_3x_0" localSheetId="50">'301'!$T$41:$T$42</definedName>
    <definedName name="OSRRefT22_3x_0" localSheetId="51">'306'!$T$39</definedName>
    <definedName name="OSRRefT22_3x_0" localSheetId="53">'307'!$T$93</definedName>
    <definedName name="OSRRefT22_3x_0" localSheetId="55">'308'!$T$85:$T$86</definedName>
    <definedName name="OSRRefT22_3x_0" localSheetId="67">'309'!$T$41</definedName>
    <definedName name="OSRRefT22_3x_0" localSheetId="66">'310'!$T$49</definedName>
    <definedName name="OSRRefT22_3x_0" localSheetId="74">'310 &amp; 491'!$T$58</definedName>
    <definedName name="OSRRefT22_3x_0" localSheetId="56">'311'!$T$84:$T$85</definedName>
    <definedName name="OSRRefT22_3x_0" localSheetId="68">'313'!$T$45</definedName>
    <definedName name="OSRRefT22_3x_0" localSheetId="54">'314'!$T$70:$T$71</definedName>
    <definedName name="OSRRefT22_3x_0" localSheetId="59">'315'!$T$99:$T$100</definedName>
    <definedName name="OSRRefT22_3x_0" localSheetId="62">'316'!$T$52</definedName>
    <definedName name="OSRRefT22_3x_0" localSheetId="65">'317'!$T$76</definedName>
    <definedName name="OSRRefT22_3x_0" localSheetId="63">'320'!$T$42</definedName>
    <definedName name="OSRRefT22_3x_0" localSheetId="69">'321'!$T$41</definedName>
    <definedName name="OSRRefT22_3x_0" localSheetId="70">'322'!$T$41</definedName>
    <definedName name="OSRRefT22_3x_0" localSheetId="71">'325'!$T$41</definedName>
    <definedName name="OSRRefT22_3x_0" localSheetId="60">'326'!$T$80</definedName>
    <definedName name="OSRRefT22_3x_0" localSheetId="52">'330'!$T$101</definedName>
    <definedName name="OSRRefT22_3x_0" localSheetId="58">'331'!$T$108</definedName>
    <definedName name="OSRRefT22_3x_0" localSheetId="61">'332'!$T$59</definedName>
    <definedName name="OSRRefT22_3x_0" localSheetId="76">'405'!$T$40</definedName>
    <definedName name="OSRRefT22_3x_0" localSheetId="77">'406'!$T$42</definedName>
    <definedName name="OSRRefT22_3x_0" localSheetId="78">'411'!$T$39</definedName>
    <definedName name="OSRRefT22_3x_0" localSheetId="79">'412'!$T$41</definedName>
    <definedName name="OSRRefT22_3x_0" localSheetId="80">'413'!$T$41</definedName>
    <definedName name="OSRRefT22_3x_0" localSheetId="81">'414'!$T$42</definedName>
    <definedName name="OSRRefT22_3x_0" localSheetId="82">'415'!$T$42</definedName>
    <definedName name="OSRRefT22_3x_0" localSheetId="83">'418'!$T$42</definedName>
    <definedName name="OSRRefT22_3x_0" localSheetId="84">'420'!$T$39</definedName>
    <definedName name="OSRRefT22_3x_0" localSheetId="85">'423'!$T$34</definedName>
    <definedName name="OSRRefT22_3x_0" localSheetId="86">'424'!$T$35</definedName>
    <definedName name="OSRRefT22_3x_0" localSheetId="87">'425'!$T$45</definedName>
    <definedName name="OSRRefT22_3x_0" localSheetId="90">'430'!$T$33</definedName>
    <definedName name="OSRRefT22_3x_0" localSheetId="91">'433'!$T$44</definedName>
    <definedName name="OSRRefT22_3x_0" localSheetId="92">'435'!$T$35</definedName>
    <definedName name="OSRRefT22_3x_0" localSheetId="93">'444'!$T$44</definedName>
    <definedName name="OSRRefT22_3x_0" localSheetId="95">'450'!$T$44</definedName>
    <definedName name="OSRRefT22_3x_0" localSheetId="75">'491'!$T$52</definedName>
    <definedName name="OSRRefT22_3x_0" localSheetId="89">'492'!$T$47</definedName>
    <definedName name="OSRRefT22_3x_0" localSheetId="97">'501'!$T$39</definedName>
    <definedName name="OSRRefT22_3x_0" localSheetId="39">'Div 2'!$T$42</definedName>
    <definedName name="OSRRefT22_3x_0" localSheetId="47">'Div 3'!$T$191:$T$192</definedName>
    <definedName name="OSRRefT22_3x_0" localSheetId="73">'Div 4'!$T$52</definedName>
    <definedName name="OSRRefT22_3x_0" localSheetId="96">'Div 5'!$T$39</definedName>
    <definedName name="OSRRefT22_3x_0" localSheetId="64">'Div 6'!$T$76</definedName>
    <definedName name="OSRRefT22_3x_0" localSheetId="2">Summary!$T$223:$T$224</definedName>
    <definedName name="OSRRefT22_4x_0" localSheetId="40">'200'!$T$28:$T$29</definedName>
    <definedName name="OSRRefT22_4x_0" localSheetId="41">'201'!$T$37</definedName>
    <definedName name="OSRRefT22_4x_0" localSheetId="42">'202'!$T$38</definedName>
    <definedName name="OSRRefT22_4x_0" localSheetId="43">'203'!$T$41</definedName>
    <definedName name="OSRRefT22_4x_0" localSheetId="44">'204'!$T$41</definedName>
    <definedName name="OSRRefT22_4x_0" localSheetId="45">'205'!$T$35:$T$36</definedName>
    <definedName name="OSRRefT22_4x_0" localSheetId="46">'206'!$T$38</definedName>
    <definedName name="OSRRefT22_4x_0" localSheetId="48">'300'!$T$189</definedName>
    <definedName name="OSRRefT22_4x_0" localSheetId="49">'300 &amp; 317'!$T$214</definedName>
    <definedName name="OSRRefT22_4x_0" localSheetId="50">'301'!$T$44</definedName>
    <definedName name="OSRRefT22_4x_0" localSheetId="51">'306'!$T$41</definedName>
    <definedName name="OSRRefT22_4x_0" localSheetId="53">'307'!$T$95:$T$96</definedName>
    <definedName name="OSRRefT22_4x_0" localSheetId="55">'308'!$T$88</definedName>
    <definedName name="OSRRefT22_4x_0" localSheetId="67">'309'!$T$43</definedName>
    <definedName name="OSRRefT22_4x_0" localSheetId="66">'310'!$T$51</definedName>
    <definedName name="OSRRefT22_4x_0" localSheetId="74">'310 &amp; 491'!$T$60</definedName>
    <definedName name="OSRRefT22_4x_0" localSheetId="56">'311'!$T$87</definedName>
    <definedName name="OSRRefT22_4x_0" localSheetId="68">'313'!$T$47</definedName>
    <definedName name="OSRRefT22_4x_0" localSheetId="54">'314'!$T$73</definedName>
    <definedName name="OSRRefT22_4x_0" localSheetId="59">'315'!$T$102</definedName>
    <definedName name="OSRRefT22_4x_0" localSheetId="62">'316'!$T$54</definedName>
    <definedName name="OSRRefT22_4x_0" localSheetId="65">'317'!$T$78</definedName>
    <definedName name="OSRRefT22_4x_0" localSheetId="63">'320'!$T$44:$T$45</definedName>
    <definedName name="OSRRefT22_4x_0" localSheetId="69">'321'!$T$43</definedName>
    <definedName name="OSRRefT22_4x_0" localSheetId="70">'322'!$T$43</definedName>
    <definedName name="OSRRefT22_4x_0" localSheetId="71">'325'!$T$43</definedName>
    <definedName name="OSRRefT22_4x_0" localSheetId="60">'326'!$T$82</definedName>
    <definedName name="OSRRefT22_4x_0" localSheetId="52">'330'!$T$103:$T$104</definedName>
    <definedName name="OSRRefT22_4x_0" localSheetId="58">'331'!$T$110</definedName>
    <definedName name="OSRRefT22_4x_0" localSheetId="61">'332'!$T$61</definedName>
    <definedName name="OSRRefT22_4x_0" localSheetId="76">'405'!$T$42</definedName>
    <definedName name="OSRRefT22_4x_0" localSheetId="77">'406'!$T$44</definedName>
    <definedName name="OSRRefT22_4x_0" localSheetId="78">'411'!$T$41:$T$43</definedName>
    <definedName name="OSRRefT22_4x_0" localSheetId="79">'412'!$T$43</definedName>
    <definedName name="OSRRefT22_4x_0" localSheetId="80">'413'!$T$43</definedName>
    <definedName name="OSRRefT22_4x_0" localSheetId="81">'414'!$T$44</definedName>
    <definedName name="OSRRefT22_4x_0" localSheetId="82">'415'!$T$44</definedName>
    <definedName name="OSRRefT22_4x_0" localSheetId="83">'418'!$T$44</definedName>
    <definedName name="OSRRefT22_4x_0" localSheetId="84">'420'!$T$41</definedName>
    <definedName name="OSRRefT22_4x_0" localSheetId="85">'423'!$T$36</definedName>
    <definedName name="OSRRefT22_4x_0" localSheetId="86">'424'!$T$37</definedName>
    <definedName name="OSRRefT22_4x_0" localSheetId="87">'425'!$T$47</definedName>
    <definedName name="OSRRefT22_4x_0" localSheetId="90">'430'!$T$35:$T$36</definedName>
    <definedName name="OSRRefT22_4x_0" localSheetId="91">'433'!$T$46</definedName>
    <definedName name="OSRRefT22_4x_0" localSheetId="92">'435'!$T$37</definedName>
    <definedName name="OSRRefT22_4x_0" localSheetId="93">'444'!$T$46</definedName>
    <definedName name="OSRRefT22_4x_0" localSheetId="95">'450'!$T$46</definedName>
    <definedName name="OSRRefT22_4x_0" localSheetId="75">'491'!$T$54</definedName>
    <definedName name="OSRRefT22_4x_0" localSheetId="89">'492'!$T$49</definedName>
    <definedName name="OSRRefT22_4x_0" localSheetId="97">'501'!$T$41</definedName>
    <definedName name="OSRRefT22_4x_0" localSheetId="39">'Div 2'!$T$44</definedName>
    <definedName name="OSRRefT22_4x_0" localSheetId="47">'Div 3'!$T$194</definedName>
    <definedName name="OSRRefT22_4x_0" localSheetId="73">'Div 4'!$T$54</definedName>
    <definedName name="OSRRefT22_4x_0" localSheetId="96">'Div 5'!$T$41</definedName>
    <definedName name="OSRRefT22_4x_0" localSheetId="64">'Div 6'!$T$78</definedName>
    <definedName name="OSRRefT22_4x_0" localSheetId="2">Summary!$T$226</definedName>
    <definedName name="OSRRefT22_5x_0" localSheetId="41">'201'!$T$39</definedName>
    <definedName name="OSRRefT22_5x_0" localSheetId="42">'202'!$T$40:$T$41</definedName>
    <definedName name="OSRRefT22_5x_0" localSheetId="43">'203'!$T$43</definedName>
    <definedName name="OSRRefT22_5x_0" localSheetId="44">'204'!$T$43</definedName>
    <definedName name="OSRRefT22_5x_0" localSheetId="45">'205'!$T$38</definedName>
    <definedName name="OSRRefT22_5x_0" localSheetId="46">'206'!$T$40:$T$41</definedName>
    <definedName name="OSRRefT22_5x_0" localSheetId="48">'300'!$T$191:$T$192</definedName>
    <definedName name="OSRRefT22_5x_0" localSheetId="49">'300 &amp; 317'!$T$216:$T$217</definedName>
    <definedName name="OSRRefT22_5x_0" localSheetId="50">'301'!$T$46:$T$47</definedName>
    <definedName name="OSRRefT22_5x_0" localSheetId="51">'306'!$T$43</definedName>
    <definedName name="OSRRefT22_5x_0" localSheetId="53">'307'!$T$98</definedName>
    <definedName name="OSRRefT22_5x_0" localSheetId="55">'308'!$T$90</definedName>
    <definedName name="OSRRefT22_5x_0" localSheetId="67">'309'!$T$45</definedName>
    <definedName name="OSRRefT22_5x_0" localSheetId="66">'310'!$T$53:$T$54</definedName>
    <definedName name="OSRRefT22_5x_0" localSheetId="74">'310 &amp; 491'!$T$62:$T$64</definedName>
    <definedName name="OSRRefT22_5x_0" localSheetId="56">'311'!$T$89</definedName>
    <definedName name="OSRRefT22_5x_0" localSheetId="68">'313'!$T$49</definedName>
    <definedName name="OSRRefT22_5x_0" localSheetId="54">'314'!$T$75</definedName>
    <definedName name="OSRRefT22_5x_0" localSheetId="59">'315'!$T$104:$T$105</definedName>
    <definedName name="OSRRefT22_5x_0" localSheetId="62">'316'!$T$56</definedName>
    <definedName name="OSRRefT22_5x_0" localSheetId="65">'317'!$T$80:$T$81</definedName>
    <definedName name="OSRRefT22_5x_0" localSheetId="63">'320'!$T$47</definedName>
    <definedName name="OSRRefT22_5x_0" localSheetId="69">'321'!$T$45</definedName>
    <definedName name="OSRRefT22_5x_0" localSheetId="70">'322'!$T$45</definedName>
    <definedName name="OSRRefT22_5x_0" localSheetId="71">'325'!$T$45:$T$46</definedName>
    <definedName name="OSRRefT22_5x_0" localSheetId="60">'326'!$T$84</definedName>
    <definedName name="OSRRefT22_5x_0" localSheetId="52">'330'!$T$106</definedName>
    <definedName name="OSRRefT22_5x_0" localSheetId="58">'331'!$T$112:$T$113</definedName>
    <definedName name="OSRRefT22_5x_0" localSheetId="61">'332'!$T$63</definedName>
    <definedName name="OSRRefT22_5x_0" localSheetId="76">'405'!$T$44:$T$45</definedName>
    <definedName name="OSRRefT22_5x_0" localSheetId="77">'406'!$T$46</definedName>
    <definedName name="OSRRefT22_5x_0" localSheetId="78">'411'!$T$45</definedName>
    <definedName name="OSRRefT22_5x_0" localSheetId="79">'412'!$T$45</definedName>
    <definedName name="OSRRefT22_5x_0" localSheetId="80">'413'!$T$45</definedName>
    <definedName name="OSRRefT22_5x_0" localSheetId="81">'414'!$T$46</definedName>
    <definedName name="OSRRefT22_5x_0" localSheetId="82">'415'!$T$46:$T$47</definedName>
    <definedName name="OSRRefT22_5x_0" localSheetId="83">'418'!$T$46:$T$47</definedName>
    <definedName name="OSRRefT22_5x_0" localSheetId="84">'420'!$T$43:$T$44</definedName>
    <definedName name="OSRRefT22_5x_0" localSheetId="85">'423'!$T$38</definedName>
    <definedName name="OSRRefT22_5x_0" localSheetId="86">'424'!$T$39</definedName>
    <definedName name="OSRRefT22_5x_0" localSheetId="87">'425'!$T$49</definedName>
    <definedName name="OSRRefT22_5x_0" localSheetId="90">'430'!$T$38</definedName>
    <definedName name="OSRRefT22_5x_0" localSheetId="91">'433'!$T$48</definedName>
    <definedName name="OSRRefT22_5x_0" localSheetId="92">'435'!$T$39</definedName>
    <definedName name="OSRRefT22_5x_0" localSheetId="93">'444'!$T$48</definedName>
    <definedName name="OSRRefT22_5x_0" localSheetId="95">'450'!$T$48</definedName>
    <definedName name="OSRRefT22_5x_0" localSheetId="75">'491'!$T$56:$T$58</definedName>
    <definedName name="OSRRefT22_5x_0" localSheetId="89">'492'!$T$51</definedName>
    <definedName name="OSRRefT22_5x_0" localSheetId="97">'501'!$T$43:$T$44</definedName>
    <definedName name="OSRRefT22_5x_0" localSheetId="39">'Div 2'!$T$46</definedName>
    <definedName name="OSRRefT22_5x_0" localSheetId="47">'Div 3'!$T$196:$T$197</definedName>
    <definedName name="OSRRefT22_5x_0" localSheetId="73">'Div 4'!$T$56:$T$58</definedName>
    <definedName name="OSRRefT22_5x_0" localSheetId="96">'Div 5'!$T$43:$T$44</definedName>
    <definedName name="OSRRefT22_5x_0" localSheetId="64">'Div 6'!$T$80:$T$81</definedName>
    <definedName name="OSRRefT22_5x_0" localSheetId="2">Summary!$T$228:$T$230</definedName>
    <definedName name="OSRRefT22_6x_0" localSheetId="41">'201'!$T$41</definedName>
    <definedName name="OSRRefT22_6x_0" localSheetId="42">'202'!$T$43</definedName>
    <definedName name="OSRRefT22_6x_0" localSheetId="43">'203'!$T$45</definedName>
    <definedName name="OSRRefT22_6x_0" localSheetId="44">'204'!$T$45:$T$47</definedName>
    <definedName name="OSRRefT22_6x_0" localSheetId="45">'205'!$T$40:$T$42</definedName>
    <definedName name="OSRRefT22_6x_0" localSheetId="46">'206'!$T$43</definedName>
    <definedName name="OSRRefT22_6x_0" localSheetId="48">'300'!$T$194:$T$195</definedName>
    <definedName name="OSRRefT22_6x_0" localSheetId="49">'300 &amp; 317'!$T$219:$T$220</definedName>
    <definedName name="OSRRefT22_6x_0" localSheetId="50">'301'!$T$49:$T$50</definedName>
    <definedName name="OSRRefT22_6x_0" localSheetId="51">'306'!$T$45:$T$46</definedName>
    <definedName name="OSRRefT22_6x_0" localSheetId="53">'307'!$T$100</definedName>
    <definedName name="OSRRefT22_6x_0" localSheetId="55">'308'!$T$92:$T$93</definedName>
    <definedName name="OSRRefT22_6x_0" localSheetId="67">'309'!$T$47</definedName>
    <definedName name="OSRRefT22_6x_0" localSheetId="66">'310'!$T$56</definedName>
    <definedName name="OSRRefT22_6x_0" localSheetId="74">'310 &amp; 491'!$T$66</definedName>
    <definedName name="OSRRefT22_6x_0" localSheetId="56">'311'!$T$91:$T$92</definedName>
    <definedName name="OSRRefT22_6x_0" localSheetId="68">'313'!$T$51</definedName>
    <definedName name="OSRRefT22_6x_0" localSheetId="54">'314'!$T$77</definedName>
    <definedName name="OSRRefT22_6x_0" localSheetId="59">'315'!$T$107</definedName>
    <definedName name="OSRRefT22_6x_0" localSheetId="62">'316'!$T$58:$T$59</definedName>
    <definedName name="OSRRefT22_6x_0" localSheetId="65">'317'!$T$83</definedName>
    <definedName name="OSRRefT22_6x_0" localSheetId="63">'320'!$T$49</definedName>
    <definedName name="OSRRefT22_6x_0" localSheetId="69">'321'!$T$47:$T$49</definedName>
    <definedName name="OSRRefT22_6x_0" localSheetId="70">'322'!$T$47</definedName>
    <definedName name="OSRRefT22_6x_0" localSheetId="71">'325'!$T$48</definedName>
    <definedName name="OSRRefT22_6x_0" localSheetId="60">'326'!$T$86</definedName>
    <definedName name="OSRRefT22_6x_0" localSheetId="52">'330'!$T$108</definedName>
    <definedName name="OSRRefT22_6x_0" localSheetId="58">'331'!$T$115</definedName>
    <definedName name="OSRRefT22_6x_0" localSheetId="61">'332'!$T$65:$T$66</definedName>
    <definedName name="OSRRefT22_6x_0" localSheetId="76">'405'!$T$47</definedName>
    <definedName name="OSRRefT22_6x_0" localSheetId="77">'406'!$T$48</definedName>
    <definedName name="OSRRefT22_6x_0" localSheetId="78">'411'!$T$47</definedName>
    <definedName name="OSRRefT22_6x_0" localSheetId="79">'412'!$T$47</definedName>
    <definedName name="OSRRefT22_6x_0" localSheetId="80">'413'!$T$47</definedName>
    <definedName name="OSRRefT22_6x_0" localSheetId="81">'414'!$T$48</definedName>
    <definedName name="OSRRefT22_6x_0" localSheetId="82">'415'!$T$49</definedName>
    <definedName name="OSRRefT22_6x_0" localSheetId="83">'418'!$T$49</definedName>
    <definedName name="OSRRefT22_6x_0" localSheetId="84">'420'!$T$46</definedName>
    <definedName name="OSRRefT22_6x_0" localSheetId="86">'424'!$T$41</definedName>
    <definedName name="OSRRefT22_6x_0" localSheetId="87">'425'!$T$51</definedName>
    <definedName name="OSRRefT22_6x_0" localSheetId="90">'430'!$T$40</definedName>
    <definedName name="OSRRefT22_6x_0" localSheetId="91">'433'!$T$50</definedName>
    <definedName name="OSRRefT22_6x_0" localSheetId="92">'435'!$T$41</definedName>
    <definedName name="OSRRefT22_6x_0" localSheetId="93">'444'!$T$50</definedName>
    <definedName name="OSRRefT22_6x_0" localSheetId="95">'450'!$T$50</definedName>
    <definedName name="OSRRefT22_6x_0" localSheetId="75">'491'!$T$60</definedName>
    <definedName name="OSRRefT22_6x_0" localSheetId="89">'492'!$T$53</definedName>
    <definedName name="OSRRefT22_6x_0" localSheetId="97">'501'!$T$46</definedName>
    <definedName name="OSRRefT22_6x_0" localSheetId="39">'Div 2'!$T$48</definedName>
    <definedName name="OSRRefT22_6x_0" localSheetId="47">'Div 3'!$T$199:$T$200</definedName>
    <definedName name="OSRRefT22_6x_0" localSheetId="73">'Div 4'!$T$60</definedName>
    <definedName name="OSRRefT22_6x_0" localSheetId="96">'Div 5'!$T$46</definedName>
    <definedName name="OSRRefT22_6x_0" localSheetId="64">'Div 6'!$T$83</definedName>
    <definedName name="OSRRefT22_6x_0" localSheetId="2">Summary!$T$232:$T$233</definedName>
    <definedName name="OSRRefT22_7x_0" localSheetId="41">'201'!$T$43</definedName>
    <definedName name="OSRRefT22_7x_0" localSheetId="42">'202'!$T$45</definedName>
    <definedName name="OSRRefT22_7x_0" localSheetId="43">'203'!$T$47</definedName>
    <definedName name="OSRRefT22_7x_0" localSheetId="44">'204'!$T$49</definedName>
    <definedName name="OSRRefT22_7x_0" localSheetId="45">'205'!$T$44</definedName>
    <definedName name="OSRRefT22_7x_0" localSheetId="46">'206'!$T$45</definedName>
    <definedName name="OSRRefT22_7x_0" localSheetId="48">'300'!$T$197</definedName>
    <definedName name="OSRRefT22_7x_0" localSheetId="49">'300 &amp; 317'!$T$222</definedName>
    <definedName name="OSRRefT22_7x_0" localSheetId="50">'301'!$T$52</definedName>
    <definedName name="OSRRefT22_7x_0" localSheetId="51">'306'!$T$48:$T$50</definedName>
    <definedName name="OSRRefT22_7x_0" localSheetId="53">'307'!$T$102:$T$103</definedName>
    <definedName name="OSRRefT22_7x_0" localSheetId="55">'308'!$T$95</definedName>
    <definedName name="OSRRefT22_7x_0" localSheetId="67">'309'!$T$49</definedName>
    <definedName name="OSRRefT22_7x_0" localSheetId="66">'310'!$T$58</definedName>
    <definedName name="OSRRefT22_7x_0" localSheetId="74">'310 &amp; 491'!$T$68</definedName>
    <definedName name="OSRRefT22_7x_0" localSheetId="56">'311'!$T$94</definedName>
    <definedName name="OSRRefT22_7x_0" localSheetId="68">'313'!$T$53</definedName>
    <definedName name="OSRRefT22_7x_0" localSheetId="54">'314'!$T$79</definedName>
    <definedName name="OSRRefT22_7x_0" localSheetId="59">'315'!$T$109:$T$110</definedName>
    <definedName name="OSRRefT22_7x_0" localSheetId="62">'316'!$T$61</definedName>
    <definedName name="OSRRefT22_7x_0" localSheetId="65">'317'!$T$85</definedName>
    <definedName name="OSRRefT22_7x_0" localSheetId="63">'320'!$T$51:$T$52</definedName>
    <definedName name="OSRRefT22_7x_0" localSheetId="69">'321'!$T$51</definedName>
    <definedName name="OSRRefT22_7x_0" localSheetId="70">'322'!$T$49</definedName>
    <definedName name="OSRRefT22_7x_0" localSheetId="71">'325'!$T$50</definedName>
    <definedName name="OSRRefT22_7x_0" localSheetId="60">'326'!$T$88</definedName>
    <definedName name="OSRRefT22_7x_0" localSheetId="52">'330'!$T$110</definedName>
    <definedName name="OSRRefT22_7x_0" localSheetId="58">'331'!$T$117:$T$118</definedName>
    <definedName name="OSRRefT22_7x_0" localSheetId="61">'332'!$T$68</definedName>
    <definedName name="OSRRefT22_7x_0" localSheetId="76">'405'!$T$49</definedName>
    <definedName name="OSRRefT22_7x_0" localSheetId="77">'406'!$T$50</definedName>
    <definedName name="OSRRefT22_7x_0" localSheetId="78">'411'!$T$49</definedName>
    <definedName name="OSRRefT22_7x_0" localSheetId="79">'412'!$T$49</definedName>
    <definedName name="OSRRefT22_7x_0" localSheetId="80">'413'!$T$49:$T$51</definedName>
    <definedName name="OSRRefT22_7x_0" localSheetId="81">'414'!$T$50</definedName>
    <definedName name="OSRRefT22_7x_0" localSheetId="82">'415'!$T$51</definedName>
    <definedName name="OSRRefT22_7x_0" localSheetId="83">'418'!$T$51</definedName>
    <definedName name="OSRRefT22_7x_0" localSheetId="86">'424'!$T$43</definedName>
    <definedName name="OSRRefT22_7x_0" localSheetId="87">'425'!$T$53</definedName>
    <definedName name="OSRRefT22_7x_0" localSheetId="90">'430'!$T$42</definedName>
    <definedName name="OSRRefT22_7x_0" localSheetId="91">'433'!$T$52</definedName>
    <definedName name="OSRRefT22_7x_0" localSheetId="92">'435'!$T$43:$T$45</definedName>
    <definedName name="OSRRefT22_7x_0" localSheetId="93">'444'!$T$52</definedName>
    <definedName name="OSRRefT22_7x_0" localSheetId="95">'450'!$T$52</definedName>
    <definedName name="OSRRefT22_7x_0" localSheetId="75">'491'!$T$62</definedName>
    <definedName name="OSRRefT22_7x_0" localSheetId="89">'492'!$T$55</definedName>
    <definedName name="OSRRefT22_7x_0" localSheetId="97">'501'!$T$48</definedName>
    <definedName name="OSRRefT22_7x_0" localSheetId="39">'Div 2'!$T$50</definedName>
    <definedName name="OSRRefT22_7x_0" localSheetId="47">'Div 3'!$T$202</definedName>
    <definedName name="OSRRefT22_7x_0" localSheetId="73">'Div 4'!$T$62</definedName>
    <definedName name="OSRRefT22_7x_0" localSheetId="96">'Div 5'!$T$48</definedName>
    <definedName name="OSRRefT22_7x_0" localSheetId="64">'Div 6'!$T$85</definedName>
    <definedName name="OSRRefT22_7x_0" localSheetId="2">Summary!$T$235</definedName>
    <definedName name="OSRRefT22_8x_0" localSheetId="41">'201'!$T$45</definedName>
    <definedName name="OSRRefT22_8x_0" localSheetId="42">'202'!$T$47:$T$49</definedName>
    <definedName name="OSRRefT22_8x_0" localSheetId="43">'203'!$T$49</definedName>
    <definedName name="OSRRefT22_8x_0" localSheetId="44">'204'!$T$51:$T$52</definedName>
    <definedName name="OSRRefT22_8x_0" localSheetId="45">'205'!$T$46</definedName>
    <definedName name="OSRRefT22_8x_0" localSheetId="48">'300'!$T$199</definedName>
    <definedName name="OSRRefT22_8x_0" localSheetId="49">'300 &amp; 317'!$T$224</definedName>
    <definedName name="OSRRefT22_8x_0" localSheetId="50">'301'!$T$54</definedName>
    <definedName name="OSRRefT22_8x_0" localSheetId="51">'306'!$T$52</definedName>
    <definedName name="OSRRefT22_8x_0" localSheetId="53">'307'!$T$105:$T$106</definedName>
    <definedName name="OSRRefT22_8x_0" localSheetId="55">'308'!$T$97</definedName>
    <definedName name="OSRRefT22_8x_0" localSheetId="67">'309'!$T$51</definedName>
    <definedName name="OSRRefT22_8x_0" localSheetId="66">'310'!$T$60</definedName>
    <definedName name="OSRRefT22_8x_0" localSheetId="74">'310 &amp; 491'!$T$70</definedName>
    <definedName name="OSRRefT22_8x_0" localSheetId="56">'311'!$T$96</definedName>
    <definedName name="OSRRefT22_8x_0" localSheetId="68">'313'!$T$55:$T$57</definedName>
    <definedName name="OSRRefT22_8x_0" localSheetId="54">'314'!$T$81</definedName>
    <definedName name="OSRRefT22_8x_0" localSheetId="59">'315'!$T$112:$T$113</definedName>
    <definedName name="OSRRefT22_8x_0" localSheetId="62">'316'!$T$63:$T$65</definedName>
    <definedName name="OSRRefT22_8x_0" localSheetId="65">'317'!$T$87</definedName>
    <definedName name="OSRRefT22_8x_0" localSheetId="63">'320'!$T$54</definedName>
    <definedName name="OSRRefT22_8x_0" localSheetId="69">'321'!$T$53:$T$55</definedName>
    <definedName name="OSRRefT22_8x_0" localSheetId="70">'322'!$T$51:$T$52</definedName>
    <definedName name="OSRRefT22_8x_0" localSheetId="71">'325'!$T$52</definedName>
    <definedName name="OSRRefT22_8x_0" localSheetId="60">'326'!$T$90</definedName>
    <definedName name="OSRRefT22_8x_0" localSheetId="52">'330'!$T$112:$T$113</definedName>
    <definedName name="OSRRefT22_8x_0" localSheetId="58">'331'!$T$120</definedName>
    <definedName name="OSRRefT22_8x_0" localSheetId="61">'332'!$T$70</definedName>
    <definedName name="OSRRefT22_8x_0" localSheetId="76">'405'!$T$51</definedName>
    <definedName name="OSRRefT22_8x_0" localSheetId="77">'406'!$T$52</definedName>
    <definedName name="OSRRefT22_8x_0" localSheetId="78">'411'!$T$51</definedName>
    <definedName name="OSRRefT22_8x_0" localSheetId="79">'412'!$T$51</definedName>
    <definedName name="OSRRefT22_8x_0" localSheetId="80">'413'!$T$53:$T$55</definedName>
    <definedName name="OSRRefT22_8x_0" localSheetId="81">'414'!$T$52</definedName>
    <definedName name="OSRRefT22_8x_0" localSheetId="82">'415'!$T$53</definedName>
    <definedName name="OSRRefT22_8x_0" localSheetId="83">'418'!$T$53</definedName>
    <definedName name="OSRRefT22_8x_0" localSheetId="86">'424'!$T$45:$T$46</definedName>
    <definedName name="OSRRefT22_8x_0" localSheetId="87">'425'!$T$55</definedName>
    <definedName name="OSRRefT22_8x_0" localSheetId="91">'433'!$T$54</definedName>
    <definedName name="OSRRefT22_8x_0" localSheetId="92">'435'!$T$47</definedName>
    <definedName name="OSRRefT22_8x_0" localSheetId="93">'444'!$T$54</definedName>
    <definedName name="OSRRefT22_8x_0" localSheetId="95">'450'!$T$54</definedName>
    <definedName name="OSRRefT22_8x_0" localSheetId="75">'491'!$T$64</definedName>
    <definedName name="OSRRefT22_8x_0" localSheetId="89">'492'!$T$57</definedName>
    <definedName name="OSRRefT22_8x_0" localSheetId="97">'501'!$T$50</definedName>
    <definedName name="OSRRefT22_8x_0" localSheetId="39">'Div 2'!$T$52</definedName>
    <definedName name="OSRRefT22_8x_0" localSheetId="47">'Div 3'!$T$204</definedName>
    <definedName name="OSRRefT22_8x_0" localSheetId="73">'Div 4'!$T$64</definedName>
    <definedName name="OSRRefT22_8x_0" localSheetId="96">'Div 5'!$T$50</definedName>
    <definedName name="OSRRefT22_8x_0" localSheetId="64">'Div 6'!$T$87</definedName>
    <definedName name="OSRRefT22_8x_0" localSheetId="2">Summary!$T$237</definedName>
    <definedName name="OSRRefT22_9x_0" localSheetId="41">'201'!$T$47:$T$49</definedName>
    <definedName name="OSRRefT22_9x_0" localSheetId="42">'202'!$T$51</definedName>
    <definedName name="OSRRefT22_9x_0" localSheetId="43">'203'!$T$51:$T$52</definedName>
    <definedName name="OSRRefT22_9x_0" localSheetId="44">'204'!$T$54</definedName>
    <definedName name="OSRRefT22_9x_0" localSheetId="48">'300'!$T$201</definedName>
    <definedName name="OSRRefT22_9x_0" localSheetId="49">'300 &amp; 317'!$T$226</definedName>
    <definedName name="OSRRefT22_9x_0" localSheetId="50">'301'!$T$56</definedName>
    <definedName name="OSRRefT22_9x_0" localSheetId="51">'306'!$T$54</definedName>
    <definedName name="OSRRefT22_9x_0" localSheetId="53">'307'!$T$108:$T$111</definedName>
    <definedName name="OSRRefT22_9x_0" localSheetId="55">'308'!$T$99:$T$100</definedName>
    <definedName name="OSRRefT22_9x_0" localSheetId="67">'309'!$T$53:$T$54</definedName>
    <definedName name="OSRRefT22_9x_0" localSheetId="66">'310'!$T$62</definedName>
    <definedName name="OSRRefT22_9x_0" localSheetId="74">'310 &amp; 491'!$T$72</definedName>
    <definedName name="OSRRefT22_9x_0" localSheetId="56">'311'!$T$98:$T$99</definedName>
    <definedName name="OSRRefT22_9x_0" localSheetId="68">'313'!$T$59</definedName>
    <definedName name="OSRRefT22_9x_0" localSheetId="59">'315'!$T$115:$T$119</definedName>
    <definedName name="OSRRefT22_9x_0" localSheetId="62">'316'!$T$67</definedName>
    <definedName name="OSRRefT22_9x_0" localSheetId="65">'317'!$T$89</definedName>
    <definedName name="OSRRefT22_9x_0" localSheetId="69">'321'!$T$57:$T$60</definedName>
    <definedName name="OSRRefT22_9x_0" localSheetId="70">'322'!$T$54:$T$56</definedName>
    <definedName name="OSRRefT22_9x_0" localSheetId="71">'325'!$T$54</definedName>
    <definedName name="OSRRefT22_9x_0" localSheetId="60">'326'!$T$92</definedName>
    <definedName name="OSRRefT22_9x_0" localSheetId="52">'330'!$T$115:$T$116</definedName>
    <definedName name="OSRRefT22_9x_0" localSheetId="58">'331'!$T$122</definedName>
    <definedName name="OSRRefT22_9x_0" localSheetId="61">'332'!$T$72:$T$74</definedName>
    <definedName name="OSRRefT22_9x_0" localSheetId="76">'405'!$T$53</definedName>
    <definedName name="OSRRefT22_9x_0" localSheetId="77">'406'!$T$54:$T$56</definedName>
    <definedName name="OSRRefT22_9x_0" localSheetId="78">'411'!$T$53</definedName>
    <definedName name="OSRRefT22_9x_0" localSheetId="79">'412'!$T$53:$T$54</definedName>
    <definedName name="OSRRefT22_9x_0" localSheetId="80">'413'!$T$57:$T$62</definedName>
    <definedName name="OSRRefT22_9x_0" localSheetId="81">'414'!$T$54:$T$55</definedName>
    <definedName name="OSRRefT22_9x_0" localSheetId="82">'415'!$T$55</definedName>
    <definedName name="OSRRefT22_9x_0" localSheetId="83">'418'!$T$55</definedName>
    <definedName name="OSRRefT22_9x_0" localSheetId="86">'424'!$T$48</definedName>
    <definedName name="OSRRefT22_9x_0" localSheetId="87">'425'!$T$57:$T$59</definedName>
    <definedName name="OSRRefT22_9x_0" localSheetId="91">'433'!$T$56</definedName>
    <definedName name="OSRRefT22_9x_0" localSheetId="93">'444'!$T$56</definedName>
    <definedName name="OSRRefT22_9x_0" localSheetId="95">'450'!$T$56</definedName>
    <definedName name="OSRRefT22_9x_0" localSheetId="75">'491'!$T$66</definedName>
    <definedName name="OSRRefT22_9x_0" localSheetId="89">'492'!$T$59</definedName>
    <definedName name="OSRRefT22_9x_0" localSheetId="97">'501'!$T$52:$T$54</definedName>
    <definedName name="OSRRefT22_9x_0" localSheetId="39">'Div 2'!$T$54:$T$55</definedName>
    <definedName name="OSRRefT22_9x_0" localSheetId="47">'Div 3'!$T$206</definedName>
    <definedName name="OSRRefT22_9x_0" localSheetId="73">'Div 4'!$T$66</definedName>
    <definedName name="OSRRefT22_9x_0" localSheetId="96">'Div 5'!$T$52:$T$54</definedName>
    <definedName name="OSRRefT22_9x_0" localSheetId="64">'Div 6'!$T$89</definedName>
    <definedName name="OSRRefT22_9x_0" localSheetId="2">Summary!$T$239</definedName>
    <definedName name="OSRRefT22x_0" localSheetId="40">'200'!$T$20,'200'!$T$22,'200'!$T$24,'200'!$T$26,'200'!$T$28:$T$29</definedName>
    <definedName name="OSRRefT22x_0" localSheetId="41">'201'!$T$20:$T$27,'201'!$T$29:$T$31,'201'!$T$33,'201'!$T$35,'201'!$T$37,'201'!$T$39,'201'!$T$41,'201'!$T$43,'201'!$T$45,'201'!$T$47:$T$49,'201'!$T$51:$T$53,'201'!$T$55,'201'!$T$57:$T$60,'201'!$T$62,'201'!$T$64,'201'!$T$66</definedName>
    <definedName name="OSRRefT22x_0" localSheetId="42">'202'!$T$20:$T$27,'202'!$T$29:$T$32,'202'!$T$34,'202'!$T$36,'202'!$T$38,'202'!$T$40:$T$41,'202'!$T$43,'202'!$T$45,'202'!$T$47:$T$49,'202'!$T$51,'202'!$T$53,'202'!$T$55:$T$57,'202'!$T$59,'202'!$T$61,'202'!$T$63</definedName>
    <definedName name="OSRRefT22x_0" localSheetId="43">'203'!$T$20:$T$29,'203'!$T$31:$T$35,'203'!$T$37,'203'!$T$39,'203'!$T$41,'203'!$T$43,'203'!$T$45,'203'!$T$47,'203'!$T$49,'203'!$T$51:$T$52,'203'!$T$54:$T$55,'203'!$T$57,'203'!$T$59:$T$62,'203'!$T$64,'203'!$T$66,'203'!$T$68</definedName>
    <definedName name="OSRRefT22x_0" localSheetId="44">'204'!$T$20:$T$29,'204'!$T$31:$T$35,'204'!$T$37,'204'!$T$39,'204'!$T$41,'204'!$T$43,'204'!$T$45:$T$47,'204'!$T$49,'204'!$T$51:$T$52,'204'!$T$54,'204'!$T$56:$T$57</definedName>
    <definedName name="OSRRefT22x_0" localSheetId="45">'205'!$T$20:$T$27,'205'!$T$29,'205'!$T$31,'205'!$T$33,'205'!$T$35:$T$36,'205'!$T$38,'205'!$T$40:$T$42,'205'!$T$44,'205'!$T$46</definedName>
    <definedName name="OSRRefT22x_0" localSheetId="46">'206'!$T$20:$T$27,'206'!$T$29:$T$32,'206'!$T$34,'206'!$T$36,'206'!$T$38,'206'!$T$40:$T$41,'206'!$T$43,'206'!$T$45</definedName>
    <definedName name="OSRRefT22x_0" localSheetId="48">'300'!$T$165:$T$174,'300'!$T$176:$T$182,'300'!$T$184,'300'!$T$186:$T$187,'300'!$T$189,'300'!$T$191:$T$192,'300'!$T$194:$T$195,'300'!$T$197,'300'!$T$199,'300'!$T$201,'300'!$T$203:$T$204,'300'!$T$206,'300'!$T$208,'300'!$T$210,'300'!$T$212,'300'!$T$214,'300'!$T$216:$T$219,'300'!$T$221:$T$223,'300'!$T$225:$T$228,'300'!$T$230:$T$231,'300'!$T$233:$T$239,'300'!$T$241:$T$242,'300'!$T$244,'300'!$T$246:$T$248,'300'!$T$250</definedName>
    <definedName name="OSRRefT22x_0" localSheetId="49">'300 &amp; 317'!$T$190:$T$199,'300 &amp; 317'!$T$201:$T$207,'300 &amp; 317'!$T$209,'300 &amp; 317'!$T$211:$T$212,'300 &amp; 317'!$T$214,'300 &amp; 317'!$T$216:$T$217,'300 &amp; 317'!$T$219:$T$220,'300 &amp; 317'!$T$222,'300 &amp; 317'!$T$224,'300 &amp; 317'!$T$226,'300 &amp; 317'!$T$228:$T$229,'300 &amp; 317'!$T$231,'300 &amp; 317'!$T$233,'300 &amp; 317'!$T$235,'300 &amp; 317'!$T$237,'300 &amp; 317'!$T$239,'300 &amp; 317'!$T$241:$T$244,'300 &amp; 317'!$T$246:$T$248,'300 &amp; 317'!$T$250:$T$253,'300 &amp; 317'!$T$255:$T$256,'300 &amp; 317'!$T$258:$T$264,'300 &amp; 317'!$T$266:$T$267,'300 &amp; 317'!$T$269,'300 &amp; 317'!$T$271:$T$273,'300 &amp; 317'!$T$275</definedName>
    <definedName name="OSRRefT22x_0" localSheetId="50">'301'!$T$20:$T$29,'301'!$T$31:$T$37,'301'!$T$39,'301'!$T$41:$T$42,'301'!$T$44,'301'!$T$46:$T$47,'301'!$T$49:$T$50,'301'!$T$52,'301'!$T$54,'301'!$T$56,'301'!$T$58,'301'!$T$60,'301'!$T$62,'301'!$T$64,'301'!$T$66,'301'!$T$68:$T$71,'301'!$T$73:$T$75,'301'!$T$77:$T$78,'301'!$T$80:$T$85,'301'!$T$87,'301'!$T$89,'301'!$T$91:$T$93,'301'!$T$95</definedName>
    <definedName name="OSRRefT22x_0" localSheetId="51">'306'!$T$20:$T$28,'306'!$T$30:$T$35,'306'!$T$37,'306'!$T$39,'306'!$T$41,'306'!$T$43,'306'!$T$45:$T$46,'306'!$T$48:$T$50,'306'!$T$52,'306'!$T$54</definedName>
    <definedName name="OSRRefT22x_0" localSheetId="53">'307'!$T$77:$T$84,'307'!$T$86:$T$89,'307'!$T$91,'307'!$T$93,'307'!$T$95:$T$96,'307'!$T$98,'307'!$T$100,'307'!$T$102:$T$103,'307'!$T$105:$T$106,'307'!$T$108:$T$111,'307'!$T$113,'307'!$T$115</definedName>
    <definedName name="OSRRefT22x_0" localSheetId="55">'308'!$T$65:$T$73,'308'!$T$75:$T$81,'308'!$T$83,'308'!$T$85:$T$86,'308'!$T$88,'308'!$T$90,'308'!$T$92:$T$93,'308'!$T$95,'308'!$T$97,'308'!$T$99:$T$100,'308'!$T$102:$T$103,'308'!$T$105:$T$107,'308'!$T$109:$T$110,'308'!$T$112,'308'!$T$114</definedName>
    <definedName name="OSRRefT22x_0" localSheetId="67">'309'!$T$24:$T$31,'309'!$T$33:$T$37,'309'!$T$39,'309'!$T$41,'309'!$T$43,'309'!$T$45,'309'!$T$47,'309'!$T$49,'309'!$T$51,'309'!$T$53:$T$54,'309'!$T$56:$T$58,'309'!$T$60:$T$62,'309'!$T$64</definedName>
    <definedName name="OSRRefT22x_0" localSheetId="66">'310'!$T$31:$T$38,'310'!$T$40:$T$45,'310'!$T$47,'310'!$T$49,'310'!$T$51,'310'!$T$53:$T$54,'310'!$T$56,'310'!$T$58,'310'!$T$60,'310'!$T$62,'310'!$T$64,'310'!$T$66,'310'!$T$68,'310'!$T$70,'310'!$T$72:$T$74,'310'!$T$76,'310'!$T$78:$T$81,'310'!$T$83,'310'!$T$85:$T$92,'310'!$T$94,'310'!$T$96,'310'!$T$98</definedName>
    <definedName name="OSRRefT22x_0" localSheetId="74">'310 &amp; 491'!$T$38:$T$46,'310 &amp; 491'!$T$48:$T$54,'310 &amp; 491'!$T$56,'310 &amp; 491'!$T$58,'310 &amp; 491'!$T$60,'310 &amp; 491'!$T$62:$T$64,'310 &amp; 491'!$T$66,'310 &amp; 491'!$T$68,'310 &amp; 491'!$T$70,'310 &amp; 491'!$T$72,'310 &amp; 491'!$T$74:$T$75,'310 &amp; 491'!$T$77:$T$78,'310 &amp; 491'!$T$80,'310 &amp; 491'!$T$82,'310 &amp; 491'!$T$84,'310 &amp; 491'!$T$86,'310 &amp; 491'!$T$88:$T$91,'310 &amp; 491'!$T$93:$T$94,'310 &amp; 491'!$T$96:$T$100,'310 &amp; 491'!$T$102:$T$103,'310 &amp; 491'!$T$105:$T$114,'310 &amp; 491'!$T$116,'310 &amp; 491'!$T$118,'310 &amp; 491'!$T$120:$T$122,'310 &amp; 491'!$T$124</definedName>
    <definedName name="OSRRefT22x_0" localSheetId="56">'311'!$T$64:$T$72,'311'!$T$74:$T$80,'311'!$T$82,'311'!$T$84:$T$85,'311'!$T$87,'311'!$T$89,'311'!$T$91:$T$92,'311'!$T$94,'311'!$T$96,'311'!$T$98:$T$99,'311'!$T$101:$T$102,'311'!$T$104:$T$106,'311'!$T$108:$T$109,'311'!$T$111,'311'!$T$113</definedName>
    <definedName name="OSRRefT22x_0" localSheetId="68">'313'!$T$28:$T$35,'313'!$T$37:$T$41,'313'!$T$43,'313'!$T$45,'313'!$T$47,'313'!$T$49,'313'!$T$51,'313'!$T$53,'313'!$T$55:$T$57,'313'!$T$59,'313'!$T$61:$T$65,'313'!$T$67,'313'!$T$69</definedName>
    <definedName name="OSRRefT22x_0" localSheetId="54">'314'!$T$55:$T$62,'314'!$T$64:$T$66,'314'!$T$68,'314'!$T$70:$T$71,'314'!$T$73,'314'!$T$75,'314'!$T$77,'314'!$T$79,'314'!$T$81</definedName>
    <definedName name="OSRRefT22x_0" localSheetId="59">'315'!$T$81:$T$88,'315'!$T$90:$T$95,'315'!$T$97,'315'!$T$99:$T$100,'315'!$T$102,'315'!$T$104:$T$105,'315'!$T$107,'315'!$T$109:$T$110,'315'!$T$112:$T$113,'315'!$T$115:$T$119,'315'!$T$121,'315'!$T$123,'315'!$T$125:$T$126</definedName>
    <definedName name="OSRRefT22x_0" localSheetId="62">'316'!$T$36:$T$43,'316'!$T$45:$T$48,'316'!$T$50,'316'!$T$52,'316'!$T$54,'316'!$T$56,'316'!$T$58:$T$59,'316'!$T$61,'316'!$T$63:$T$65,'316'!$T$67,'316'!$T$69:$T$74,'316'!$T$76,'316'!$T$78,'316'!$T$80</definedName>
    <definedName name="OSRRefT22x_0" localSheetId="65">'317'!$T$58:$T$66,'317'!$T$68:$T$72,'317'!$T$74,'317'!$T$76,'317'!$T$78,'317'!$T$80:$T$81,'317'!$T$83,'317'!$T$85,'317'!$T$87,'317'!$T$89,'317'!$T$91:$T$93,'317'!$T$95,'317'!$T$97,'317'!$T$99</definedName>
    <definedName name="OSRRefT22x_0" localSheetId="63">'320'!$T$28:$T$34,'320'!$T$36:$T$38,'320'!$T$40,'320'!$T$42,'320'!$T$44:$T$45,'320'!$T$47,'320'!$T$49,'320'!$T$51:$T$52,'320'!$T$54</definedName>
    <definedName name="OSRRefT22x_0" localSheetId="69">'321'!$T$24:$T$31,'321'!$T$33:$T$37,'321'!$T$39,'321'!$T$41,'321'!$T$43,'321'!$T$45,'321'!$T$47:$T$49,'321'!$T$51,'321'!$T$53:$T$55,'321'!$T$57:$T$60,'321'!$T$62,'321'!$T$64</definedName>
    <definedName name="OSRRefT22x_0" localSheetId="70">'322'!$T$24:$T$31,'322'!$T$33:$T$37,'322'!$T$39,'322'!$T$41,'322'!$T$43,'322'!$T$45,'322'!$T$47,'322'!$T$49,'322'!$T$51:$T$52,'322'!$T$54:$T$56,'322'!$T$58:$T$63,'322'!$T$65,'322'!$T$67</definedName>
    <definedName name="OSRRefT22x_0" localSheetId="71">'325'!$T$24:$T$31,'325'!$T$33:$T$37,'325'!$T$39,'325'!$T$41,'325'!$T$43,'325'!$T$45:$T$46,'325'!$T$48,'325'!$T$50,'325'!$T$52,'325'!$T$54,'325'!$T$56,'325'!$T$58:$T$60,'325'!$T$62:$T$64,'325'!$T$66,'325'!$T$68:$T$72,'325'!$T$74,'325'!$T$76,'325'!$T$78</definedName>
    <definedName name="OSRRefT22x_0" localSheetId="60">'326'!$T$62:$T$69,'326'!$T$71:$T$76,'326'!$T$78,'326'!$T$80,'326'!$T$82,'326'!$T$84,'326'!$T$86,'326'!$T$88,'326'!$T$90,'326'!$T$92,'326'!$T$94,'326'!$T$96,'326'!$T$98:$T$100,'326'!$T$102:$T$104,'326'!$T$106:$T$107,'326'!$T$109:$T$114,'326'!$T$116,'326'!$T$118,'326'!$T$120,'326'!$T$122</definedName>
    <definedName name="OSRRefT22x_0" localSheetId="72">'327'!$T$22,'327'!$T$24,'327'!$T$26</definedName>
    <definedName name="OSRRefT22x_0" localSheetId="52">'330'!$T$84:$T$91,'330'!$T$93:$T$97,'330'!$T$99,'330'!$T$101,'330'!$T$103:$T$104,'330'!$T$106,'330'!$T$108,'330'!$T$110,'330'!$T$112:$T$113,'330'!$T$115:$T$116,'330'!$T$118,'330'!$T$120:$T$123,'330'!$T$125,'330'!$T$127,'330'!$T$129</definedName>
    <definedName name="OSRRefT22x_0" localSheetId="58">'331'!$T$90:$T$97,'331'!$T$99:$T$104,'331'!$T$106,'331'!$T$108,'331'!$T$110,'331'!$T$112:$T$113,'331'!$T$115,'331'!$T$117:$T$118,'331'!$T$120,'331'!$T$122,'331'!$T$124,'331'!$T$126,'331'!$T$128,'331'!$T$130:$T$132,'331'!$T$134:$T$135,'331'!$T$137:$T$139,'331'!$T$141:$T$142,'331'!$T$144:$T$149,'331'!$T$151,'331'!$T$153,'331'!$T$155:$T$156,'331'!$T$158</definedName>
    <definedName name="OSRRefT22x_0" localSheetId="61">'332'!$T$43:$T$50,'332'!$T$52:$T$55,'332'!$T$57,'332'!$T$59,'332'!$T$61,'332'!$T$63,'332'!$T$65:$T$66,'332'!$T$68,'332'!$T$70,'332'!$T$72:$T$74,'332'!$T$76,'332'!$T$78:$T$83,'332'!$T$85,'332'!$T$87,'332'!$T$89</definedName>
    <definedName name="OSRRefT22x_0" localSheetId="76">'405'!$T$24:$T$31,'405'!$T$33:$T$36,'405'!$T$38,'405'!$T$40,'405'!$T$42,'405'!$T$44:$T$45,'405'!$T$47,'405'!$T$49,'405'!$T$51,'405'!$T$53,'405'!$T$55:$T$56,'405'!$T$58,'405'!$T$60:$T$62,'405'!$T$64:$T$65,'405'!$T$67:$T$73,'405'!$T$75,'405'!$T$77,'405'!$T$79</definedName>
    <definedName name="OSRRefT22x_0" localSheetId="77">'406'!$T$24:$T$31,'406'!$T$33:$T$38,'406'!$T$40,'406'!$T$42,'406'!$T$44,'406'!$T$46,'406'!$T$48,'406'!$T$50,'406'!$T$52,'406'!$T$54:$T$56,'406'!$T$58:$T$59,'406'!$T$61:$T$65,'406'!$T$67,'406'!$T$69</definedName>
    <definedName name="OSRRefT22x_0" localSheetId="78">'411'!$T$20:$T$28,'411'!$T$30:$T$35,'411'!$T$37,'411'!$T$39,'411'!$T$41:$T$43,'411'!$T$45,'411'!$T$47,'411'!$T$49,'411'!$T$51,'411'!$T$53,'411'!$T$55,'411'!$T$57,'411'!$T$59:$T$61,'411'!$T$63:$T$67,'411'!$T$69,'411'!$T$71:$T$79,'411'!$T$81,'411'!$T$83,'411'!$T$85:$T$87,'411'!$T$89</definedName>
    <definedName name="OSRRefT22x_0" localSheetId="79">'412'!$T$23:$T$30,'412'!$T$32:$T$37,'412'!$T$39,'412'!$T$41,'412'!$T$43,'412'!$T$45,'412'!$T$47,'412'!$T$49,'412'!$T$51,'412'!$T$53:$T$54,'412'!$T$56:$T$57,'412'!$T$59:$T$64,'412'!$T$66,'412'!$T$68</definedName>
    <definedName name="OSRRefT22x_0" localSheetId="80">'413'!$T$24:$T$31,'413'!$T$33:$T$37,'413'!$T$39,'413'!$T$41,'413'!$T$43,'413'!$T$45,'413'!$T$47,'413'!$T$49:$T$51,'413'!$T$53:$T$55,'413'!$T$57:$T$62,'413'!$T$64,'413'!$T$66</definedName>
    <definedName name="OSRRefT22x_0" localSheetId="81">'414'!$T$24:$T$31,'414'!$T$33:$T$38,'414'!$T$40,'414'!$T$42,'414'!$T$44,'414'!$T$46,'414'!$T$48,'414'!$T$50,'414'!$T$52,'414'!$T$54:$T$55,'414'!$T$57,'414'!$T$59,'414'!$T$61,'414'!$T$63:$T$69,'414'!$T$71,'414'!$T$73</definedName>
    <definedName name="OSRRefT22x_0" localSheetId="82">'415'!$T$24:$T$31,'415'!$T$33:$T$38,'415'!$T$40,'415'!$T$42,'415'!$T$44,'415'!$T$46:$T$47,'415'!$T$49,'415'!$T$51,'415'!$T$53,'415'!$T$55,'415'!$T$57,'415'!$T$59:$T$62,'415'!$T$64:$T$68,'415'!$T$70:$T$71,'415'!$T$73:$T$81,'415'!$T$83,'415'!$T$85,'415'!$T$87</definedName>
    <definedName name="OSRRefT22x_0" localSheetId="83">'418'!$T$24:$T$31,'418'!$T$33:$T$38,'418'!$T$40,'418'!$T$42,'418'!$T$44,'418'!$T$46:$T$47,'418'!$T$49,'418'!$T$51,'418'!$T$53,'418'!$T$55,'418'!$T$57:$T$58,'418'!$T$60:$T$62,'418'!$T$64:$T$66,'418'!$T$68:$T$69,'418'!$T$71:$T$77,'418'!$T$79,'418'!$T$81</definedName>
    <definedName name="OSRRefT22x_0" localSheetId="84">'420'!$T$23:$T$30,'420'!$T$32:$T$35,'420'!$T$37,'420'!$T$39,'420'!$T$41,'420'!$T$43:$T$44,'420'!$T$46</definedName>
    <definedName name="OSRRefT22x_0" localSheetId="85">'423'!$T$21:$T$28,'423'!$T$30,'423'!$T$32,'423'!$T$34,'423'!$T$36,'423'!$T$38</definedName>
    <definedName name="OSRRefT22x_0" localSheetId="86">'424'!$T$24:$T$25,'424'!$T$27:$T$31,'424'!$T$33,'424'!$T$35,'424'!$T$37,'424'!$T$39,'424'!$T$41,'424'!$T$43,'424'!$T$45:$T$46,'424'!$T$48,'424'!$T$50,'424'!$T$52:$T$56,'424'!$T$58</definedName>
    <definedName name="OSRRefT22x_0" localSheetId="87">'425'!$T$26:$T$34,'425'!$T$36:$T$41,'425'!$T$43,'425'!$T$45,'425'!$T$47,'425'!$T$49,'425'!$T$51,'425'!$T$53,'425'!$T$55,'425'!$T$57:$T$59,'425'!$T$61,'425'!$T$63:$T$64,'425'!$T$66:$T$72,'425'!$T$74,'425'!$T$76</definedName>
    <definedName name="OSRRefT22x_0" localSheetId="90">'430'!$T$20:$T$27,'430'!$T$29,'430'!$T$31,'430'!$T$33,'430'!$T$35:$T$36,'430'!$T$38,'430'!$T$40,'430'!$T$42</definedName>
    <definedName name="OSRRefT22x_0" localSheetId="91">'433'!$T$25:$T$33,'433'!$T$35:$T$40,'433'!$T$42,'433'!$T$44,'433'!$T$46,'433'!$T$48,'433'!$T$50,'433'!$T$52,'433'!$T$54,'433'!$T$56,'433'!$T$58,'433'!$T$60:$T$62,'433'!$T$64:$T$66,'433'!$T$68:$T$75,'433'!$T$77,'433'!$T$79,'433'!$T$81</definedName>
    <definedName name="OSRRefT22x_0" localSheetId="92">'435'!$T$25:$T$27,'435'!$T$29:$T$31,'435'!$T$33,'435'!$T$35,'435'!$T$37,'435'!$T$39,'435'!$T$41,'435'!$T$43:$T$45,'435'!$T$47</definedName>
    <definedName name="OSRRefT22x_0" localSheetId="93">'444'!$T$25:$T$33,'444'!$T$35:$T$40,'444'!$T$42,'444'!$T$44,'444'!$T$46,'444'!$T$48,'444'!$T$50,'444'!$T$52,'444'!$T$54,'444'!$T$56,'444'!$T$58,'444'!$T$60:$T$62,'444'!$T$64:$T$67,'444'!$T$69,'444'!$T$71:$T$79,'444'!$T$81,'444'!$T$83,'444'!$T$85</definedName>
    <definedName name="OSRRefT22x_0" localSheetId="95">'450'!$T$25:$T$33,'450'!$T$35:$T$40,'450'!$T$42,'450'!$T$44,'450'!$T$46,'450'!$T$48,'450'!$T$50,'450'!$T$52,'450'!$T$54,'450'!$T$56,'450'!$T$58,'450'!$T$60,'450'!$T$62:$T$63,'450'!$T$65:$T$67,'450'!$T$69:$T$74,'450'!$T$76,'450'!$T$78,'450'!$T$80</definedName>
    <definedName name="OSRRefT22x_0" localSheetId="88">'455'!$T$20:$T$26,'455'!$T$28:$T$29</definedName>
    <definedName name="OSRRefT22x_0" localSheetId="75">'491'!$T$32:$T$40,'491'!$T$42:$T$48,'491'!$T$50,'491'!$T$52,'491'!$T$54,'491'!$T$56:$T$58,'491'!$T$60,'491'!$T$62,'491'!$T$64,'491'!$T$66,'491'!$T$68,'491'!$T$70:$T$71,'491'!$T$73,'491'!$T$75,'491'!$T$77,'491'!$T$79,'491'!$T$81:$T$84,'491'!$T$86:$T$87,'491'!$T$89:$T$93,'491'!$T$95:$T$96,'491'!$T$98:$T$107,'491'!$T$109,'491'!$T$111,'491'!$T$113:$T$115,'491'!$T$117</definedName>
    <definedName name="OSRRefT22x_0" localSheetId="89">'492'!$T$27:$T$35,'492'!$T$37:$T$43,'492'!$T$45,'492'!$T$47,'492'!$T$49,'492'!$T$51,'492'!$T$53,'492'!$T$55,'492'!$T$57,'492'!$T$59,'492'!$T$61,'492'!$T$63,'492'!$T$65:$T$67,'492'!$T$69:$T$72,'492'!$T$74,'492'!$T$76:$T$84,'492'!$T$86,'492'!$T$88,'492'!$T$90</definedName>
    <definedName name="OSRRefT22x_0" localSheetId="97">'501'!$T$21:$T$29,'501'!$T$31:$T$35,'501'!$T$37,'501'!$T$39,'501'!$T$41,'501'!$T$43:$T$44,'501'!$T$46,'501'!$T$48,'501'!$T$50,'501'!$T$52:$T$54,'501'!$T$56,'501'!$T$58:$T$60,'501'!$T$62</definedName>
    <definedName name="OSRRefT22x_0" localSheetId="39">'Div 2'!$T$20:$T$30,'Div 2'!$T$32:$T$38,'Div 2'!$T$40,'Div 2'!$T$42,'Div 2'!$T$44,'Div 2'!$T$46,'Div 2'!$T$48,'Div 2'!$T$50,'Div 2'!$T$52,'Div 2'!$T$54:$T$55,'Div 2'!$T$57,'Div 2'!$T$59,'Div 2'!$T$61:$T$64,'Div 2'!$T$66:$T$68,'Div 2'!$T$70:$T$71,'Div 2'!$T$73,'Div 2'!$T$75:$T$79,'Div 2'!$T$81:$T$82,'Div 2'!$T$84,'Div 2'!$T$86:$T$87</definedName>
    <definedName name="OSRRefT22x_0" localSheetId="47">'Div 3'!$T$170:$T$179,'Div 3'!$T$181:$T$187,'Div 3'!$T$189,'Div 3'!$T$191:$T$192,'Div 3'!$T$194,'Div 3'!$T$196:$T$197,'Div 3'!$T$199:$T$200,'Div 3'!$T$202,'Div 3'!$T$204,'Div 3'!$T$206,'Div 3'!$T$208:$T$209,'Div 3'!$T$211,'Div 3'!$T$213,'Div 3'!$T$215,'Div 3'!$T$217,'Div 3'!$T$219,'Div 3'!$T$221,'Div 3'!$T$223:$T$226,'Div 3'!$T$228:$T$230,'Div 3'!$T$232:$T$236,'Div 3'!$T$238:$T$239,'Div 3'!$T$241:$T$248,'Div 3'!$T$250:$T$251,'Div 3'!$T$253,'Div 3'!$T$255:$T$257,'Div 3'!$T$259</definedName>
    <definedName name="OSRRefT22x_0" localSheetId="73">'Div 4'!$T$32:$T$40,'Div 4'!$T$42:$T$48,'Div 4'!$T$50,'Div 4'!$T$52,'Div 4'!$T$54,'Div 4'!$T$56:$T$58,'Div 4'!$T$60,'Div 4'!$T$62,'Div 4'!$T$64,'Div 4'!$T$66,'Div 4'!$T$68,'Div 4'!$T$70:$T$71,'Div 4'!$T$73,'Div 4'!$T$75,'Div 4'!$T$77,'Div 4'!$T$79,'Div 4'!$T$81,'Div 4'!$T$83:$T$86,'Div 4'!$T$88:$T$89,'Div 4'!$T$91:$T$95,'Div 4'!$T$97:$T$98,'Div 4'!$T$100:$T$109,'Div 4'!$T$111,'Div 4'!$T$113,'Div 4'!$T$115:$T$117,'Div 4'!$T$119</definedName>
    <definedName name="OSRRefT22x_0" localSheetId="96">'Div 5'!$T$21:$T$29,'Div 5'!$T$31:$T$35,'Div 5'!$T$37,'Div 5'!$T$39,'Div 5'!$T$41,'Div 5'!$T$43:$T$44,'Div 5'!$T$46,'Div 5'!$T$48,'Div 5'!$T$50,'Div 5'!$T$52:$T$54,'Div 5'!$T$56,'Div 5'!$T$58:$T$60,'Div 5'!$T$62</definedName>
    <definedName name="OSRRefT22x_0" localSheetId="64">'Div 6'!$T$58:$T$66,'Div 6'!$T$68:$T$72,'Div 6'!$T$74,'Div 6'!$T$76,'Div 6'!$T$78,'Div 6'!$T$80:$T$81,'Div 6'!$T$83,'Div 6'!$T$85,'Div 6'!$T$87,'Div 6'!$T$89,'Div 6'!$T$91:$T$93,'Div 6'!$T$95,'Div 6'!$T$97,'Div 6'!$T$99</definedName>
    <definedName name="OSRRefT22x_0" localSheetId="2">Summary!$T$202:$T$211,Summary!$T$213:$T$219,Summary!$T$221,Summary!$T$223:$T$224,Summary!$T$226,Summary!$T$228:$T$230,Summary!$T$232:$T$233,Summary!$T$235,Summary!$T$237,Summary!$T$239,Summary!$T$241:$T$242,Summary!$T$244:$T$245,Summary!$T$247,Summary!$T$249,Summary!$T$251,Summary!$T$253,Summary!$T$255,Summary!$T$257,Summary!$T$259:$T$262,Summary!$T$264:$T$266,Summary!$T$268:$T$272,Summary!$T$274:$T$275,Summary!$T$277:$T$286,Summary!$T$288:$T$289,Summary!$T$291,Summary!$T$293:$T$295,Summary!$T$297</definedName>
    <definedName name="OSRRefT25x_0" localSheetId="48">'300'!$T$253:$T$261</definedName>
    <definedName name="OSRRefT25x_0" localSheetId="49">'300 &amp; 317'!$T$278:$T$289</definedName>
    <definedName name="OSRRefT25x_0" localSheetId="50">'301'!$T$98:$T$100</definedName>
    <definedName name="OSRRefT25x_0" localSheetId="53">'307'!$T$118</definedName>
    <definedName name="OSRRefT25x_0" localSheetId="55">'308'!$T$117:$T$119</definedName>
    <definedName name="OSRRefT25x_0" localSheetId="74">'310 &amp; 491'!$T$127:$T$129</definedName>
    <definedName name="OSRRefT25x_0" localSheetId="56">'311'!$T$116:$T$118</definedName>
    <definedName name="OSRRefT25x_0" localSheetId="59">'315'!$T$129:$T$130</definedName>
    <definedName name="OSRRefT25x_0" localSheetId="62">'316'!$T$83</definedName>
    <definedName name="OSRRefT25x_0" localSheetId="65">'317'!$T$102:$T$105</definedName>
    <definedName name="OSRRefT25x_0" localSheetId="63">'320'!$T$57:$T$61</definedName>
    <definedName name="OSRRefT25x_0" localSheetId="52">'330'!$T$132</definedName>
    <definedName name="OSRRefT25x_0" localSheetId="58">'331'!$T$161:$T$162</definedName>
    <definedName name="OSRRefT25x_0" localSheetId="61">'332'!$T$92:$T$97</definedName>
    <definedName name="OSRRefT25x_0" localSheetId="78">'411'!$T$92:$T$93</definedName>
    <definedName name="OSRRefT25x_0" localSheetId="80">'413'!$T$69</definedName>
    <definedName name="OSRRefT25x_0" localSheetId="82">'415'!$T$90</definedName>
    <definedName name="OSRRefT25x_0" localSheetId="83">'418'!$T$84</definedName>
    <definedName name="OSRRefT25x_0" localSheetId="85">'423'!$T$41</definedName>
    <definedName name="OSRRefT25x_0" localSheetId="86">'424'!$T$61</definedName>
    <definedName name="OSRRefT25x_0" localSheetId="87">'425'!$T$79</definedName>
    <definedName name="OSRRefT25x_0" localSheetId="88">'455'!$T$32:$T$33</definedName>
    <definedName name="OSRRefT25x_0" localSheetId="75">'491'!$T$120:$T$122</definedName>
    <definedName name="OSRRefT25x_0" localSheetId="97">'501'!$T$65</definedName>
    <definedName name="OSRRefT25x_0" localSheetId="47">'Div 3'!$T$262:$T$270</definedName>
    <definedName name="OSRRefT25x_0" localSheetId="73">'Div 4'!$T$122:$T$124</definedName>
    <definedName name="OSRRefT25x_0" localSheetId="96">'Div 5'!$T$65</definedName>
    <definedName name="OSRRefT25x_0" localSheetId="64">'Div 6'!$T$102:$T$105</definedName>
    <definedName name="OSRRefT25x_0" localSheetId="2">Summary!$T$300:$T$312</definedName>
    <definedName name="_xlnm.Print_Area" localSheetId="38">'100'!$A$1:$Z$34</definedName>
    <definedName name="_xlnm.Print_Area" localSheetId="40">'200'!$A$1:$Z$43</definedName>
    <definedName name="_xlnm.Print_Area" localSheetId="41">'201'!$A$1:$Z$80</definedName>
    <definedName name="_xlnm.Print_Area" localSheetId="42">'202'!$A$1:$Z$77</definedName>
    <definedName name="_xlnm.Print_Area" localSheetId="43">'203'!$A$1:$Z$82</definedName>
    <definedName name="_xlnm.Print_Area" localSheetId="44">'204'!$A$1:$Z$71</definedName>
    <definedName name="_xlnm.Print_Area" localSheetId="45">'205'!$A$1:$Z$60</definedName>
    <definedName name="_xlnm.Print_Area" localSheetId="46">'206'!$A$1:$Z$59</definedName>
    <definedName name="_xlnm.Print_Area" localSheetId="48">'300'!$A$1:$Z$273</definedName>
    <definedName name="_xlnm.Print_Area" localSheetId="49">'300 &amp; 317'!$A$1:$Z$301</definedName>
    <definedName name="_xlnm.Print_Area" localSheetId="50">'301'!$A$1:$Z$112</definedName>
    <definedName name="_xlnm.Print_Area" localSheetId="51">'306'!$A$1:$Z$68</definedName>
    <definedName name="_xlnm.Print_Area" localSheetId="53">'307'!$A$1:$Z$130</definedName>
    <definedName name="_xlnm.Print_Area" localSheetId="55">'308'!$A$1:$Z$131</definedName>
    <definedName name="_xlnm.Print_Area" localSheetId="67">'309'!$A$1:$Z$78</definedName>
    <definedName name="_xlnm.Print_Area" localSheetId="66">'310'!$A$1:$Z$112</definedName>
    <definedName name="_xlnm.Print_Area" localSheetId="74">'310 &amp; 491'!$A$1:$Z$141</definedName>
    <definedName name="_xlnm.Print_Area" localSheetId="56">'311'!$A$1:$Z$130</definedName>
    <definedName name="_xlnm.Print_Area" localSheetId="68">'313'!$A$1:$Z$83</definedName>
    <definedName name="_xlnm.Print_Area" localSheetId="54">'314'!$A$1:$Z$95</definedName>
    <definedName name="_xlnm.Print_Area" localSheetId="59">'315'!$A$1:$Z$142</definedName>
    <definedName name="_xlnm.Print_Area" localSheetId="62">'316'!$A$1:$Z$95</definedName>
    <definedName name="_xlnm.Print_Area" localSheetId="65">'317'!$A$1:$Z$117</definedName>
    <definedName name="_xlnm.Print_Area" localSheetId="63">'320'!$A$1:$Z$73</definedName>
    <definedName name="_xlnm.Print_Area" localSheetId="69">'321'!$A$1:$Z$78</definedName>
    <definedName name="_xlnm.Print_Area" localSheetId="70">'322'!$A$1:$Z$81</definedName>
    <definedName name="_xlnm.Print_Area" localSheetId="57">'324'!$A$1:$Z$37</definedName>
    <definedName name="_xlnm.Print_Area" localSheetId="71">'325'!$A$1:$Z$92</definedName>
    <definedName name="_xlnm.Print_Area" localSheetId="60">'326'!$A$1:$Z$136</definedName>
    <definedName name="_xlnm.Print_Area" localSheetId="72">'327'!$A$1:$Z$40</definedName>
    <definedName name="_xlnm.Print_Area" localSheetId="52">'330'!$A$1:$Z$144</definedName>
    <definedName name="_xlnm.Print_Area" localSheetId="58">'331'!$A$1:$Z$174</definedName>
    <definedName name="_xlnm.Print_Area" localSheetId="61">'332'!$A$1:$Z$109</definedName>
    <definedName name="_xlnm.Print_Area" localSheetId="76">'405'!$A$1:$Z$93</definedName>
    <definedName name="_xlnm.Print_Area" localSheetId="77">'406'!$A$1:$Z$83</definedName>
    <definedName name="_xlnm.Print_Area" localSheetId="78">'411'!$A$1:$Z$105</definedName>
    <definedName name="_xlnm.Print_Area" localSheetId="79">'412'!$A$1:$Z$82</definedName>
    <definedName name="_xlnm.Print_Area" localSheetId="80">'413'!$A$1:$Z$81</definedName>
    <definedName name="_xlnm.Print_Area" localSheetId="81">'414'!$A$1:$Z$87</definedName>
    <definedName name="_xlnm.Print_Area" localSheetId="82">'415'!$A$1:$Z$102</definedName>
    <definedName name="_xlnm.Print_Area" localSheetId="83">'418'!$A$1:$Z$96</definedName>
    <definedName name="_xlnm.Print_Area" localSheetId="84">'420'!$A$1:$Z$60</definedName>
    <definedName name="_xlnm.Print_Area" localSheetId="85">'423'!$A$1:$Z$53</definedName>
    <definedName name="_xlnm.Print_Area" localSheetId="86">'424'!$A$1:$Z$73</definedName>
    <definedName name="_xlnm.Print_Area" localSheetId="87">'425'!$A$1:$Z$91</definedName>
    <definedName name="_xlnm.Print_Area" localSheetId="90">'430'!$A$1:$Z$56</definedName>
    <definedName name="_xlnm.Print_Area" localSheetId="91">'433'!$A$1:$Z$95</definedName>
    <definedName name="_xlnm.Print_Area" localSheetId="92">'435'!$A$1:$Z$61</definedName>
    <definedName name="_xlnm.Print_Area" localSheetId="93">'444'!$A$1:$Z$99</definedName>
    <definedName name="_xlnm.Print_Area" localSheetId="94">'445'!$A$1:$Z$32</definedName>
    <definedName name="_xlnm.Print_Area" localSheetId="95">'450'!$A$1:$Z$94</definedName>
    <definedName name="_xlnm.Print_Area" localSheetId="88">'455'!$A$1:$Z$45</definedName>
    <definedName name="_xlnm.Print_Area" localSheetId="75">'491'!$A$1:$Z$134</definedName>
    <definedName name="_xlnm.Print_Area" localSheetId="89">'492'!$A$1:$Z$104</definedName>
    <definedName name="_xlnm.Print_Area" localSheetId="97">'501'!$A$1:$Z$77</definedName>
    <definedName name="_xlnm.Print_Area" localSheetId="98">Dept!$A$1:$Z$39</definedName>
    <definedName name="_xlnm.Print_Area" localSheetId="37">'Div 1'!$A$1:$Z$34</definedName>
    <definedName name="_xlnm.Print_Area" localSheetId="39">'Div 2'!$A$1:$Z$101</definedName>
    <definedName name="_xlnm.Print_Area" localSheetId="47">'Div 3'!$A$1:$Z$282</definedName>
    <definedName name="_xlnm.Print_Area" localSheetId="73">'Div 4'!$A$1:$Z$136</definedName>
    <definedName name="_xlnm.Print_Area" localSheetId="96">'Div 5'!$A$1:$Z$77</definedName>
    <definedName name="_xlnm.Print_Area" localSheetId="64">'Div 6'!$A$1:$Z$117</definedName>
    <definedName name="_xlnm.Print_Area" localSheetId="13">'OSR_300 &amp; 317_1C00ID4'!$A$1:$Z$39</definedName>
    <definedName name="_xlnm.Print_Area" localSheetId="10">'OSR_300 (2)_7...54cb56fc_UFX0O2'!$A$1:$Z$39</definedName>
    <definedName name="_xlnm.Print_Area" localSheetId="14">'OSR_300 (2)_c...79cd3046_1TJM0H'!$A$1:$Z$39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(2)_0...c51cc666_QIOT67'!$A$1:$Z$39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99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12">'OSR_Div 3 (2)...b7db256a_40ITCB'!$A$1:$Z$39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(2...09141158_1BG9FGV'!$A$1:$Z$39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100">'OSR_Summary (...56e5d78f_5JEYZH'!$A$1:$Z$39</definedName>
    <definedName name="_xlnm.Print_Area" localSheetId="3">OSR_Summary_18VAVWG!$A$1:$Z$39</definedName>
    <definedName name="_xlnm.Print_Area" localSheetId="2">Summary!$A$1:$Z$326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5">'308'!$A:$C,'308'!$1:$10</definedName>
    <definedName name="_xlnm.Print_Titles" localSheetId="67">'309'!$A:$C,'309'!$1:$10</definedName>
    <definedName name="_xlnm.Print_Titles" localSheetId="66">'310'!$A:$C,'310'!$1:$10</definedName>
    <definedName name="_xlnm.Print_Titles" localSheetId="74">'310 &amp; 491'!$A:$C,'310 &amp; 491'!$1:$10</definedName>
    <definedName name="_xlnm.Print_Titles" localSheetId="56">'311'!$A:$C,'311'!$1:$10</definedName>
    <definedName name="_xlnm.Print_Titles" localSheetId="68">'313'!$A:$C,'313'!$1:$10</definedName>
    <definedName name="_xlnm.Print_Titles" localSheetId="54">'314'!$A:$C,'314'!$1:$10</definedName>
    <definedName name="_xlnm.Print_Titles" localSheetId="59">'315'!$A:$C,'315'!$1:$10</definedName>
    <definedName name="_xlnm.Print_Titles" localSheetId="62">'316'!$A:$C,'316'!$1:$10</definedName>
    <definedName name="_xlnm.Print_Titles" localSheetId="65">'317'!$A:$C,'317'!$1:$10</definedName>
    <definedName name="_xlnm.Print_Titles" localSheetId="63">'320'!$A:$C,'320'!$1:$10</definedName>
    <definedName name="_xlnm.Print_Titles" localSheetId="69">'321'!$A:$C,'321'!$1:$10</definedName>
    <definedName name="_xlnm.Print_Titles" localSheetId="70">'322'!$A:$C,'322'!$1:$10</definedName>
    <definedName name="_xlnm.Print_Titles" localSheetId="57">'324'!$A:$C,'324'!$1:$10</definedName>
    <definedName name="_xlnm.Print_Titles" localSheetId="71">'325'!$A:$C,'325'!$1:$10</definedName>
    <definedName name="_xlnm.Print_Titles" localSheetId="60">'326'!$A:$C,'326'!$1:$10</definedName>
    <definedName name="_xlnm.Print_Titles" localSheetId="72">'327'!$A:$C,'327'!$1:$10</definedName>
    <definedName name="_xlnm.Print_Titles" localSheetId="52">'330'!$A:$C,'330'!$1:$10</definedName>
    <definedName name="_xlnm.Print_Titles" localSheetId="58">'331'!$A:$C,'331'!$1:$10</definedName>
    <definedName name="_xlnm.Print_Titles" localSheetId="61">'332'!$A:$C,'332'!$1:$10</definedName>
    <definedName name="_xlnm.Print_Titles" localSheetId="76">'405'!$A:$C,'405'!$1:$10</definedName>
    <definedName name="_xlnm.Print_Titles" localSheetId="77">'406'!$A:$C,'406'!$1:$10</definedName>
    <definedName name="_xlnm.Print_Titles" localSheetId="78">'411'!$A:$C,'411'!$1:$10</definedName>
    <definedName name="_xlnm.Print_Titles" localSheetId="79">'412'!$A:$C,'412'!$1:$10</definedName>
    <definedName name="_xlnm.Print_Titles" localSheetId="80">'413'!$A:$C,'413'!$1:$10</definedName>
    <definedName name="_xlnm.Print_Titles" localSheetId="81">'414'!$A:$C,'414'!$1:$10</definedName>
    <definedName name="_xlnm.Print_Titles" localSheetId="82">'415'!$A:$C,'415'!$1:$10</definedName>
    <definedName name="_xlnm.Print_Titles" localSheetId="83">'418'!$A:$C,'418'!$1:$10</definedName>
    <definedName name="_xlnm.Print_Titles" localSheetId="84">'420'!$A:$C,'420'!$1:$10</definedName>
    <definedName name="_xlnm.Print_Titles" localSheetId="85">'423'!$A:$C,'423'!$1:$10</definedName>
    <definedName name="_xlnm.Print_Titles" localSheetId="86">'424'!$A:$C,'424'!$1:$10</definedName>
    <definedName name="_xlnm.Print_Titles" localSheetId="87">'425'!$A:$C,'425'!$1:$10</definedName>
    <definedName name="_xlnm.Print_Titles" localSheetId="90">'430'!$A:$C,'430'!$1:$10</definedName>
    <definedName name="_xlnm.Print_Titles" localSheetId="91">'433'!$A:$C,'433'!$1:$10</definedName>
    <definedName name="_xlnm.Print_Titles" localSheetId="92">'435'!$A:$C,'435'!$1:$10</definedName>
    <definedName name="_xlnm.Print_Titles" localSheetId="93">'444'!$A:$C,'444'!$1:$10</definedName>
    <definedName name="_xlnm.Print_Titles" localSheetId="94">'445'!$A:$C,'445'!$1:$10</definedName>
    <definedName name="_xlnm.Print_Titles" localSheetId="95">'450'!$A:$C,'450'!$1:$10</definedName>
    <definedName name="_xlnm.Print_Titles" localSheetId="88">'455'!$A:$C,'455'!$1:$10</definedName>
    <definedName name="_xlnm.Print_Titles" localSheetId="75">'491'!$A:$C,'491'!$1:$10</definedName>
    <definedName name="_xlnm.Print_Titles" localSheetId="89">'492'!$A:$C,'492'!$1:$10</definedName>
    <definedName name="_xlnm.Print_Titles" localSheetId="97">'501'!$A:$C,'501'!$1:$10</definedName>
    <definedName name="_xlnm.Print_Titles" localSheetId="98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3">'Div 4'!$A:$C,'Div 4'!$1:$10</definedName>
    <definedName name="_xlnm.Print_Titles" localSheetId="96">'Div 5'!$A:$C,'Div 5'!$1:$10</definedName>
    <definedName name="_xlnm.Print_Titles" localSheetId="64">'Div 6'!$A:$C,'Div 6'!$1:$10</definedName>
    <definedName name="_xlnm.Print_Titles" localSheetId="13">'OSR_300 &amp; 317_1C00ID4'!$A:$C,'OSR_300 &amp; 317_1C00ID4'!$1:$10</definedName>
    <definedName name="_xlnm.Print_Titles" localSheetId="10">'OSR_300 (2)_7...54cb56fc_UFX0O2'!$A:$C,'OSR_300 (2)_7...54cb56fc_UFX0O2'!$1:$10</definedName>
    <definedName name="_xlnm.Print_Titles" localSheetId="14">'OSR_300 (2)_c...79cd3046_1TJM0H'!$A:$C,'OSR_300 (2)_c...79cd3046_1TJM0H'!$1:$10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(2)_0...c51cc666_QIOT67'!$A:$C,'OSR_491 (2)_0...c51cc666_QIOT67'!$1:$10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99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12">'OSR_Div 3 (2)...b7db256a_40ITCB'!$A:$C,'OSR_Div 3 (2)...b7db256a_40ITCB'!$1:$10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(2...09141158_1BG9FGV'!$A:$C,'OSR_Div 5 (2...09141158_1BG9FGV'!$1:$10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100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69" i="109" l="1"/>
  <c r="X69" i="109"/>
  <c r="N69" i="109"/>
  <c r="L69" i="109"/>
  <c r="T65" i="109"/>
  <c r="P65" i="109"/>
  <c r="X65" i="109" s="1"/>
  <c r="J65" i="109"/>
  <c r="H65" i="109"/>
  <c r="H64" i="109" s="1"/>
  <c r="D65" i="109"/>
  <c r="L65" i="109" s="1"/>
  <c r="B65" i="109"/>
  <c r="T64" i="109"/>
  <c r="Z64" i="109" s="1"/>
  <c r="P64" i="109"/>
  <c r="X64" i="109" s="1"/>
  <c r="D64" i="109"/>
  <c r="X62" i="109"/>
  <c r="Z62" i="109" s="1"/>
  <c r="L62" i="109"/>
  <c r="N62" i="109" s="1"/>
  <c r="B62" i="109"/>
  <c r="T61" i="109"/>
  <c r="Z61" i="109" s="1"/>
  <c r="P61" i="109"/>
  <c r="X61" i="109" s="1"/>
  <c r="H61" i="109"/>
  <c r="D61" i="109"/>
  <c r="L61" i="109" s="1"/>
  <c r="N61" i="109" s="1"/>
  <c r="B61" i="109"/>
  <c r="X60" i="109"/>
  <c r="Z60" i="109" s="1"/>
  <c r="N60" i="109"/>
  <c r="L60" i="109"/>
  <c r="B60" i="109"/>
  <c r="Z59" i="109"/>
  <c r="X59" i="109"/>
  <c r="N59" i="109"/>
  <c r="L59" i="109"/>
  <c r="B59" i="109"/>
  <c r="X58" i="109"/>
  <c r="Z58" i="109" s="1"/>
  <c r="N58" i="109"/>
  <c r="L58" i="109"/>
  <c r="B58" i="109"/>
  <c r="T57" i="109"/>
  <c r="P57" i="109"/>
  <c r="X57" i="109" s="1"/>
  <c r="N57" i="109"/>
  <c r="L57" i="109"/>
  <c r="H57" i="109"/>
  <c r="D57" i="109"/>
  <c r="B57" i="109"/>
  <c r="X56" i="109"/>
  <c r="Z56" i="109" s="1"/>
  <c r="N56" i="109"/>
  <c r="L56" i="109"/>
  <c r="B56" i="109"/>
  <c r="Z55" i="109"/>
  <c r="X55" i="109"/>
  <c r="T55" i="109"/>
  <c r="P55" i="109"/>
  <c r="H55" i="109"/>
  <c r="N55" i="109" s="1"/>
  <c r="D55" i="109"/>
  <c r="B55" i="109"/>
  <c r="Z54" i="109"/>
  <c r="X54" i="109"/>
  <c r="N54" i="109"/>
  <c r="L54" i="109"/>
  <c r="B54" i="109"/>
  <c r="Z53" i="109"/>
  <c r="X53" i="109"/>
  <c r="N53" i="109"/>
  <c r="L53" i="109"/>
  <c r="B53" i="109"/>
  <c r="X52" i="109"/>
  <c r="Z52" i="109" s="1"/>
  <c r="N52" i="109"/>
  <c r="L52" i="109"/>
  <c r="B52" i="109"/>
  <c r="T51" i="109"/>
  <c r="Z51" i="109" s="1"/>
  <c r="P51" i="109"/>
  <c r="X51" i="109" s="1"/>
  <c r="H51" i="109"/>
  <c r="D51" i="109"/>
  <c r="L51" i="109" s="1"/>
  <c r="B51" i="109"/>
  <c r="X50" i="109"/>
  <c r="Z50" i="109" s="1"/>
  <c r="N50" i="109"/>
  <c r="L50" i="109"/>
  <c r="B50" i="109"/>
  <c r="X49" i="109"/>
  <c r="Z49" i="109" s="1"/>
  <c r="T49" i="109"/>
  <c r="P49" i="109"/>
  <c r="N49" i="109"/>
  <c r="L49" i="109"/>
  <c r="H49" i="109"/>
  <c r="D49" i="109"/>
  <c r="B49" i="109"/>
  <c r="Z48" i="109"/>
  <c r="X48" i="109"/>
  <c r="L48" i="109"/>
  <c r="N48" i="109" s="1"/>
  <c r="B48" i="109"/>
  <c r="T47" i="109"/>
  <c r="P47" i="109"/>
  <c r="J47" i="109"/>
  <c r="H47" i="109"/>
  <c r="D47" i="109"/>
  <c r="L47" i="109" s="1"/>
  <c r="B47" i="109"/>
  <c r="Z46" i="109"/>
  <c r="X46" i="109"/>
  <c r="N46" i="109"/>
  <c r="L46" i="109"/>
  <c r="B46" i="109"/>
  <c r="T45" i="109"/>
  <c r="P45" i="109"/>
  <c r="X45" i="109" s="1"/>
  <c r="N45" i="109"/>
  <c r="H45" i="109"/>
  <c r="D45" i="109"/>
  <c r="L45" i="109" s="1"/>
  <c r="B45" i="109"/>
  <c r="Z44" i="109"/>
  <c r="X44" i="109"/>
  <c r="N44" i="109"/>
  <c r="L44" i="109"/>
  <c r="B44" i="109"/>
  <c r="Z43" i="109"/>
  <c r="X43" i="109"/>
  <c r="N43" i="109"/>
  <c r="L43" i="109"/>
  <c r="B43" i="109"/>
  <c r="T42" i="109"/>
  <c r="Z42" i="109" s="1"/>
  <c r="P42" i="109"/>
  <c r="N42" i="109"/>
  <c r="H42" i="109"/>
  <c r="D42" i="109"/>
  <c r="L42" i="109" s="1"/>
  <c r="B42" i="109"/>
  <c r="X41" i="109"/>
  <c r="Z41" i="109" s="1"/>
  <c r="N41" i="109"/>
  <c r="L41" i="109"/>
  <c r="B41" i="109"/>
  <c r="T40" i="109"/>
  <c r="P40" i="109"/>
  <c r="X40" i="109" s="1"/>
  <c r="Z40" i="109" s="1"/>
  <c r="N40" i="109"/>
  <c r="H40" i="109"/>
  <c r="D40" i="109"/>
  <c r="L40" i="109" s="1"/>
  <c r="B40" i="109"/>
  <c r="Z39" i="109"/>
  <c r="X39" i="109"/>
  <c r="N39" i="109"/>
  <c r="L39" i="109"/>
  <c r="B39" i="109"/>
  <c r="T38" i="109"/>
  <c r="P38" i="109"/>
  <c r="L38" i="109"/>
  <c r="N38" i="109" s="1"/>
  <c r="H38" i="109"/>
  <c r="D38" i="109"/>
  <c r="B38" i="109"/>
  <c r="X37" i="109"/>
  <c r="Z37" i="109" s="1"/>
  <c r="L37" i="109"/>
  <c r="N37" i="109" s="1"/>
  <c r="J37" i="109"/>
  <c r="B37" i="109"/>
  <c r="X36" i="109"/>
  <c r="T36" i="109"/>
  <c r="Z36" i="109" s="1"/>
  <c r="P36" i="109"/>
  <c r="H36" i="109"/>
  <c r="D36" i="109"/>
  <c r="L36" i="109" s="1"/>
  <c r="B36" i="109"/>
  <c r="Z35" i="109"/>
  <c r="X35" i="109"/>
  <c r="N35" i="109"/>
  <c r="L35" i="109"/>
  <c r="B35" i="109"/>
  <c r="Z34" i="109"/>
  <c r="X34" i="109"/>
  <c r="N34" i="109"/>
  <c r="L34" i="109"/>
  <c r="B34" i="109"/>
  <c r="X33" i="109"/>
  <c r="Z33" i="109" s="1"/>
  <c r="L33" i="109"/>
  <c r="N33" i="109" s="1"/>
  <c r="B33" i="109"/>
  <c r="X32" i="109"/>
  <c r="Z32" i="109" s="1"/>
  <c r="L32" i="109"/>
  <c r="N32" i="109" s="1"/>
  <c r="B32" i="109"/>
  <c r="Z31" i="109"/>
  <c r="X31" i="109"/>
  <c r="N31" i="109"/>
  <c r="L31" i="109"/>
  <c r="B31" i="109"/>
  <c r="T30" i="109"/>
  <c r="Z30" i="109" s="1"/>
  <c r="P30" i="109"/>
  <c r="X30" i="109" s="1"/>
  <c r="H30" i="109"/>
  <c r="D30" i="109"/>
  <c r="L30" i="109" s="1"/>
  <c r="N30" i="109" s="1"/>
  <c r="B30" i="109"/>
  <c r="X29" i="109"/>
  <c r="Z29" i="109" s="1"/>
  <c r="L29" i="109"/>
  <c r="N29" i="109" s="1"/>
  <c r="B29" i="109"/>
  <c r="X28" i="109"/>
  <c r="Z28" i="109" s="1"/>
  <c r="L28" i="109"/>
  <c r="N28" i="109" s="1"/>
  <c r="B28" i="109"/>
  <c r="Z27" i="109"/>
  <c r="X27" i="109"/>
  <c r="N27" i="109"/>
  <c r="L27" i="109"/>
  <c r="B27" i="109"/>
  <c r="Z26" i="109"/>
  <c r="X26" i="109"/>
  <c r="N26" i="109"/>
  <c r="L26" i="109"/>
  <c r="B26" i="109"/>
  <c r="X25" i="109"/>
  <c r="Z25" i="109" s="1"/>
  <c r="L25" i="109"/>
  <c r="N25" i="109" s="1"/>
  <c r="B25" i="109"/>
  <c r="X24" i="109"/>
  <c r="Z24" i="109" s="1"/>
  <c r="L24" i="109"/>
  <c r="N24" i="109" s="1"/>
  <c r="B24" i="109"/>
  <c r="Z23" i="109"/>
  <c r="X23" i="109"/>
  <c r="N23" i="109"/>
  <c r="L23" i="109"/>
  <c r="B23" i="109"/>
  <c r="X22" i="109"/>
  <c r="Z22" i="109" s="1"/>
  <c r="L22" i="109"/>
  <c r="N22" i="109" s="1"/>
  <c r="B22" i="109"/>
  <c r="X21" i="109"/>
  <c r="Z21" i="109" s="1"/>
  <c r="V21" i="109"/>
  <c r="L21" i="109"/>
  <c r="N21" i="109" s="1"/>
  <c r="B21" i="109"/>
  <c r="V20" i="109"/>
  <c r="T20" i="109"/>
  <c r="P20" i="109"/>
  <c r="X20" i="109" s="1"/>
  <c r="H20" i="109"/>
  <c r="D20" i="109"/>
  <c r="B20" i="109"/>
  <c r="Z19" i="109"/>
  <c r="X19" i="109"/>
  <c r="T19" i="109"/>
  <c r="P19" i="109"/>
  <c r="H19" i="109"/>
  <c r="D19" i="109"/>
  <c r="L19" i="109" s="1"/>
  <c r="Z15" i="109"/>
  <c r="T15" i="109"/>
  <c r="X15" i="109" s="1"/>
  <c r="P15" i="109"/>
  <c r="H15" i="109"/>
  <c r="N15" i="109" s="1"/>
  <c r="D15" i="109"/>
  <c r="T13" i="109"/>
  <c r="P13" i="109"/>
  <c r="H13" i="109"/>
  <c r="D13" i="109"/>
  <c r="D12" i="109" s="1"/>
  <c r="D17" i="109" s="1"/>
  <c r="B13" i="109"/>
  <c r="T12" i="109"/>
  <c r="V33" i="109" s="1"/>
  <c r="H12" i="109"/>
  <c r="J55" i="109" s="1"/>
  <c r="D6" i="109"/>
  <c r="D4" i="109"/>
  <c r="Z37" i="108"/>
  <c r="X37" i="108"/>
  <c r="V37" i="108"/>
  <c r="N37" i="108"/>
  <c r="L37" i="108"/>
  <c r="F35" i="108"/>
  <c r="T33" i="108"/>
  <c r="P33" i="108"/>
  <c r="X33" i="108" s="1"/>
  <c r="Z33" i="108" s="1"/>
  <c r="H33" i="108"/>
  <c r="L33" i="108" s="1"/>
  <c r="D33" i="108"/>
  <c r="B33" i="108"/>
  <c r="T32" i="108"/>
  <c r="P32" i="108"/>
  <c r="P31" i="108" s="1"/>
  <c r="X31" i="108" s="1"/>
  <c r="Z31" i="108" s="1"/>
  <c r="H32" i="108"/>
  <c r="D32" i="108"/>
  <c r="L32" i="108" s="1"/>
  <c r="B32" i="108"/>
  <c r="T31" i="108"/>
  <c r="D31" i="108"/>
  <c r="Z29" i="108"/>
  <c r="X29" i="108"/>
  <c r="V29" i="108"/>
  <c r="N29" i="108"/>
  <c r="L29" i="108"/>
  <c r="F29" i="108"/>
  <c r="B29" i="108"/>
  <c r="X28" i="108"/>
  <c r="Z28" i="108" s="1"/>
  <c r="N28" i="108"/>
  <c r="L28" i="108"/>
  <c r="F28" i="108"/>
  <c r="B28" i="108"/>
  <c r="X27" i="108"/>
  <c r="T27" i="108"/>
  <c r="Z27" i="108" s="1"/>
  <c r="P27" i="108"/>
  <c r="L27" i="108"/>
  <c r="J27" i="108"/>
  <c r="H27" i="108"/>
  <c r="F27" i="108"/>
  <c r="D27" i="108"/>
  <c r="B27" i="108"/>
  <c r="X26" i="108"/>
  <c r="Z26" i="108" s="1"/>
  <c r="N26" i="108"/>
  <c r="L26" i="108"/>
  <c r="J26" i="108"/>
  <c r="F26" i="108"/>
  <c r="B26" i="108"/>
  <c r="X25" i="108"/>
  <c r="Z25" i="108" s="1"/>
  <c r="N25" i="108"/>
  <c r="L25" i="108"/>
  <c r="F25" i="108"/>
  <c r="B25" i="108"/>
  <c r="Z24" i="108"/>
  <c r="X24" i="108"/>
  <c r="N24" i="108"/>
  <c r="L24" i="108"/>
  <c r="F24" i="108"/>
  <c r="B24" i="108"/>
  <c r="X23" i="108"/>
  <c r="Z23" i="108" s="1"/>
  <c r="N23" i="108"/>
  <c r="L23" i="108"/>
  <c r="F23" i="108"/>
  <c r="B23" i="108"/>
  <c r="X22" i="108"/>
  <c r="Z22" i="108" s="1"/>
  <c r="N22" i="108"/>
  <c r="L22" i="108"/>
  <c r="J22" i="108"/>
  <c r="F22" i="108"/>
  <c r="B22" i="108"/>
  <c r="X21" i="108"/>
  <c r="Z21" i="108" s="1"/>
  <c r="N21" i="108"/>
  <c r="L21" i="108"/>
  <c r="F21" i="108"/>
  <c r="B21" i="108"/>
  <c r="X20" i="108"/>
  <c r="Z20" i="108" s="1"/>
  <c r="N20" i="108"/>
  <c r="L20" i="108"/>
  <c r="F20" i="108"/>
  <c r="B20" i="108"/>
  <c r="T19" i="108"/>
  <c r="P19" i="108"/>
  <c r="X19" i="108" s="1"/>
  <c r="L19" i="108"/>
  <c r="H19" i="108"/>
  <c r="N19" i="108" s="1"/>
  <c r="F19" i="108"/>
  <c r="D19" i="108"/>
  <c r="B19" i="108"/>
  <c r="V18" i="108"/>
  <c r="T18" i="108"/>
  <c r="P18" i="108"/>
  <c r="H18" i="108"/>
  <c r="F18" i="108"/>
  <c r="D18" i="108"/>
  <c r="L18" i="108" s="1"/>
  <c r="V16" i="108"/>
  <c r="H16" i="108"/>
  <c r="N16" i="108" s="1"/>
  <c r="F16" i="108"/>
  <c r="T14" i="108"/>
  <c r="Z14" i="108" s="1"/>
  <c r="P14" i="108"/>
  <c r="H14" i="108"/>
  <c r="N14" i="108" s="1"/>
  <c r="F14" i="108"/>
  <c r="D14" i="108"/>
  <c r="L14" i="108" s="1"/>
  <c r="T12" i="108"/>
  <c r="P12" i="108"/>
  <c r="R19" i="108" s="1"/>
  <c r="H12" i="108"/>
  <c r="J37" i="108" s="1"/>
  <c r="D12" i="108"/>
  <c r="F39" i="108" s="1"/>
  <c r="D6" i="108"/>
  <c r="D4" i="108"/>
  <c r="X86" i="107"/>
  <c r="Z86" i="107" s="1"/>
  <c r="N86" i="107"/>
  <c r="L86" i="107"/>
  <c r="T82" i="107"/>
  <c r="Z82" i="107" s="1"/>
  <c r="P82" i="107"/>
  <c r="X82" i="107" s="1"/>
  <c r="H82" i="107"/>
  <c r="N82" i="107" s="1"/>
  <c r="D82" i="107"/>
  <c r="Z80" i="107"/>
  <c r="X80" i="107"/>
  <c r="N80" i="107"/>
  <c r="L80" i="107"/>
  <c r="B80" i="107"/>
  <c r="T79" i="107"/>
  <c r="P79" i="107"/>
  <c r="X79" i="107" s="1"/>
  <c r="Z79" i="107" s="1"/>
  <c r="N79" i="107"/>
  <c r="H79" i="107"/>
  <c r="D79" i="107"/>
  <c r="L79" i="107" s="1"/>
  <c r="B79" i="107"/>
  <c r="X78" i="107"/>
  <c r="Z78" i="107" s="1"/>
  <c r="V78" i="107"/>
  <c r="L78" i="107"/>
  <c r="N78" i="107" s="1"/>
  <c r="B78" i="107"/>
  <c r="T77" i="107"/>
  <c r="P77" i="107"/>
  <c r="X77" i="107" s="1"/>
  <c r="L77" i="107"/>
  <c r="H77" i="107"/>
  <c r="N77" i="107" s="1"/>
  <c r="D77" i="107"/>
  <c r="B77" i="107"/>
  <c r="Z76" i="107"/>
  <c r="X76" i="107"/>
  <c r="N76" i="107"/>
  <c r="L76" i="107"/>
  <c r="B76" i="107"/>
  <c r="T75" i="107"/>
  <c r="P75" i="107"/>
  <c r="L75" i="107"/>
  <c r="N75" i="107" s="1"/>
  <c r="H75" i="107"/>
  <c r="D75" i="107"/>
  <c r="B75" i="107"/>
  <c r="Z74" i="107"/>
  <c r="X74" i="107"/>
  <c r="N74" i="107"/>
  <c r="L74" i="107"/>
  <c r="B74" i="107"/>
  <c r="Z73" i="107"/>
  <c r="X73" i="107"/>
  <c r="N73" i="107"/>
  <c r="L73" i="107"/>
  <c r="B73" i="107"/>
  <c r="Z72" i="107"/>
  <c r="X72" i="107"/>
  <c r="L72" i="107"/>
  <c r="N72" i="107" s="1"/>
  <c r="B72" i="107"/>
  <c r="Z71" i="107"/>
  <c r="X71" i="107"/>
  <c r="L71" i="107"/>
  <c r="N71" i="107" s="1"/>
  <c r="B71" i="107"/>
  <c r="Z70" i="107"/>
  <c r="X70" i="107"/>
  <c r="L70" i="107"/>
  <c r="N70" i="107" s="1"/>
  <c r="B70" i="107"/>
  <c r="Z69" i="107"/>
  <c r="X69" i="107"/>
  <c r="L69" i="107"/>
  <c r="N69" i="107" s="1"/>
  <c r="B69" i="107"/>
  <c r="T68" i="107"/>
  <c r="P68" i="107"/>
  <c r="H68" i="107"/>
  <c r="D68" i="107"/>
  <c r="B68" i="107"/>
  <c r="X67" i="107"/>
  <c r="Z67" i="107" s="1"/>
  <c r="N67" i="107"/>
  <c r="L67" i="107"/>
  <c r="B67" i="107"/>
  <c r="X66" i="107"/>
  <c r="Z66" i="107" s="1"/>
  <c r="L66" i="107"/>
  <c r="N66" i="107" s="1"/>
  <c r="B66" i="107"/>
  <c r="X65" i="107"/>
  <c r="Z65" i="107" s="1"/>
  <c r="L65" i="107"/>
  <c r="N65" i="107" s="1"/>
  <c r="B65" i="107"/>
  <c r="T64" i="107"/>
  <c r="Z64" i="107" s="1"/>
  <c r="P64" i="107"/>
  <c r="X64" i="107" s="1"/>
  <c r="H64" i="107"/>
  <c r="D64" i="107"/>
  <c r="L64" i="107" s="1"/>
  <c r="N64" i="107" s="1"/>
  <c r="B64" i="107"/>
  <c r="Z63" i="107"/>
  <c r="X63" i="107"/>
  <c r="N63" i="107"/>
  <c r="L63" i="107"/>
  <c r="F63" i="107"/>
  <c r="B63" i="107"/>
  <c r="X62" i="107"/>
  <c r="Z62" i="107" s="1"/>
  <c r="N62" i="107"/>
  <c r="L62" i="107"/>
  <c r="F62" i="107"/>
  <c r="B62" i="107"/>
  <c r="X61" i="107"/>
  <c r="Z61" i="107" s="1"/>
  <c r="T61" i="107"/>
  <c r="P61" i="107"/>
  <c r="H61" i="107"/>
  <c r="F61" i="107"/>
  <c r="D61" i="107"/>
  <c r="B61" i="107"/>
  <c r="Z60" i="107"/>
  <c r="X60" i="107"/>
  <c r="L60" i="107"/>
  <c r="N60" i="107" s="1"/>
  <c r="B60" i="107"/>
  <c r="T59" i="107"/>
  <c r="P59" i="107"/>
  <c r="N59" i="107"/>
  <c r="H59" i="107"/>
  <c r="D59" i="107"/>
  <c r="L59" i="107" s="1"/>
  <c r="B59" i="107"/>
  <c r="X58" i="107"/>
  <c r="Z58" i="107" s="1"/>
  <c r="L58" i="107"/>
  <c r="N58" i="107" s="1"/>
  <c r="B58" i="107"/>
  <c r="X57" i="107"/>
  <c r="T57" i="107"/>
  <c r="P57" i="107"/>
  <c r="L57" i="107"/>
  <c r="H57" i="107"/>
  <c r="N57" i="107" s="1"/>
  <c r="D57" i="107"/>
  <c r="B57" i="107"/>
  <c r="X56" i="107"/>
  <c r="Z56" i="107" s="1"/>
  <c r="N56" i="107"/>
  <c r="L56" i="107"/>
  <c r="B56" i="107"/>
  <c r="T55" i="107"/>
  <c r="P55" i="107"/>
  <c r="N55" i="107"/>
  <c r="L55" i="107"/>
  <c r="H55" i="107"/>
  <c r="D55" i="107"/>
  <c r="B55" i="107"/>
  <c r="Z54" i="107"/>
  <c r="X54" i="107"/>
  <c r="N54" i="107"/>
  <c r="L54" i="107"/>
  <c r="B54" i="107"/>
  <c r="T53" i="107"/>
  <c r="P53" i="107"/>
  <c r="X53" i="107" s="1"/>
  <c r="Z53" i="107" s="1"/>
  <c r="N53" i="107"/>
  <c r="H53" i="107"/>
  <c r="D53" i="107"/>
  <c r="B53" i="107"/>
  <c r="X52" i="107"/>
  <c r="Z52" i="107" s="1"/>
  <c r="N52" i="107"/>
  <c r="L52" i="107"/>
  <c r="B52" i="107"/>
  <c r="X51" i="107"/>
  <c r="T51" i="107"/>
  <c r="Z51" i="107" s="1"/>
  <c r="P51" i="107"/>
  <c r="L51" i="107"/>
  <c r="H51" i="107"/>
  <c r="N51" i="107" s="1"/>
  <c r="D51" i="107"/>
  <c r="B51" i="107"/>
  <c r="X50" i="107"/>
  <c r="Z50" i="107" s="1"/>
  <c r="N50" i="107"/>
  <c r="L50" i="107"/>
  <c r="B50" i="107"/>
  <c r="X49" i="107"/>
  <c r="T49" i="107"/>
  <c r="P49" i="107"/>
  <c r="H49" i="107"/>
  <c r="D49" i="107"/>
  <c r="L49" i="107" s="1"/>
  <c r="B49" i="107"/>
  <c r="Z48" i="107"/>
  <c r="X48" i="107"/>
  <c r="N48" i="107"/>
  <c r="L48" i="107"/>
  <c r="B48" i="107"/>
  <c r="Z47" i="107"/>
  <c r="T47" i="107"/>
  <c r="P47" i="107"/>
  <c r="X47" i="107" s="1"/>
  <c r="N47" i="107"/>
  <c r="H47" i="107"/>
  <c r="D47" i="107"/>
  <c r="L47" i="107" s="1"/>
  <c r="B47" i="107"/>
  <c r="X46" i="107"/>
  <c r="Z46" i="107" s="1"/>
  <c r="L46" i="107"/>
  <c r="N46" i="107" s="1"/>
  <c r="B46" i="107"/>
  <c r="X45" i="107"/>
  <c r="T45" i="107"/>
  <c r="P45" i="107"/>
  <c r="L45" i="107"/>
  <c r="H45" i="107"/>
  <c r="N45" i="107" s="1"/>
  <c r="D45" i="107"/>
  <c r="B45" i="107"/>
  <c r="Z44" i="107"/>
  <c r="X44" i="107"/>
  <c r="N44" i="107"/>
  <c r="L44" i="107"/>
  <c r="B44" i="107"/>
  <c r="T43" i="107"/>
  <c r="P43" i="107"/>
  <c r="X43" i="107" s="1"/>
  <c r="N43" i="107"/>
  <c r="L43" i="107"/>
  <c r="H43" i="107"/>
  <c r="D43" i="107"/>
  <c r="B43" i="107"/>
  <c r="Z42" i="107"/>
  <c r="X42" i="107"/>
  <c r="L42" i="107"/>
  <c r="N42" i="107" s="1"/>
  <c r="B42" i="107"/>
  <c r="T41" i="107"/>
  <c r="P41" i="107"/>
  <c r="X41" i="107" s="1"/>
  <c r="Z41" i="107" s="1"/>
  <c r="H41" i="107"/>
  <c r="D41" i="107"/>
  <c r="B41" i="107"/>
  <c r="X40" i="107"/>
  <c r="Z40" i="107" s="1"/>
  <c r="L40" i="107"/>
  <c r="N40" i="107" s="1"/>
  <c r="F40" i="107"/>
  <c r="B40" i="107"/>
  <c r="X39" i="107"/>
  <c r="Z39" i="107" s="1"/>
  <c r="L39" i="107"/>
  <c r="N39" i="107" s="1"/>
  <c r="F39" i="107"/>
  <c r="B39" i="107"/>
  <c r="X38" i="107"/>
  <c r="Z38" i="107" s="1"/>
  <c r="N38" i="107"/>
  <c r="L38" i="107"/>
  <c r="B38" i="107"/>
  <c r="X37" i="107"/>
  <c r="Z37" i="107" s="1"/>
  <c r="N37" i="107"/>
  <c r="L37" i="107"/>
  <c r="B37" i="107"/>
  <c r="X36" i="107"/>
  <c r="Z36" i="107" s="1"/>
  <c r="N36" i="107"/>
  <c r="L36" i="107"/>
  <c r="B36" i="107"/>
  <c r="X35" i="107"/>
  <c r="Z35" i="107" s="1"/>
  <c r="V35" i="107"/>
  <c r="L35" i="107"/>
  <c r="N35" i="107" s="1"/>
  <c r="F35" i="107"/>
  <c r="B35" i="107"/>
  <c r="V34" i="107"/>
  <c r="T34" i="107"/>
  <c r="P34" i="107"/>
  <c r="X34" i="107" s="1"/>
  <c r="Z34" i="107" s="1"/>
  <c r="H34" i="107"/>
  <c r="D34" i="107"/>
  <c r="L34" i="107" s="1"/>
  <c r="N34" i="107" s="1"/>
  <c r="B34" i="107"/>
  <c r="X33" i="107"/>
  <c r="Z33" i="107" s="1"/>
  <c r="N33" i="107"/>
  <c r="L33" i="107"/>
  <c r="B33" i="107"/>
  <c r="Z32" i="107"/>
  <c r="X32" i="107"/>
  <c r="N32" i="107"/>
  <c r="L32" i="107"/>
  <c r="B32" i="107"/>
  <c r="X31" i="107"/>
  <c r="Z31" i="107" s="1"/>
  <c r="N31" i="107"/>
  <c r="L31" i="107"/>
  <c r="B31" i="107"/>
  <c r="X30" i="107"/>
  <c r="Z30" i="107" s="1"/>
  <c r="N30" i="107"/>
  <c r="L30" i="107"/>
  <c r="F30" i="107"/>
  <c r="B30" i="107"/>
  <c r="Z29" i="107"/>
  <c r="X29" i="107"/>
  <c r="N29" i="107"/>
  <c r="L29" i="107"/>
  <c r="B29" i="107"/>
  <c r="X28" i="107"/>
  <c r="Z28" i="107" s="1"/>
  <c r="N28" i="107"/>
  <c r="L28" i="107"/>
  <c r="F28" i="107"/>
  <c r="B28" i="107"/>
  <c r="X27" i="107"/>
  <c r="Z27" i="107" s="1"/>
  <c r="N27" i="107"/>
  <c r="L27" i="107"/>
  <c r="F27" i="107"/>
  <c r="B27" i="107"/>
  <c r="Z26" i="107"/>
  <c r="X26" i="107"/>
  <c r="N26" i="107"/>
  <c r="L26" i="107"/>
  <c r="B26" i="107"/>
  <c r="Z25" i="107"/>
  <c r="X25" i="107"/>
  <c r="N25" i="107"/>
  <c r="L25" i="107"/>
  <c r="B25" i="107"/>
  <c r="T24" i="107"/>
  <c r="P24" i="107"/>
  <c r="L24" i="107"/>
  <c r="N24" i="107" s="1"/>
  <c r="H24" i="107"/>
  <c r="D24" i="107"/>
  <c r="B24" i="107"/>
  <c r="T23" i="107"/>
  <c r="V23" i="107" s="1"/>
  <c r="P23" i="107"/>
  <c r="N23" i="107"/>
  <c r="H23" i="107"/>
  <c r="D23" i="107"/>
  <c r="L23" i="107" s="1"/>
  <c r="Z19" i="107"/>
  <c r="X19" i="107"/>
  <c r="L19" i="107"/>
  <c r="N19" i="107" s="1"/>
  <c r="B19" i="107"/>
  <c r="Z18" i="107"/>
  <c r="X18" i="107"/>
  <c r="V18" i="107"/>
  <c r="L18" i="107"/>
  <c r="N18" i="107" s="1"/>
  <c r="B18" i="107"/>
  <c r="T17" i="107"/>
  <c r="P17" i="107"/>
  <c r="X17" i="107" s="1"/>
  <c r="Z17" i="107" s="1"/>
  <c r="H17" i="107"/>
  <c r="D17" i="107"/>
  <c r="Z15" i="107"/>
  <c r="T15" i="107"/>
  <c r="P15" i="107"/>
  <c r="X15" i="107" s="1"/>
  <c r="H15" i="107"/>
  <c r="D15" i="107"/>
  <c r="D12" i="107" s="1"/>
  <c r="F44" i="107" s="1"/>
  <c r="B15" i="107"/>
  <c r="T14" i="107"/>
  <c r="P14" i="107"/>
  <c r="H14" i="107"/>
  <c r="D14" i="107"/>
  <c r="B14" i="107"/>
  <c r="Z13" i="107"/>
  <c r="T13" i="107"/>
  <c r="P13" i="107"/>
  <c r="X13" i="107" s="1"/>
  <c r="L13" i="107"/>
  <c r="H13" i="107"/>
  <c r="H12" i="107" s="1"/>
  <c r="D13" i="107"/>
  <c r="B13" i="107"/>
  <c r="T12" i="107"/>
  <c r="V65" i="107" s="1"/>
  <c r="D6" i="107"/>
  <c r="D4" i="107"/>
  <c r="R29" i="106"/>
  <c r="J29" i="106"/>
  <c r="F29" i="106"/>
  <c r="R26" i="106"/>
  <c r="J26" i="106"/>
  <c r="F26" i="106"/>
  <c r="D26" i="106"/>
  <c r="Z24" i="106"/>
  <c r="X24" i="106"/>
  <c r="N24" i="106"/>
  <c r="L24" i="106"/>
  <c r="F24" i="106"/>
  <c r="V22" i="106"/>
  <c r="J22" i="106"/>
  <c r="F22" i="106"/>
  <c r="D22" i="106"/>
  <c r="V20" i="106"/>
  <c r="T20" i="106"/>
  <c r="Z20" i="106" s="1"/>
  <c r="P20" i="106"/>
  <c r="J20" i="106"/>
  <c r="H20" i="106"/>
  <c r="N20" i="106" s="1"/>
  <c r="F20" i="106"/>
  <c r="D20" i="106"/>
  <c r="T18" i="106"/>
  <c r="Z18" i="106" s="1"/>
  <c r="P18" i="106"/>
  <c r="X18" i="106" s="1"/>
  <c r="J18" i="106"/>
  <c r="H18" i="106"/>
  <c r="N18" i="106" s="1"/>
  <c r="F18" i="106"/>
  <c r="D18" i="106"/>
  <c r="V16" i="106"/>
  <c r="J16" i="106"/>
  <c r="F16" i="106"/>
  <c r="D16" i="106"/>
  <c r="Z14" i="106"/>
  <c r="T14" i="106"/>
  <c r="T16" i="106" s="1"/>
  <c r="P14" i="106"/>
  <c r="X14" i="106" s="1"/>
  <c r="J14" i="106"/>
  <c r="H14" i="106"/>
  <c r="N14" i="106" s="1"/>
  <c r="F14" i="106"/>
  <c r="D14" i="106"/>
  <c r="T12" i="106"/>
  <c r="V18" i="106" s="1"/>
  <c r="P12" i="106"/>
  <c r="H12" i="106"/>
  <c r="N12" i="106" s="1"/>
  <c r="D12" i="106"/>
  <c r="D6" i="106"/>
  <c r="D4" i="106"/>
  <c r="X91" i="105"/>
  <c r="Z91" i="105" s="1"/>
  <c r="N91" i="105"/>
  <c r="L91" i="105"/>
  <c r="T87" i="105"/>
  <c r="Z87" i="105" s="1"/>
  <c r="P87" i="105"/>
  <c r="H87" i="105"/>
  <c r="N87" i="105" s="1"/>
  <c r="D87" i="105"/>
  <c r="L87" i="105" s="1"/>
  <c r="Z85" i="105"/>
  <c r="X85" i="105"/>
  <c r="N85" i="105"/>
  <c r="L85" i="105"/>
  <c r="B85" i="105"/>
  <c r="T84" i="105"/>
  <c r="P84" i="105"/>
  <c r="X84" i="105" s="1"/>
  <c r="Z84" i="105" s="1"/>
  <c r="N84" i="105"/>
  <c r="H84" i="105"/>
  <c r="D84" i="105"/>
  <c r="B84" i="105"/>
  <c r="X83" i="105"/>
  <c r="Z83" i="105" s="1"/>
  <c r="L83" i="105"/>
  <c r="N83" i="105" s="1"/>
  <c r="B83" i="105"/>
  <c r="X82" i="105"/>
  <c r="T82" i="105"/>
  <c r="P82" i="105"/>
  <c r="H82" i="105"/>
  <c r="D82" i="105"/>
  <c r="L82" i="105" s="1"/>
  <c r="B82" i="105"/>
  <c r="Z81" i="105"/>
  <c r="X81" i="105"/>
  <c r="N81" i="105"/>
  <c r="L81" i="105"/>
  <c r="B81" i="105"/>
  <c r="X80" i="105"/>
  <c r="T80" i="105"/>
  <c r="P80" i="105"/>
  <c r="H80" i="105"/>
  <c r="D80" i="105"/>
  <c r="B80" i="105"/>
  <c r="Z79" i="105"/>
  <c r="X79" i="105"/>
  <c r="N79" i="105"/>
  <c r="L79" i="105"/>
  <c r="B79" i="105"/>
  <c r="Z78" i="105"/>
  <c r="X78" i="105"/>
  <c r="N78" i="105"/>
  <c r="L78" i="105"/>
  <c r="B78" i="105"/>
  <c r="Z77" i="105"/>
  <c r="X77" i="105"/>
  <c r="V77" i="105"/>
  <c r="N77" i="105"/>
  <c r="L77" i="105"/>
  <c r="B77" i="105"/>
  <c r="Z76" i="105"/>
  <c r="X76" i="105"/>
  <c r="L76" i="105"/>
  <c r="N76" i="105" s="1"/>
  <c r="B76" i="105"/>
  <c r="Z75" i="105"/>
  <c r="X75" i="105"/>
  <c r="L75" i="105"/>
  <c r="N75" i="105" s="1"/>
  <c r="B75" i="105"/>
  <c r="Z74" i="105"/>
  <c r="X74" i="105"/>
  <c r="L74" i="105"/>
  <c r="N74" i="105" s="1"/>
  <c r="B74" i="105"/>
  <c r="Z73" i="105"/>
  <c r="X73" i="105"/>
  <c r="L73" i="105"/>
  <c r="N73" i="105" s="1"/>
  <c r="B73" i="105"/>
  <c r="Z72" i="105"/>
  <c r="X72" i="105"/>
  <c r="V72" i="105"/>
  <c r="N72" i="105"/>
  <c r="L72" i="105"/>
  <c r="B72" i="105"/>
  <c r="X71" i="105"/>
  <c r="Z71" i="105" s="1"/>
  <c r="L71" i="105"/>
  <c r="N71" i="105" s="1"/>
  <c r="B71" i="105"/>
  <c r="X70" i="105"/>
  <c r="T70" i="105"/>
  <c r="Z70" i="105" s="1"/>
  <c r="P70" i="105"/>
  <c r="H70" i="105"/>
  <c r="D70" i="105"/>
  <c r="B70" i="105"/>
  <c r="Z69" i="105"/>
  <c r="X69" i="105"/>
  <c r="N69" i="105"/>
  <c r="L69" i="105"/>
  <c r="B69" i="105"/>
  <c r="T68" i="105"/>
  <c r="Z68" i="105" s="1"/>
  <c r="P68" i="105"/>
  <c r="X68" i="105" s="1"/>
  <c r="N68" i="105"/>
  <c r="L68" i="105"/>
  <c r="H68" i="105"/>
  <c r="D68" i="105"/>
  <c r="B68" i="105"/>
  <c r="X67" i="105"/>
  <c r="Z67" i="105" s="1"/>
  <c r="N67" i="105"/>
  <c r="L67" i="105"/>
  <c r="B67" i="105"/>
  <c r="Z66" i="105"/>
  <c r="X66" i="105"/>
  <c r="L66" i="105"/>
  <c r="N66" i="105" s="1"/>
  <c r="B66" i="105"/>
  <c r="Z65" i="105"/>
  <c r="X65" i="105"/>
  <c r="N65" i="105"/>
  <c r="L65" i="105"/>
  <c r="B65" i="105"/>
  <c r="X64" i="105"/>
  <c r="Z64" i="105" s="1"/>
  <c r="V64" i="105"/>
  <c r="L64" i="105"/>
  <c r="N64" i="105" s="1"/>
  <c r="B64" i="105"/>
  <c r="T63" i="105"/>
  <c r="P63" i="105"/>
  <c r="X63" i="105" s="1"/>
  <c r="Z63" i="105" s="1"/>
  <c r="L63" i="105"/>
  <c r="H63" i="105"/>
  <c r="N63" i="105" s="1"/>
  <c r="D63" i="105"/>
  <c r="B63" i="105"/>
  <c r="X62" i="105"/>
  <c r="Z62" i="105" s="1"/>
  <c r="N62" i="105"/>
  <c r="L62" i="105"/>
  <c r="B62" i="105"/>
  <c r="Z61" i="105"/>
  <c r="X61" i="105"/>
  <c r="N61" i="105"/>
  <c r="L61" i="105"/>
  <c r="B61" i="105"/>
  <c r="X60" i="105"/>
  <c r="Z60" i="105" s="1"/>
  <c r="N60" i="105"/>
  <c r="L60" i="105"/>
  <c r="B60" i="105"/>
  <c r="X59" i="105"/>
  <c r="Z59" i="105" s="1"/>
  <c r="T59" i="105"/>
  <c r="P59" i="105"/>
  <c r="N59" i="105"/>
  <c r="L59" i="105"/>
  <c r="H59" i="105"/>
  <c r="D59" i="105"/>
  <c r="B59" i="105"/>
  <c r="Z58" i="105"/>
  <c r="X58" i="105"/>
  <c r="L58" i="105"/>
  <c r="N58" i="105" s="1"/>
  <c r="B58" i="105"/>
  <c r="T57" i="105"/>
  <c r="P57" i="105"/>
  <c r="X57" i="105" s="1"/>
  <c r="N57" i="105"/>
  <c r="L57" i="105"/>
  <c r="H57" i="105"/>
  <c r="D57" i="105"/>
  <c r="B57" i="105"/>
  <c r="X56" i="105"/>
  <c r="Z56" i="105" s="1"/>
  <c r="V56" i="105"/>
  <c r="L56" i="105"/>
  <c r="N56" i="105" s="1"/>
  <c r="B56" i="105"/>
  <c r="T55" i="105"/>
  <c r="P55" i="105"/>
  <c r="X55" i="105" s="1"/>
  <c r="Z55" i="105" s="1"/>
  <c r="L55" i="105"/>
  <c r="H55" i="105"/>
  <c r="N55" i="105" s="1"/>
  <c r="D55" i="105"/>
  <c r="B55" i="105"/>
  <c r="X54" i="105"/>
  <c r="Z54" i="105" s="1"/>
  <c r="N54" i="105"/>
  <c r="L54" i="105"/>
  <c r="B54" i="105"/>
  <c r="Z53" i="105"/>
  <c r="X53" i="105"/>
  <c r="T53" i="105"/>
  <c r="P53" i="105"/>
  <c r="N53" i="105"/>
  <c r="L53" i="105"/>
  <c r="H53" i="105"/>
  <c r="D53" i="105"/>
  <c r="B53" i="105"/>
  <c r="Z52" i="105"/>
  <c r="X52" i="105"/>
  <c r="N52" i="105"/>
  <c r="L52" i="105"/>
  <c r="B52" i="105"/>
  <c r="X51" i="105"/>
  <c r="Z51" i="105" s="1"/>
  <c r="T51" i="105"/>
  <c r="P51" i="105"/>
  <c r="H51" i="105"/>
  <c r="N51" i="105" s="1"/>
  <c r="D51" i="105"/>
  <c r="B51" i="105"/>
  <c r="X50" i="105"/>
  <c r="Z50" i="105" s="1"/>
  <c r="L50" i="105"/>
  <c r="N50" i="105" s="1"/>
  <c r="B50" i="105"/>
  <c r="X49" i="105"/>
  <c r="T49" i="105"/>
  <c r="Z49" i="105" s="1"/>
  <c r="P49" i="105"/>
  <c r="H49" i="105"/>
  <c r="D49" i="105"/>
  <c r="L49" i="105" s="1"/>
  <c r="N49" i="105" s="1"/>
  <c r="B49" i="105"/>
  <c r="Z48" i="105"/>
  <c r="X48" i="105"/>
  <c r="N48" i="105"/>
  <c r="L48" i="105"/>
  <c r="B48" i="105"/>
  <c r="Z47" i="105"/>
  <c r="X47" i="105"/>
  <c r="T47" i="105"/>
  <c r="P47" i="105"/>
  <c r="N47" i="105"/>
  <c r="L47" i="105"/>
  <c r="H47" i="105"/>
  <c r="D47" i="105"/>
  <c r="B47" i="105"/>
  <c r="Z46" i="105"/>
  <c r="X46" i="105"/>
  <c r="L46" i="105"/>
  <c r="N46" i="105" s="1"/>
  <c r="B46" i="105"/>
  <c r="V45" i="105"/>
  <c r="T45" i="105"/>
  <c r="P45" i="105"/>
  <c r="L45" i="105"/>
  <c r="N45" i="105" s="1"/>
  <c r="H45" i="105"/>
  <c r="D45" i="105"/>
  <c r="B45" i="105"/>
  <c r="X44" i="105"/>
  <c r="Z44" i="105" s="1"/>
  <c r="N44" i="105"/>
  <c r="L44" i="105"/>
  <c r="B44" i="105"/>
  <c r="T43" i="105"/>
  <c r="P43" i="105"/>
  <c r="X43" i="105" s="1"/>
  <c r="Z43" i="105" s="1"/>
  <c r="H43" i="105"/>
  <c r="L43" i="105" s="1"/>
  <c r="D43" i="105"/>
  <c r="B43" i="105"/>
  <c r="Z42" i="105"/>
  <c r="X42" i="105"/>
  <c r="N42" i="105"/>
  <c r="L42" i="105"/>
  <c r="B42" i="105"/>
  <c r="Z41" i="105"/>
  <c r="X41" i="105"/>
  <c r="T41" i="105"/>
  <c r="P41" i="105"/>
  <c r="N41" i="105"/>
  <c r="L41" i="105"/>
  <c r="H41" i="105"/>
  <c r="D41" i="105"/>
  <c r="B41" i="105"/>
  <c r="Z40" i="105"/>
  <c r="X40" i="105"/>
  <c r="L40" i="105"/>
  <c r="N40" i="105" s="1"/>
  <c r="J40" i="105"/>
  <c r="B40" i="105"/>
  <c r="X39" i="105"/>
  <c r="Z39" i="105" s="1"/>
  <c r="N39" i="105"/>
  <c r="L39" i="105"/>
  <c r="B39" i="105"/>
  <c r="Z38" i="105"/>
  <c r="X38" i="105"/>
  <c r="N38" i="105"/>
  <c r="L38" i="105"/>
  <c r="B38" i="105"/>
  <c r="X37" i="105"/>
  <c r="Z37" i="105" s="1"/>
  <c r="V37" i="105"/>
  <c r="L37" i="105"/>
  <c r="N37" i="105" s="1"/>
  <c r="B37" i="105"/>
  <c r="Z36" i="105"/>
  <c r="X36" i="105"/>
  <c r="L36" i="105"/>
  <c r="N36" i="105" s="1"/>
  <c r="B36" i="105"/>
  <c r="X35" i="105"/>
  <c r="Z35" i="105" s="1"/>
  <c r="N35" i="105"/>
  <c r="L35" i="105"/>
  <c r="B35" i="105"/>
  <c r="Z34" i="105"/>
  <c r="T34" i="105"/>
  <c r="P34" i="105"/>
  <c r="X34" i="105" s="1"/>
  <c r="H34" i="105"/>
  <c r="D34" i="105"/>
  <c r="L34" i="105" s="1"/>
  <c r="N34" i="105" s="1"/>
  <c r="B34" i="105"/>
  <c r="X33" i="105"/>
  <c r="Z33" i="105" s="1"/>
  <c r="N33" i="105"/>
  <c r="L33" i="105"/>
  <c r="B33" i="105"/>
  <c r="X32" i="105"/>
  <c r="Z32" i="105" s="1"/>
  <c r="V32" i="105"/>
  <c r="N32" i="105"/>
  <c r="L32" i="105"/>
  <c r="B32" i="105"/>
  <c r="Z31" i="105"/>
  <c r="X31" i="105"/>
  <c r="N31" i="105"/>
  <c r="L31" i="105"/>
  <c r="B31" i="105"/>
  <c r="Z30" i="105"/>
  <c r="X30" i="105"/>
  <c r="N30" i="105"/>
  <c r="L30" i="105"/>
  <c r="B30" i="105"/>
  <c r="X29" i="105"/>
  <c r="Z29" i="105" s="1"/>
  <c r="N29" i="105"/>
  <c r="L29" i="105"/>
  <c r="B29" i="105"/>
  <c r="X28" i="105"/>
  <c r="Z28" i="105" s="1"/>
  <c r="N28" i="105"/>
  <c r="L28" i="105"/>
  <c r="B28" i="105"/>
  <c r="Z27" i="105"/>
  <c r="X27" i="105"/>
  <c r="N27" i="105"/>
  <c r="L27" i="105"/>
  <c r="B27" i="105"/>
  <c r="Z26" i="105"/>
  <c r="X26" i="105"/>
  <c r="N26" i="105"/>
  <c r="L26" i="105"/>
  <c r="B26" i="105"/>
  <c r="X25" i="105"/>
  <c r="Z25" i="105" s="1"/>
  <c r="N25" i="105"/>
  <c r="L25" i="105"/>
  <c r="B25" i="105"/>
  <c r="X24" i="105"/>
  <c r="V24" i="105"/>
  <c r="T24" i="105"/>
  <c r="Z24" i="105" s="1"/>
  <c r="P24" i="105"/>
  <c r="N24" i="105"/>
  <c r="L24" i="105"/>
  <c r="H24" i="105"/>
  <c r="D24" i="105"/>
  <c r="B24" i="105"/>
  <c r="Z23" i="105"/>
  <c r="X23" i="105"/>
  <c r="T23" i="105"/>
  <c r="P23" i="105"/>
  <c r="N23" i="105"/>
  <c r="L23" i="105"/>
  <c r="H23" i="105"/>
  <c r="D23" i="105"/>
  <c r="X19" i="105"/>
  <c r="Z19" i="105" s="1"/>
  <c r="L19" i="105"/>
  <c r="N19" i="105" s="1"/>
  <c r="B19" i="105"/>
  <c r="Z18" i="105"/>
  <c r="X18" i="105"/>
  <c r="N18" i="105"/>
  <c r="L18" i="105"/>
  <c r="B18" i="105"/>
  <c r="Z17" i="105"/>
  <c r="X17" i="105"/>
  <c r="T17" i="105"/>
  <c r="P17" i="105"/>
  <c r="H17" i="105"/>
  <c r="D17" i="105"/>
  <c r="L17" i="105" s="1"/>
  <c r="Z15" i="105"/>
  <c r="X15" i="105"/>
  <c r="T15" i="105"/>
  <c r="P15" i="105"/>
  <c r="H15" i="105"/>
  <c r="D15" i="105"/>
  <c r="B15" i="105"/>
  <c r="T14" i="105"/>
  <c r="T12" i="105" s="1"/>
  <c r="V44" i="105" s="1"/>
  <c r="P14" i="105"/>
  <c r="H14" i="105"/>
  <c r="L14" i="105" s="1"/>
  <c r="N14" i="105" s="1"/>
  <c r="D14" i="105"/>
  <c r="B14" i="105"/>
  <c r="T13" i="105"/>
  <c r="P13" i="105"/>
  <c r="P12" i="105" s="1"/>
  <c r="L13" i="105"/>
  <c r="H13" i="105"/>
  <c r="D13" i="105"/>
  <c r="B13" i="105"/>
  <c r="H12" i="105"/>
  <c r="J36" i="105" s="1"/>
  <c r="D6" i="105"/>
  <c r="D4" i="105"/>
  <c r="F58" i="104"/>
  <c r="Z53" i="104"/>
  <c r="X53" i="104"/>
  <c r="L53" i="104"/>
  <c r="N53" i="104" s="1"/>
  <c r="F51" i="104"/>
  <c r="Z49" i="104"/>
  <c r="T49" i="104"/>
  <c r="X49" i="104" s="1"/>
  <c r="P49" i="104"/>
  <c r="H49" i="104"/>
  <c r="N49" i="104" s="1"/>
  <c r="D49" i="104"/>
  <c r="L49" i="104" s="1"/>
  <c r="Z47" i="104"/>
  <c r="X47" i="104"/>
  <c r="N47" i="104"/>
  <c r="L47" i="104"/>
  <c r="B47" i="104"/>
  <c r="T46" i="104"/>
  <c r="P46" i="104"/>
  <c r="X46" i="104" s="1"/>
  <c r="Z46" i="104" s="1"/>
  <c r="N46" i="104"/>
  <c r="L46" i="104"/>
  <c r="H46" i="104"/>
  <c r="D46" i="104"/>
  <c r="B46" i="104"/>
  <c r="Z45" i="104"/>
  <c r="X45" i="104"/>
  <c r="N45" i="104"/>
  <c r="L45" i="104"/>
  <c r="B45" i="104"/>
  <c r="X44" i="104"/>
  <c r="Z44" i="104" s="1"/>
  <c r="N44" i="104"/>
  <c r="L44" i="104"/>
  <c r="B44" i="104"/>
  <c r="Z43" i="104"/>
  <c r="X43" i="104"/>
  <c r="N43" i="104"/>
  <c r="L43" i="104"/>
  <c r="B43" i="104"/>
  <c r="X42" i="104"/>
  <c r="Z42" i="104" s="1"/>
  <c r="T42" i="104"/>
  <c r="P42" i="104"/>
  <c r="H42" i="104"/>
  <c r="N42" i="104" s="1"/>
  <c r="D42" i="104"/>
  <c r="L42" i="104" s="1"/>
  <c r="B42" i="104"/>
  <c r="Z41" i="104"/>
  <c r="X41" i="104"/>
  <c r="N41" i="104"/>
  <c r="L41" i="104"/>
  <c r="B41" i="104"/>
  <c r="T40" i="104"/>
  <c r="P40" i="104"/>
  <c r="H40" i="104"/>
  <c r="N40" i="104" s="1"/>
  <c r="F40" i="104"/>
  <c r="D40" i="104"/>
  <c r="L40" i="104" s="1"/>
  <c r="B40" i="104"/>
  <c r="Z39" i="104"/>
  <c r="X39" i="104"/>
  <c r="N39" i="104"/>
  <c r="L39" i="104"/>
  <c r="B39" i="104"/>
  <c r="T38" i="104"/>
  <c r="P38" i="104"/>
  <c r="N38" i="104"/>
  <c r="H38" i="104"/>
  <c r="D38" i="104"/>
  <c r="L38" i="104" s="1"/>
  <c r="B38" i="104"/>
  <c r="Z37" i="104"/>
  <c r="X37" i="104"/>
  <c r="N37" i="104"/>
  <c r="L37" i="104"/>
  <c r="B37" i="104"/>
  <c r="T36" i="104"/>
  <c r="P36" i="104"/>
  <c r="N36" i="104"/>
  <c r="L36" i="104"/>
  <c r="H36" i="104"/>
  <c r="D36" i="104"/>
  <c r="B36" i="104"/>
  <c r="X35" i="104"/>
  <c r="Z35" i="104" s="1"/>
  <c r="N35" i="104"/>
  <c r="L35" i="104"/>
  <c r="B35" i="104"/>
  <c r="T34" i="104"/>
  <c r="P34" i="104"/>
  <c r="X34" i="104" s="1"/>
  <c r="H34" i="104"/>
  <c r="N34" i="104" s="1"/>
  <c r="D34" i="104"/>
  <c r="B34" i="104"/>
  <c r="Z33" i="104"/>
  <c r="X33" i="104"/>
  <c r="N33" i="104"/>
  <c r="L33" i="104"/>
  <c r="F33" i="104"/>
  <c r="B33" i="104"/>
  <c r="Z32" i="104"/>
  <c r="X32" i="104"/>
  <c r="T32" i="104"/>
  <c r="P32" i="104"/>
  <c r="N32" i="104"/>
  <c r="H32" i="104"/>
  <c r="D32" i="104"/>
  <c r="L32" i="104" s="1"/>
  <c r="B32" i="104"/>
  <c r="Z31" i="104"/>
  <c r="X31" i="104"/>
  <c r="N31" i="104"/>
  <c r="L31" i="104"/>
  <c r="B31" i="104"/>
  <c r="Z30" i="104"/>
  <c r="X30" i="104"/>
  <c r="N30" i="104"/>
  <c r="L30" i="104"/>
  <c r="B30" i="104"/>
  <c r="Z29" i="104"/>
  <c r="X29" i="104"/>
  <c r="N29" i="104"/>
  <c r="L29" i="104"/>
  <c r="B29" i="104"/>
  <c r="T28" i="104"/>
  <c r="P28" i="104"/>
  <c r="N28" i="104"/>
  <c r="L28" i="104"/>
  <c r="H28" i="104"/>
  <c r="D28" i="104"/>
  <c r="B28" i="104"/>
  <c r="X27" i="104"/>
  <c r="Z27" i="104" s="1"/>
  <c r="N27" i="104"/>
  <c r="L27" i="104"/>
  <c r="B27" i="104"/>
  <c r="X26" i="104"/>
  <c r="Z26" i="104" s="1"/>
  <c r="N26" i="104"/>
  <c r="L26" i="104"/>
  <c r="B26" i="104"/>
  <c r="X25" i="104"/>
  <c r="Z25" i="104" s="1"/>
  <c r="N25" i="104"/>
  <c r="L25" i="104"/>
  <c r="B25" i="104"/>
  <c r="T24" i="104"/>
  <c r="P24" i="104"/>
  <c r="X24" i="104" s="1"/>
  <c r="H24" i="104"/>
  <c r="N24" i="104" s="1"/>
  <c r="F24" i="104"/>
  <c r="D24" i="104"/>
  <c r="L24" i="104" s="1"/>
  <c r="B24" i="104"/>
  <c r="T23" i="104"/>
  <c r="P23" i="104"/>
  <c r="H23" i="104"/>
  <c r="F23" i="104"/>
  <c r="D23" i="104"/>
  <c r="X19" i="104"/>
  <c r="Z19" i="104" s="1"/>
  <c r="N19" i="104"/>
  <c r="L19" i="104"/>
  <c r="B19" i="104"/>
  <c r="Z18" i="104"/>
  <c r="X18" i="104"/>
  <c r="N18" i="104"/>
  <c r="L18" i="104"/>
  <c r="F18" i="104"/>
  <c r="B18" i="104"/>
  <c r="T17" i="104"/>
  <c r="P17" i="104"/>
  <c r="H17" i="104"/>
  <c r="N17" i="104" s="1"/>
  <c r="F17" i="104"/>
  <c r="D17" i="104"/>
  <c r="T15" i="104"/>
  <c r="P15" i="104"/>
  <c r="X15" i="104" s="1"/>
  <c r="Z15" i="104" s="1"/>
  <c r="H15" i="104"/>
  <c r="N15" i="104" s="1"/>
  <c r="D15" i="104"/>
  <c r="B15" i="104"/>
  <c r="T14" i="104"/>
  <c r="P14" i="104"/>
  <c r="L14" i="104"/>
  <c r="H14" i="104"/>
  <c r="N14" i="104" s="1"/>
  <c r="D14" i="104"/>
  <c r="B14" i="104"/>
  <c r="X13" i="104"/>
  <c r="Z13" i="104" s="1"/>
  <c r="T13" i="104"/>
  <c r="P13" i="104"/>
  <c r="H13" i="104"/>
  <c r="D13" i="104"/>
  <c r="B13" i="104"/>
  <c r="D12" i="104"/>
  <c r="F21" i="104" s="1"/>
  <c r="D6" i="104"/>
  <c r="D4" i="104"/>
  <c r="X87" i="103"/>
  <c r="Z87" i="103" s="1"/>
  <c r="N87" i="103"/>
  <c r="L87" i="103"/>
  <c r="Z83" i="103"/>
  <c r="X83" i="103"/>
  <c r="T83" i="103"/>
  <c r="P83" i="103"/>
  <c r="H83" i="103"/>
  <c r="N83" i="103" s="1"/>
  <c r="D83" i="103"/>
  <c r="L83" i="103" s="1"/>
  <c r="X81" i="103"/>
  <c r="Z81" i="103" s="1"/>
  <c r="N81" i="103"/>
  <c r="L81" i="103"/>
  <c r="B81" i="103"/>
  <c r="Z80" i="103"/>
  <c r="X80" i="103"/>
  <c r="T80" i="103"/>
  <c r="P80" i="103"/>
  <c r="N80" i="103"/>
  <c r="H80" i="103"/>
  <c r="D80" i="103"/>
  <c r="L80" i="103" s="1"/>
  <c r="B80" i="103"/>
  <c r="Z79" i="103"/>
  <c r="X79" i="103"/>
  <c r="N79" i="103"/>
  <c r="L79" i="103"/>
  <c r="B79" i="103"/>
  <c r="T78" i="103"/>
  <c r="P78" i="103"/>
  <c r="H78" i="103"/>
  <c r="D78" i="103"/>
  <c r="L78" i="103" s="1"/>
  <c r="N78" i="103" s="1"/>
  <c r="B78" i="103"/>
  <c r="Z77" i="103"/>
  <c r="X77" i="103"/>
  <c r="N77" i="103"/>
  <c r="L77" i="103"/>
  <c r="B77" i="103"/>
  <c r="T76" i="103"/>
  <c r="P76" i="103"/>
  <c r="X76" i="103" s="1"/>
  <c r="Z76" i="103" s="1"/>
  <c r="N76" i="103"/>
  <c r="L76" i="103"/>
  <c r="H76" i="103"/>
  <c r="D76" i="103"/>
  <c r="B76" i="103"/>
  <c r="X75" i="103"/>
  <c r="Z75" i="103" s="1"/>
  <c r="N75" i="103"/>
  <c r="L75" i="103"/>
  <c r="B75" i="103"/>
  <c r="Z74" i="103"/>
  <c r="X74" i="103"/>
  <c r="N74" i="103"/>
  <c r="L74" i="103"/>
  <c r="B74" i="103"/>
  <c r="Z73" i="103"/>
  <c r="X73" i="103"/>
  <c r="N73" i="103"/>
  <c r="L73" i="103"/>
  <c r="B73" i="103"/>
  <c r="X72" i="103"/>
  <c r="Z72" i="103" s="1"/>
  <c r="N72" i="103"/>
  <c r="L72" i="103"/>
  <c r="B72" i="103"/>
  <c r="Z71" i="103"/>
  <c r="X71" i="103"/>
  <c r="L71" i="103"/>
  <c r="N71" i="103" s="1"/>
  <c r="B71" i="103"/>
  <c r="X70" i="103"/>
  <c r="Z70" i="103" s="1"/>
  <c r="L70" i="103"/>
  <c r="N70" i="103" s="1"/>
  <c r="B70" i="103"/>
  <c r="Z69" i="103"/>
  <c r="X69" i="103"/>
  <c r="N69" i="103"/>
  <c r="L69" i="103"/>
  <c r="B69" i="103"/>
  <c r="Z68" i="103"/>
  <c r="X68" i="103"/>
  <c r="N68" i="103"/>
  <c r="L68" i="103"/>
  <c r="B68" i="103"/>
  <c r="T67" i="103"/>
  <c r="P67" i="103"/>
  <c r="X67" i="103" s="1"/>
  <c r="Z67" i="103" s="1"/>
  <c r="N67" i="103"/>
  <c r="L67" i="103"/>
  <c r="H67" i="103"/>
  <c r="D67" i="103"/>
  <c r="B67" i="103"/>
  <c r="X66" i="103"/>
  <c r="Z66" i="103" s="1"/>
  <c r="L66" i="103"/>
  <c r="N66" i="103" s="1"/>
  <c r="B66" i="103"/>
  <c r="Z65" i="103"/>
  <c r="X65" i="103"/>
  <c r="L65" i="103"/>
  <c r="N65" i="103" s="1"/>
  <c r="B65" i="103"/>
  <c r="Z64" i="103"/>
  <c r="X64" i="103"/>
  <c r="L64" i="103"/>
  <c r="N64" i="103" s="1"/>
  <c r="B64" i="103"/>
  <c r="X63" i="103"/>
  <c r="T63" i="103"/>
  <c r="P63" i="103"/>
  <c r="H63" i="103"/>
  <c r="D63" i="103"/>
  <c r="L63" i="103" s="1"/>
  <c r="N63" i="103" s="1"/>
  <c r="B63" i="103"/>
  <c r="Z62" i="103"/>
  <c r="X62" i="103"/>
  <c r="N62" i="103"/>
  <c r="L62" i="103"/>
  <c r="B62" i="103"/>
  <c r="X61" i="103"/>
  <c r="Z61" i="103" s="1"/>
  <c r="N61" i="103"/>
  <c r="L61" i="103"/>
  <c r="B61" i="103"/>
  <c r="X60" i="103"/>
  <c r="Z60" i="103" s="1"/>
  <c r="N60" i="103"/>
  <c r="L60" i="103"/>
  <c r="B60" i="103"/>
  <c r="T59" i="103"/>
  <c r="P59" i="103"/>
  <c r="X59" i="103" s="1"/>
  <c r="H59" i="103"/>
  <c r="N59" i="103" s="1"/>
  <c r="D59" i="103"/>
  <c r="B59" i="103"/>
  <c r="X58" i="103"/>
  <c r="Z58" i="103" s="1"/>
  <c r="L58" i="103"/>
  <c r="N58" i="103" s="1"/>
  <c r="B58" i="103"/>
  <c r="Z57" i="103"/>
  <c r="X57" i="103"/>
  <c r="T57" i="103"/>
  <c r="P57" i="103"/>
  <c r="H57" i="103"/>
  <c r="D57" i="103"/>
  <c r="L57" i="103" s="1"/>
  <c r="N57" i="103" s="1"/>
  <c r="B57" i="103"/>
  <c r="Z56" i="103"/>
  <c r="X56" i="103"/>
  <c r="N56" i="103"/>
  <c r="L56" i="103"/>
  <c r="B56" i="103"/>
  <c r="X55" i="103"/>
  <c r="T55" i="103"/>
  <c r="Z55" i="103" s="1"/>
  <c r="P55" i="103"/>
  <c r="N55" i="103"/>
  <c r="H55" i="103"/>
  <c r="D55" i="103"/>
  <c r="L55" i="103" s="1"/>
  <c r="B55" i="103"/>
  <c r="Z54" i="103"/>
  <c r="X54" i="103"/>
  <c r="L54" i="103"/>
  <c r="N54" i="103" s="1"/>
  <c r="F54" i="103"/>
  <c r="B54" i="103"/>
  <c r="T53" i="103"/>
  <c r="P53" i="103"/>
  <c r="H53" i="103"/>
  <c r="N53" i="103" s="1"/>
  <c r="F53" i="103"/>
  <c r="D53" i="103"/>
  <c r="L53" i="103" s="1"/>
  <c r="B53" i="103"/>
  <c r="Z52" i="103"/>
  <c r="X52" i="103"/>
  <c r="N52" i="103"/>
  <c r="L52" i="103"/>
  <c r="B52" i="103"/>
  <c r="T51" i="103"/>
  <c r="P51" i="103"/>
  <c r="X51" i="103" s="1"/>
  <c r="Z51" i="103" s="1"/>
  <c r="N51" i="103"/>
  <c r="L51" i="103"/>
  <c r="H51" i="103"/>
  <c r="D51" i="103"/>
  <c r="B51" i="103"/>
  <c r="X50" i="103"/>
  <c r="Z50" i="103" s="1"/>
  <c r="L50" i="103"/>
  <c r="N50" i="103" s="1"/>
  <c r="B50" i="103"/>
  <c r="T49" i="103"/>
  <c r="P49" i="103"/>
  <c r="X49" i="103" s="1"/>
  <c r="Z49" i="103" s="1"/>
  <c r="L49" i="103"/>
  <c r="H49" i="103"/>
  <c r="D49" i="103"/>
  <c r="B49" i="103"/>
  <c r="Z48" i="103"/>
  <c r="X48" i="103"/>
  <c r="N48" i="103"/>
  <c r="L48" i="103"/>
  <c r="F48" i="103"/>
  <c r="B48" i="103"/>
  <c r="T47" i="103"/>
  <c r="Z47" i="103" s="1"/>
  <c r="P47" i="103"/>
  <c r="X47" i="103" s="1"/>
  <c r="H47" i="103"/>
  <c r="N47" i="103" s="1"/>
  <c r="D47" i="103"/>
  <c r="L47" i="103" s="1"/>
  <c r="B47" i="103"/>
  <c r="X46" i="103"/>
  <c r="Z46" i="103" s="1"/>
  <c r="L46" i="103"/>
  <c r="N46" i="103" s="1"/>
  <c r="B46" i="103"/>
  <c r="Z45" i="103"/>
  <c r="X45" i="103"/>
  <c r="T45" i="103"/>
  <c r="P45" i="103"/>
  <c r="H45" i="103"/>
  <c r="D45" i="103"/>
  <c r="L45" i="103" s="1"/>
  <c r="N45" i="103" s="1"/>
  <c r="B45" i="103"/>
  <c r="Z44" i="103"/>
  <c r="X44" i="103"/>
  <c r="L44" i="103"/>
  <c r="N44" i="103" s="1"/>
  <c r="B44" i="103"/>
  <c r="X43" i="103"/>
  <c r="T43" i="103"/>
  <c r="P43" i="103"/>
  <c r="H43" i="103"/>
  <c r="D43" i="103"/>
  <c r="L43" i="103" s="1"/>
  <c r="N43" i="103" s="1"/>
  <c r="B43" i="103"/>
  <c r="X42" i="103"/>
  <c r="Z42" i="103" s="1"/>
  <c r="L42" i="103"/>
  <c r="N42" i="103" s="1"/>
  <c r="F42" i="103"/>
  <c r="B42" i="103"/>
  <c r="T41" i="103"/>
  <c r="P41" i="103"/>
  <c r="H41" i="103"/>
  <c r="D41" i="103"/>
  <c r="L41" i="103" s="1"/>
  <c r="B41" i="103"/>
  <c r="Z40" i="103"/>
  <c r="X40" i="103"/>
  <c r="N40" i="103"/>
  <c r="L40" i="103"/>
  <c r="B40" i="103"/>
  <c r="Z39" i="103"/>
  <c r="X39" i="103"/>
  <c r="L39" i="103"/>
  <c r="N39" i="103" s="1"/>
  <c r="B39" i="103"/>
  <c r="X38" i="103"/>
  <c r="Z38" i="103" s="1"/>
  <c r="N38" i="103"/>
  <c r="L38" i="103"/>
  <c r="B38" i="103"/>
  <c r="Z37" i="103"/>
  <c r="X37" i="103"/>
  <c r="N37" i="103"/>
  <c r="L37" i="103"/>
  <c r="B37" i="103"/>
  <c r="Z36" i="103"/>
  <c r="X36" i="103"/>
  <c r="N36" i="103"/>
  <c r="L36" i="103"/>
  <c r="F36" i="103"/>
  <c r="B36" i="103"/>
  <c r="Z35" i="103"/>
  <c r="X35" i="103"/>
  <c r="L35" i="103"/>
  <c r="N35" i="103" s="1"/>
  <c r="B35" i="103"/>
  <c r="T34" i="103"/>
  <c r="P34" i="103"/>
  <c r="H34" i="103"/>
  <c r="D34" i="103"/>
  <c r="B34" i="103"/>
  <c r="Z33" i="103"/>
  <c r="X33" i="103"/>
  <c r="L33" i="103"/>
  <c r="N33" i="103" s="1"/>
  <c r="B33" i="103"/>
  <c r="Z32" i="103"/>
  <c r="X32" i="103"/>
  <c r="L32" i="103"/>
  <c r="N32" i="103" s="1"/>
  <c r="B32" i="103"/>
  <c r="X31" i="103"/>
  <c r="Z31" i="103" s="1"/>
  <c r="N31" i="103"/>
  <c r="L31" i="103"/>
  <c r="B31" i="103"/>
  <c r="X30" i="103"/>
  <c r="Z30" i="103" s="1"/>
  <c r="N30" i="103"/>
  <c r="L30" i="103"/>
  <c r="B30" i="103"/>
  <c r="Z29" i="103"/>
  <c r="X29" i="103"/>
  <c r="L29" i="103"/>
  <c r="N29" i="103" s="1"/>
  <c r="B29" i="103"/>
  <c r="Z28" i="103"/>
  <c r="X28" i="103"/>
  <c r="L28" i="103"/>
  <c r="N28" i="103" s="1"/>
  <c r="B28" i="103"/>
  <c r="X27" i="103"/>
  <c r="Z27" i="103" s="1"/>
  <c r="N27" i="103"/>
  <c r="L27" i="103"/>
  <c r="B27" i="103"/>
  <c r="X26" i="103"/>
  <c r="Z26" i="103" s="1"/>
  <c r="N26" i="103"/>
  <c r="L26" i="103"/>
  <c r="B26" i="103"/>
  <c r="Z25" i="103"/>
  <c r="X25" i="103"/>
  <c r="L25" i="103"/>
  <c r="N25" i="103" s="1"/>
  <c r="F25" i="103"/>
  <c r="B25" i="103"/>
  <c r="T24" i="103"/>
  <c r="P24" i="103"/>
  <c r="H24" i="103"/>
  <c r="N24" i="103" s="1"/>
  <c r="F24" i="103"/>
  <c r="D24" i="103"/>
  <c r="L24" i="103" s="1"/>
  <c r="B24" i="103"/>
  <c r="T23" i="103"/>
  <c r="P23" i="103"/>
  <c r="X23" i="103" s="1"/>
  <c r="H23" i="103"/>
  <c r="F23" i="103"/>
  <c r="D23" i="103"/>
  <c r="D21" i="103"/>
  <c r="Z19" i="103"/>
  <c r="X19" i="103"/>
  <c r="N19" i="103"/>
  <c r="L19" i="103"/>
  <c r="B19" i="103"/>
  <c r="X18" i="103"/>
  <c r="Z18" i="103" s="1"/>
  <c r="L18" i="103"/>
  <c r="N18" i="103" s="1"/>
  <c r="B18" i="103"/>
  <c r="T17" i="103"/>
  <c r="P17" i="103"/>
  <c r="H17" i="103"/>
  <c r="D17" i="103"/>
  <c r="L17" i="103" s="1"/>
  <c r="T15" i="103"/>
  <c r="P15" i="103"/>
  <c r="X15" i="103" s="1"/>
  <c r="N15" i="103"/>
  <c r="L15" i="103"/>
  <c r="H15" i="103"/>
  <c r="D15" i="103"/>
  <c r="B15" i="103"/>
  <c r="X14" i="103"/>
  <c r="Z14" i="103" s="1"/>
  <c r="T14" i="103"/>
  <c r="P14" i="103"/>
  <c r="H14" i="103"/>
  <c r="H12" i="103" s="1"/>
  <c r="J34" i="103" s="1"/>
  <c r="D14" i="103"/>
  <c r="B14" i="103"/>
  <c r="T13" i="103"/>
  <c r="P13" i="103"/>
  <c r="N13" i="103"/>
  <c r="H13" i="103"/>
  <c r="D13" i="103"/>
  <c r="L13" i="103" s="1"/>
  <c r="B13" i="103"/>
  <c r="D12" i="103"/>
  <c r="F18" i="103" s="1"/>
  <c r="D6" i="103"/>
  <c r="D4" i="103"/>
  <c r="V53" i="102"/>
  <c r="R53" i="102"/>
  <c r="J53" i="102"/>
  <c r="V50" i="102"/>
  <c r="Z48" i="102"/>
  <c r="X48" i="102"/>
  <c r="V48" i="102"/>
  <c r="N48" i="102"/>
  <c r="L48" i="102"/>
  <c r="Z44" i="102"/>
  <c r="X44" i="102"/>
  <c r="T44" i="102"/>
  <c r="P44" i="102"/>
  <c r="N44" i="102"/>
  <c r="J44" i="102"/>
  <c r="H44" i="102"/>
  <c r="D44" i="102"/>
  <c r="L44" i="102" s="1"/>
  <c r="Z42" i="102"/>
  <c r="X42" i="102"/>
  <c r="N42" i="102"/>
  <c r="L42" i="102"/>
  <c r="J42" i="102"/>
  <c r="B42" i="102"/>
  <c r="V41" i="102"/>
  <c r="T41" i="102"/>
  <c r="P41" i="102"/>
  <c r="H41" i="102"/>
  <c r="N41" i="102" s="1"/>
  <c r="D41" i="102"/>
  <c r="B41" i="102"/>
  <c r="X40" i="102"/>
  <c r="Z40" i="102" s="1"/>
  <c r="V40" i="102"/>
  <c r="N40" i="102"/>
  <c r="L40" i="102"/>
  <c r="B40" i="102"/>
  <c r="Z39" i="102"/>
  <c r="X39" i="102"/>
  <c r="T39" i="102"/>
  <c r="P39" i="102"/>
  <c r="N39" i="102"/>
  <c r="H39" i="102"/>
  <c r="D39" i="102"/>
  <c r="L39" i="102" s="1"/>
  <c r="B39" i="102"/>
  <c r="Z38" i="102"/>
  <c r="X38" i="102"/>
  <c r="N38" i="102"/>
  <c r="L38" i="102"/>
  <c r="B38" i="102"/>
  <c r="V37" i="102"/>
  <c r="T37" i="102"/>
  <c r="P37" i="102"/>
  <c r="N37" i="102"/>
  <c r="L37" i="102"/>
  <c r="J37" i="102"/>
  <c r="H37" i="102"/>
  <c r="D37" i="102"/>
  <c r="B37" i="102"/>
  <c r="X36" i="102"/>
  <c r="Z36" i="102" s="1"/>
  <c r="V36" i="102"/>
  <c r="L36" i="102"/>
  <c r="N36" i="102" s="1"/>
  <c r="J36" i="102"/>
  <c r="F36" i="102"/>
  <c r="B36" i="102"/>
  <c r="Z35" i="102"/>
  <c r="X35" i="102"/>
  <c r="N35" i="102"/>
  <c r="L35" i="102"/>
  <c r="B35" i="102"/>
  <c r="X34" i="102"/>
  <c r="Z34" i="102" s="1"/>
  <c r="V34" i="102"/>
  <c r="T34" i="102"/>
  <c r="R34" i="102"/>
  <c r="P34" i="102"/>
  <c r="L34" i="102"/>
  <c r="N34" i="102" s="1"/>
  <c r="H34" i="102"/>
  <c r="D34" i="102"/>
  <c r="B34" i="102"/>
  <c r="Z33" i="102"/>
  <c r="X33" i="102"/>
  <c r="L33" i="102"/>
  <c r="N33" i="102" s="1"/>
  <c r="J33" i="102"/>
  <c r="B33" i="102"/>
  <c r="X32" i="102"/>
  <c r="V32" i="102"/>
  <c r="T32" i="102"/>
  <c r="P32" i="102"/>
  <c r="H32" i="102"/>
  <c r="N32" i="102" s="1"/>
  <c r="D32" i="102"/>
  <c r="L32" i="102" s="1"/>
  <c r="B32" i="102"/>
  <c r="Z31" i="102"/>
  <c r="X31" i="102"/>
  <c r="V31" i="102"/>
  <c r="L31" i="102"/>
  <c r="N31" i="102" s="1"/>
  <c r="B31" i="102"/>
  <c r="T30" i="102"/>
  <c r="Z30" i="102" s="1"/>
  <c r="P30" i="102"/>
  <c r="X30" i="102" s="1"/>
  <c r="J30" i="102"/>
  <c r="H30" i="102"/>
  <c r="D30" i="102"/>
  <c r="L30" i="102" s="1"/>
  <c r="N30" i="102" s="1"/>
  <c r="B30" i="102"/>
  <c r="Z29" i="102"/>
  <c r="X29" i="102"/>
  <c r="V29" i="102"/>
  <c r="N29" i="102"/>
  <c r="L29" i="102"/>
  <c r="F29" i="102"/>
  <c r="B29" i="102"/>
  <c r="Z28" i="102"/>
  <c r="X28" i="102"/>
  <c r="V28" i="102"/>
  <c r="T28" i="102"/>
  <c r="P28" i="102"/>
  <c r="N28" i="102"/>
  <c r="L28" i="102"/>
  <c r="H28" i="102"/>
  <c r="D28" i="102"/>
  <c r="B28" i="102"/>
  <c r="Z27" i="102"/>
  <c r="X27" i="102"/>
  <c r="V27" i="102"/>
  <c r="N27" i="102"/>
  <c r="L27" i="102"/>
  <c r="J27" i="102"/>
  <c r="B27" i="102"/>
  <c r="Z26" i="102"/>
  <c r="X26" i="102"/>
  <c r="V26" i="102"/>
  <c r="R26" i="102"/>
  <c r="N26" i="102"/>
  <c r="L26" i="102"/>
  <c r="B26" i="102"/>
  <c r="X25" i="102"/>
  <c r="Z25" i="102" s="1"/>
  <c r="L25" i="102"/>
  <c r="N25" i="102" s="1"/>
  <c r="J25" i="102"/>
  <c r="B25" i="102"/>
  <c r="X24" i="102"/>
  <c r="Z24" i="102" s="1"/>
  <c r="V24" i="102"/>
  <c r="N24" i="102"/>
  <c r="L24" i="102"/>
  <c r="B24" i="102"/>
  <c r="X23" i="102"/>
  <c r="Z23" i="102" s="1"/>
  <c r="V23" i="102"/>
  <c r="L23" i="102"/>
  <c r="N23" i="102" s="1"/>
  <c r="J23" i="102"/>
  <c r="B23" i="102"/>
  <c r="Z22" i="102"/>
  <c r="X22" i="102"/>
  <c r="V22" i="102"/>
  <c r="R22" i="102"/>
  <c r="L22" i="102"/>
  <c r="N22" i="102" s="1"/>
  <c r="B22" i="102"/>
  <c r="X21" i="102"/>
  <c r="Z21" i="102" s="1"/>
  <c r="V21" i="102"/>
  <c r="L21" i="102"/>
  <c r="N21" i="102" s="1"/>
  <c r="J21" i="102"/>
  <c r="B21" i="102"/>
  <c r="X20" i="102"/>
  <c r="Z20" i="102" s="1"/>
  <c r="V20" i="102"/>
  <c r="N20" i="102"/>
  <c r="L20" i="102"/>
  <c r="J20" i="102"/>
  <c r="B20" i="102"/>
  <c r="X19" i="102"/>
  <c r="Z19" i="102" s="1"/>
  <c r="V19" i="102"/>
  <c r="T19" i="102"/>
  <c r="R19" i="102"/>
  <c r="P19" i="102"/>
  <c r="H19" i="102"/>
  <c r="D19" i="102"/>
  <c r="L19" i="102" s="1"/>
  <c r="B19" i="102"/>
  <c r="T18" i="102"/>
  <c r="Z18" i="102" s="1"/>
  <c r="P18" i="102"/>
  <c r="X18" i="102" s="1"/>
  <c r="J18" i="102"/>
  <c r="H18" i="102"/>
  <c r="F18" i="102"/>
  <c r="D18" i="102"/>
  <c r="Z16" i="102"/>
  <c r="T16" i="102"/>
  <c r="T46" i="102" s="1"/>
  <c r="T50" i="102" s="1"/>
  <c r="T53" i="102" s="1"/>
  <c r="R16" i="102"/>
  <c r="N16" i="102"/>
  <c r="J16" i="102"/>
  <c r="H16" i="102"/>
  <c r="H46" i="102" s="1"/>
  <c r="D16" i="102"/>
  <c r="L16" i="102" s="1"/>
  <c r="Z14" i="102"/>
  <c r="X14" i="102"/>
  <c r="T14" i="102"/>
  <c r="R14" i="102"/>
  <c r="P14" i="102"/>
  <c r="L14" i="102"/>
  <c r="H14" i="102"/>
  <c r="N14" i="102" s="1"/>
  <c r="D14" i="102"/>
  <c r="Z12" i="102"/>
  <c r="X12" i="102"/>
  <c r="T12" i="102"/>
  <c r="V39" i="102" s="1"/>
  <c r="P12" i="102"/>
  <c r="R35" i="102" s="1"/>
  <c r="N12" i="102"/>
  <c r="H12" i="102"/>
  <c r="J14" i="102" s="1"/>
  <c r="D12" i="102"/>
  <c r="F27" i="102" s="1"/>
  <c r="D6" i="102"/>
  <c r="D4" i="102"/>
  <c r="X83" i="101"/>
  <c r="Z83" i="101" s="1"/>
  <c r="L83" i="101"/>
  <c r="N83" i="101" s="1"/>
  <c r="X79" i="101"/>
  <c r="Z79" i="101" s="1"/>
  <c r="T79" i="101"/>
  <c r="P79" i="101"/>
  <c r="H79" i="101"/>
  <c r="D79" i="101"/>
  <c r="D78" i="101" s="1"/>
  <c r="B79" i="101"/>
  <c r="T78" i="101"/>
  <c r="P78" i="101"/>
  <c r="Z76" i="101"/>
  <c r="X76" i="101"/>
  <c r="L76" i="101"/>
  <c r="N76" i="101" s="1"/>
  <c r="B76" i="101"/>
  <c r="Z75" i="101"/>
  <c r="X75" i="101"/>
  <c r="T75" i="101"/>
  <c r="P75" i="101"/>
  <c r="H75" i="101"/>
  <c r="D75" i="101"/>
  <c r="L75" i="101" s="1"/>
  <c r="N75" i="101" s="1"/>
  <c r="B75" i="101"/>
  <c r="Z74" i="101"/>
  <c r="X74" i="101"/>
  <c r="L74" i="101"/>
  <c r="N74" i="101" s="1"/>
  <c r="B74" i="101"/>
  <c r="X73" i="101"/>
  <c r="T73" i="101"/>
  <c r="P73" i="101"/>
  <c r="H73" i="101"/>
  <c r="D73" i="101"/>
  <c r="L73" i="101" s="1"/>
  <c r="N73" i="101" s="1"/>
  <c r="B73" i="101"/>
  <c r="Z72" i="101"/>
  <c r="X72" i="101"/>
  <c r="N72" i="101"/>
  <c r="L72" i="101"/>
  <c r="B72" i="101"/>
  <c r="X71" i="101"/>
  <c r="Z71" i="101" s="1"/>
  <c r="N71" i="101"/>
  <c r="L71" i="101"/>
  <c r="B71" i="101"/>
  <c r="X70" i="101"/>
  <c r="Z70" i="101" s="1"/>
  <c r="N70" i="101"/>
  <c r="L70" i="101"/>
  <c r="B70" i="101"/>
  <c r="X69" i="101"/>
  <c r="Z69" i="101" s="1"/>
  <c r="N69" i="101"/>
  <c r="L69" i="101"/>
  <c r="B69" i="101"/>
  <c r="Z68" i="101"/>
  <c r="X68" i="101"/>
  <c r="N68" i="101"/>
  <c r="L68" i="101"/>
  <c r="B68" i="101"/>
  <c r="X67" i="101"/>
  <c r="Z67" i="101" s="1"/>
  <c r="N67" i="101"/>
  <c r="L67" i="101"/>
  <c r="B67" i="101"/>
  <c r="X66" i="101"/>
  <c r="Z66" i="101" s="1"/>
  <c r="N66" i="101"/>
  <c r="L66" i="101"/>
  <c r="B66" i="101"/>
  <c r="X65" i="101"/>
  <c r="Z65" i="101" s="1"/>
  <c r="T65" i="101"/>
  <c r="P65" i="101"/>
  <c r="H65" i="101"/>
  <c r="F65" i="101"/>
  <c r="D65" i="101"/>
  <c r="L65" i="101" s="1"/>
  <c r="B65" i="101"/>
  <c r="X64" i="101"/>
  <c r="Z64" i="101" s="1"/>
  <c r="L64" i="101"/>
  <c r="N64" i="101" s="1"/>
  <c r="B64" i="101"/>
  <c r="Z63" i="101"/>
  <c r="X63" i="101"/>
  <c r="N63" i="101"/>
  <c r="L63" i="101"/>
  <c r="B63" i="101"/>
  <c r="T62" i="101"/>
  <c r="P62" i="101"/>
  <c r="X62" i="101" s="1"/>
  <c r="H62" i="101"/>
  <c r="D62" i="101"/>
  <c r="B62" i="101"/>
  <c r="X61" i="101"/>
  <c r="Z61" i="101" s="1"/>
  <c r="L61" i="101"/>
  <c r="N61" i="101" s="1"/>
  <c r="B61" i="101"/>
  <c r="T60" i="101"/>
  <c r="P60" i="101"/>
  <c r="X60" i="101" s="1"/>
  <c r="Z60" i="101" s="1"/>
  <c r="H60" i="101"/>
  <c r="D60" i="101"/>
  <c r="L60" i="101" s="1"/>
  <c r="N60" i="101" s="1"/>
  <c r="B60" i="101"/>
  <c r="Z59" i="101"/>
  <c r="X59" i="101"/>
  <c r="N59" i="101"/>
  <c r="L59" i="101"/>
  <c r="B59" i="101"/>
  <c r="X58" i="101"/>
  <c r="Z58" i="101" s="1"/>
  <c r="N58" i="101"/>
  <c r="L58" i="101"/>
  <c r="F58" i="101"/>
  <c r="B58" i="101"/>
  <c r="X57" i="101"/>
  <c r="Z57" i="101" s="1"/>
  <c r="N57" i="101"/>
  <c r="L57" i="101"/>
  <c r="B57" i="101"/>
  <c r="Z56" i="101"/>
  <c r="X56" i="101"/>
  <c r="T56" i="101"/>
  <c r="P56" i="101"/>
  <c r="L56" i="101"/>
  <c r="H56" i="101"/>
  <c r="N56" i="101" s="1"/>
  <c r="D56" i="101"/>
  <c r="B56" i="101"/>
  <c r="Z55" i="101"/>
  <c r="X55" i="101"/>
  <c r="N55" i="101"/>
  <c r="L55" i="101"/>
  <c r="B55" i="101"/>
  <c r="T54" i="101"/>
  <c r="P54" i="101"/>
  <c r="H54" i="101"/>
  <c r="D54" i="101"/>
  <c r="B54" i="101"/>
  <c r="X53" i="101"/>
  <c r="Z53" i="101" s="1"/>
  <c r="N53" i="101"/>
  <c r="L53" i="101"/>
  <c r="B53" i="101"/>
  <c r="T52" i="101"/>
  <c r="P52" i="101"/>
  <c r="X52" i="101" s="1"/>
  <c r="Z52" i="101" s="1"/>
  <c r="N52" i="101"/>
  <c r="H52" i="101"/>
  <c r="D52" i="101"/>
  <c r="L52" i="101" s="1"/>
  <c r="B52" i="101"/>
  <c r="Z51" i="101"/>
  <c r="X51" i="101"/>
  <c r="N51" i="101"/>
  <c r="L51" i="101"/>
  <c r="B51" i="101"/>
  <c r="X50" i="101"/>
  <c r="T50" i="101"/>
  <c r="Z50" i="101" s="1"/>
  <c r="P50" i="101"/>
  <c r="N50" i="101"/>
  <c r="L50" i="101"/>
  <c r="H50" i="101"/>
  <c r="D50" i="101"/>
  <c r="B50" i="101"/>
  <c r="Z49" i="101"/>
  <c r="X49" i="101"/>
  <c r="L49" i="101"/>
  <c r="N49" i="101" s="1"/>
  <c r="B49" i="101"/>
  <c r="X48" i="101"/>
  <c r="T48" i="101"/>
  <c r="Z48" i="101" s="1"/>
  <c r="P48" i="101"/>
  <c r="H48" i="101"/>
  <c r="D48" i="101"/>
  <c r="B48" i="101"/>
  <c r="Z47" i="101"/>
  <c r="X47" i="101"/>
  <c r="N47" i="101"/>
  <c r="L47" i="101"/>
  <c r="B47" i="101"/>
  <c r="Z46" i="101"/>
  <c r="T46" i="101"/>
  <c r="P46" i="101"/>
  <c r="X46" i="101" s="1"/>
  <c r="H46" i="101"/>
  <c r="D46" i="101"/>
  <c r="L46" i="101" s="1"/>
  <c r="N46" i="101" s="1"/>
  <c r="B46" i="101"/>
  <c r="X45" i="101"/>
  <c r="Z45" i="101" s="1"/>
  <c r="N45" i="101"/>
  <c r="L45" i="101"/>
  <c r="B45" i="101"/>
  <c r="Z44" i="101"/>
  <c r="X44" i="101"/>
  <c r="T44" i="101"/>
  <c r="P44" i="101"/>
  <c r="L44" i="101"/>
  <c r="H44" i="101"/>
  <c r="D44" i="101"/>
  <c r="B44" i="101"/>
  <c r="X43" i="101"/>
  <c r="Z43" i="101" s="1"/>
  <c r="N43" i="101"/>
  <c r="L43" i="101"/>
  <c r="B43" i="101"/>
  <c r="T42" i="101"/>
  <c r="P42" i="101"/>
  <c r="X42" i="101" s="1"/>
  <c r="H42" i="101"/>
  <c r="N42" i="101" s="1"/>
  <c r="D42" i="101"/>
  <c r="B42" i="101"/>
  <c r="X41" i="101"/>
  <c r="Z41" i="101" s="1"/>
  <c r="V41" i="101"/>
  <c r="L41" i="101"/>
  <c r="N41" i="101" s="1"/>
  <c r="B41" i="101"/>
  <c r="X40" i="101"/>
  <c r="Z40" i="101" s="1"/>
  <c r="N40" i="101"/>
  <c r="L40" i="101"/>
  <c r="B40" i="101"/>
  <c r="Z39" i="101"/>
  <c r="X39" i="101"/>
  <c r="V39" i="101"/>
  <c r="N39" i="101"/>
  <c r="L39" i="101"/>
  <c r="B39" i="101"/>
  <c r="Z38" i="101"/>
  <c r="X38" i="101"/>
  <c r="L38" i="101"/>
  <c r="N38" i="101" s="1"/>
  <c r="B38" i="101"/>
  <c r="X37" i="101"/>
  <c r="Z37" i="101" s="1"/>
  <c r="V37" i="101"/>
  <c r="R37" i="101"/>
  <c r="L37" i="101"/>
  <c r="N37" i="101" s="1"/>
  <c r="B37" i="101"/>
  <c r="X36" i="101"/>
  <c r="Z36" i="101" s="1"/>
  <c r="N36" i="101"/>
  <c r="L36" i="101"/>
  <c r="B36" i="101"/>
  <c r="T35" i="101"/>
  <c r="P35" i="101"/>
  <c r="X35" i="101" s="1"/>
  <c r="Z35" i="101" s="1"/>
  <c r="H35" i="101"/>
  <c r="L35" i="101" s="1"/>
  <c r="D35" i="101"/>
  <c r="B35" i="101"/>
  <c r="X34" i="101"/>
  <c r="Z34" i="101" s="1"/>
  <c r="N34" i="101"/>
  <c r="L34" i="101"/>
  <c r="B34" i="101"/>
  <c r="X33" i="101"/>
  <c r="Z33" i="101" s="1"/>
  <c r="N33" i="101"/>
  <c r="L33" i="101"/>
  <c r="B33" i="101"/>
  <c r="Z32" i="101"/>
  <c r="X32" i="101"/>
  <c r="L32" i="101"/>
  <c r="N32" i="101" s="1"/>
  <c r="B32" i="101"/>
  <c r="Z31" i="101"/>
  <c r="X31" i="101"/>
  <c r="N31" i="101"/>
  <c r="L31" i="101"/>
  <c r="B31" i="101"/>
  <c r="X30" i="101"/>
  <c r="Z30" i="101" s="1"/>
  <c r="N30" i="101"/>
  <c r="L30" i="101"/>
  <c r="B30" i="101"/>
  <c r="X29" i="101"/>
  <c r="Z29" i="101" s="1"/>
  <c r="N29" i="101"/>
  <c r="L29" i="101"/>
  <c r="B29" i="101"/>
  <c r="Z28" i="101"/>
  <c r="X28" i="101"/>
  <c r="N28" i="101"/>
  <c r="L28" i="101"/>
  <c r="B28" i="101"/>
  <c r="Z27" i="101"/>
  <c r="X27" i="101"/>
  <c r="N27" i="101"/>
  <c r="L27" i="101"/>
  <c r="B27" i="101"/>
  <c r="X26" i="101"/>
  <c r="Z26" i="101" s="1"/>
  <c r="N26" i="101"/>
  <c r="L26" i="101"/>
  <c r="F26" i="101"/>
  <c r="B26" i="101"/>
  <c r="X25" i="101"/>
  <c r="Z25" i="101" s="1"/>
  <c r="T25" i="101"/>
  <c r="P25" i="101"/>
  <c r="H25" i="101"/>
  <c r="D25" i="101"/>
  <c r="B25" i="101"/>
  <c r="T24" i="101"/>
  <c r="P24" i="101"/>
  <c r="H24" i="101"/>
  <c r="D24" i="101"/>
  <c r="L24" i="101" s="1"/>
  <c r="F22" i="101"/>
  <c r="X20" i="101"/>
  <c r="Z20" i="101" s="1"/>
  <c r="L20" i="101"/>
  <c r="N20" i="101" s="1"/>
  <c r="B20" i="101"/>
  <c r="Z19" i="101"/>
  <c r="X19" i="101"/>
  <c r="N19" i="101"/>
  <c r="L19" i="101"/>
  <c r="B19" i="101"/>
  <c r="T18" i="101"/>
  <c r="P18" i="101"/>
  <c r="N18" i="101"/>
  <c r="L18" i="101"/>
  <c r="H18" i="101"/>
  <c r="D18" i="101"/>
  <c r="T16" i="101"/>
  <c r="P16" i="101"/>
  <c r="X16" i="101" s="1"/>
  <c r="H16" i="101"/>
  <c r="D16" i="101"/>
  <c r="B16" i="101"/>
  <c r="T15" i="101"/>
  <c r="P15" i="101"/>
  <c r="X15" i="101" s="1"/>
  <c r="Z15" i="101" s="1"/>
  <c r="L15" i="101"/>
  <c r="H15" i="101"/>
  <c r="N15" i="101" s="1"/>
  <c r="D15" i="101"/>
  <c r="D12" i="101" s="1"/>
  <c r="B15" i="101"/>
  <c r="X14" i="101"/>
  <c r="Z14" i="101" s="1"/>
  <c r="T14" i="101"/>
  <c r="P14" i="101"/>
  <c r="L14" i="101"/>
  <c r="H14" i="101"/>
  <c r="N14" i="101" s="1"/>
  <c r="D14" i="101"/>
  <c r="B14" i="101"/>
  <c r="T13" i="101"/>
  <c r="X13" i="101" s="1"/>
  <c r="Z13" i="101" s="1"/>
  <c r="P13" i="101"/>
  <c r="H13" i="101"/>
  <c r="D13" i="101"/>
  <c r="B13" i="101"/>
  <c r="T12" i="101"/>
  <c r="V42" i="101" s="1"/>
  <c r="P12" i="101"/>
  <c r="R59" i="101" s="1"/>
  <c r="D6" i="101"/>
  <c r="D4" i="101"/>
  <c r="R70" i="100"/>
  <c r="X65" i="100"/>
  <c r="Z65" i="100" s="1"/>
  <c r="N65" i="100"/>
  <c r="L65" i="100"/>
  <c r="T61" i="100"/>
  <c r="T60" i="100" s="1"/>
  <c r="P61" i="100"/>
  <c r="P60" i="100" s="1"/>
  <c r="H61" i="100"/>
  <c r="D61" i="100"/>
  <c r="B61" i="100"/>
  <c r="H60" i="100"/>
  <c r="D60" i="100"/>
  <c r="Z58" i="100"/>
  <c r="X58" i="100"/>
  <c r="N58" i="100"/>
  <c r="L58" i="100"/>
  <c r="B58" i="100"/>
  <c r="T57" i="100"/>
  <c r="X57" i="100" s="1"/>
  <c r="Z57" i="100" s="1"/>
  <c r="P57" i="100"/>
  <c r="H57" i="100"/>
  <c r="D57" i="100"/>
  <c r="L57" i="100" s="1"/>
  <c r="N57" i="100" s="1"/>
  <c r="B57" i="100"/>
  <c r="X56" i="100"/>
  <c r="Z56" i="100" s="1"/>
  <c r="N56" i="100"/>
  <c r="L56" i="100"/>
  <c r="B56" i="100"/>
  <c r="Z55" i="100"/>
  <c r="X55" i="100"/>
  <c r="R55" i="100"/>
  <c r="N55" i="100"/>
  <c r="L55" i="100"/>
  <c r="B55" i="100"/>
  <c r="Z54" i="100"/>
  <c r="X54" i="100"/>
  <c r="L54" i="100"/>
  <c r="N54" i="100" s="1"/>
  <c r="B54" i="100"/>
  <c r="X53" i="100"/>
  <c r="Z53" i="100" s="1"/>
  <c r="N53" i="100"/>
  <c r="L53" i="100"/>
  <c r="B53" i="100"/>
  <c r="X52" i="100"/>
  <c r="Z52" i="100" s="1"/>
  <c r="N52" i="100"/>
  <c r="L52" i="100"/>
  <c r="B52" i="100"/>
  <c r="T51" i="100"/>
  <c r="P51" i="100"/>
  <c r="L51" i="100"/>
  <c r="H51" i="100"/>
  <c r="D51" i="100"/>
  <c r="B51" i="100"/>
  <c r="Z50" i="100"/>
  <c r="X50" i="100"/>
  <c r="N50" i="100"/>
  <c r="L50" i="100"/>
  <c r="B50" i="100"/>
  <c r="T49" i="100"/>
  <c r="P49" i="100"/>
  <c r="X49" i="100" s="1"/>
  <c r="H49" i="100"/>
  <c r="D49" i="100"/>
  <c r="L49" i="100" s="1"/>
  <c r="N49" i="100" s="1"/>
  <c r="B49" i="100"/>
  <c r="X48" i="100"/>
  <c r="Z48" i="100" s="1"/>
  <c r="N48" i="100"/>
  <c r="L48" i="100"/>
  <c r="B48" i="100"/>
  <c r="X47" i="100"/>
  <c r="T47" i="100"/>
  <c r="P47" i="100"/>
  <c r="L47" i="100"/>
  <c r="N47" i="100" s="1"/>
  <c r="H47" i="100"/>
  <c r="D47" i="100"/>
  <c r="B47" i="100"/>
  <c r="Z46" i="100"/>
  <c r="X46" i="100"/>
  <c r="R46" i="100"/>
  <c r="L46" i="100"/>
  <c r="N46" i="100" s="1"/>
  <c r="B46" i="100"/>
  <c r="X45" i="100"/>
  <c r="Z45" i="100" s="1"/>
  <c r="N45" i="100"/>
  <c r="L45" i="100"/>
  <c r="B45" i="100"/>
  <c r="X44" i="100"/>
  <c r="Z44" i="100" s="1"/>
  <c r="T44" i="100"/>
  <c r="R44" i="100"/>
  <c r="P44" i="100"/>
  <c r="H44" i="100"/>
  <c r="D44" i="100"/>
  <c r="L44" i="100" s="1"/>
  <c r="N44" i="100" s="1"/>
  <c r="B44" i="100"/>
  <c r="X43" i="100"/>
  <c r="Z43" i="100" s="1"/>
  <c r="L43" i="100"/>
  <c r="N43" i="100" s="1"/>
  <c r="B43" i="100"/>
  <c r="X42" i="100"/>
  <c r="Z42" i="100" s="1"/>
  <c r="T42" i="100"/>
  <c r="R42" i="100"/>
  <c r="P42" i="100"/>
  <c r="H42" i="100"/>
  <c r="D42" i="100"/>
  <c r="B42" i="100"/>
  <c r="Z41" i="100"/>
  <c r="X41" i="100"/>
  <c r="L41" i="100"/>
  <c r="N41" i="100" s="1"/>
  <c r="B41" i="100"/>
  <c r="T40" i="100"/>
  <c r="P40" i="100"/>
  <c r="X40" i="100" s="1"/>
  <c r="H40" i="100"/>
  <c r="D40" i="100"/>
  <c r="L40" i="100" s="1"/>
  <c r="N40" i="100" s="1"/>
  <c r="B40" i="100"/>
  <c r="Z39" i="100"/>
  <c r="X39" i="100"/>
  <c r="N39" i="100"/>
  <c r="L39" i="100"/>
  <c r="B39" i="100"/>
  <c r="X38" i="100"/>
  <c r="T38" i="100"/>
  <c r="Z38" i="100" s="1"/>
  <c r="R38" i="100"/>
  <c r="P38" i="100"/>
  <c r="N38" i="100"/>
  <c r="L38" i="100"/>
  <c r="H38" i="100"/>
  <c r="D38" i="100"/>
  <c r="B38" i="100"/>
  <c r="X37" i="100"/>
  <c r="Z37" i="100" s="1"/>
  <c r="R37" i="100"/>
  <c r="N37" i="100"/>
  <c r="L37" i="100"/>
  <c r="B37" i="100"/>
  <c r="T36" i="100"/>
  <c r="R36" i="100"/>
  <c r="P36" i="100"/>
  <c r="H36" i="100"/>
  <c r="D36" i="100"/>
  <c r="B36" i="100"/>
  <c r="Z35" i="100"/>
  <c r="X35" i="100"/>
  <c r="R35" i="100"/>
  <c r="L35" i="100"/>
  <c r="N35" i="100" s="1"/>
  <c r="B35" i="100"/>
  <c r="T34" i="100"/>
  <c r="P34" i="100"/>
  <c r="X34" i="100" s="1"/>
  <c r="Z34" i="100" s="1"/>
  <c r="H34" i="100"/>
  <c r="D34" i="100"/>
  <c r="L34" i="100" s="1"/>
  <c r="N34" i="100" s="1"/>
  <c r="B34" i="100"/>
  <c r="X33" i="100"/>
  <c r="Z33" i="100" s="1"/>
  <c r="N33" i="100"/>
  <c r="L33" i="100"/>
  <c r="B33" i="100"/>
  <c r="X32" i="100"/>
  <c r="T32" i="100"/>
  <c r="Z32" i="100" s="1"/>
  <c r="P32" i="100"/>
  <c r="L32" i="100"/>
  <c r="H32" i="100"/>
  <c r="D32" i="100"/>
  <c r="B32" i="100"/>
  <c r="Z31" i="100"/>
  <c r="X31" i="100"/>
  <c r="N31" i="100"/>
  <c r="L31" i="100"/>
  <c r="J31" i="100"/>
  <c r="B31" i="100"/>
  <c r="Z30" i="100"/>
  <c r="X30" i="100"/>
  <c r="R30" i="100"/>
  <c r="N30" i="100"/>
  <c r="L30" i="100"/>
  <c r="B30" i="100"/>
  <c r="Z29" i="100"/>
  <c r="X29" i="100"/>
  <c r="R29" i="100"/>
  <c r="N29" i="100"/>
  <c r="L29" i="100"/>
  <c r="B29" i="100"/>
  <c r="Z28" i="100"/>
  <c r="X28" i="100"/>
  <c r="R28" i="100"/>
  <c r="N28" i="100"/>
  <c r="L28" i="100"/>
  <c r="B28" i="100"/>
  <c r="Z27" i="100"/>
  <c r="X27" i="100"/>
  <c r="L27" i="100"/>
  <c r="N27" i="100" s="1"/>
  <c r="J27" i="100"/>
  <c r="B27" i="100"/>
  <c r="T26" i="100"/>
  <c r="R26" i="100"/>
  <c r="P26" i="100"/>
  <c r="H26" i="100"/>
  <c r="D26" i="100"/>
  <c r="L26" i="100" s="1"/>
  <c r="B26" i="100"/>
  <c r="Z25" i="100"/>
  <c r="X25" i="100"/>
  <c r="R25" i="100"/>
  <c r="N25" i="100"/>
  <c r="L25" i="100"/>
  <c r="B25" i="100"/>
  <c r="Z24" i="100"/>
  <c r="X24" i="100"/>
  <c r="R24" i="100"/>
  <c r="L24" i="100"/>
  <c r="N24" i="100" s="1"/>
  <c r="B24" i="100"/>
  <c r="V23" i="100"/>
  <c r="T23" i="100"/>
  <c r="P23" i="100"/>
  <c r="X23" i="100" s="1"/>
  <c r="H23" i="100"/>
  <c r="L23" i="100" s="1"/>
  <c r="N23" i="100" s="1"/>
  <c r="D23" i="100"/>
  <c r="B23" i="100"/>
  <c r="X22" i="100"/>
  <c r="T22" i="100"/>
  <c r="R22" i="100"/>
  <c r="P22" i="100"/>
  <c r="L22" i="100"/>
  <c r="H22" i="100"/>
  <c r="N22" i="100" s="1"/>
  <c r="D22" i="100"/>
  <c r="R20" i="100"/>
  <c r="P20" i="100"/>
  <c r="P63" i="100" s="1"/>
  <c r="X18" i="100"/>
  <c r="Z18" i="100" s="1"/>
  <c r="L18" i="100"/>
  <c r="N18" i="100" s="1"/>
  <c r="B18" i="100"/>
  <c r="Z17" i="100"/>
  <c r="X17" i="100"/>
  <c r="N17" i="100"/>
  <c r="L17" i="100"/>
  <c r="B17" i="100"/>
  <c r="X16" i="100"/>
  <c r="T16" i="100"/>
  <c r="Z16" i="100" s="1"/>
  <c r="P16" i="100"/>
  <c r="L16" i="100"/>
  <c r="H16" i="100"/>
  <c r="D16" i="100"/>
  <c r="X14" i="100"/>
  <c r="T14" i="100"/>
  <c r="Z14" i="100" s="1"/>
  <c r="P14" i="100"/>
  <c r="H14" i="100"/>
  <c r="D14" i="100"/>
  <c r="B14" i="100"/>
  <c r="T13" i="100"/>
  <c r="X13" i="100" s="1"/>
  <c r="P13" i="100"/>
  <c r="N13" i="100"/>
  <c r="L13" i="100"/>
  <c r="H13" i="100"/>
  <c r="H12" i="100" s="1"/>
  <c r="J52" i="100" s="1"/>
  <c r="D13" i="100"/>
  <c r="B13" i="100"/>
  <c r="T12" i="100"/>
  <c r="P12" i="100"/>
  <c r="D6" i="100"/>
  <c r="D4" i="100"/>
  <c r="R50" i="99"/>
  <c r="R47" i="99"/>
  <c r="Z45" i="99"/>
  <c r="X45" i="99"/>
  <c r="R45" i="99"/>
  <c r="N45" i="99"/>
  <c r="L45" i="99"/>
  <c r="X41" i="99"/>
  <c r="T41" i="99"/>
  <c r="Z41" i="99" s="1"/>
  <c r="P41" i="99"/>
  <c r="P40" i="99" s="1"/>
  <c r="L41" i="99"/>
  <c r="H41" i="99"/>
  <c r="D41" i="99"/>
  <c r="D40" i="99" s="1"/>
  <c r="B41" i="99"/>
  <c r="N40" i="99"/>
  <c r="L40" i="99"/>
  <c r="H40" i="99"/>
  <c r="Z38" i="99"/>
  <c r="X38" i="99"/>
  <c r="N38" i="99"/>
  <c r="L38" i="99"/>
  <c r="J38" i="99"/>
  <c r="B38" i="99"/>
  <c r="T37" i="99"/>
  <c r="R37" i="99"/>
  <c r="P37" i="99"/>
  <c r="H37" i="99"/>
  <c r="F37" i="99"/>
  <c r="D37" i="99"/>
  <c r="B37" i="99"/>
  <c r="Z36" i="99"/>
  <c r="X36" i="99"/>
  <c r="V36" i="99"/>
  <c r="R36" i="99"/>
  <c r="N36" i="99"/>
  <c r="L36" i="99"/>
  <c r="B36" i="99"/>
  <c r="Z35" i="99"/>
  <c r="T35" i="99"/>
  <c r="P35" i="99"/>
  <c r="X35" i="99" s="1"/>
  <c r="H35" i="99"/>
  <c r="D35" i="99"/>
  <c r="L35" i="99" s="1"/>
  <c r="N35" i="99" s="1"/>
  <c r="B35" i="99"/>
  <c r="X34" i="99"/>
  <c r="Z34" i="99" s="1"/>
  <c r="N34" i="99"/>
  <c r="L34" i="99"/>
  <c r="B34" i="99"/>
  <c r="X33" i="99"/>
  <c r="V33" i="99"/>
  <c r="T33" i="99"/>
  <c r="Z33" i="99" s="1"/>
  <c r="R33" i="99"/>
  <c r="P33" i="99"/>
  <c r="L33" i="99"/>
  <c r="H33" i="99"/>
  <c r="N33" i="99" s="1"/>
  <c r="D33" i="99"/>
  <c r="B33" i="99"/>
  <c r="Z32" i="99"/>
  <c r="X32" i="99"/>
  <c r="R32" i="99"/>
  <c r="N32" i="99"/>
  <c r="L32" i="99"/>
  <c r="B32" i="99"/>
  <c r="T31" i="99"/>
  <c r="R31" i="99"/>
  <c r="P31" i="99"/>
  <c r="H31" i="99"/>
  <c r="N31" i="99" s="1"/>
  <c r="D31" i="99"/>
  <c r="B31" i="99"/>
  <c r="Z30" i="99"/>
  <c r="X30" i="99"/>
  <c r="V30" i="99"/>
  <c r="R30" i="99"/>
  <c r="L30" i="99"/>
  <c r="N30" i="99" s="1"/>
  <c r="B30" i="99"/>
  <c r="T29" i="99"/>
  <c r="P29" i="99"/>
  <c r="X29" i="99" s="1"/>
  <c r="Z29" i="99" s="1"/>
  <c r="N29" i="99"/>
  <c r="H29" i="99"/>
  <c r="D29" i="99"/>
  <c r="L29" i="99" s="1"/>
  <c r="B29" i="99"/>
  <c r="Z28" i="99"/>
  <c r="X28" i="99"/>
  <c r="N28" i="99"/>
  <c r="L28" i="99"/>
  <c r="B28" i="99"/>
  <c r="X27" i="99"/>
  <c r="Z27" i="99" s="1"/>
  <c r="R27" i="99"/>
  <c r="N27" i="99"/>
  <c r="L27" i="99"/>
  <c r="F27" i="99"/>
  <c r="B27" i="99"/>
  <c r="X26" i="99"/>
  <c r="Z26" i="99" s="1"/>
  <c r="V26" i="99"/>
  <c r="R26" i="99"/>
  <c r="N26" i="99"/>
  <c r="L26" i="99"/>
  <c r="B26" i="99"/>
  <c r="X25" i="99"/>
  <c r="Z25" i="99" s="1"/>
  <c r="V25" i="99"/>
  <c r="R25" i="99"/>
  <c r="L25" i="99"/>
  <c r="N25" i="99" s="1"/>
  <c r="F25" i="99"/>
  <c r="B25" i="99"/>
  <c r="Z24" i="99"/>
  <c r="X24" i="99"/>
  <c r="L24" i="99"/>
  <c r="N24" i="99" s="1"/>
  <c r="B24" i="99"/>
  <c r="X23" i="99"/>
  <c r="Z23" i="99" s="1"/>
  <c r="V23" i="99"/>
  <c r="R23" i="99"/>
  <c r="N23" i="99"/>
  <c r="L23" i="99"/>
  <c r="F23" i="99"/>
  <c r="B23" i="99"/>
  <c r="X22" i="99"/>
  <c r="Z22" i="99" s="1"/>
  <c r="V22" i="99"/>
  <c r="R22" i="99"/>
  <c r="N22" i="99"/>
  <c r="L22" i="99"/>
  <c r="B22" i="99"/>
  <c r="X21" i="99"/>
  <c r="Z21" i="99" s="1"/>
  <c r="V21" i="99"/>
  <c r="R21" i="99"/>
  <c r="L21" i="99"/>
  <c r="N21" i="99" s="1"/>
  <c r="F21" i="99"/>
  <c r="B21" i="99"/>
  <c r="T20" i="99"/>
  <c r="R20" i="99"/>
  <c r="P20" i="99"/>
  <c r="X20" i="99" s="1"/>
  <c r="Z20" i="99" s="1"/>
  <c r="H20" i="99"/>
  <c r="D20" i="99"/>
  <c r="L20" i="99" s="1"/>
  <c r="B20" i="99"/>
  <c r="T19" i="99"/>
  <c r="R19" i="99"/>
  <c r="P19" i="99"/>
  <c r="X19" i="99" s="1"/>
  <c r="H19" i="99"/>
  <c r="D19" i="99"/>
  <c r="T17" i="99"/>
  <c r="R17" i="99"/>
  <c r="P17" i="99"/>
  <c r="H17" i="99"/>
  <c r="Z15" i="99"/>
  <c r="X15" i="99"/>
  <c r="R15" i="99"/>
  <c r="N15" i="99"/>
  <c r="L15" i="99"/>
  <c r="F15" i="99"/>
  <c r="B15" i="99"/>
  <c r="X14" i="99"/>
  <c r="Z14" i="99" s="1"/>
  <c r="T14" i="99"/>
  <c r="P14" i="99"/>
  <c r="N14" i="99"/>
  <c r="L14" i="99"/>
  <c r="H14" i="99"/>
  <c r="F14" i="99"/>
  <c r="D14" i="99"/>
  <c r="Z12" i="99"/>
  <c r="X12" i="99"/>
  <c r="T12" i="99"/>
  <c r="V35" i="99" s="1"/>
  <c r="P12" i="99"/>
  <c r="R35" i="99" s="1"/>
  <c r="H12" i="99"/>
  <c r="D12" i="99"/>
  <c r="F20" i="99" s="1"/>
  <c r="D6" i="99"/>
  <c r="D4" i="99"/>
  <c r="Z52" i="98"/>
  <c r="X52" i="98"/>
  <c r="N52" i="98"/>
  <c r="L52" i="98"/>
  <c r="Z48" i="98"/>
  <c r="T48" i="98"/>
  <c r="X48" i="98" s="1"/>
  <c r="P48" i="98"/>
  <c r="N48" i="98"/>
  <c r="L48" i="98"/>
  <c r="H48" i="98"/>
  <c r="D48" i="98"/>
  <c r="X46" i="98"/>
  <c r="Z46" i="98" s="1"/>
  <c r="R46" i="98"/>
  <c r="N46" i="98"/>
  <c r="L46" i="98"/>
  <c r="F46" i="98"/>
  <c r="B46" i="98"/>
  <c r="T45" i="98"/>
  <c r="P45" i="98"/>
  <c r="N45" i="98"/>
  <c r="H45" i="98"/>
  <c r="F45" i="98"/>
  <c r="D45" i="98"/>
  <c r="L45" i="98" s="1"/>
  <c r="B45" i="98"/>
  <c r="Z44" i="98"/>
  <c r="X44" i="98"/>
  <c r="N44" i="98"/>
  <c r="L44" i="98"/>
  <c r="B44" i="98"/>
  <c r="X43" i="98"/>
  <c r="Z43" i="98" s="1"/>
  <c r="N43" i="98"/>
  <c r="L43" i="98"/>
  <c r="B43" i="98"/>
  <c r="T42" i="98"/>
  <c r="X42" i="98" s="1"/>
  <c r="P42" i="98"/>
  <c r="H42" i="98"/>
  <c r="N42" i="98" s="1"/>
  <c r="F42" i="98"/>
  <c r="D42" i="98"/>
  <c r="L42" i="98" s="1"/>
  <c r="B42" i="98"/>
  <c r="X41" i="98"/>
  <c r="Z41" i="98" s="1"/>
  <c r="N41" i="98"/>
  <c r="L41" i="98"/>
  <c r="B41" i="98"/>
  <c r="X40" i="98"/>
  <c r="T40" i="98"/>
  <c r="Z40" i="98" s="1"/>
  <c r="P40" i="98"/>
  <c r="N40" i="98"/>
  <c r="H40" i="98"/>
  <c r="F40" i="98"/>
  <c r="D40" i="98"/>
  <c r="L40" i="98" s="1"/>
  <c r="B40" i="98"/>
  <c r="Z39" i="98"/>
  <c r="X39" i="98"/>
  <c r="L39" i="98"/>
  <c r="N39" i="98" s="1"/>
  <c r="B39" i="98"/>
  <c r="X38" i="98"/>
  <c r="Z38" i="98" s="1"/>
  <c r="T38" i="98"/>
  <c r="P38" i="98"/>
  <c r="L38" i="98"/>
  <c r="N38" i="98" s="1"/>
  <c r="H38" i="98"/>
  <c r="D38" i="98"/>
  <c r="B38" i="98"/>
  <c r="X37" i="98"/>
  <c r="Z37" i="98" s="1"/>
  <c r="N37" i="98"/>
  <c r="L37" i="98"/>
  <c r="F37" i="98"/>
  <c r="B37" i="98"/>
  <c r="T36" i="98"/>
  <c r="P36" i="98"/>
  <c r="N36" i="98"/>
  <c r="L36" i="98"/>
  <c r="H36" i="98"/>
  <c r="D36" i="98"/>
  <c r="B36" i="98"/>
  <c r="X35" i="98"/>
  <c r="Z35" i="98" s="1"/>
  <c r="N35" i="98"/>
  <c r="L35" i="98"/>
  <c r="F35" i="98"/>
  <c r="B35" i="98"/>
  <c r="Z34" i="98"/>
  <c r="X34" i="98"/>
  <c r="L34" i="98"/>
  <c r="N34" i="98" s="1"/>
  <c r="B34" i="98"/>
  <c r="Z33" i="98"/>
  <c r="X33" i="98"/>
  <c r="N33" i="98"/>
  <c r="L33" i="98"/>
  <c r="B33" i="98"/>
  <c r="Z32" i="98"/>
  <c r="X32" i="98"/>
  <c r="N32" i="98"/>
  <c r="L32" i="98"/>
  <c r="B32" i="98"/>
  <c r="T31" i="98"/>
  <c r="P31" i="98"/>
  <c r="X31" i="98" s="1"/>
  <c r="H31" i="98"/>
  <c r="L31" i="98" s="1"/>
  <c r="N31" i="98" s="1"/>
  <c r="D31" i="98"/>
  <c r="B31" i="98"/>
  <c r="Z30" i="98"/>
  <c r="X30" i="98"/>
  <c r="L30" i="98"/>
  <c r="N30" i="98" s="1"/>
  <c r="B30" i="98"/>
  <c r="Z29" i="98"/>
  <c r="X29" i="98"/>
  <c r="N29" i="98"/>
  <c r="L29" i="98"/>
  <c r="B29" i="98"/>
  <c r="Z28" i="98"/>
  <c r="X28" i="98"/>
  <c r="N28" i="98"/>
  <c r="L28" i="98"/>
  <c r="B28" i="98"/>
  <c r="X27" i="98"/>
  <c r="Z27" i="98" s="1"/>
  <c r="N27" i="98"/>
  <c r="L27" i="98"/>
  <c r="B27" i="98"/>
  <c r="X26" i="98"/>
  <c r="Z26" i="98" s="1"/>
  <c r="N26" i="98"/>
  <c r="L26" i="98"/>
  <c r="B26" i="98"/>
  <c r="Z25" i="98"/>
  <c r="X25" i="98"/>
  <c r="L25" i="98"/>
  <c r="N25" i="98" s="1"/>
  <c r="B25" i="98"/>
  <c r="X24" i="98"/>
  <c r="Z24" i="98" s="1"/>
  <c r="L24" i="98"/>
  <c r="N24" i="98" s="1"/>
  <c r="B24" i="98"/>
  <c r="Z23" i="98"/>
  <c r="X23" i="98"/>
  <c r="L23" i="98"/>
  <c r="N23" i="98" s="1"/>
  <c r="B23" i="98"/>
  <c r="X22" i="98"/>
  <c r="Z22" i="98" s="1"/>
  <c r="T22" i="98"/>
  <c r="P22" i="98"/>
  <c r="L22" i="98"/>
  <c r="N22" i="98" s="1"/>
  <c r="H22" i="98"/>
  <c r="D22" i="98"/>
  <c r="B22" i="98"/>
  <c r="Z21" i="98"/>
  <c r="X21" i="98"/>
  <c r="T21" i="98"/>
  <c r="P21" i="98"/>
  <c r="L21" i="98"/>
  <c r="N21" i="98" s="1"/>
  <c r="H21" i="98"/>
  <c r="D21" i="98"/>
  <c r="Z17" i="98"/>
  <c r="X17" i="98"/>
  <c r="R17" i="98"/>
  <c r="N17" i="98"/>
  <c r="L17" i="98"/>
  <c r="F17" i="98"/>
  <c r="B17" i="98"/>
  <c r="T16" i="98"/>
  <c r="P16" i="98"/>
  <c r="H16" i="98"/>
  <c r="D16" i="98"/>
  <c r="L16" i="98" s="1"/>
  <c r="T14" i="98"/>
  <c r="P14" i="98"/>
  <c r="P12" i="98" s="1"/>
  <c r="L14" i="98"/>
  <c r="N14" i="98" s="1"/>
  <c r="H14" i="98"/>
  <c r="D14" i="98"/>
  <c r="B14" i="98"/>
  <c r="X13" i="98"/>
  <c r="T13" i="98"/>
  <c r="P13" i="98"/>
  <c r="H13" i="98"/>
  <c r="D13" i="98"/>
  <c r="D12" i="98" s="1"/>
  <c r="F28" i="98" s="1"/>
  <c r="B13" i="98"/>
  <c r="D6" i="98"/>
  <c r="D4" i="98"/>
  <c r="Z88" i="97"/>
  <c r="X88" i="97"/>
  <c r="N88" i="97"/>
  <c r="L88" i="97"/>
  <c r="R86" i="97"/>
  <c r="T84" i="97"/>
  <c r="P84" i="97"/>
  <c r="N84" i="97"/>
  <c r="L84" i="97"/>
  <c r="H84" i="97"/>
  <c r="D84" i="97"/>
  <c r="B84" i="97"/>
  <c r="P83" i="97"/>
  <c r="H83" i="97"/>
  <c r="N83" i="97" s="1"/>
  <c r="D83" i="97"/>
  <c r="Z81" i="97"/>
  <c r="X81" i="97"/>
  <c r="N81" i="97"/>
  <c r="L81" i="97"/>
  <c r="B81" i="97"/>
  <c r="T80" i="97"/>
  <c r="P80" i="97"/>
  <c r="X80" i="97" s="1"/>
  <c r="Z80" i="97" s="1"/>
  <c r="N80" i="97"/>
  <c r="H80" i="97"/>
  <c r="D80" i="97"/>
  <c r="L80" i="97" s="1"/>
  <c r="B80" i="97"/>
  <c r="X79" i="97"/>
  <c r="Z79" i="97" s="1"/>
  <c r="N79" i="97"/>
  <c r="L79" i="97"/>
  <c r="B79" i="97"/>
  <c r="Z78" i="97"/>
  <c r="X78" i="97"/>
  <c r="T78" i="97"/>
  <c r="P78" i="97"/>
  <c r="L78" i="97"/>
  <c r="J78" i="97"/>
  <c r="H78" i="97"/>
  <c r="N78" i="97" s="1"/>
  <c r="D78" i="97"/>
  <c r="B78" i="97"/>
  <c r="X77" i="97"/>
  <c r="Z77" i="97" s="1"/>
  <c r="N77" i="97"/>
  <c r="L77" i="97"/>
  <c r="B77" i="97"/>
  <c r="X76" i="97"/>
  <c r="Z76" i="97" s="1"/>
  <c r="N76" i="97"/>
  <c r="L76" i="97"/>
  <c r="B76" i="97"/>
  <c r="X75" i="97"/>
  <c r="Z75" i="97" s="1"/>
  <c r="N75" i="97"/>
  <c r="L75" i="97"/>
  <c r="B75" i="97"/>
  <c r="Z74" i="97"/>
  <c r="X74" i="97"/>
  <c r="N74" i="97"/>
  <c r="L74" i="97"/>
  <c r="B74" i="97"/>
  <c r="X73" i="97"/>
  <c r="Z73" i="97" s="1"/>
  <c r="N73" i="97"/>
  <c r="L73" i="97"/>
  <c r="B73" i="97"/>
  <c r="X72" i="97"/>
  <c r="Z72" i="97" s="1"/>
  <c r="N72" i="97"/>
  <c r="L72" i="97"/>
  <c r="B72" i="97"/>
  <c r="X71" i="97"/>
  <c r="Z71" i="97" s="1"/>
  <c r="N71" i="97"/>
  <c r="L71" i="97"/>
  <c r="B71" i="97"/>
  <c r="T70" i="97"/>
  <c r="P70" i="97"/>
  <c r="X70" i="97" s="1"/>
  <c r="L70" i="97"/>
  <c r="N70" i="97" s="1"/>
  <c r="H70" i="97"/>
  <c r="D70" i="97"/>
  <c r="B70" i="97"/>
  <c r="X69" i="97"/>
  <c r="Z69" i="97" s="1"/>
  <c r="V69" i="97"/>
  <c r="R69" i="97"/>
  <c r="L69" i="97"/>
  <c r="N69" i="97" s="1"/>
  <c r="B69" i="97"/>
  <c r="Z68" i="97"/>
  <c r="X68" i="97"/>
  <c r="N68" i="97"/>
  <c r="L68" i="97"/>
  <c r="B68" i="97"/>
  <c r="T67" i="97"/>
  <c r="P67" i="97"/>
  <c r="J67" i="97"/>
  <c r="H67" i="97"/>
  <c r="D67" i="97"/>
  <c r="B67" i="97"/>
  <c r="Z66" i="97"/>
  <c r="X66" i="97"/>
  <c r="N66" i="97"/>
  <c r="L66" i="97"/>
  <c r="B66" i="97"/>
  <c r="X65" i="97"/>
  <c r="Z65" i="97" s="1"/>
  <c r="L65" i="97"/>
  <c r="N65" i="97" s="1"/>
  <c r="B65" i="97"/>
  <c r="X64" i="97"/>
  <c r="Z64" i="97" s="1"/>
  <c r="L64" i="97"/>
  <c r="N64" i="97" s="1"/>
  <c r="B64" i="97"/>
  <c r="T63" i="97"/>
  <c r="R63" i="97"/>
  <c r="P63" i="97"/>
  <c r="X63" i="97" s="1"/>
  <c r="Z63" i="97" s="1"/>
  <c r="H63" i="97"/>
  <c r="D63" i="97"/>
  <c r="L63" i="97" s="1"/>
  <c r="B63" i="97"/>
  <c r="Z62" i="97"/>
  <c r="X62" i="97"/>
  <c r="R62" i="97"/>
  <c r="N62" i="97"/>
  <c r="L62" i="97"/>
  <c r="B62" i="97"/>
  <c r="X61" i="97"/>
  <c r="Z61" i="97" s="1"/>
  <c r="N61" i="97"/>
  <c r="L61" i="97"/>
  <c r="B61" i="97"/>
  <c r="X60" i="97"/>
  <c r="Z60" i="97" s="1"/>
  <c r="N60" i="97"/>
  <c r="L60" i="97"/>
  <c r="B60" i="97"/>
  <c r="Z59" i="97"/>
  <c r="X59" i="97"/>
  <c r="T59" i="97"/>
  <c r="P59" i="97"/>
  <c r="L59" i="97"/>
  <c r="N59" i="97" s="1"/>
  <c r="H59" i="97"/>
  <c r="D59" i="97"/>
  <c r="B59" i="97"/>
  <c r="Z58" i="97"/>
  <c r="X58" i="97"/>
  <c r="N58" i="97"/>
  <c r="L58" i="97"/>
  <c r="B58" i="97"/>
  <c r="X57" i="97"/>
  <c r="Z57" i="97" s="1"/>
  <c r="R57" i="97"/>
  <c r="L57" i="97"/>
  <c r="N57" i="97" s="1"/>
  <c r="B57" i="97"/>
  <c r="T56" i="97"/>
  <c r="P56" i="97"/>
  <c r="X56" i="97" s="1"/>
  <c r="Z56" i="97" s="1"/>
  <c r="H56" i="97"/>
  <c r="D56" i="97"/>
  <c r="L56" i="97" s="1"/>
  <c r="N56" i="97" s="1"/>
  <c r="B56" i="97"/>
  <c r="X55" i="97"/>
  <c r="Z55" i="97" s="1"/>
  <c r="N55" i="97"/>
  <c r="L55" i="97"/>
  <c r="B55" i="97"/>
  <c r="Z54" i="97"/>
  <c r="X54" i="97"/>
  <c r="T54" i="97"/>
  <c r="P54" i="97"/>
  <c r="L54" i="97"/>
  <c r="J54" i="97"/>
  <c r="H54" i="97"/>
  <c r="N54" i="97" s="1"/>
  <c r="D54" i="97"/>
  <c r="B54" i="97"/>
  <c r="X53" i="97"/>
  <c r="Z53" i="97" s="1"/>
  <c r="N53" i="97"/>
  <c r="L53" i="97"/>
  <c r="B53" i="97"/>
  <c r="X52" i="97"/>
  <c r="T52" i="97"/>
  <c r="Z52" i="97" s="1"/>
  <c r="P52" i="97"/>
  <c r="H52" i="97"/>
  <c r="N52" i="97" s="1"/>
  <c r="D52" i="97"/>
  <c r="B52" i="97"/>
  <c r="Z51" i="97"/>
  <c r="X51" i="97"/>
  <c r="N51" i="97"/>
  <c r="L51" i="97"/>
  <c r="B51" i="97"/>
  <c r="T50" i="97"/>
  <c r="P50" i="97"/>
  <c r="X50" i="97" s="1"/>
  <c r="Z50" i="97" s="1"/>
  <c r="N50" i="97"/>
  <c r="H50" i="97"/>
  <c r="D50" i="97"/>
  <c r="L50" i="97" s="1"/>
  <c r="B50" i="97"/>
  <c r="X49" i="97"/>
  <c r="Z49" i="97" s="1"/>
  <c r="N49" i="97"/>
  <c r="L49" i="97"/>
  <c r="B49" i="97"/>
  <c r="X48" i="97"/>
  <c r="T48" i="97"/>
  <c r="Z48" i="97" s="1"/>
  <c r="P48" i="97"/>
  <c r="N48" i="97"/>
  <c r="L48" i="97"/>
  <c r="H48" i="97"/>
  <c r="D48" i="97"/>
  <c r="B48" i="97"/>
  <c r="Z47" i="97"/>
  <c r="X47" i="97"/>
  <c r="N47" i="97"/>
  <c r="L47" i="97"/>
  <c r="B47" i="97"/>
  <c r="Z46" i="97"/>
  <c r="X46" i="97"/>
  <c r="R46" i="97"/>
  <c r="N46" i="97"/>
  <c r="L46" i="97"/>
  <c r="B46" i="97"/>
  <c r="X45" i="97"/>
  <c r="Z45" i="97" s="1"/>
  <c r="T45" i="97"/>
  <c r="P45" i="97"/>
  <c r="L45" i="97"/>
  <c r="N45" i="97" s="1"/>
  <c r="H45" i="97"/>
  <c r="D45" i="97"/>
  <c r="B45" i="97"/>
  <c r="Z44" i="97"/>
  <c r="X44" i="97"/>
  <c r="L44" i="97"/>
  <c r="N44" i="97" s="1"/>
  <c r="B44" i="97"/>
  <c r="T43" i="97"/>
  <c r="P43" i="97"/>
  <c r="H43" i="97"/>
  <c r="D43" i="97"/>
  <c r="L43" i="97" s="1"/>
  <c r="B43" i="97"/>
  <c r="Z42" i="97"/>
  <c r="X42" i="97"/>
  <c r="N42" i="97"/>
  <c r="L42" i="97"/>
  <c r="B42" i="97"/>
  <c r="T41" i="97"/>
  <c r="Z41" i="97" s="1"/>
  <c r="P41" i="97"/>
  <c r="X41" i="97" s="1"/>
  <c r="H41" i="97"/>
  <c r="D41" i="97"/>
  <c r="L41" i="97" s="1"/>
  <c r="N41" i="97" s="1"/>
  <c r="B41" i="97"/>
  <c r="X40" i="97"/>
  <c r="Z40" i="97" s="1"/>
  <c r="N40" i="97"/>
  <c r="L40" i="97"/>
  <c r="B40" i="97"/>
  <c r="Z39" i="97"/>
  <c r="X39" i="97"/>
  <c r="T39" i="97"/>
  <c r="P39" i="97"/>
  <c r="L39" i="97"/>
  <c r="N39" i="97" s="1"/>
  <c r="H39" i="97"/>
  <c r="D39" i="97"/>
  <c r="B39" i="97"/>
  <c r="Z38" i="97"/>
  <c r="X38" i="97"/>
  <c r="N38" i="97"/>
  <c r="L38" i="97"/>
  <c r="B38" i="97"/>
  <c r="X37" i="97"/>
  <c r="Z37" i="97" s="1"/>
  <c r="R37" i="97"/>
  <c r="L37" i="97"/>
  <c r="N37" i="97" s="1"/>
  <c r="B37" i="97"/>
  <c r="Z36" i="97"/>
  <c r="X36" i="97"/>
  <c r="N36" i="97"/>
  <c r="L36" i="97"/>
  <c r="B36" i="97"/>
  <c r="Z35" i="97"/>
  <c r="X35" i="97"/>
  <c r="L35" i="97"/>
  <c r="N35" i="97" s="1"/>
  <c r="B35" i="97"/>
  <c r="Z34" i="97"/>
  <c r="X34" i="97"/>
  <c r="N34" i="97"/>
  <c r="L34" i="97"/>
  <c r="B34" i="97"/>
  <c r="X33" i="97"/>
  <c r="Z33" i="97" s="1"/>
  <c r="R33" i="97"/>
  <c r="L33" i="97"/>
  <c r="N33" i="97" s="1"/>
  <c r="B33" i="97"/>
  <c r="T32" i="97"/>
  <c r="P32" i="97"/>
  <c r="X32" i="97" s="1"/>
  <c r="Z32" i="97" s="1"/>
  <c r="H32" i="97"/>
  <c r="D32" i="97"/>
  <c r="L32" i="97" s="1"/>
  <c r="N32" i="97" s="1"/>
  <c r="B32" i="97"/>
  <c r="X31" i="97"/>
  <c r="Z31" i="97" s="1"/>
  <c r="N31" i="97"/>
  <c r="L31" i="97"/>
  <c r="B31" i="97"/>
  <c r="Z30" i="97"/>
  <c r="X30" i="97"/>
  <c r="N30" i="97"/>
  <c r="L30" i="97"/>
  <c r="B30" i="97"/>
  <c r="X29" i="97"/>
  <c r="Z29" i="97" s="1"/>
  <c r="L29" i="97"/>
  <c r="N29" i="97" s="1"/>
  <c r="B29" i="97"/>
  <c r="X28" i="97"/>
  <c r="Z28" i="97" s="1"/>
  <c r="L28" i="97"/>
  <c r="N28" i="97" s="1"/>
  <c r="B28" i="97"/>
  <c r="X27" i="97"/>
  <c r="Z27" i="97" s="1"/>
  <c r="N27" i="97"/>
  <c r="L27" i="97"/>
  <c r="B27" i="97"/>
  <c r="Z26" i="97"/>
  <c r="X26" i="97"/>
  <c r="N26" i="97"/>
  <c r="L26" i="97"/>
  <c r="F26" i="97"/>
  <c r="B26" i="97"/>
  <c r="X25" i="97"/>
  <c r="Z25" i="97" s="1"/>
  <c r="L25" i="97"/>
  <c r="N25" i="97" s="1"/>
  <c r="B25" i="97"/>
  <c r="X24" i="97"/>
  <c r="Z24" i="97" s="1"/>
  <c r="L24" i="97"/>
  <c r="N24" i="97" s="1"/>
  <c r="B24" i="97"/>
  <c r="T23" i="97"/>
  <c r="R23" i="97"/>
  <c r="P23" i="97"/>
  <c r="X23" i="97" s="1"/>
  <c r="Z23" i="97" s="1"/>
  <c r="H23" i="97"/>
  <c r="N23" i="97" s="1"/>
  <c r="D23" i="97"/>
  <c r="L23" i="97" s="1"/>
  <c r="B23" i="97"/>
  <c r="T22" i="97"/>
  <c r="P22" i="97"/>
  <c r="L22" i="97"/>
  <c r="H22" i="97"/>
  <c r="N22" i="97" s="1"/>
  <c r="D22" i="97"/>
  <c r="R20" i="97"/>
  <c r="Z18" i="97"/>
  <c r="X18" i="97"/>
  <c r="R18" i="97"/>
  <c r="N18" i="97"/>
  <c r="L18" i="97"/>
  <c r="B18" i="97"/>
  <c r="X17" i="97"/>
  <c r="Z17" i="97" s="1"/>
  <c r="N17" i="97"/>
  <c r="L17" i="97"/>
  <c r="B17" i="97"/>
  <c r="X16" i="97"/>
  <c r="T16" i="97"/>
  <c r="Z16" i="97" s="1"/>
  <c r="P16" i="97"/>
  <c r="H16" i="97"/>
  <c r="F16" i="97"/>
  <c r="D16" i="97"/>
  <c r="X14" i="97"/>
  <c r="T14" i="97"/>
  <c r="Z14" i="97" s="1"/>
  <c r="P14" i="97"/>
  <c r="N14" i="97"/>
  <c r="L14" i="97"/>
  <c r="H14" i="97"/>
  <c r="D14" i="97"/>
  <c r="B14" i="97"/>
  <c r="X13" i="97"/>
  <c r="Z13" i="97" s="1"/>
  <c r="T13" i="97"/>
  <c r="T12" i="97" s="1"/>
  <c r="V57" i="97" s="1"/>
  <c r="P13" i="97"/>
  <c r="H13" i="97"/>
  <c r="H12" i="97" s="1"/>
  <c r="J77" i="97" s="1"/>
  <c r="D13" i="97"/>
  <c r="D12" i="97" s="1"/>
  <c r="F77" i="97" s="1"/>
  <c r="B13" i="97"/>
  <c r="P12" i="97"/>
  <c r="R84" i="97" s="1"/>
  <c r="D6" i="97"/>
  <c r="D4" i="97"/>
  <c r="Z94" i="95"/>
  <c r="X94" i="95"/>
  <c r="N94" i="95"/>
  <c r="L94" i="95"/>
  <c r="R92" i="95"/>
  <c r="T90" i="95"/>
  <c r="P90" i="95"/>
  <c r="P89" i="95" s="1"/>
  <c r="H90" i="95"/>
  <c r="N90" i="95" s="1"/>
  <c r="D90" i="95"/>
  <c r="D89" i="95" s="1"/>
  <c r="L89" i="95" s="1"/>
  <c r="B90" i="95"/>
  <c r="T89" i="95"/>
  <c r="N89" i="95"/>
  <c r="J89" i="95"/>
  <c r="H89" i="95"/>
  <c r="X87" i="95"/>
  <c r="Z87" i="95" s="1"/>
  <c r="N87" i="95"/>
  <c r="L87" i="95"/>
  <c r="J87" i="95"/>
  <c r="B87" i="95"/>
  <c r="T86" i="95"/>
  <c r="P86" i="95"/>
  <c r="X86" i="95" s="1"/>
  <c r="Z86" i="95" s="1"/>
  <c r="N86" i="95"/>
  <c r="H86" i="95"/>
  <c r="D86" i="95"/>
  <c r="L86" i="95" s="1"/>
  <c r="B86" i="95"/>
  <c r="Z85" i="95"/>
  <c r="X85" i="95"/>
  <c r="L85" i="95"/>
  <c r="N85" i="95" s="1"/>
  <c r="B85" i="95"/>
  <c r="X84" i="95"/>
  <c r="Z84" i="95" s="1"/>
  <c r="T84" i="95"/>
  <c r="P84" i="95"/>
  <c r="H84" i="95"/>
  <c r="D84" i="95"/>
  <c r="L84" i="95" s="1"/>
  <c r="B84" i="95"/>
  <c r="X83" i="95"/>
  <c r="Z83" i="95" s="1"/>
  <c r="N83" i="95"/>
  <c r="L83" i="95"/>
  <c r="B83" i="95"/>
  <c r="T82" i="95"/>
  <c r="R82" i="95"/>
  <c r="P82" i="95"/>
  <c r="H82" i="95"/>
  <c r="D82" i="95"/>
  <c r="B82" i="95"/>
  <c r="Z81" i="95"/>
  <c r="X81" i="95"/>
  <c r="N81" i="95"/>
  <c r="L81" i="95"/>
  <c r="B81" i="95"/>
  <c r="Z80" i="95"/>
  <c r="X80" i="95"/>
  <c r="L80" i="95"/>
  <c r="N80" i="95" s="1"/>
  <c r="B80" i="95"/>
  <c r="Z79" i="95"/>
  <c r="X79" i="95"/>
  <c r="R79" i="95"/>
  <c r="N79" i="95"/>
  <c r="L79" i="95"/>
  <c r="J79" i="95"/>
  <c r="B79" i="95"/>
  <c r="Z78" i="95"/>
  <c r="X78" i="95"/>
  <c r="L78" i="95"/>
  <c r="N78" i="95" s="1"/>
  <c r="B78" i="95"/>
  <c r="X77" i="95"/>
  <c r="Z77" i="95" s="1"/>
  <c r="N77" i="95"/>
  <c r="L77" i="95"/>
  <c r="B77" i="95"/>
  <c r="Z76" i="95"/>
  <c r="X76" i="95"/>
  <c r="L76" i="95"/>
  <c r="N76" i="95" s="1"/>
  <c r="B76" i="95"/>
  <c r="X75" i="95"/>
  <c r="Z75" i="95" s="1"/>
  <c r="N75" i="95"/>
  <c r="L75" i="95"/>
  <c r="J75" i="95"/>
  <c r="B75" i="95"/>
  <c r="Z74" i="95"/>
  <c r="X74" i="95"/>
  <c r="N74" i="95"/>
  <c r="L74" i="95"/>
  <c r="J74" i="95"/>
  <c r="B74" i="95"/>
  <c r="X73" i="95"/>
  <c r="Z73" i="95" s="1"/>
  <c r="R73" i="95"/>
  <c r="N73" i="95"/>
  <c r="L73" i="95"/>
  <c r="B73" i="95"/>
  <c r="T72" i="95"/>
  <c r="P72" i="95"/>
  <c r="X72" i="95" s="1"/>
  <c r="Z72" i="95" s="1"/>
  <c r="H72" i="95"/>
  <c r="D72" i="95"/>
  <c r="L72" i="95" s="1"/>
  <c r="N72" i="95" s="1"/>
  <c r="B72" i="95"/>
  <c r="Z71" i="95"/>
  <c r="X71" i="95"/>
  <c r="N71" i="95"/>
  <c r="L71" i="95"/>
  <c r="B71" i="95"/>
  <c r="X70" i="95"/>
  <c r="Z70" i="95" s="1"/>
  <c r="L70" i="95"/>
  <c r="N70" i="95" s="1"/>
  <c r="J70" i="95"/>
  <c r="B70" i="95"/>
  <c r="T69" i="95"/>
  <c r="P69" i="95"/>
  <c r="X69" i="95" s="1"/>
  <c r="Z69" i="95" s="1"/>
  <c r="H69" i="95"/>
  <c r="D69" i="95"/>
  <c r="B69" i="95"/>
  <c r="Z68" i="95"/>
  <c r="X68" i="95"/>
  <c r="R68" i="95"/>
  <c r="N68" i="95"/>
  <c r="L68" i="95"/>
  <c r="B68" i="95"/>
  <c r="X67" i="95"/>
  <c r="Z67" i="95" s="1"/>
  <c r="N67" i="95"/>
  <c r="L67" i="95"/>
  <c r="J67" i="95"/>
  <c r="B67" i="95"/>
  <c r="X66" i="95"/>
  <c r="Z66" i="95" s="1"/>
  <c r="N66" i="95"/>
  <c r="L66" i="95"/>
  <c r="B66" i="95"/>
  <c r="Z65" i="95"/>
  <c r="X65" i="95"/>
  <c r="N65" i="95"/>
  <c r="L65" i="95"/>
  <c r="J65" i="95"/>
  <c r="B65" i="95"/>
  <c r="Z64" i="95"/>
  <c r="X64" i="95"/>
  <c r="L64" i="95"/>
  <c r="N64" i="95" s="1"/>
  <c r="B64" i="95"/>
  <c r="T63" i="95"/>
  <c r="X63" i="95" s="1"/>
  <c r="Z63" i="95" s="1"/>
  <c r="P63" i="95"/>
  <c r="H63" i="95"/>
  <c r="D63" i="95"/>
  <c r="B63" i="95"/>
  <c r="Z62" i="95"/>
  <c r="X62" i="95"/>
  <c r="L62" i="95"/>
  <c r="N62" i="95" s="1"/>
  <c r="B62" i="95"/>
  <c r="X61" i="95"/>
  <c r="Z61" i="95" s="1"/>
  <c r="N61" i="95"/>
  <c r="L61" i="95"/>
  <c r="B61" i="95"/>
  <c r="Z60" i="95"/>
  <c r="X60" i="95"/>
  <c r="N60" i="95"/>
  <c r="L60" i="95"/>
  <c r="J60" i="95"/>
  <c r="B60" i="95"/>
  <c r="X59" i="95"/>
  <c r="Z59" i="95" s="1"/>
  <c r="N59" i="95"/>
  <c r="L59" i="95"/>
  <c r="B59" i="95"/>
  <c r="X58" i="95"/>
  <c r="Z58" i="95" s="1"/>
  <c r="T58" i="95"/>
  <c r="P58" i="95"/>
  <c r="J58" i="95"/>
  <c r="H58" i="95"/>
  <c r="D58" i="95"/>
  <c r="L58" i="95" s="1"/>
  <c r="N58" i="95" s="1"/>
  <c r="B58" i="95"/>
  <c r="X57" i="95"/>
  <c r="Z57" i="95" s="1"/>
  <c r="N57" i="95"/>
  <c r="L57" i="95"/>
  <c r="J57" i="95"/>
  <c r="B57" i="95"/>
  <c r="Z56" i="95"/>
  <c r="X56" i="95"/>
  <c r="T56" i="95"/>
  <c r="P56" i="95"/>
  <c r="L56" i="95"/>
  <c r="J56" i="95"/>
  <c r="H56" i="95"/>
  <c r="D56" i="95"/>
  <c r="B56" i="95"/>
  <c r="Z55" i="95"/>
  <c r="X55" i="95"/>
  <c r="L55" i="95"/>
  <c r="N55" i="95" s="1"/>
  <c r="B55" i="95"/>
  <c r="X54" i="95"/>
  <c r="Z54" i="95" s="1"/>
  <c r="T54" i="95"/>
  <c r="R54" i="95"/>
  <c r="P54" i="95"/>
  <c r="H54" i="95"/>
  <c r="D54" i="95"/>
  <c r="B54" i="95"/>
  <c r="Z53" i="95"/>
  <c r="X53" i="95"/>
  <c r="R53" i="95"/>
  <c r="L53" i="95"/>
  <c r="N53" i="95" s="1"/>
  <c r="B53" i="95"/>
  <c r="T52" i="95"/>
  <c r="Z52" i="95" s="1"/>
  <c r="R52" i="95"/>
  <c r="P52" i="95"/>
  <c r="X52" i="95" s="1"/>
  <c r="J52" i="95"/>
  <c r="H52" i="95"/>
  <c r="D52" i="95"/>
  <c r="L52" i="95" s="1"/>
  <c r="N52" i="95" s="1"/>
  <c r="B52" i="95"/>
  <c r="X51" i="95"/>
  <c r="Z51" i="95" s="1"/>
  <c r="L51" i="95"/>
  <c r="N51" i="95" s="1"/>
  <c r="B51" i="95"/>
  <c r="T50" i="95"/>
  <c r="P50" i="95"/>
  <c r="X50" i="95" s="1"/>
  <c r="J50" i="95"/>
  <c r="H50" i="95"/>
  <c r="D50" i="95"/>
  <c r="B50" i="95"/>
  <c r="X49" i="95"/>
  <c r="Z49" i="95" s="1"/>
  <c r="N49" i="95"/>
  <c r="L49" i="95"/>
  <c r="B49" i="95"/>
  <c r="T48" i="95"/>
  <c r="Z48" i="95" s="1"/>
  <c r="P48" i="95"/>
  <c r="X48" i="95" s="1"/>
  <c r="N48" i="95"/>
  <c r="H48" i="95"/>
  <c r="D48" i="95"/>
  <c r="L48" i="95" s="1"/>
  <c r="B48" i="95"/>
  <c r="X47" i="95"/>
  <c r="Z47" i="95" s="1"/>
  <c r="N47" i="95"/>
  <c r="L47" i="95"/>
  <c r="B47" i="95"/>
  <c r="X46" i="95"/>
  <c r="Z46" i="95" s="1"/>
  <c r="N46" i="95"/>
  <c r="L46" i="95"/>
  <c r="B46" i="95"/>
  <c r="T45" i="95"/>
  <c r="Z45" i="95" s="1"/>
  <c r="P45" i="95"/>
  <c r="X45" i="95" s="1"/>
  <c r="L45" i="95"/>
  <c r="N45" i="95" s="1"/>
  <c r="J45" i="95"/>
  <c r="H45" i="95"/>
  <c r="D45" i="95"/>
  <c r="B45" i="95"/>
  <c r="X44" i="95"/>
  <c r="Z44" i="95" s="1"/>
  <c r="R44" i="95"/>
  <c r="N44" i="95"/>
  <c r="L44" i="95"/>
  <c r="J44" i="95"/>
  <c r="B44" i="95"/>
  <c r="Z43" i="95"/>
  <c r="X43" i="95"/>
  <c r="T43" i="95"/>
  <c r="P43" i="95"/>
  <c r="N43" i="95"/>
  <c r="L43" i="95"/>
  <c r="H43" i="95"/>
  <c r="D43" i="95"/>
  <c r="B43" i="95"/>
  <c r="Z42" i="95"/>
  <c r="X42" i="95"/>
  <c r="L42" i="95"/>
  <c r="N42" i="95" s="1"/>
  <c r="J42" i="95"/>
  <c r="B42" i="95"/>
  <c r="T41" i="95"/>
  <c r="X41" i="95" s="1"/>
  <c r="Z41" i="95" s="1"/>
  <c r="P41" i="95"/>
  <c r="J41" i="95"/>
  <c r="H41" i="95"/>
  <c r="D41" i="95"/>
  <c r="L41" i="95" s="1"/>
  <c r="B41" i="95"/>
  <c r="X40" i="95"/>
  <c r="Z40" i="95" s="1"/>
  <c r="L40" i="95"/>
  <c r="N40" i="95" s="1"/>
  <c r="B40" i="95"/>
  <c r="X39" i="95"/>
  <c r="T39" i="95"/>
  <c r="Z39" i="95" s="1"/>
  <c r="R39" i="95"/>
  <c r="P39" i="95"/>
  <c r="H39" i="95"/>
  <c r="D39" i="95"/>
  <c r="L39" i="95" s="1"/>
  <c r="B39" i="95"/>
  <c r="Z38" i="95"/>
  <c r="X38" i="95"/>
  <c r="R38" i="95"/>
  <c r="N38" i="95"/>
  <c r="L38" i="95"/>
  <c r="B38" i="95"/>
  <c r="Z37" i="95"/>
  <c r="X37" i="95"/>
  <c r="R37" i="95"/>
  <c r="N37" i="95"/>
  <c r="L37" i="95"/>
  <c r="J37" i="95"/>
  <c r="B37" i="95"/>
  <c r="X36" i="95"/>
  <c r="Z36" i="95" s="1"/>
  <c r="R36" i="95"/>
  <c r="N36" i="95"/>
  <c r="L36" i="95"/>
  <c r="J36" i="95"/>
  <c r="B36" i="95"/>
  <c r="Z35" i="95"/>
  <c r="X35" i="95"/>
  <c r="N35" i="95"/>
  <c r="L35" i="95"/>
  <c r="J35" i="95"/>
  <c r="B35" i="95"/>
  <c r="Z34" i="95"/>
  <c r="X34" i="95"/>
  <c r="R34" i="95"/>
  <c r="N34" i="95"/>
  <c r="L34" i="95"/>
  <c r="B34" i="95"/>
  <c r="Z33" i="95"/>
  <c r="X33" i="95"/>
  <c r="R33" i="95"/>
  <c r="N33" i="95"/>
  <c r="L33" i="95"/>
  <c r="J33" i="95"/>
  <c r="B33" i="95"/>
  <c r="T32" i="95"/>
  <c r="R32" i="95"/>
  <c r="P32" i="95"/>
  <c r="X32" i="95" s="1"/>
  <c r="H32" i="95"/>
  <c r="D32" i="95"/>
  <c r="B32" i="95"/>
  <c r="Z31" i="95"/>
  <c r="X31" i="95"/>
  <c r="R31" i="95"/>
  <c r="L31" i="95"/>
  <c r="N31" i="95" s="1"/>
  <c r="J31" i="95"/>
  <c r="B31" i="95"/>
  <c r="Z30" i="95"/>
  <c r="X30" i="95"/>
  <c r="L30" i="95"/>
  <c r="N30" i="95" s="1"/>
  <c r="J30" i="95"/>
  <c r="B30" i="95"/>
  <c r="Z29" i="95"/>
  <c r="X29" i="95"/>
  <c r="R29" i="95"/>
  <c r="L29" i="95"/>
  <c r="N29" i="95" s="1"/>
  <c r="B29" i="95"/>
  <c r="Z28" i="95"/>
  <c r="X28" i="95"/>
  <c r="R28" i="95"/>
  <c r="L28" i="95"/>
  <c r="N28" i="95" s="1"/>
  <c r="J28" i="95"/>
  <c r="B28" i="95"/>
  <c r="Z27" i="95"/>
  <c r="X27" i="95"/>
  <c r="R27" i="95"/>
  <c r="L27" i="95"/>
  <c r="N27" i="95" s="1"/>
  <c r="J27" i="95"/>
  <c r="B27" i="95"/>
  <c r="Z26" i="95"/>
  <c r="X26" i="95"/>
  <c r="L26" i="95"/>
  <c r="N26" i="95" s="1"/>
  <c r="J26" i="95"/>
  <c r="B26" i="95"/>
  <c r="Z25" i="95"/>
  <c r="X25" i="95"/>
  <c r="R25" i="95"/>
  <c r="L25" i="95"/>
  <c r="N25" i="95" s="1"/>
  <c r="B25" i="95"/>
  <c r="Z24" i="95"/>
  <c r="X24" i="95"/>
  <c r="R24" i="95"/>
  <c r="L24" i="95"/>
  <c r="N24" i="95" s="1"/>
  <c r="J24" i="95"/>
  <c r="B24" i="95"/>
  <c r="T23" i="95"/>
  <c r="P23" i="95"/>
  <c r="J23" i="95"/>
  <c r="H23" i="95"/>
  <c r="L23" i="95" s="1"/>
  <c r="N23" i="95" s="1"/>
  <c r="D23" i="95"/>
  <c r="B23" i="95"/>
  <c r="X22" i="95"/>
  <c r="T22" i="95"/>
  <c r="P22" i="95"/>
  <c r="R22" i="95" s="1"/>
  <c r="L22" i="95"/>
  <c r="N22" i="95" s="1"/>
  <c r="J22" i="95"/>
  <c r="H22" i="95"/>
  <c r="D22" i="95"/>
  <c r="P20" i="95"/>
  <c r="P92" i="95" s="1"/>
  <c r="X18" i="95"/>
  <c r="Z18" i="95" s="1"/>
  <c r="L18" i="95"/>
  <c r="N18" i="95" s="1"/>
  <c r="B18" i="95"/>
  <c r="Z17" i="95"/>
  <c r="X17" i="95"/>
  <c r="L17" i="95"/>
  <c r="N17" i="95" s="1"/>
  <c r="J17" i="95"/>
  <c r="B17" i="95"/>
  <c r="X16" i="95"/>
  <c r="Z16" i="95" s="1"/>
  <c r="T16" i="95"/>
  <c r="P16" i="95"/>
  <c r="L16" i="95"/>
  <c r="J16" i="95"/>
  <c r="H16" i="95"/>
  <c r="D16" i="95"/>
  <c r="X14" i="95"/>
  <c r="T14" i="95"/>
  <c r="Z14" i="95" s="1"/>
  <c r="P14" i="95"/>
  <c r="H14" i="95"/>
  <c r="D14" i="95"/>
  <c r="B14" i="95"/>
  <c r="T13" i="95"/>
  <c r="P13" i="95"/>
  <c r="N13" i="95"/>
  <c r="L13" i="95"/>
  <c r="H13" i="95"/>
  <c r="D13" i="95"/>
  <c r="B13" i="95"/>
  <c r="P12" i="95"/>
  <c r="H12" i="95"/>
  <c r="J83" i="95" s="1"/>
  <c r="D6" i="95"/>
  <c r="D4" i="95"/>
  <c r="X79" i="94"/>
  <c r="Z79" i="94" s="1"/>
  <c r="N79" i="94"/>
  <c r="L79" i="94"/>
  <c r="Z75" i="94"/>
  <c r="X75" i="94"/>
  <c r="T75" i="94"/>
  <c r="P75" i="94"/>
  <c r="H75" i="94"/>
  <c r="N75" i="94" s="1"/>
  <c r="D75" i="94"/>
  <c r="L75" i="94" s="1"/>
  <c r="X73" i="94"/>
  <c r="Z73" i="94" s="1"/>
  <c r="N73" i="94"/>
  <c r="L73" i="94"/>
  <c r="B73" i="94"/>
  <c r="X72" i="94"/>
  <c r="Z72" i="94" s="1"/>
  <c r="T72" i="94"/>
  <c r="P72" i="94"/>
  <c r="N72" i="94"/>
  <c r="H72" i="94"/>
  <c r="D72" i="94"/>
  <c r="L72" i="94" s="1"/>
  <c r="B72" i="94"/>
  <c r="X71" i="94"/>
  <c r="Z71" i="94" s="1"/>
  <c r="N71" i="94"/>
  <c r="L71" i="94"/>
  <c r="B71" i="94"/>
  <c r="X70" i="94"/>
  <c r="Z70" i="94" s="1"/>
  <c r="T70" i="94"/>
  <c r="P70" i="94"/>
  <c r="N70" i="94"/>
  <c r="L70" i="94"/>
  <c r="H70" i="94"/>
  <c r="D70" i="94"/>
  <c r="B70" i="94"/>
  <c r="Z69" i="94"/>
  <c r="X69" i="94"/>
  <c r="N69" i="94"/>
  <c r="L69" i="94"/>
  <c r="B69" i="94"/>
  <c r="Z68" i="94"/>
  <c r="X68" i="94"/>
  <c r="V68" i="94"/>
  <c r="R68" i="94"/>
  <c r="L68" i="94"/>
  <c r="N68" i="94" s="1"/>
  <c r="B68" i="94"/>
  <c r="Z67" i="94"/>
  <c r="X67" i="94"/>
  <c r="N67" i="94"/>
  <c r="L67" i="94"/>
  <c r="B67" i="94"/>
  <c r="Z66" i="94"/>
  <c r="X66" i="94"/>
  <c r="V66" i="94"/>
  <c r="N66" i="94"/>
  <c r="L66" i="94"/>
  <c r="B66" i="94"/>
  <c r="Z65" i="94"/>
  <c r="X65" i="94"/>
  <c r="N65" i="94"/>
  <c r="L65" i="94"/>
  <c r="B65" i="94"/>
  <c r="Z64" i="94"/>
  <c r="X64" i="94"/>
  <c r="L64" i="94"/>
  <c r="N64" i="94" s="1"/>
  <c r="B64" i="94"/>
  <c r="Z63" i="94"/>
  <c r="X63" i="94"/>
  <c r="L63" i="94"/>
  <c r="N63" i="94" s="1"/>
  <c r="B63" i="94"/>
  <c r="Z62" i="94"/>
  <c r="V62" i="94"/>
  <c r="T62" i="94"/>
  <c r="X62" i="94" s="1"/>
  <c r="P62" i="94"/>
  <c r="H62" i="94"/>
  <c r="D62" i="94"/>
  <c r="B62" i="94"/>
  <c r="X61" i="94"/>
  <c r="Z61" i="94" s="1"/>
  <c r="N61" i="94"/>
  <c r="L61" i="94"/>
  <c r="B61" i="94"/>
  <c r="X60" i="94"/>
  <c r="Z60" i="94" s="1"/>
  <c r="T60" i="94"/>
  <c r="P60" i="94"/>
  <c r="N60" i="94"/>
  <c r="H60" i="94"/>
  <c r="D60" i="94"/>
  <c r="L60" i="94" s="1"/>
  <c r="B60" i="94"/>
  <c r="X59" i="94"/>
  <c r="Z59" i="94" s="1"/>
  <c r="R59" i="94"/>
  <c r="N59" i="94"/>
  <c r="L59" i="94"/>
  <c r="B59" i="94"/>
  <c r="T58" i="94"/>
  <c r="X58" i="94" s="1"/>
  <c r="Z58" i="94" s="1"/>
  <c r="P58" i="94"/>
  <c r="L58" i="94"/>
  <c r="N58" i="94" s="1"/>
  <c r="H58" i="94"/>
  <c r="D58" i="94"/>
  <c r="B58" i="94"/>
  <c r="Z57" i="94"/>
  <c r="X57" i="94"/>
  <c r="L57" i="94"/>
  <c r="N57" i="94" s="1"/>
  <c r="B57" i="94"/>
  <c r="T56" i="94"/>
  <c r="P56" i="94"/>
  <c r="X56" i="94" s="1"/>
  <c r="H56" i="94"/>
  <c r="D56" i="94"/>
  <c r="B56" i="94"/>
  <c r="X55" i="94"/>
  <c r="Z55" i="94" s="1"/>
  <c r="L55" i="94"/>
  <c r="N55" i="94" s="1"/>
  <c r="B55" i="94"/>
  <c r="X54" i="94"/>
  <c r="Z54" i="94" s="1"/>
  <c r="N54" i="94"/>
  <c r="L54" i="94"/>
  <c r="B54" i="94"/>
  <c r="X53" i="94"/>
  <c r="Z53" i="94" s="1"/>
  <c r="T53" i="94"/>
  <c r="P53" i="94"/>
  <c r="H53" i="94"/>
  <c r="F53" i="94"/>
  <c r="D53" i="94"/>
  <c r="L53" i="94" s="1"/>
  <c r="B53" i="94"/>
  <c r="Z52" i="94"/>
  <c r="X52" i="94"/>
  <c r="N52" i="94"/>
  <c r="L52" i="94"/>
  <c r="B52" i="94"/>
  <c r="T51" i="94"/>
  <c r="P51" i="94"/>
  <c r="H51" i="94"/>
  <c r="D51" i="94"/>
  <c r="B51" i="94"/>
  <c r="Z50" i="94"/>
  <c r="X50" i="94"/>
  <c r="L50" i="94"/>
  <c r="N50" i="94" s="1"/>
  <c r="B50" i="94"/>
  <c r="T49" i="94"/>
  <c r="P49" i="94"/>
  <c r="N49" i="94"/>
  <c r="H49" i="94"/>
  <c r="D49" i="94"/>
  <c r="L49" i="94" s="1"/>
  <c r="B49" i="94"/>
  <c r="X48" i="94"/>
  <c r="Z48" i="94" s="1"/>
  <c r="N48" i="94"/>
  <c r="L48" i="94"/>
  <c r="B48" i="94"/>
  <c r="T47" i="94"/>
  <c r="P47" i="94"/>
  <c r="X47" i="94" s="1"/>
  <c r="N47" i="94"/>
  <c r="L47" i="94"/>
  <c r="H47" i="94"/>
  <c r="D47" i="94"/>
  <c r="B47" i="94"/>
  <c r="Z46" i="94"/>
  <c r="X46" i="94"/>
  <c r="N46" i="94"/>
  <c r="L46" i="94"/>
  <c r="B46" i="94"/>
  <c r="T45" i="94"/>
  <c r="P45" i="94"/>
  <c r="X45" i="94" s="1"/>
  <c r="L45" i="94"/>
  <c r="N45" i="94" s="1"/>
  <c r="H45" i="94"/>
  <c r="D45" i="94"/>
  <c r="B45" i="94"/>
  <c r="Z44" i="94"/>
  <c r="X44" i="94"/>
  <c r="L44" i="94"/>
  <c r="N44" i="94" s="1"/>
  <c r="J44" i="94"/>
  <c r="B44" i="94"/>
  <c r="Z43" i="94"/>
  <c r="T43" i="94"/>
  <c r="P43" i="94"/>
  <c r="X43" i="94" s="1"/>
  <c r="N43" i="94"/>
  <c r="H43" i="94"/>
  <c r="D43" i="94"/>
  <c r="L43" i="94" s="1"/>
  <c r="B43" i="94"/>
  <c r="X42" i="94"/>
  <c r="Z42" i="94" s="1"/>
  <c r="L42" i="94"/>
  <c r="N42" i="94" s="1"/>
  <c r="F42" i="94"/>
  <c r="B42" i="94"/>
  <c r="X41" i="94"/>
  <c r="Z41" i="94" s="1"/>
  <c r="T41" i="94"/>
  <c r="P41" i="94"/>
  <c r="H41" i="94"/>
  <c r="D41" i="94"/>
  <c r="L41" i="94" s="1"/>
  <c r="B41" i="94"/>
  <c r="X40" i="94"/>
  <c r="Z40" i="94" s="1"/>
  <c r="N40" i="94"/>
  <c r="L40" i="94"/>
  <c r="B40" i="94"/>
  <c r="T39" i="94"/>
  <c r="P39" i="94"/>
  <c r="H39" i="94"/>
  <c r="F39" i="94"/>
  <c r="D39" i="94"/>
  <c r="B39" i="94"/>
  <c r="Z38" i="94"/>
  <c r="X38" i="94"/>
  <c r="L38" i="94"/>
  <c r="N38" i="94" s="1"/>
  <c r="B38" i="94"/>
  <c r="Z37" i="94"/>
  <c r="X37" i="94"/>
  <c r="V37" i="94"/>
  <c r="R37" i="94"/>
  <c r="L37" i="94"/>
  <c r="N37" i="94" s="1"/>
  <c r="B37" i="94"/>
  <c r="Z36" i="94"/>
  <c r="X36" i="94"/>
  <c r="N36" i="94"/>
  <c r="L36" i="94"/>
  <c r="J36" i="94"/>
  <c r="B36" i="94"/>
  <c r="Z35" i="94"/>
  <c r="X35" i="94"/>
  <c r="N35" i="94"/>
  <c r="L35" i="94"/>
  <c r="B35" i="94"/>
  <c r="Z34" i="94"/>
  <c r="X34" i="94"/>
  <c r="L34" i="94"/>
  <c r="N34" i="94" s="1"/>
  <c r="B34" i="94"/>
  <c r="Z33" i="94"/>
  <c r="X33" i="94"/>
  <c r="L33" i="94"/>
  <c r="N33" i="94" s="1"/>
  <c r="B33" i="94"/>
  <c r="T32" i="94"/>
  <c r="P32" i="94"/>
  <c r="X32" i="94" s="1"/>
  <c r="H32" i="94"/>
  <c r="D32" i="94"/>
  <c r="B32" i="94"/>
  <c r="X31" i="94"/>
  <c r="Z31" i="94" s="1"/>
  <c r="L31" i="94"/>
  <c r="N31" i="94" s="1"/>
  <c r="B31" i="94"/>
  <c r="X30" i="94"/>
  <c r="Z30" i="94" s="1"/>
  <c r="L30" i="94"/>
  <c r="N30" i="94" s="1"/>
  <c r="F30" i="94"/>
  <c r="B30" i="94"/>
  <c r="X29" i="94"/>
  <c r="Z29" i="94" s="1"/>
  <c r="L29" i="94"/>
  <c r="N29" i="94" s="1"/>
  <c r="B29" i="94"/>
  <c r="X28" i="94"/>
  <c r="Z28" i="94" s="1"/>
  <c r="L28" i="94"/>
  <c r="N28" i="94" s="1"/>
  <c r="B28" i="94"/>
  <c r="X27" i="94"/>
  <c r="Z27" i="94" s="1"/>
  <c r="N27" i="94"/>
  <c r="L27" i="94"/>
  <c r="B27" i="94"/>
  <c r="X26" i="94"/>
  <c r="Z26" i="94" s="1"/>
  <c r="L26" i="94"/>
  <c r="N26" i="94" s="1"/>
  <c r="B26" i="94"/>
  <c r="X25" i="94"/>
  <c r="Z25" i="94" s="1"/>
  <c r="V25" i="94"/>
  <c r="L25" i="94"/>
  <c r="N25" i="94" s="1"/>
  <c r="B25" i="94"/>
  <c r="X24" i="94"/>
  <c r="Z24" i="94" s="1"/>
  <c r="N24" i="94"/>
  <c r="L24" i="94"/>
  <c r="B24" i="94"/>
  <c r="X23" i="94"/>
  <c r="T23" i="94"/>
  <c r="Z23" i="94" s="1"/>
  <c r="P23" i="94"/>
  <c r="L23" i="94"/>
  <c r="N23" i="94" s="1"/>
  <c r="H23" i="94"/>
  <c r="D23" i="94"/>
  <c r="B23" i="94"/>
  <c r="T22" i="94"/>
  <c r="P22" i="94"/>
  <c r="N22" i="94"/>
  <c r="L22" i="94"/>
  <c r="H22" i="94"/>
  <c r="D22" i="94"/>
  <c r="Z18" i="94"/>
  <c r="X18" i="94"/>
  <c r="N18" i="94"/>
  <c r="L18" i="94"/>
  <c r="B18" i="94"/>
  <c r="Z17" i="94"/>
  <c r="X17" i="94"/>
  <c r="N17" i="94"/>
  <c r="L17" i="94"/>
  <c r="J17" i="94"/>
  <c r="B17" i="94"/>
  <c r="X16" i="94"/>
  <c r="Z16" i="94" s="1"/>
  <c r="T16" i="94"/>
  <c r="P16" i="94"/>
  <c r="H16" i="94"/>
  <c r="D16" i="94"/>
  <c r="L16" i="94" s="1"/>
  <c r="Z14" i="94"/>
  <c r="X14" i="94"/>
  <c r="T14" i="94"/>
  <c r="P14" i="94"/>
  <c r="H14" i="94"/>
  <c r="D14" i="94"/>
  <c r="B14" i="94"/>
  <c r="T13" i="94"/>
  <c r="T12" i="94" s="1"/>
  <c r="V23" i="94" s="1"/>
  <c r="P13" i="94"/>
  <c r="P12" i="94" s="1"/>
  <c r="R51" i="94" s="1"/>
  <c r="N13" i="94"/>
  <c r="H13" i="94"/>
  <c r="D13" i="94"/>
  <c r="L13" i="94" s="1"/>
  <c r="B13" i="94"/>
  <c r="H12" i="94"/>
  <c r="J63" i="94" s="1"/>
  <c r="D12" i="94"/>
  <c r="F79" i="94" s="1"/>
  <c r="D6" i="94"/>
  <c r="D4" i="94"/>
  <c r="X73" i="93"/>
  <c r="Z73" i="93" s="1"/>
  <c r="L73" i="93"/>
  <c r="N73" i="93" s="1"/>
  <c r="T69" i="93"/>
  <c r="T68" i="93" s="1"/>
  <c r="P69" i="93"/>
  <c r="L69" i="93"/>
  <c r="N69" i="93" s="1"/>
  <c r="H69" i="93"/>
  <c r="D69" i="93"/>
  <c r="D68" i="93" s="1"/>
  <c r="L68" i="93" s="1"/>
  <c r="B69" i="93"/>
  <c r="P68" i="93"/>
  <c r="H68" i="93"/>
  <c r="Z66" i="93"/>
  <c r="X66" i="93"/>
  <c r="L66" i="93"/>
  <c r="N66" i="93" s="1"/>
  <c r="B66" i="93"/>
  <c r="T65" i="93"/>
  <c r="P65" i="93"/>
  <c r="H65" i="93"/>
  <c r="D65" i="93"/>
  <c r="B65" i="93"/>
  <c r="X64" i="93"/>
  <c r="Z64" i="93" s="1"/>
  <c r="N64" i="93"/>
  <c r="L64" i="93"/>
  <c r="F64" i="93"/>
  <c r="B64" i="93"/>
  <c r="Z63" i="93"/>
  <c r="X63" i="93"/>
  <c r="T63" i="93"/>
  <c r="P63" i="93"/>
  <c r="H63" i="93"/>
  <c r="D63" i="93"/>
  <c r="L63" i="93" s="1"/>
  <c r="B63" i="93"/>
  <c r="X62" i="93"/>
  <c r="Z62" i="93" s="1"/>
  <c r="N62" i="93"/>
  <c r="L62" i="93"/>
  <c r="B62" i="93"/>
  <c r="Z61" i="93"/>
  <c r="X61" i="93"/>
  <c r="N61" i="93"/>
  <c r="L61" i="93"/>
  <c r="B61" i="93"/>
  <c r="Z60" i="93"/>
  <c r="X60" i="93"/>
  <c r="N60" i="93"/>
  <c r="L60" i="93"/>
  <c r="J60" i="93"/>
  <c r="B60" i="93"/>
  <c r="Z59" i="93"/>
  <c r="X59" i="93"/>
  <c r="N59" i="93"/>
  <c r="L59" i="93"/>
  <c r="B59" i="93"/>
  <c r="X58" i="93"/>
  <c r="Z58" i="93" s="1"/>
  <c r="N58" i="93"/>
  <c r="L58" i="93"/>
  <c r="B58" i="93"/>
  <c r="Z57" i="93"/>
  <c r="X57" i="93"/>
  <c r="L57" i="93"/>
  <c r="N57" i="93" s="1"/>
  <c r="B57" i="93"/>
  <c r="T56" i="93"/>
  <c r="P56" i="93"/>
  <c r="H56" i="93"/>
  <c r="D56" i="93"/>
  <c r="B56" i="93"/>
  <c r="X55" i="93"/>
  <c r="Z55" i="93" s="1"/>
  <c r="N55" i="93"/>
  <c r="L55" i="93"/>
  <c r="B55" i="93"/>
  <c r="X54" i="93"/>
  <c r="Z54" i="93" s="1"/>
  <c r="N54" i="93"/>
  <c r="L54" i="93"/>
  <c r="B54" i="93"/>
  <c r="Z53" i="93"/>
  <c r="X53" i="93"/>
  <c r="N53" i="93"/>
  <c r="L53" i="93"/>
  <c r="B53" i="93"/>
  <c r="T52" i="93"/>
  <c r="Z52" i="93" s="1"/>
  <c r="P52" i="93"/>
  <c r="X52" i="93" s="1"/>
  <c r="L52" i="93"/>
  <c r="N52" i="93" s="1"/>
  <c r="H52" i="93"/>
  <c r="D52" i="93"/>
  <c r="B52" i="93"/>
  <c r="Z51" i="93"/>
  <c r="X51" i="93"/>
  <c r="L51" i="93"/>
  <c r="N51" i="93" s="1"/>
  <c r="B51" i="93"/>
  <c r="X50" i="93"/>
  <c r="Z50" i="93" s="1"/>
  <c r="N50" i="93"/>
  <c r="L50" i="93"/>
  <c r="B50" i="93"/>
  <c r="Z49" i="93"/>
  <c r="X49" i="93"/>
  <c r="N49" i="93"/>
  <c r="L49" i="93"/>
  <c r="B49" i="93"/>
  <c r="T48" i="93"/>
  <c r="P48" i="93"/>
  <c r="X48" i="93" s="1"/>
  <c r="H48" i="93"/>
  <c r="D48" i="93"/>
  <c r="L48" i="93" s="1"/>
  <c r="N48" i="93" s="1"/>
  <c r="B48" i="93"/>
  <c r="X47" i="93"/>
  <c r="Z47" i="93" s="1"/>
  <c r="N47" i="93"/>
  <c r="L47" i="93"/>
  <c r="B47" i="93"/>
  <c r="T46" i="93"/>
  <c r="P46" i="93"/>
  <c r="X46" i="93" s="1"/>
  <c r="L46" i="93"/>
  <c r="H46" i="93"/>
  <c r="N46" i="93" s="1"/>
  <c r="D46" i="93"/>
  <c r="B46" i="93"/>
  <c r="X45" i="93"/>
  <c r="Z45" i="93" s="1"/>
  <c r="N45" i="93"/>
  <c r="L45" i="93"/>
  <c r="B45" i="93"/>
  <c r="T44" i="93"/>
  <c r="P44" i="93"/>
  <c r="X44" i="93" s="1"/>
  <c r="L44" i="93"/>
  <c r="N44" i="93" s="1"/>
  <c r="H44" i="93"/>
  <c r="D44" i="93"/>
  <c r="B44" i="93"/>
  <c r="Z43" i="93"/>
  <c r="X43" i="93"/>
  <c r="L43" i="93"/>
  <c r="N43" i="93" s="1"/>
  <c r="B43" i="93"/>
  <c r="T42" i="93"/>
  <c r="P42" i="93"/>
  <c r="X42" i="93" s="1"/>
  <c r="H42" i="93"/>
  <c r="D42" i="93"/>
  <c r="L42" i="93" s="1"/>
  <c r="B42" i="93"/>
  <c r="Z41" i="93"/>
  <c r="X41" i="93"/>
  <c r="L41" i="93"/>
  <c r="N41" i="93" s="1"/>
  <c r="B41" i="93"/>
  <c r="X40" i="93"/>
  <c r="T40" i="93"/>
  <c r="Z40" i="93" s="1"/>
  <c r="P40" i="93"/>
  <c r="H40" i="93"/>
  <c r="D40" i="93"/>
  <c r="L40" i="93" s="1"/>
  <c r="B40" i="93"/>
  <c r="Z39" i="93"/>
  <c r="X39" i="93"/>
  <c r="N39" i="93"/>
  <c r="L39" i="93"/>
  <c r="B39" i="93"/>
  <c r="X38" i="93"/>
  <c r="Z38" i="93" s="1"/>
  <c r="T38" i="93"/>
  <c r="P38" i="93"/>
  <c r="H38" i="93"/>
  <c r="D38" i="93"/>
  <c r="L38" i="93" s="1"/>
  <c r="B38" i="93"/>
  <c r="Z37" i="93"/>
  <c r="X37" i="93"/>
  <c r="N37" i="93"/>
  <c r="L37" i="93"/>
  <c r="B37" i="93"/>
  <c r="Z36" i="93"/>
  <c r="X36" i="93"/>
  <c r="L36" i="93"/>
  <c r="N36" i="93" s="1"/>
  <c r="B36" i="93"/>
  <c r="Z35" i="93"/>
  <c r="X35" i="93"/>
  <c r="L35" i="93"/>
  <c r="N35" i="93" s="1"/>
  <c r="J35" i="93"/>
  <c r="B35" i="93"/>
  <c r="X34" i="93"/>
  <c r="Z34" i="93" s="1"/>
  <c r="L34" i="93"/>
  <c r="N34" i="93" s="1"/>
  <c r="B34" i="93"/>
  <c r="Z33" i="93"/>
  <c r="X33" i="93"/>
  <c r="N33" i="93"/>
  <c r="L33" i="93"/>
  <c r="B33" i="93"/>
  <c r="T32" i="93"/>
  <c r="P32" i="93"/>
  <c r="X32" i="93" s="1"/>
  <c r="H32" i="93"/>
  <c r="D32" i="93"/>
  <c r="L32" i="93" s="1"/>
  <c r="B32" i="93"/>
  <c r="X31" i="93"/>
  <c r="Z31" i="93" s="1"/>
  <c r="N31" i="93"/>
  <c r="L31" i="93"/>
  <c r="B31" i="93"/>
  <c r="X30" i="93"/>
  <c r="Z30" i="93" s="1"/>
  <c r="L30" i="93"/>
  <c r="N30" i="93" s="1"/>
  <c r="B30" i="93"/>
  <c r="Z29" i="93"/>
  <c r="X29" i="93"/>
  <c r="N29" i="93"/>
  <c r="L29" i="93"/>
  <c r="F29" i="93"/>
  <c r="B29" i="93"/>
  <c r="X28" i="93"/>
  <c r="Z28" i="93" s="1"/>
  <c r="L28" i="93"/>
  <c r="N28" i="93" s="1"/>
  <c r="B28" i="93"/>
  <c r="X27" i="93"/>
  <c r="Z27" i="93" s="1"/>
  <c r="N27" i="93"/>
  <c r="L27" i="93"/>
  <c r="B27" i="93"/>
  <c r="X26" i="93"/>
  <c r="Z26" i="93" s="1"/>
  <c r="L26" i="93"/>
  <c r="N26" i="93" s="1"/>
  <c r="B26" i="93"/>
  <c r="Z25" i="93"/>
  <c r="X25" i="93"/>
  <c r="N25" i="93"/>
  <c r="L25" i="93"/>
  <c r="F25" i="93"/>
  <c r="B25" i="93"/>
  <c r="X24" i="93"/>
  <c r="Z24" i="93" s="1"/>
  <c r="L24" i="93"/>
  <c r="N24" i="93" s="1"/>
  <c r="B24" i="93"/>
  <c r="X23" i="93"/>
  <c r="Z23" i="93" s="1"/>
  <c r="T23" i="93"/>
  <c r="P23" i="93"/>
  <c r="H23" i="93"/>
  <c r="D23" i="93"/>
  <c r="L23" i="93" s="1"/>
  <c r="N23" i="93" s="1"/>
  <c r="B23" i="93"/>
  <c r="X22" i="93"/>
  <c r="Z22" i="93" s="1"/>
  <c r="T22" i="93"/>
  <c r="P22" i="93"/>
  <c r="H22" i="93"/>
  <c r="D22" i="93"/>
  <c r="L22" i="93" s="1"/>
  <c r="X18" i="93"/>
  <c r="Z18" i="93" s="1"/>
  <c r="L18" i="93"/>
  <c r="N18" i="93" s="1"/>
  <c r="B18" i="93"/>
  <c r="Z17" i="93"/>
  <c r="X17" i="93"/>
  <c r="N17" i="93"/>
  <c r="L17" i="93"/>
  <c r="B17" i="93"/>
  <c r="T16" i="93"/>
  <c r="Z16" i="93" s="1"/>
  <c r="P16" i="93"/>
  <c r="X16" i="93" s="1"/>
  <c r="L16" i="93"/>
  <c r="N16" i="93" s="1"/>
  <c r="H16" i="93"/>
  <c r="D16" i="93"/>
  <c r="T14" i="93"/>
  <c r="P14" i="93"/>
  <c r="P12" i="93" s="1"/>
  <c r="R17" i="93" s="1"/>
  <c r="H14" i="93"/>
  <c r="D14" i="93"/>
  <c r="L14" i="93" s="1"/>
  <c r="B14" i="93"/>
  <c r="T13" i="93"/>
  <c r="X13" i="93" s="1"/>
  <c r="Z13" i="93" s="1"/>
  <c r="P13" i="93"/>
  <c r="H13" i="93"/>
  <c r="H12" i="93" s="1"/>
  <c r="J69" i="93" s="1"/>
  <c r="D13" i="93"/>
  <c r="D12" i="93" s="1"/>
  <c r="B13" i="93"/>
  <c r="D6" i="93"/>
  <c r="D4" i="93"/>
  <c r="X74" i="92"/>
  <c r="Z74" i="92" s="1"/>
  <c r="R74" i="92"/>
  <c r="L74" i="92"/>
  <c r="N74" i="92" s="1"/>
  <c r="T70" i="92"/>
  <c r="Z70" i="92" s="1"/>
  <c r="P70" i="92"/>
  <c r="X70" i="92" s="1"/>
  <c r="N70" i="92"/>
  <c r="L70" i="92"/>
  <c r="H70" i="92"/>
  <c r="D70" i="92"/>
  <c r="X68" i="92"/>
  <c r="Z68" i="92" s="1"/>
  <c r="N68" i="92"/>
  <c r="L68" i="92"/>
  <c r="B68" i="92"/>
  <c r="Z67" i="92"/>
  <c r="X67" i="92"/>
  <c r="T67" i="92"/>
  <c r="P67" i="92"/>
  <c r="H67" i="92"/>
  <c r="D67" i="92"/>
  <c r="B67" i="92"/>
  <c r="X66" i="92"/>
  <c r="Z66" i="92" s="1"/>
  <c r="L66" i="92"/>
  <c r="N66" i="92" s="1"/>
  <c r="B66" i="92"/>
  <c r="T65" i="92"/>
  <c r="P65" i="92"/>
  <c r="X65" i="92" s="1"/>
  <c r="Z65" i="92" s="1"/>
  <c r="H65" i="92"/>
  <c r="D65" i="92"/>
  <c r="L65" i="92" s="1"/>
  <c r="B65" i="92"/>
  <c r="X64" i="92"/>
  <c r="Z64" i="92" s="1"/>
  <c r="L64" i="92"/>
  <c r="N64" i="92" s="1"/>
  <c r="B64" i="92"/>
  <c r="X63" i="92"/>
  <c r="Z63" i="92" s="1"/>
  <c r="N63" i="92"/>
  <c r="L63" i="92"/>
  <c r="B63" i="92"/>
  <c r="X62" i="92"/>
  <c r="Z62" i="92" s="1"/>
  <c r="L62" i="92"/>
  <c r="N62" i="92" s="1"/>
  <c r="B62" i="92"/>
  <c r="Z61" i="92"/>
  <c r="X61" i="92"/>
  <c r="N61" i="92"/>
  <c r="L61" i="92"/>
  <c r="F61" i="92"/>
  <c r="B61" i="92"/>
  <c r="X60" i="92"/>
  <c r="Z60" i="92" s="1"/>
  <c r="L60" i="92"/>
  <c r="N60" i="92" s="1"/>
  <c r="B60" i="92"/>
  <c r="X59" i="92"/>
  <c r="Z59" i="92" s="1"/>
  <c r="N59" i="92"/>
  <c r="L59" i="92"/>
  <c r="B59" i="92"/>
  <c r="T58" i="92"/>
  <c r="R58" i="92"/>
  <c r="P58" i="92"/>
  <c r="X58" i="92" s="1"/>
  <c r="L58" i="92"/>
  <c r="H58" i="92"/>
  <c r="N58" i="92" s="1"/>
  <c r="D58" i="92"/>
  <c r="B58" i="92"/>
  <c r="Z57" i="92"/>
  <c r="X57" i="92"/>
  <c r="N57" i="92"/>
  <c r="L57" i="92"/>
  <c r="B57" i="92"/>
  <c r="X56" i="92"/>
  <c r="Z56" i="92" s="1"/>
  <c r="L56" i="92"/>
  <c r="N56" i="92" s="1"/>
  <c r="B56" i="92"/>
  <c r="Z55" i="92"/>
  <c r="X55" i="92"/>
  <c r="T55" i="92"/>
  <c r="P55" i="92"/>
  <c r="H55" i="92"/>
  <c r="F55" i="92"/>
  <c r="D55" i="92"/>
  <c r="B55" i="92"/>
  <c r="X54" i="92"/>
  <c r="Z54" i="92" s="1"/>
  <c r="N54" i="92"/>
  <c r="L54" i="92"/>
  <c r="B54" i="92"/>
  <c r="Z53" i="92"/>
  <c r="X53" i="92"/>
  <c r="N53" i="92"/>
  <c r="L53" i="92"/>
  <c r="B53" i="92"/>
  <c r="T52" i="92"/>
  <c r="P52" i="92"/>
  <c r="X52" i="92" s="1"/>
  <c r="H52" i="92"/>
  <c r="N52" i="92" s="1"/>
  <c r="D52" i="92"/>
  <c r="L52" i="92" s="1"/>
  <c r="B52" i="92"/>
  <c r="X51" i="92"/>
  <c r="Z51" i="92" s="1"/>
  <c r="N51" i="92"/>
  <c r="L51" i="92"/>
  <c r="B51" i="92"/>
  <c r="T50" i="92"/>
  <c r="R50" i="92"/>
  <c r="P50" i="92"/>
  <c r="X50" i="92" s="1"/>
  <c r="L50" i="92"/>
  <c r="H50" i="92"/>
  <c r="N50" i="92" s="1"/>
  <c r="D50" i="92"/>
  <c r="B50" i="92"/>
  <c r="Z49" i="92"/>
  <c r="X49" i="92"/>
  <c r="R49" i="92"/>
  <c r="N49" i="92"/>
  <c r="L49" i="92"/>
  <c r="B49" i="92"/>
  <c r="T48" i="92"/>
  <c r="P48" i="92"/>
  <c r="X48" i="92" s="1"/>
  <c r="N48" i="92"/>
  <c r="L48" i="92"/>
  <c r="H48" i="92"/>
  <c r="D48" i="92"/>
  <c r="B48" i="92"/>
  <c r="Z47" i="92"/>
  <c r="X47" i="92"/>
  <c r="N47" i="92"/>
  <c r="L47" i="92"/>
  <c r="B47" i="92"/>
  <c r="T46" i="92"/>
  <c r="Z46" i="92" s="1"/>
  <c r="P46" i="92"/>
  <c r="X46" i="92" s="1"/>
  <c r="H46" i="92"/>
  <c r="N46" i="92" s="1"/>
  <c r="D46" i="92"/>
  <c r="L46" i="92" s="1"/>
  <c r="B46" i="92"/>
  <c r="Z45" i="92"/>
  <c r="X45" i="92"/>
  <c r="N45" i="92"/>
  <c r="L45" i="92"/>
  <c r="B45" i="92"/>
  <c r="X44" i="92"/>
  <c r="T44" i="92"/>
  <c r="Z44" i="92" s="1"/>
  <c r="P44" i="92"/>
  <c r="L44" i="92"/>
  <c r="H44" i="92"/>
  <c r="N44" i="92" s="1"/>
  <c r="D44" i="92"/>
  <c r="B44" i="92"/>
  <c r="Z43" i="92"/>
  <c r="X43" i="92"/>
  <c r="N43" i="92"/>
  <c r="L43" i="92"/>
  <c r="B43" i="92"/>
  <c r="X42" i="92"/>
  <c r="Z42" i="92" s="1"/>
  <c r="T42" i="92"/>
  <c r="P42" i="92"/>
  <c r="H42" i="92"/>
  <c r="D42" i="92"/>
  <c r="B42" i="92"/>
  <c r="Z41" i="92"/>
  <c r="X41" i="92"/>
  <c r="N41" i="92"/>
  <c r="L41" i="92"/>
  <c r="B41" i="92"/>
  <c r="T40" i="92"/>
  <c r="P40" i="92"/>
  <c r="X40" i="92" s="1"/>
  <c r="H40" i="92"/>
  <c r="D40" i="92"/>
  <c r="L40" i="92" s="1"/>
  <c r="B40" i="92"/>
  <c r="X39" i="92"/>
  <c r="Z39" i="92" s="1"/>
  <c r="N39" i="92"/>
  <c r="L39" i="92"/>
  <c r="B39" i="92"/>
  <c r="T38" i="92"/>
  <c r="R38" i="92"/>
  <c r="P38" i="92"/>
  <c r="X38" i="92" s="1"/>
  <c r="L38" i="92"/>
  <c r="H38" i="92"/>
  <c r="N38" i="92" s="1"/>
  <c r="D38" i="92"/>
  <c r="B38" i="92"/>
  <c r="Z37" i="92"/>
  <c r="X37" i="92"/>
  <c r="R37" i="92"/>
  <c r="N37" i="92"/>
  <c r="L37" i="92"/>
  <c r="B37" i="92"/>
  <c r="X36" i="92"/>
  <c r="Z36" i="92" s="1"/>
  <c r="R36" i="92"/>
  <c r="L36" i="92"/>
  <c r="N36" i="92" s="1"/>
  <c r="B36" i="92"/>
  <c r="Z35" i="92"/>
  <c r="X35" i="92"/>
  <c r="N35" i="92"/>
  <c r="L35" i="92"/>
  <c r="B35" i="92"/>
  <c r="X34" i="92"/>
  <c r="Z34" i="92" s="1"/>
  <c r="L34" i="92"/>
  <c r="N34" i="92" s="1"/>
  <c r="B34" i="92"/>
  <c r="Z33" i="92"/>
  <c r="X33" i="92"/>
  <c r="R33" i="92"/>
  <c r="N33" i="92"/>
  <c r="L33" i="92"/>
  <c r="B33" i="92"/>
  <c r="X32" i="92"/>
  <c r="Z32" i="92" s="1"/>
  <c r="R32" i="92"/>
  <c r="L32" i="92"/>
  <c r="N32" i="92" s="1"/>
  <c r="B32" i="92"/>
  <c r="Z31" i="92"/>
  <c r="X31" i="92"/>
  <c r="T31" i="92"/>
  <c r="P31" i="92"/>
  <c r="H31" i="92"/>
  <c r="D31" i="92"/>
  <c r="B31" i="92"/>
  <c r="X30" i="92"/>
  <c r="Z30" i="92" s="1"/>
  <c r="L30" i="92"/>
  <c r="N30" i="92" s="1"/>
  <c r="B30" i="92"/>
  <c r="Z29" i="92"/>
  <c r="X29" i="92"/>
  <c r="N29" i="92"/>
  <c r="L29" i="92"/>
  <c r="B29" i="92"/>
  <c r="X28" i="92"/>
  <c r="Z28" i="92" s="1"/>
  <c r="R28" i="92"/>
  <c r="L28" i="92"/>
  <c r="N28" i="92" s="1"/>
  <c r="B28" i="92"/>
  <c r="Z27" i="92"/>
  <c r="X27" i="92"/>
  <c r="L27" i="92"/>
  <c r="N27" i="92" s="1"/>
  <c r="B27" i="92"/>
  <c r="X26" i="92"/>
  <c r="Z26" i="92" s="1"/>
  <c r="L26" i="92"/>
  <c r="N26" i="92" s="1"/>
  <c r="B26" i="92"/>
  <c r="Z25" i="92"/>
  <c r="X25" i="92"/>
  <c r="N25" i="92"/>
  <c r="L25" i="92"/>
  <c r="B25" i="92"/>
  <c r="X24" i="92"/>
  <c r="Z24" i="92" s="1"/>
  <c r="R24" i="92"/>
  <c r="L24" i="92"/>
  <c r="N24" i="92" s="1"/>
  <c r="B24" i="92"/>
  <c r="Z23" i="92"/>
  <c r="X23" i="92"/>
  <c r="L23" i="92"/>
  <c r="N23" i="92" s="1"/>
  <c r="B23" i="92"/>
  <c r="T22" i="92"/>
  <c r="P22" i="92"/>
  <c r="X22" i="92" s="1"/>
  <c r="H22" i="92"/>
  <c r="D22" i="92"/>
  <c r="L22" i="92" s="1"/>
  <c r="B22" i="92"/>
  <c r="T21" i="92"/>
  <c r="R21" i="92"/>
  <c r="P21" i="92"/>
  <c r="X21" i="92" s="1"/>
  <c r="Z21" i="92" s="1"/>
  <c r="L21" i="92"/>
  <c r="N21" i="92" s="1"/>
  <c r="H21" i="92"/>
  <c r="D21" i="92"/>
  <c r="R19" i="92"/>
  <c r="F19" i="92"/>
  <c r="Z17" i="92"/>
  <c r="X17" i="92"/>
  <c r="L17" i="92"/>
  <c r="N17" i="92" s="1"/>
  <c r="B17" i="92"/>
  <c r="X16" i="92"/>
  <c r="T16" i="92"/>
  <c r="Z16" i="92" s="1"/>
  <c r="P16" i="92"/>
  <c r="L16" i="92"/>
  <c r="H16" i="92"/>
  <c r="N16" i="92" s="1"/>
  <c r="D16" i="92"/>
  <c r="X14" i="92"/>
  <c r="T14" i="92"/>
  <c r="Z14" i="92" s="1"/>
  <c r="P14" i="92"/>
  <c r="H14" i="92"/>
  <c r="N14" i="92" s="1"/>
  <c r="D14" i="92"/>
  <c r="L14" i="92" s="1"/>
  <c r="B14" i="92"/>
  <c r="T13" i="92"/>
  <c r="T12" i="92" s="1"/>
  <c r="P13" i="92"/>
  <c r="H13" i="92"/>
  <c r="D13" i="92"/>
  <c r="B13" i="92"/>
  <c r="P12" i="92"/>
  <c r="D12" i="92"/>
  <c r="F68" i="92" s="1"/>
  <c r="D6" i="92"/>
  <c r="D4" i="92"/>
  <c r="R99" i="91"/>
  <c r="Z97" i="91"/>
  <c r="X97" i="91"/>
  <c r="N97" i="91"/>
  <c r="L97" i="91"/>
  <c r="F97" i="91"/>
  <c r="F95" i="91"/>
  <c r="T93" i="91"/>
  <c r="P93" i="91"/>
  <c r="H93" i="91"/>
  <c r="N93" i="91" s="1"/>
  <c r="F93" i="91"/>
  <c r="D93" i="91"/>
  <c r="B93" i="91"/>
  <c r="Z92" i="91"/>
  <c r="X92" i="91"/>
  <c r="T92" i="91"/>
  <c r="P92" i="91"/>
  <c r="H92" i="91"/>
  <c r="F92" i="91"/>
  <c r="D92" i="91"/>
  <c r="B92" i="91"/>
  <c r="P91" i="91"/>
  <c r="X89" i="91"/>
  <c r="Z89" i="91" s="1"/>
  <c r="L89" i="91"/>
  <c r="N89" i="91" s="1"/>
  <c r="F89" i="91"/>
  <c r="B89" i="91"/>
  <c r="T88" i="91"/>
  <c r="X88" i="91" s="1"/>
  <c r="Z88" i="91" s="1"/>
  <c r="P88" i="91"/>
  <c r="H88" i="91"/>
  <c r="F88" i="91"/>
  <c r="D88" i="91"/>
  <c r="L88" i="91" s="1"/>
  <c r="B88" i="91"/>
  <c r="X87" i="91"/>
  <c r="Z87" i="91" s="1"/>
  <c r="L87" i="91"/>
  <c r="N87" i="91" s="1"/>
  <c r="F87" i="91"/>
  <c r="B87" i="91"/>
  <c r="X86" i="91"/>
  <c r="Z86" i="91" s="1"/>
  <c r="N86" i="91"/>
  <c r="L86" i="91"/>
  <c r="B86" i="91"/>
  <c r="X85" i="91"/>
  <c r="Z85" i="91" s="1"/>
  <c r="L85" i="91"/>
  <c r="N85" i="91" s="1"/>
  <c r="B85" i="91"/>
  <c r="T84" i="91"/>
  <c r="R84" i="91"/>
  <c r="P84" i="91"/>
  <c r="X84" i="91" s="1"/>
  <c r="Z84" i="91" s="1"/>
  <c r="L84" i="91"/>
  <c r="N84" i="91" s="1"/>
  <c r="H84" i="91"/>
  <c r="F84" i="91"/>
  <c r="D84" i="91"/>
  <c r="B84" i="91"/>
  <c r="X83" i="91"/>
  <c r="Z83" i="91" s="1"/>
  <c r="N83" i="91"/>
  <c r="L83" i="91"/>
  <c r="F83" i="91"/>
  <c r="B83" i="91"/>
  <c r="Z82" i="91"/>
  <c r="X82" i="91"/>
  <c r="T82" i="91"/>
  <c r="P82" i="91"/>
  <c r="H82" i="91"/>
  <c r="N82" i="91" s="1"/>
  <c r="F82" i="91"/>
  <c r="D82" i="91"/>
  <c r="B82" i="91"/>
  <c r="X81" i="91"/>
  <c r="Z81" i="91" s="1"/>
  <c r="L81" i="91"/>
  <c r="N81" i="91" s="1"/>
  <c r="F81" i="91"/>
  <c r="B81" i="91"/>
  <c r="T80" i="91"/>
  <c r="X80" i="91" s="1"/>
  <c r="Z80" i="91" s="1"/>
  <c r="R80" i="91"/>
  <c r="P80" i="91"/>
  <c r="H80" i="91"/>
  <c r="D80" i="91"/>
  <c r="B80" i="91"/>
  <c r="X79" i="91"/>
  <c r="Z79" i="91" s="1"/>
  <c r="N79" i="91"/>
  <c r="L79" i="91"/>
  <c r="F79" i="91"/>
  <c r="B79" i="91"/>
  <c r="X78" i="91"/>
  <c r="Z78" i="91" s="1"/>
  <c r="V78" i="91"/>
  <c r="N78" i="91"/>
  <c r="L78" i="91"/>
  <c r="B78" i="91"/>
  <c r="X77" i="91"/>
  <c r="Z77" i="91" s="1"/>
  <c r="N77" i="91"/>
  <c r="L77" i="91"/>
  <c r="F77" i="91"/>
  <c r="B77" i="91"/>
  <c r="Z76" i="91"/>
  <c r="X76" i="91"/>
  <c r="L76" i="91"/>
  <c r="N76" i="91" s="1"/>
  <c r="B76" i="91"/>
  <c r="X75" i="91"/>
  <c r="Z75" i="91" s="1"/>
  <c r="L75" i="91"/>
  <c r="N75" i="91" s="1"/>
  <c r="F75" i="91"/>
  <c r="B75" i="91"/>
  <c r="Z74" i="91"/>
  <c r="X74" i="91"/>
  <c r="N74" i="91"/>
  <c r="L74" i="91"/>
  <c r="B74" i="91"/>
  <c r="X73" i="91"/>
  <c r="Z73" i="91" s="1"/>
  <c r="R73" i="91"/>
  <c r="L73" i="91"/>
  <c r="N73" i="91" s="1"/>
  <c r="F73" i="91"/>
  <c r="B73" i="91"/>
  <c r="Z72" i="91"/>
  <c r="X72" i="91"/>
  <c r="N72" i="91"/>
  <c r="L72" i="91"/>
  <c r="B72" i="91"/>
  <c r="X71" i="91"/>
  <c r="Z71" i="91" s="1"/>
  <c r="R71" i="91"/>
  <c r="N71" i="91"/>
  <c r="L71" i="91"/>
  <c r="F71" i="91"/>
  <c r="B71" i="91"/>
  <c r="T70" i="91"/>
  <c r="P70" i="91"/>
  <c r="X70" i="91" s="1"/>
  <c r="Z70" i="91" s="1"/>
  <c r="N70" i="91"/>
  <c r="H70" i="91"/>
  <c r="F70" i="91"/>
  <c r="D70" i="91"/>
  <c r="L70" i="91" s="1"/>
  <c r="B70" i="91"/>
  <c r="X69" i="91"/>
  <c r="Z69" i="91" s="1"/>
  <c r="N69" i="91"/>
  <c r="L69" i="91"/>
  <c r="B69" i="91"/>
  <c r="T68" i="91"/>
  <c r="P68" i="91"/>
  <c r="N68" i="91"/>
  <c r="L68" i="91"/>
  <c r="H68" i="91"/>
  <c r="D68" i="91"/>
  <c r="B68" i="91"/>
  <c r="Z67" i="91"/>
  <c r="X67" i="91"/>
  <c r="R67" i="91"/>
  <c r="L67" i="91"/>
  <c r="N67" i="91" s="1"/>
  <c r="F67" i="91"/>
  <c r="B67" i="91"/>
  <c r="Z66" i="91"/>
  <c r="X66" i="91"/>
  <c r="N66" i="91"/>
  <c r="L66" i="91"/>
  <c r="B66" i="91"/>
  <c r="X65" i="91"/>
  <c r="Z65" i="91" s="1"/>
  <c r="L65" i="91"/>
  <c r="N65" i="91" s="1"/>
  <c r="B65" i="91"/>
  <c r="Z64" i="91"/>
  <c r="X64" i="91"/>
  <c r="R64" i="91"/>
  <c r="N64" i="91"/>
  <c r="L64" i="91"/>
  <c r="B64" i="91"/>
  <c r="X63" i="91"/>
  <c r="Z63" i="91" s="1"/>
  <c r="L63" i="91"/>
  <c r="N63" i="91" s="1"/>
  <c r="F63" i="91"/>
  <c r="B63" i="91"/>
  <c r="T62" i="91"/>
  <c r="P62" i="91"/>
  <c r="N62" i="91"/>
  <c r="H62" i="91"/>
  <c r="L62" i="91" s="1"/>
  <c r="D62" i="91"/>
  <c r="B62" i="91"/>
  <c r="X61" i="91"/>
  <c r="Z61" i="91" s="1"/>
  <c r="R61" i="91"/>
  <c r="N61" i="91"/>
  <c r="L61" i="91"/>
  <c r="F61" i="91"/>
  <c r="B61" i="91"/>
  <c r="Z60" i="91"/>
  <c r="X60" i="91"/>
  <c r="L60" i="91"/>
  <c r="N60" i="91" s="1"/>
  <c r="F60" i="91"/>
  <c r="B60" i="91"/>
  <c r="Z59" i="91"/>
  <c r="X59" i="91"/>
  <c r="R59" i="91"/>
  <c r="N59" i="91"/>
  <c r="L59" i="91"/>
  <c r="B59" i="91"/>
  <c r="X58" i="91"/>
  <c r="Z58" i="91" s="1"/>
  <c r="T58" i="91"/>
  <c r="R58" i="91"/>
  <c r="P58" i="91"/>
  <c r="H58" i="91"/>
  <c r="D58" i="91"/>
  <c r="B58" i="91"/>
  <c r="X57" i="91"/>
  <c r="Z57" i="91" s="1"/>
  <c r="R57" i="91"/>
  <c r="N57" i="91"/>
  <c r="L57" i="91"/>
  <c r="F57" i="91"/>
  <c r="B57" i="91"/>
  <c r="T56" i="91"/>
  <c r="P56" i="91"/>
  <c r="X56" i="91" s="1"/>
  <c r="Z56" i="91" s="1"/>
  <c r="N56" i="91"/>
  <c r="J56" i="91"/>
  <c r="H56" i="91"/>
  <c r="F56" i="91"/>
  <c r="D56" i="91"/>
  <c r="L56" i="91" s="1"/>
  <c r="B56" i="91"/>
  <c r="X55" i="91"/>
  <c r="Z55" i="91" s="1"/>
  <c r="N55" i="91"/>
  <c r="L55" i="91"/>
  <c r="F55" i="91"/>
  <c r="B55" i="91"/>
  <c r="X54" i="91"/>
  <c r="Z54" i="91" s="1"/>
  <c r="T54" i="91"/>
  <c r="P54" i="91"/>
  <c r="L54" i="91"/>
  <c r="H54" i="91"/>
  <c r="N54" i="91" s="1"/>
  <c r="F54" i="91"/>
  <c r="D54" i="91"/>
  <c r="B54" i="91"/>
  <c r="X53" i="91"/>
  <c r="Z53" i="91" s="1"/>
  <c r="L53" i="91"/>
  <c r="N53" i="91" s="1"/>
  <c r="F53" i="91"/>
  <c r="B53" i="91"/>
  <c r="T52" i="91"/>
  <c r="X52" i="91" s="1"/>
  <c r="Z52" i="91" s="1"/>
  <c r="R52" i="91"/>
  <c r="P52" i="91"/>
  <c r="H52" i="91"/>
  <c r="N52" i="91" s="1"/>
  <c r="F52" i="91"/>
  <c r="D52" i="91"/>
  <c r="L52" i="91" s="1"/>
  <c r="B52" i="91"/>
  <c r="Z51" i="91"/>
  <c r="X51" i="91"/>
  <c r="R51" i="91"/>
  <c r="N51" i="91"/>
  <c r="L51" i="91"/>
  <c r="F51" i="91"/>
  <c r="B51" i="91"/>
  <c r="Z50" i="91"/>
  <c r="V50" i="91"/>
  <c r="T50" i="91"/>
  <c r="R50" i="91"/>
  <c r="P50" i="91"/>
  <c r="X50" i="91" s="1"/>
  <c r="N50" i="91"/>
  <c r="H50" i="91"/>
  <c r="F50" i="91"/>
  <c r="D50" i="91"/>
  <c r="L50" i="91" s="1"/>
  <c r="B50" i="91"/>
  <c r="X49" i="91"/>
  <c r="Z49" i="91" s="1"/>
  <c r="R49" i="91"/>
  <c r="L49" i="91"/>
  <c r="N49" i="91" s="1"/>
  <c r="F49" i="91"/>
  <c r="B49" i="91"/>
  <c r="X48" i="91"/>
  <c r="T48" i="91"/>
  <c r="Z48" i="91" s="1"/>
  <c r="R48" i="91"/>
  <c r="P48" i="91"/>
  <c r="L48" i="91"/>
  <c r="N48" i="91" s="1"/>
  <c r="H48" i="91"/>
  <c r="F48" i="91"/>
  <c r="D48" i="91"/>
  <c r="B48" i="91"/>
  <c r="Z47" i="91"/>
  <c r="X47" i="91"/>
  <c r="R47" i="91"/>
  <c r="N47" i="91"/>
  <c r="L47" i="91"/>
  <c r="F47" i="91"/>
  <c r="B47" i="91"/>
  <c r="T46" i="91"/>
  <c r="Z46" i="91" s="1"/>
  <c r="R46" i="91"/>
  <c r="P46" i="91"/>
  <c r="X46" i="91" s="1"/>
  <c r="N46" i="91"/>
  <c r="H46" i="91"/>
  <c r="L46" i="91" s="1"/>
  <c r="F46" i="91"/>
  <c r="D46" i="91"/>
  <c r="B46" i="91"/>
  <c r="X45" i="91"/>
  <c r="Z45" i="91" s="1"/>
  <c r="R45" i="91"/>
  <c r="N45" i="91"/>
  <c r="L45" i="91"/>
  <c r="F45" i="91"/>
  <c r="B45" i="91"/>
  <c r="T44" i="91"/>
  <c r="R44" i="91"/>
  <c r="P44" i="91"/>
  <c r="X44" i="91" s="1"/>
  <c r="Z44" i="91" s="1"/>
  <c r="N44" i="91"/>
  <c r="J44" i="91"/>
  <c r="H44" i="91"/>
  <c r="F44" i="91"/>
  <c r="D44" i="91"/>
  <c r="L44" i="91" s="1"/>
  <c r="B44" i="91"/>
  <c r="X43" i="91"/>
  <c r="Z43" i="91" s="1"/>
  <c r="R43" i="91"/>
  <c r="N43" i="91"/>
  <c r="L43" i="91"/>
  <c r="F43" i="91"/>
  <c r="B43" i="91"/>
  <c r="X42" i="91"/>
  <c r="Z42" i="91" s="1"/>
  <c r="N42" i="91"/>
  <c r="L42" i="91"/>
  <c r="F42" i="91"/>
  <c r="B42" i="91"/>
  <c r="X41" i="91"/>
  <c r="Z41" i="91" s="1"/>
  <c r="R41" i="91"/>
  <c r="L41" i="91"/>
  <c r="N41" i="91" s="1"/>
  <c r="F41" i="91"/>
  <c r="B41" i="91"/>
  <c r="X40" i="91"/>
  <c r="T40" i="91"/>
  <c r="Z40" i="91" s="1"/>
  <c r="R40" i="91"/>
  <c r="P40" i="91"/>
  <c r="L40" i="91"/>
  <c r="N40" i="91" s="1"/>
  <c r="H40" i="91"/>
  <c r="F40" i="91"/>
  <c r="D40" i="91"/>
  <c r="B40" i="91"/>
  <c r="Z39" i="91"/>
  <c r="X39" i="91"/>
  <c r="R39" i="91"/>
  <c r="N39" i="91"/>
  <c r="L39" i="91"/>
  <c r="F39" i="91"/>
  <c r="B39" i="91"/>
  <c r="T38" i="91"/>
  <c r="Z38" i="91" s="1"/>
  <c r="R38" i="91"/>
  <c r="P38" i="91"/>
  <c r="X38" i="91" s="1"/>
  <c r="N38" i="91"/>
  <c r="H38" i="91"/>
  <c r="L38" i="91" s="1"/>
  <c r="F38" i="91"/>
  <c r="D38" i="91"/>
  <c r="B38" i="91"/>
  <c r="X37" i="91"/>
  <c r="Z37" i="91" s="1"/>
  <c r="R37" i="91"/>
  <c r="L37" i="91"/>
  <c r="N37" i="91" s="1"/>
  <c r="F37" i="91"/>
  <c r="B37" i="91"/>
  <c r="T36" i="91"/>
  <c r="R36" i="91"/>
  <c r="P36" i="91"/>
  <c r="X36" i="91" s="1"/>
  <c r="Z36" i="91" s="1"/>
  <c r="J36" i="91"/>
  <c r="H36" i="91"/>
  <c r="F36" i="91"/>
  <c r="D36" i="91"/>
  <c r="L36" i="91" s="1"/>
  <c r="N36" i="91" s="1"/>
  <c r="B36" i="91"/>
  <c r="X35" i="91"/>
  <c r="Z35" i="91" s="1"/>
  <c r="R35" i="91"/>
  <c r="N35" i="91"/>
  <c r="L35" i="91"/>
  <c r="F35" i="91"/>
  <c r="B35" i="91"/>
  <c r="X34" i="91"/>
  <c r="Z34" i="91" s="1"/>
  <c r="N34" i="91"/>
  <c r="L34" i="91"/>
  <c r="F34" i="91"/>
  <c r="B34" i="91"/>
  <c r="X33" i="91"/>
  <c r="Z33" i="91" s="1"/>
  <c r="R33" i="91"/>
  <c r="L33" i="91"/>
  <c r="N33" i="91" s="1"/>
  <c r="F33" i="91"/>
  <c r="B33" i="91"/>
  <c r="X32" i="91"/>
  <c r="Z32" i="91" s="1"/>
  <c r="R32" i="91"/>
  <c r="N32" i="91"/>
  <c r="L32" i="91"/>
  <c r="F32" i="91"/>
  <c r="B32" i="91"/>
  <c r="X31" i="91"/>
  <c r="Z31" i="91" s="1"/>
  <c r="R31" i="91"/>
  <c r="N31" i="91"/>
  <c r="L31" i="91"/>
  <c r="F31" i="91"/>
  <c r="B31" i="91"/>
  <c r="X30" i="91"/>
  <c r="Z30" i="91" s="1"/>
  <c r="N30" i="91"/>
  <c r="L30" i="91"/>
  <c r="F30" i="91"/>
  <c r="B30" i="91"/>
  <c r="X29" i="91"/>
  <c r="Z29" i="91" s="1"/>
  <c r="T29" i="91"/>
  <c r="R29" i="91"/>
  <c r="P29" i="91"/>
  <c r="H29" i="91"/>
  <c r="N29" i="91" s="1"/>
  <c r="F29" i="91"/>
  <c r="D29" i="91"/>
  <c r="L29" i="91" s="1"/>
  <c r="B29" i="91"/>
  <c r="Z28" i="91"/>
  <c r="X28" i="91"/>
  <c r="R28" i="91"/>
  <c r="N28" i="91"/>
  <c r="L28" i="91"/>
  <c r="B28" i="91"/>
  <c r="Z27" i="91"/>
  <c r="X27" i="91"/>
  <c r="R27" i="91"/>
  <c r="L27" i="91"/>
  <c r="N27" i="91" s="1"/>
  <c r="F27" i="91"/>
  <c r="B27" i="91"/>
  <c r="Z26" i="91"/>
  <c r="X26" i="91"/>
  <c r="R26" i="91"/>
  <c r="L26" i="91"/>
  <c r="N26" i="91" s="1"/>
  <c r="J26" i="91"/>
  <c r="F26" i="91"/>
  <c r="B26" i="91"/>
  <c r="X25" i="91"/>
  <c r="Z25" i="91" s="1"/>
  <c r="L25" i="91"/>
  <c r="N25" i="91" s="1"/>
  <c r="F25" i="91"/>
  <c r="B25" i="91"/>
  <c r="Z24" i="91"/>
  <c r="X24" i="91"/>
  <c r="R24" i="91"/>
  <c r="N24" i="91"/>
  <c r="L24" i="91"/>
  <c r="B24" i="91"/>
  <c r="Z23" i="91"/>
  <c r="X23" i="91"/>
  <c r="R23" i="91"/>
  <c r="L23" i="91"/>
  <c r="N23" i="91" s="1"/>
  <c r="F23" i="91"/>
  <c r="B23" i="91"/>
  <c r="Z22" i="91"/>
  <c r="X22" i="91"/>
  <c r="R22" i="91"/>
  <c r="L22" i="91"/>
  <c r="N22" i="91" s="1"/>
  <c r="J22" i="91"/>
  <c r="F22" i="91"/>
  <c r="B22" i="91"/>
  <c r="X21" i="91"/>
  <c r="Z21" i="91" s="1"/>
  <c r="L21" i="91"/>
  <c r="N21" i="91" s="1"/>
  <c r="F21" i="91"/>
  <c r="B21" i="91"/>
  <c r="Z20" i="91"/>
  <c r="X20" i="91"/>
  <c r="R20" i="91"/>
  <c r="N20" i="91"/>
  <c r="L20" i="91"/>
  <c r="B20" i="91"/>
  <c r="T19" i="91"/>
  <c r="P19" i="91"/>
  <c r="L19" i="91"/>
  <c r="N19" i="91" s="1"/>
  <c r="H19" i="91"/>
  <c r="D19" i="91"/>
  <c r="B19" i="91"/>
  <c r="T18" i="91"/>
  <c r="R18" i="91"/>
  <c r="P18" i="91"/>
  <c r="X18" i="91" s="1"/>
  <c r="Z18" i="91" s="1"/>
  <c r="H18" i="91"/>
  <c r="F18" i="91"/>
  <c r="D18" i="91"/>
  <c r="L18" i="91" s="1"/>
  <c r="N18" i="91" s="1"/>
  <c r="R16" i="91"/>
  <c r="F16" i="91"/>
  <c r="Z14" i="91"/>
  <c r="V14" i="91"/>
  <c r="T14" i="91"/>
  <c r="R14" i="91"/>
  <c r="P14" i="91"/>
  <c r="P16" i="91" s="1"/>
  <c r="N14" i="91"/>
  <c r="H14" i="91"/>
  <c r="F14" i="91"/>
  <c r="D14" i="91"/>
  <c r="L14" i="91" s="1"/>
  <c r="T12" i="91"/>
  <c r="P12" i="91"/>
  <c r="L12" i="91"/>
  <c r="H12" i="91"/>
  <c r="J74" i="91" s="1"/>
  <c r="D12" i="91"/>
  <c r="F62" i="91" s="1"/>
  <c r="D6" i="91"/>
  <c r="D4" i="91"/>
  <c r="X75" i="88"/>
  <c r="Z75" i="88" s="1"/>
  <c r="N75" i="88"/>
  <c r="L75" i="88"/>
  <c r="Z71" i="88"/>
  <c r="T71" i="88"/>
  <c r="P71" i="88"/>
  <c r="X71" i="88" s="1"/>
  <c r="N71" i="88"/>
  <c r="H71" i="88"/>
  <c r="D71" i="88"/>
  <c r="L71" i="88" s="1"/>
  <c r="Z69" i="88"/>
  <c r="X69" i="88"/>
  <c r="L69" i="88"/>
  <c r="N69" i="88" s="1"/>
  <c r="B69" i="88"/>
  <c r="T68" i="88"/>
  <c r="X68" i="88" s="1"/>
  <c r="P68" i="88"/>
  <c r="H68" i="88"/>
  <c r="D68" i="88"/>
  <c r="L68" i="88" s="1"/>
  <c r="B68" i="88"/>
  <c r="X67" i="88"/>
  <c r="Z67" i="88" s="1"/>
  <c r="N67" i="88"/>
  <c r="L67" i="88"/>
  <c r="B67" i="88"/>
  <c r="X66" i="88"/>
  <c r="Z66" i="88" s="1"/>
  <c r="T66" i="88"/>
  <c r="P66" i="88"/>
  <c r="H66" i="88"/>
  <c r="D66" i="88"/>
  <c r="L66" i="88" s="1"/>
  <c r="B66" i="88"/>
  <c r="Z65" i="88"/>
  <c r="X65" i="88"/>
  <c r="N65" i="88"/>
  <c r="L65" i="88"/>
  <c r="B65" i="88"/>
  <c r="Z64" i="88"/>
  <c r="X64" i="88"/>
  <c r="N64" i="88"/>
  <c r="L64" i="88"/>
  <c r="B64" i="88"/>
  <c r="Z63" i="88"/>
  <c r="X63" i="88"/>
  <c r="L63" i="88"/>
  <c r="N63" i="88" s="1"/>
  <c r="B63" i="88"/>
  <c r="X62" i="88"/>
  <c r="Z62" i="88" s="1"/>
  <c r="N62" i="88"/>
  <c r="L62" i="88"/>
  <c r="B62" i="88"/>
  <c r="Z61" i="88"/>
  <c r="X61" i="88"/>
  <c r="N61" i="88"/>
  <c r="L61" i="88"/>
  <c r="B61" i="88"/>
  <c r="T60" i="88"/>
  <c r="P60" i="88"/>
  <c r="L60" i="88"/>
  <c r="N60" i="88" s="1"/>
  <c r="H60" i="88"/>
  <c r="D60" i="88"/>
  <c r="B60" i="88"/>
  <c r="X59" i="88"/>
  <c r="Z59" i="88" s="1"/>
  <c r="L59" i="88"/>
  <c r="N59" i="88" s="1"/>
  <c r="B59" i="88"/>
  <c r="X58" i="88"/>
  <c r="Z58" i="88" s="1"/>
  <c r="N58" i="88"/>
  <c r="L58" i="88"/>
  <c r="B58" i="88"/>
  <c r="T57" i="88"/>
  <c r="P57" i="88"/>
  <c r="X57" i="88" s="1"/>
  <c r="Z57" i="88" s="1"/>
  <c r="H57" i="88"/>
  <c r="D57" i="88"/>
  <c r="L57" i="88" s="1"/>
  <c r="N57" i="88" s="1"/>
  <c r="B57" i="88"/>
  <c r="X56" i="88"/>
  <c r="Z56" i="88" s="1"/>
  <c r="N56" i="88"/>
  <c r="L56" i="88"/>
  <c r="B56" i="88"/>
  <c r="X55" i="88"/>
  <c r="Z55" i="88" s="1"/>
  <c r="N55" i="88"/>
  <c r="L55" i="88"/>
  <c r="B55" i="88"/>
  <c r="X54" i="88"/>
  <c r="Z54" i="88" s="1"/>
  <c r="N54" i="88"/>
  <c r="L54" i="88"/>
  <c r="B54" i="88"/>
  <c r="X53" i="88"/>
  <c r="T53" i="88"/>
  <c r="Z53" i="88" s="1"/>
  <c r="P53" i="88"/>
  <c r="N53" i="88"/>
  <c r="L53" i="88"/>
  <c r="H53" i="88"/>
  <c r="D53" i="88"/>
  <c r="B53" i="88"/>
  <c r="Z52" i="88"/>
  <c r="X52" i="88"/>
  <c r="N52" i="88"/>
  <c r="L52" i="88"/>
  <c r="B52" i="88"/>
  <c r="T51" i="88"/>
  <c r="P51" i="88"/>
  <c r="X51" i="88" s="1"/>
  <c r="N51" i="88"/>
  <c r="H51" i="88"/>
  <c r="L51" i="88" s="1"/>
  <c r="D51" i="88"/>
  <c r="B51" i="88"/>
  <c r="X50" i="88"/>
  <c r="Z50" i="88" s="1"/>
  <c r="L50" i="88"/>
  <c r="N50" i="88" s="1"/>
  <c r="B50" i="88"/>
  <c r="Z49" i="88"/>
  <c r="T49" i="88"/>
  <c r="P49" i="88"/>
  <c r="X49" i="88" s="1"/>
  <c r="H49" i="88"/>
  <c r="D49" i="88"/>
  <c r="L49" i="88" s="1"/>
  <c r="N49" i="88" s="1"/>
  <c r="B49" i="88"/>
  <c r="X48" i="88"/>
  <c r="Z48" i="88" s="1"/>
  <c r="N48" i="88"/>
  <c r="L48" i="88"/>
  <c r="B48" i="88"/>
  <c r="X47" i="88"/>
  <c r="Z47" i="88" s="1"/>
  <c r="T47" i="88"/>
  <c r="P47" i="88"/>
  <c r="L47" i="88"/>
  <c r="H47" i="88"/>
  <c r="N47" i="88" s="1"/>
  <c r="D47" i="88"/>
  <c r="B47" i="88"/>
  <c r="X46" i="88"/>
  <c r="Z46" i="88" s="1"/>
  <c r="L46" i="88"/>
  <c r="N46" i="88" s="1"/>
  <c r="B46" i="88"/>
  <c r="T45" i="88"/>
  <c r="X45" i="88" s="1"/>
  <c r="P45" i="88"/>
  <c r="H45" i="88"/>
  <c r="D45" i="88"/>
  <c r="L45" i="88" s="1"/>
  <c r="B45" i="88"/>
  <c r="X44" i="88"/>
  <c r="Z44" i="88" s="1"/>
  <c r="L44" i="88"/>
  <c r="N44" i="88" s="1"/>
  <c r="B44" i="88"/>
  <c r="T43" i="88"/>
  <c r="P43" i="88"/>
  <c r="X43" i="88" s="1"/>
  <c r="Z43" i="88" s="1"/>
  <c r="H43" i="88"/>
  <c r="D43" i="88"/>
  <c r="L43" i="88" s="1"/>
  <c r="N43" i="88" s="1"/>
  <c r="B43" i="88"/>
  <c r="X42" i="88"/>
  <c r="Z42" i="88" s="1"/>
  <c r="L42" i="88"/>
  <c r="N42" i="88" s="1"/>
  <c r="B42" i="88"/>
  <c r="X41" i="88"/>
  <c r="T41" i="88"/>
  <c r="P41" i="88"/>
  <c r="L41" i="88"/>
  <c r="N41" i="88" s="1"/>
  <c r="H41" i="88"/>
  <c r="D41" i="88"/>
  <c r="B41" i="88"/>
  <c r="Z40" i="88"/>
  <c r="X40" i="88"/>
  <c r="L40" i="88"/>
  <c r="N40" i="88" s="1"/>
  <c r="B40" i="88"/>
  <c r="T39" i="88"/>
  <c r="P39" i="88"/>
  <c r="H39" i="88"/>
  <c r="D39" i="88"/>
  <c r="B39" i="88"/>
  <c r="X38" i="88"/>
  <c r="Z38" i="88" s="1"/>
  <c r="L38" i="88"/>
  <c r="N38" i="88" s="1"/>
  <c r="B38" i="88"/>
  <c r="Z37" i="88"/>
  <c r="X37" i="88"/>
  <c r="L37" i="88"/>
  <c r="N37" i="88" s="1"/>
  <c r="B37" i="88"/>
  <c r="X36" i="88"/>
  <c r="Z36" i="88" s="1"/>
  <c r="L36" i="88"/>
  <c r="N36" i="88" s="1"/>
  <c r="B36" i="88"/>
  <c r="X35" i="88"/>
  <c r="Z35" i="88" s="1"/>
  <c r="L35" i="88"/>
  <c r="N35" i="88" s="1"/>
  <c r="B35" i="88"/>
  <c r="X34" i="88"/>
  <c r="Z34" i="88" s="1"/>
  <c r="L34" i="88"/>
  <c r="N34" i="88" s="1"/>
  <c r="B34" i="88"/>
  <c r="Z33" i="88"/>
  <c r="X33" i="88"/>
  <c r="L33" i="88"/>
  <c r="N33" i="88" s="1"/>
  <c r="B33" i="88"/>
  <c r="T32" i="88"/>
  <c r="P32" i="88"/>
  <c r="H32" i="88"/>
  <c r="D32" i="88"/>
  <c r="L32" i="88" s="1"/>
  <c r="B32" i="88"/>
  <c r="X31" i="88"/>
  <c r="Z31" i="88" s="1"/>
  <c r="N31" i="88"/>
  <c r="L31" i="88"/>
  <c r="B31" i="88"/>
  <c r="X30" i="88"/>
  <c r="Z30" i="88" s="1"/>
  <c r="L30" i="88"/>
  <c r="N30" i="88" s="1"/>
  <c r="B30" i="88"/>
  <c r="X29" i="88"/>
  <c r="Z29" i="88" s="1"/>
  <c r="N29" i="88"/>
  <c r="L29" i="88"/>
  <c r="B29" i="88"/>
  <c r="X28" i="88"/>
  <c r="Z28" i="88" s="1"/>
  <c r="N28" i="88"/>
  <c r="L28" i="88"/>
  <c r="B28" i="88"/>
  <c r="X27" i="88"/>
  <c r="Z27" i="88" s="1"/>
  <c r="N27" i="88"/>
  <c r="L27" i="88"/>
  <c r="B27" i="88"/>
  <c r="X26" i="88"/>
  <c r="Z26" i="88" s="1"/>
  <c r="N26" i="88"/>
  <c r="L26" i="88"/>
  <c r="B26" i="88"/>
  <c r="X25" i="88"/>
  <c r="Z25" i="88" s="1"/>
  <c r="N25" i="88"/>
  <c r="L25" i="88"/>
  <c r="B25" i="88"/>
  <c r="X24" i="88"/>
  <c r="Z24" i="88" s="1"/>
  <c r="N24" i="88"/>
  <c r="L24" i="88"/>
  <c r="B24" i="88"/>
  <c r="X23" i="88"/>
  <c r="Z23" i="88" s="1"/>
  <c r="T23" i="88"/>
  <c r="P23" i="88"/>
  <c r="L23" i="88"/>
  <c r="H23" i="88"/>
  <c r="D23" i="88"/>
  <c r="B23" i="88"/>
  <c r="Z22" i="88"/>
  <c r="X22" i="88"/>
  <c r="T22" i="88"/>
  <c r="P22" i="88"/>
  <c r="H22" i="88"/>
  <c r="N22" i="88" s="1"/>
  <c r="D22" i="88"/>
  <c r="L22" i="88" s="1"/>
  <c r="X18" i="88"/>
  <c r="Z18" i="88" s="1"/>
  <c r="L18" i="88"/>
  <c r="N18" i="88" s="1"/>
  <c r="B18" i="88"/>
  <c r="Z17" i="88"/>
  <c r="X17" i="88"/>
  <c r="N17" i="88"/>
  <c r="L17" i="88"/>
  <c r="B17" i="88"/>
  <c r="Z16" i="88"/>
  <c r="T16" i="88"/>
  <c r="P16" i="88"/>
  <c r="X16" i="88" s="1"/>
  <c r="H16" i="88"/>
  <c r="D16" i="88"/>
  <c r="L16" i="88" s="1"/>
  <c r="N16" i="88" s="1"/>
  <c r="T14" i="88"/>
  <c r="Z14" i="88" s="1"/>
  <c r="P14" i="88"/>
  <c r="X14" i="88" s="1"/>
  <c r="H14" i="88"/>
  <c r="D14" i="88"/>
  <c r="B14" i="88"/>
  <c r="T13" i="88"/>
  <c r="P13" i="88"/>
  <c r="L13" i="88"/>
  <c r="H13" i="88"/>
  <c r="D13" i="88"/>
  <c r="B13" i="88"/>
  <c r="H12" i="88"/>
  <c r="J24" i="88" s="1"/>
  <c r="D6" i="88"/>
  <c r="D4" i="88"/>
  <c r="X85" i="87"/>
  <c r="Z85" i="87" s="1"/>
  <c r="L85" i="87"/>
  <c r="N85" i="87" s="1"/>
  <c r="T81" i="87"/>
  <c r="Z81" i="87" s="1"/>
  <c r="P81" i="87"/>
  <c r="X81" i="87" s="1"/>
  <c r="N81" i="87"/>
  <c r="L81" i="87"/>
  <c r="H81" i="87"/>
  <c r="D81" i="87"/>
  <c r="Z79" i="87"/>
  <c r="X79" i="87"/>
  <c r="L79" i="87"/>
  <c r="N79" i="87" s="1"/>
  <c r="B79" i="87"/>
  <c r="T78" i="87"/>
  <c r="P78" i="87"/>
  <c r="X78" i="87" s="1"/>
  <c r="H78" i="87"/>
  <c r="L78" i="87" s="1"/>
  <c r="D78" i="87"/>
  <c r="B78" i="87"/>
  <c r="X77" i="87"/>
  <c r="Z77" i="87" s="1"/>
  <c r="N77" i="87"/>
  <c r="L77" i="87"/>
  <c r="B77" i="87"/>
  <c r="Z76" i="87"/>
  <c r="T76" i="87"/>
  <c r="P76" i="87"/>
  <c r="X76" i="87" s="1"/>
  <c r="N76" i="87"/>
  <c r="L76" i="87"/>
  <c r="H76" i="87"/>
  <c r="D76" i="87"/>
  <c r="B76" i="87"/>
  <c r="X75" i="87"/>
  <c r="Z75" i="87" s="1"/>
  <c r="N75" i="87"/>
  <c r="L75" i="87"/>
  <c r="B75" i="87"/>
  <c r="X74" i="87"/>
  <c r="Z74" i="87" s="1"/>
  <c r="T74" i="87"/>
  <c r="P74" i="87"/>
  <c r="L74" i="87"/>
  <c r="H74" i="87"/>
  <c r="N74" i="87" s="1"/>
  <c r="D74" i="87"/>
  <c r="B74" i="87"/>
  <c r="X73" i="87"/>
  <c r="Z73" i="87" s="1"/>
  <c r="N73" i="87"/>
  <c r="L73" i="87"/>
  <c r="B73" i="87"/>
  <c r="Z72" i="87"/>
  <c r="X72" i="87"/>
  <c r="N72" i="87"/>
  <c r="L72" i="87"/>
  <c r="B72" i="87"/>
  <c r="Z71" i="87"/>
  <c r="X71" i="87"/>
  <c r="N71" i="87"/>
  <c r="L71" i="87"/>
  <c r="B71" i="87"/>
  <c r="Z70" i="87"/>
  <c r="X70" i="87"/>
  <c r="L70" i="87"/>
  <c r="N70" i="87" s="1"/>
  <c r="B70" i="87"/>
  <c r="X69" i="87"/>
  <c r="Z69" i="87" s="1"/>
  <c r="N69" i="87"/>
  <c r="L69" i="87"/>
  <c r="B69" i="87"/>
  <c r="Z68" i="87"/>
  <c r="X68" i="87"/>
  <c r="N68" i="87"/>
  <c r="L68" i="87"/>
  <c r="B68" i="87"/>
  <c r="Z67" i="87"/>
  <c r="X67" i="87"/>
  <c r="L67" i="87"/>
  <c r="N67" i="87" s="1"/>
  <c r="F67" i="87"/>
  <c r="B67" i="87"/>
  <c r="T66" i="87"/>
  <c r="P66" i="87"/>
  <c r="X66" i="87" s="1"/>
  <c r="N66" i="87"/>
  <c r="H66" i="87"/>
  <c r="L66" i="87" s="1"/>
  <c r="D66" i="87"/>
  <c r="B66" i="87"/>
  <c r="X65" i="87"/>
  <c r="Z65" i="87" s="1"/>
  <c r="N65" i="87"/>
  <c r="L65" i="87"/>
  <c r="B65" i="87"/>
  <c r="Z64" i="87"/>
  <c r="X64" i="87"/>
  <c r="N64" i="87"/>
  <c r="L64" i="87"/>
  <c r="B64" i="87"/>
  <c r="T63" i="87"/>
  <c r="P63" i="87"/>
  <c r="L63" i="87"/>
  <c r="H63" i="87"/>
  <c r="N63" i="87" s="1"/>
  <c r="D63" i="87"/>
  <c r="B63" i="87"/>
  <c r="X62" i="87"/>
  <c r="Z62" i="87" s="1"/>
  <c r="N62" i="87"/>
  <c r="L62" i="87"/>
  <c r="B62" i="87"/>
  <c r="X61" i="87"/>
  <c r="Z61" i="87" s="1"/>
  <c r="L61" i="87"/>
  <c r="N61" i="87" s="1"/>
  <c r="B61" i="87"/>
  <c r="X60" i="87"/>
  <c r="Z60" i="87" s="1"/>
  <c r="N60" i="87"/>
  <c r="L60" i="87"/>
  <c r="B60" i="87"/>
  <c r="T59" i="87"/>
  <c r="P59" i="87"/>
  <c r="X59" i="87" s="1"/>
  <c r="N59" i="87"/>
  <c r="L59" i="87"/>
  <c r="H59" i="87"/>
  <c r="D59" i="87"/>
  <c r="B59" i="87"/>
  <c r="Z58" i="87"/>
  <c r="X58" i="87"/>
  <c r="V58" i="87"/>
  <c r="L58" i="87"/>
  <c r="N58" i="87" s="1"/>
  <c r="B58" i="87"/>
  <c r="T57" i="87"/>
  <c r="P57" i="87"/>
  <c r="X57" i="87" s="1"/>
  <c r="Z57" i="87" s="1"/>
  <c r="H57" i="87"/>
  <c r="D57" i="87"/>
  <c r="L57" i="87" s="1"/>
  <c r="B57" i="87"/>
  <c r="Z56" i="87"/>
  <c r="X56" i="87"/>
  <c r="N56" i="87"/>
  <c r="L56" i="87"/>
  <c r="B56" i="87"/>
  <c r="X55" i="87"/>
  <c r="Z55" i="87" s="1"/>
  <c r="L55" i="87"/>
  <c r="N55" i="87" s="1"/>
  <c r="F55" i="87"/>
  <c r="B55" i="87"/>
  <c r="X54" i="87"/>
  <c r="Z54" i="87" s="1"/>
  <c r="T54" i="87"/>
  <c r="P54" i="87"/>
  <c r="H54" i="87"/>
  <c r="D54" i="87"/>
  <c r="L54" i="87" s="1"/>
  <c r="N54" i="87" s="1"/>
  <c r="B54" i="87"/>
  <c r="Z53" i="87"/>
  <c r="X53" i="87"/>
  <c r="L53" i="87"/>
  <c r="N53" i="87" s="1"/>
  <c r="B53" i="87"/>
  <c r="T52" i="87"/>
  <c r="P52" i="87"/>
  <c r="L52" i="87"/>
  <c r="N52" i="87" s="1"/>
  <c r="H52" i="87"/>
  <c r="D52" i="87"/>
  <c r="B52" i="87"/>
  <c r="Z51" i="87"/>
  <c r="X51" i="87"/>
  <c r="L51" i="87"/>
  <c r="N51" i="87" s="1"/>
  <c r="B51" i="87"/>
  <c r="T50" i="87"/>
  <c r="P50" i="87"/>
  <c r="X50" i="87" s="1"/>
  <c r="N50" i="87"/>
  <c r="H50" i="87"/>
  <c r="L50" i="87" s="1"/>
  <c r="D50" i="87"/>
  <c r="B50" i="87"/>
  <c r="X49" i="87"/>
  <c r="Z49" i="87" s="1"/>
  <c r="N49" i="87"/>
  <c r="L49" i="87"/>
  <c r="B49" i="87"/>
  <c r="Z48" i="87"/>
  <c r="T48" i="87"/>
  <c r="P48" i="87"/>
  <c r="X48" i="87" s="1"/>
  <c r="H48" i="87"/>
  <c r="D48" i="87"/>
  <c r="L48" i="87" s="1"/>
  <c r="N48" i="87" s="1"/>
  <c r="B48" i="87"/>
  <c r="X47" i="87"/>
  <c r="Z47" i="87" s="1"/>
  <c r="N47" i="87"/>
  <c r="L47" i="87"/>
  <c r="B47" i="87"/>
  <c r="Z46" i="87"/>
  <c r="X46" i="87"/>
  <c r="T46" i="87"/>
  <c r="P46" i="87"/>
  <c r="H46" i="87"/>
  <c r="N46" i="87" s="1"/>
  <c r="D46" i="87"/>
  <c r="B46" i="87"/>
  <c r="X45" i="87"/>
  <c r="Z45" i="87" s="1"/>
  <c r="L45" i="87"/>
  <c r="N45" i="87" s="1"/>
  <c r="J45" i="87"/>
  <c r="B45" i="87"/>
  <c r="Z44" i="87"/>
  <c r="X44" i="87"/>
  <c r="N44" i="87"/>
  <c r="L44" i="87"/>
  <c r="B44" i="87"/>
  <c r="T43" i="87"/>
  <c r="P43" i="87"/>
  <c r="X43" i="87" s="1"/>
  <c r="H43" i="87"/>
  <c r="D43" i="87"/>
  <c r="L43" i="87" s="1"/>
  <c r="N43" i="87" s="1"/>
  <c r="B43" i="87"/>
  <c r="X42" i="87"/>
  <c r="Z42" i="87" s="1"/>
  <c r="N42" i="87"/>
  <c r="L42" i="87"/>
  <c r="J42" i="87"/>
  <c r="B42" i="87"/>
  <c r="T41" i="87"/>
  <c r="P41" i="87"/>
  <c r="X41" i="87" s="1"/>
  <c r="H41" i="87"/>
  <c r="D41" i="87"/>
  <c r="B41" i="87"/>
  <c r="X40" i="87"/>
  <c r="Z40" i="87" s="1"/>
  <c r="N40" i="87"/>
  <c r="L40" i="87"/>
  <c r="B40" i="87"/>
  <c r="T39" i="87"/>
  <c r="P39" i="87"/>
  <c r="X39" i="87" s="1"/>
  <c r="L39" i="87"/>
  <c r="N39" i="87" s="1"/>
  <c r="H39" i="87"/>
  <c r="D39" i="87"/>
  <c r="B39" i="87"/>
  <c r="Z38" i="87"/>
  <c r="X38" i="87"/>
  <c r="L38" i="87"/>
  <c r="N38" i="87" s="1"/>
  <c r="J38" i="87"/>
  <c r="B38" i="87"/>
  <c r="T37" i="87"/>
  <c r="P37" i="87"/>
  <c r="X37" i="87" s="1"/>
  <c r="Z37" i="87" s="1"/>
  <c r="H37" i="87"/>
  <c r="D37" i="87"/>
  <c r="L37" i="87" s="1"/>
  <c r="N37" i="87" s="1"/>
  <c r="B37" i="87"/>
  <c r="Z36" i="87"/>
  <c r="X36" i="87"/>
  <c r="L36" i="87"/>
  <c r="N36" i="87" s="1"/>
  <c r="B36" i="87"/>
  <c r="X35" i="87"/>
  <c r="Z35" i="87" s="1"/>
  <c r="L35" i="87"/>
  <c r="N35" i="87" s="1"/>
  <c r="B35" i="87"/>
  <c r="Z34" i="87"/>
  <c r="X34" i="87"/>
  <c r="N34" i="87"/>
  <c r="L34" i="87"/>
  <c r="B34" i="87"/>
  <c r="X33" i="87"/>
  <c r="Z33" i="87" s="1"/>
  <c r="L33" i="87"/>
  <c r="N33" i="87" s="1"/>
  <c r="F33" i="87"/>
  <c r="B33" i="87"/>
  <c r="T32" i="87"/>
  <c r="P32" i="87"/>
  <c r="X32" i="87" s="1"/>
  <c r="Z32" i="87" s="1"/>
  <c r="H32" i="87"/>
  <c r="D32" i="87"/>
  <c r="L32" i="87" s="1"/>
  <c r="N32" i="87" s="1"/>
  <c r="B32" i="87"/>
  <c r="X31" i="87"/>
  <c r="Z31" i="87" s="1"/>
  <c r="L31" i="87"/>
  <c r="N31" i="87" s="1"/>
  <c r="B31" i="87"/>
  <c r="X30" i="87"/>
  <c r="Z30" i="87" s="1"/>
  <c r="N30" i="87"/>
  <c r="L30" i="87"/>
  <c r="B30" i="87"/>
  <c r="Z29" i="87"/>
  <c r="X29" i="87"/>
  <c r="L29" i="87"/>
  <c r="N29" i="87" s="1"/>
  <c r="B29" i="87"/>
  <c r="X28" i="87"/>
  <c r="Z28" i="87" s="1"/>
  <c r="N28" i="87"/>
  <c r="L28" i="87"/>
  <c r="J28" i="87"/>
  <c r="B28" i="87"/>
  <c r="X27" i="87"/>
  <c r="Z27" i="87" s="1"/>
  <c r="L27" i="87"/>
  <c r="N27" i="87" s="1"/>
  <c r="J27" i="87"/>
  <c r="F27" i="87"/>
  <c r="B27" i="87"/>
  <c r="X26" i="87"/>
  <c r="Z26" i="87" s="1"/>
  <c r="N26" i="87"/>
  <c r="L26" i="87"/>
  <c r="B26" i="87"/>
  <c r="X25" i="87"/>
  <c r="Z25" i="87" s="1"/>
  <c r="L25" i="87"/>
  <c r="N25" i="87" s="1"/>
  <c r="B25" i="87"/>
  <c r="Z24" i="87"/>
  <c r="X24" i="87"/>
  <c r="N24" i="87"/>
  <c r="L24" i="87"/>
  <c r="F24" i="87"/>
  <c r="B24" i="87"/>
  <c r="T23" i="87"/>
  <c r="P23" i="87"/>
  <c r="X23" i="87" s="1"/>
  <c r="N23" i="87"/>
  <c r="L23" i="87"/>
  <c r="H23" i="87"/>
  <c r="D23" i="87"/>
  <c r="B23" i="87"/>
  <c r="T22" i="87"/>
  <c r="P22" i="87"/>
  <c r="H22" i="87"/>
  <c r="L22" i="87" s="1"/>
  <c r="D22" i="87"/>
  <c r="Z18" i="87"/>
  <c r="X18" i="87"/>
  <c r="L18" i="87"/>
  <c r="N18" i="87" s="1"/>
  <c r="B18" i="87"/>
  <c r="X17" i="87"/>
  <c r="Z17" i="87" s="1"/>
  <c r="L17" i="87"/>
  <c r="N17" i="87" s="1"/>
  <c r="B17" i="87"/>
  <c r="Z16" i="87"/>
  <c r="T16" i="87"/>
  <c r="X16" i="87" s="1"/>
  <c r="P16" i="87"/>
  <c r="H16" i="87"/>
  <c r="F16" i="87"/>
  <c r="D16" i="87"/>
  <c r="T14" i="87"/>
  <c r="Z14" i="87" s="1"/>
  <c r="P14" i="87"/>
  <c r="X14" i="87" s="1"/>
  <c r="N14" i="87"/>
  <c r="H14" i="87"/>
  <c r="L14" i="87" s="1"/>
  <c r="D14" i="87"/>
  <c r="B14" i="87"/>
  <c r="T13" i="87"/>
  <c r="T12" i="87" s="1"/>
  <c r="V28" i="87" s="1"/>
  <c r="P13" i="87"/>
  <c r="H13" i="87"/>
  <c r="D13" i="87"/>
  <c r="D12" i="87" s="1"/>
  <c r="F36" i="87" s="1"/>
  <c r="B13" i="87"/>
  <c r="H12" i="87"/>
  <c r="D6" i="87"/>
  <c r="D4" i="87"/>
  <c r="Z32" i="85"/>
  <c r="X32" i="85"/>
  <c r="L32" i="85"/>
  <c r="N32" i="85" s="1"/>
  <c r="T28" i="85"/>
  <c r="Z28" i="85" s="1"/>
  <c r="P28" i="85"/>
  <c r="N28" i="85"/>
  <c r="L28" i="85"/>
  <c r="H28" i="85"/>
  <c r="D28" i="85"/>
  <c r="Z26" i="85"/>
  <c r="X26" i="85"/>
  <c r="R26" i="85"/>
  <c r="N26" i="85"/>
  <c r="L26" i="85"/>
  <c r="B26" i="85"/>
  <c r="T25" i="85"/>
  <c r="Z25" i="85" s="1"/>
  <c r="P25" i="85"/>
  <c r="X25" i="85" s="1"/>
  <c r="N25" i="85"/>
  <c r="L25" i="85"/>
  <c r="H25" i="85"/>
  <c r="D25" i="85"/>
  <c r="B25" i="85"/>
  <c r="Z24" i="85"/>
  <c r="X24" i="85"/>
  <c r="N24" i="85"/>
  <c r="L24" i="85"/>
  <c r="B24" i="85"/>
  <c r="T23" i="85"/>
  <c r="P23" i="85"/>
  <c r="X23" i="85" s="1"/>
  <c r="H23" i="85"/>
  <c r="N23" i="85" s="1"/>
  <c r="D23" i="85"/>
  <c r="L23" i="85" s="1"/>
  <c r="B23" i="85"/>
  <c r="Z22" i="85"/>
  <c r="X22" i="85"/>
  <c r="N22" i="85"/>
  <c r="L22" i="85"/>
  <c r="B22" i="85"/>
  <c r="T21" i="85"/>
  <c r="R21" i="85"/>
  <c r="P21" i="85"/>
  <c r="H21" i="85"/>
  <c r="D21" i="85"/>
  <c r="L21" i="85" s="1"/>
  <c r="B21" i="85"/>
  <c r="X20" i="85"/>
  <c r="T20" i="85"/>
  <c r="Z20" i="85" s="1"/>
  <c r="R20" i="85"/>
  <c r="P20" i="85"/>
  <c r="H20" i="85"/>
  <c r="D20" i="85"/>
  <c r="Z16" i="85"/>
  <c r="X16" i="85"/>
  <c r="N16" i="85"/>
  <c r="L16" i="85"/>
  <c r="B16" i="85"/>
  <c r="Z15" i="85"/>
  <c r="T15" i="85"/>
  <c r="R15" i="85"/>
  <c r="P15" i="85"/>
  <c r="X15" i="85" s="1"/>
  <c r="H15" i="85"/>
  <c r="D15" i="85"/>
  <c r="L15" i="85" s="1"/>
  <c r="T13" i="85"/>
  <c r="P13" i="85"/>
  <c r="H13" i="85"/>
  <c r="D13" i="85"/>
  <c r="D12" i="85" s="1"/>
  <c r="B13" i="85"/>
  <c r="P12" i="85"/>
  <c r="R28" i="85" s="1"/>
  <c r="H12" i="85"/>
  <c r="D6" i="85"/>
  <c r="D4" i="85"/>
  <c r="X128" i="84"/>
  <c r="Z128" i="84" s="1"/>
  <c r="N128" i="84"/>
  <c r="L128" i="84"/>
  <c r="T124" i="84"/>
  <c r="P124" i="84"/>
  <c r="N124" i="84"/>
  <c r="L124" i="84"/>
  <c r="H124" i="84"/>
  <c r="D124" i="84"/>
  <c r="X122" i="84"/>
  <c r="Z122" i="84" s="1"/>
  <c r="L122" i="84"/>
  <c r="N122" i="84" s="1"/>
  <c r="B122" i="84"/>
  <c r="T121" i="84"/>
  <c r="Z121" i="84" s="1"/>
  <c r="P121" i="84"/>
  <c r="X121" i="84" s="1"/>
  <c r="H121" i="84"/>
  <c r="D121" i="84"/>
  <c r="L121" i="84" s="1"/>
  <c r="N121" i="84" s="1"/>
  <c r="B121" i="84"/>
  <c r="X120" i="84"/>
  <c r="Z120" i="84" s="1"/>
  <c r="L120" i="84"/>
  <c r="N120" i="84" s="1"/>
  <c r="B120" i="84"/>
  <c r="Z119" i="84"/>
  <c r="X119" i="84"/>
  <c r="T119" i="84"/>
  <c r="P119" i="84"/>
  <c r="L119" i="84"/>
  <c r="N119" i="84" s="1"/>
  <c r="H119" i="84"/>
  <c r="D119" i="84"/>
  <c r="B119" i="84"/>
  <c r="Z118" i="84"/>
  <c r="X118" i="84"/>
  <c r="L118" i="84"/>
  <c r="N118" i="84" s="1"/>
  <c r="B118" i="84"/>
  <c r="X117" i="84"/>
  <c r="T117" i="84"/>
  <c r="Z117" i="84" s="1"/>
  <c r="P117" i="84"/>
  <c r="H117" i="84"/>
  <c r="D117" i="84"/>
  <c r="B117" i="84"/>
  <c r="X116" i="84"/>
  <c r="Z116" i="84" s="1"/>
  <c r="L116" i="84"/>
  <c r="N116" i="84" s="1"/>
  <c r="B116" i="84"/>
  <c r="Z115" i="84"/>
  <c r="T115" i="84"/>
  <c r="P115" i="84"/>
  <c r="X115" i="84" s="1"/>
  <c r="H115" i="84"/>
  <c r="N115" i="84" s="1"/>
  <c r="D115" i="84"/>
  <c r="L115" i="84" s="1"/>
  <c r="B115" i="84"/>
  <c r="X114" i="84"/>
  <c r="Z114" i="84" s="1"/>
  <c r="N114" i="84"/>
  <c r="L114" i="84"/>
  <c r="B114" i="84"/>
  <c r="X113" i="84"/>
  <c r="Z113" i="84" s="1"/>
  <c r="N113" i="84"/>
  <c r="L113" i="84"/>
  <c r="B113" i="84"/>
  <c r="X112" i="84"/>
  <c r="Z112" i="84" s="1"/>
  <c r="L112" i="84"/>
  <c r="N112" i="84" s="1"/>
  <c r="B112" i="84"/>
  <c r="Z111" i="84"/>
  <c r="X111" i="84"/>
  <c r="N111" i="84"/>
  <c r="L111" i="84"/>
  <c r="B111" i="84"/>
  <c r="Z110" i="84"/>
  <c r="X110" i="84"/>
  <c r="N110" i="84"/>
  <c r="L110" i="84"/>
  <c r="B110" i="84"/>
  <c r="X109" i="84"/>
  <c r="Z109" i="84" s="1"/>
  <c r="N109" i="84"/>
  <c r="L109" i="84"/>
  <c r="B109" i="84"/>
  <c r="T108" i="84"/>
  <c r="Z108" i="84" s="1"/>
  <c r="P108" i="84"/>
  <c r="X108" i="84" s="1"/>
  <c r="H108" i="84"/>
  <c r="L108" i="84" s="1"/>
  <c r="D108" i="84"/>
  <c r="B108" i="84"/>
  <c r="Z107" i="84"/>
  <c r="X107" i="84"/>
  <c r="N107" i="84"/>
  <c r="L107" i="84"/>
  <c r="B107" i="84"/>
  <c r="Z106" i="84"/>
  <c r="X106" i="84"/>
  <c r="N106" i="84"/>
  <c r="L106" i="84"/>
  <c r="B106" i="84"/>
  <c r="X105" i="84"/>
  <c r="T105" i="84"/>
  <c r="Z105" i="84" s="1"/>
  <c r="P105" i="84"/>
  <c r="H105" i="84"/>
  <c r="N105" i="84" s="1"/>
  <c r="D105" i="84"/>
  <c r="B105" i="84"/>
  <c r="X104" i="84"/>
  <c r="Z104" i="84" s="1"/>
  <c r="L104" i="84"/>
  <c r="N104" i="84" s="1"/>
  <c r="B104" i="84"/>
  <c r="Z103" i="84"/>
  <c r="X103" i="84"/>
  <c r="N103" i="84"/>
  <c r="L103" i="84"/>
  <c r="B103" i="84"/>
  <c r="Z102" i="84"/>
  <c r="X102" i="84"/>
  <c r="N102" i="84"/>
  <c r="L102" i="84"/>
  <c r="B102" i="84"/>
  <c r="T101" i="84"/>
  <c r="P101" i="84"/>
  <c r="X101" i="84" s="1"/>
  <c r="N101" i="84"/>
  <c r="H101" i="84"/>
  <c r="D101" i="84"/>
  <c r="L101" i="84" s="1"/>
  <c r="B101" i="84"/>
  <c r="X100" i="84"/>
  <c r="Z100" i="84" s="1"/>
  <c r="N100" i="84"/>
  <c r="L100" i="84"/>
  <c r="B100" i="84"/>
  <c r="Z99" i="84"/>
  <c r="X99" i="84"/>
  <c r="N99" i="84"/>
  <c r="L99" i="84"/>
  <c r="B99" i="84"/>
  <c r="Z98" i="84"/>
  <c r="X98" i="84"/>
  <c r="N98" i="84"/>
  <c r="L98" i="84"/>
  <c r="B98" i="84"/>
  <c r="X97" i="84"/>
  <c r="Z97" i="84" s="1"/>
  <c r="T97" i="84"/>
  <c r="P97" i="84"/>
  <c r="N97" i="84"/>
  <c r="L97" i="84"/>
  <c r="H97" i="84"/>
  <c r="D97" i="84"/>
  <c r="B97" i="84"/>
  <c r="X96" i="84"/>
  <c r="Z96" i="84" s="1"/>
  <c r="L96" i="84"/>
  <c r="N96" i="84" s="1"/>
  <c r="B96" i="84"/>
  <c r="T95" i="84"/>
  <c r="P95" i="84"/>
  <c r="L95" i="84"/>
  <c r="H95" i="84"/>
  <c r="N95" i="84" s="1"/>
  <c r="D95" i="84"/>
  <c r="B95" i="84"/>
  <c r="Z94" i="84"/>
  <c r="X94" i="84"/>
  <c r="N94" i="84"/>
  <c r="L94" i="84"/>
  <c r="B94" i="84"/>
  <c r="T93" i="84"/>
  <c r="P93" i="84"/>
  <c r="X93" i="84" s="1"/>
  <c r="N93" i="84"/>
  <c r="H93" i="84"/>
  <c r="D93" i="84"/>
  <c r="L93" i="84" s="1"/>
  <c r="B93" i="84"/>
  <c r="X92" i="84"/>
  <c r="Z92" i="84" s="1"/>
  <c r="L92" i="84"/>
  <c r="N92" i="84" s="1"/>
  <c r="B92" i="84"/>
  <c r="Z91" i="84"/>
  <c r="X91" i="84"/>
  <c r="T91" i="84"/>
  <c r="P91" i="84"/>
  <c r="L91" i="84"/>
  <c r="N91" i="84" s="1"/>
  <c r="J91" i="84"/>
  <c r="H91" i="84"/>
  <c r="D91" i="84"/>
  <c r="B91" i="84"/>
  <c r="Z90" i="84"/>
  <c r="X90" i="84"/>
  <c r="N90" i="84"/>
  <c r="L90" i="84"/>
  <c r="B90" i="84"/>
  <c r="X89" i="84"/>
  <c r="T89" i="84"/>
  <c r="Z89" i="84" s="1"/>
  <c r="P89" i="84"/>
  <c r="H89" i="84"/>
  <c r="D89" i="84"/>
  <c r="B89" i="84"/>
  <c r="X88" i="84"/>
  <c r="Z88" i="84" s="1"/>
  <c r="N88" i="84"/>
  <c r="L88" i="84"/>
  <c r="B88" i="84"/>
  <c r="T87" i="84"/>
  <c r="P87" i="84"/>
  <c r="X87" i="84" s="1"/>
  <c r="Z87" i="84" s="1"/>
  <c r="H87" i="84"/>
  <c r="N87" i="84" s="1"/>
  <c r="D87" i="84"/>
  <c r="L87" i="84" s="1"/>
  <c r="B87" i="84"/>
  <c r="X86" i="84"/>
  <c r="Z86" i="84" s="1"/>
  <c r="N86" i="84"/>
  <c r="L86" i="84"/>
  <c r="B86" i="84"/>
  <c r="X85" i="84"/>
  <c r="Z85" i="84" s="1"/>
  <c r="T85" i="84"/>
  <c r="P85" i="84"/>
  <c r="N85" i="84"/>
  <c r="L85" i="84"/>
  <c r="H85" i="84"/>
  <c r="D85" i="84"/>
  <c r="B85" i="84"/>
  <c r="X84" i="84"/>
  <c r="Z84" i="84" s="1"/>
  <c r="L84" i="84"/>
  <c r="N84" i="84" s="1"/>
  <c r="B84" i="84"/>
  <c r="T83" i="84"/>
  <c r="P83" i="84"/>
  <c r="L83" i="84"/>
  <c r="H83" i="84"/>
  <c r="N83" i="84" s="1"/>
  <c r="D83" i="84"/>
  <c r="B83" i="84"/>
  <c r="Z82" i="84"/>
  <c r="X82" i="84"/>
  <c r="L82" i="84"/>
  <c r="N82" i="84" s="1"/>
  <c r="B82" i="84"/>
  <c r="T81" i="84"/>
  <c r="P81" i="84"/>
  <c r="X81" i="84" s="1"/>
  <c r="H81" i="84"/>
  <c r="D81" i="84"/>
  <c r="L81" i="84" s="1"/>
  <c r="N81" i="84" s="1"/>
  <c r="B81" i="84"/>
  <c r="X80" i="84"/>
  <c r="Z80" i="84" s="1"/>
  <c r="L80" i="84"/>
  <c r="N80" i="84" s="1"/>
  <c r="B80" i="84"/>
  <c r="Z79" i="84"/>
  <c r="X79" i="84"/>
  <c r="T79" i="84"/>
  <c r="P79" i="84"/>
  <c r="L79" i="84"/>
  <c r="N79" i="84" s="1"/>
  <c r="H79" i="84"/>
  <c r="D79" i="84"/>
  <c r="B79" i="84"/>
  <c r="Z78" i="84"/>
  <c r="X78" i="84"/>
  <c r="N78" i="84"/>
  <c r="L78" i="84"/>
  <c r="B78" i="84"/>
  <c r="X77" i="84"/>
  <c r="T77" i="84"/>
  <c r="Z77" i="84" s="1"/>
  <c r="P77" i="84"/>
  <c r="H77" i="84"/>
  <c r="D77" i="84"/>
  <c r="B77" i="84"/>
  <c r="Z76" i="84"/>
  <c r="X76" i="84"/>
  <c r="N76" i="84"/>
  <c r="L76" i="84"/>
  <c r="B76" i="84"/>
  <c r="Z75" i="84"/>
  <c r="X75" i="84"/>
  <c r="N75" i="84"/>
  <c r="L75" i="84"/>
  <c r="B75" i="84"/>
  <c r="Z74" i="84"/>
  <c r="X74" i="84"/>
  <c r="L74" i="84"/>
  <c r="N74" i="84" s="1"/>
  <c r="B74" i="84"/>
  <c r="X73" i="84"/>
  <c r="Z73" i="84" s="1"/>
  <c r="L73" i="84"/>
  <c r="N73" i="84" s="1"/>
  <c r="B73" i="84"/>
  <c r="Z72" i="84"/>
  <c r="X72" i="84"/>
  <c r="N72" i="84"/>
  <c r="L72" i="84"/>
  <c r="B72" i="84"/>
  <c r="Z71" i="84"/>
  <c r="X71" i="84"/>
  <c r="N71" i="84"/>
  <c r="L71" i="84"/>
  <c r="B71" i="84"/>
  <c r="T70" i="84"/>
  <c r="P70" i="84"/>
  <c r="L70" i="84"/>
  <c r="N70" i="84" s="1"/>
  <c r="H70" i="84"/>
  <c r="D70" i="84"/>
  <c r="B70" i="84"/>
  <c r="X69" i="84"/>
  <c r="Z69" i="84" s="1"/>
  <c r="N69" i="84"/>
  <c r="L69" i="84"/>
  <c r="B69" i="84"/>
  <c r="X68" i="84"/>
  <c r="Z68" i="84" s="1"/>
  <c r="L68" i="84"/>
  <c r="N68" i="84" s="1"/>
  <c r="B68" i="84"/>
  <c r="Z67" i="84"/>
  <c r="X67" i="84"/>
  <c r="N67" i="84"/>
  <c r="L67" i="84"/>
  <c r="B67" i="84"/>
  <c r="X66" i="84"/>
  <c r="Z66" i="84" s="1"/>
  <c r="N66" i="84"/>
  <c r="L66" i="84"/>
  <c r="B66" i="84"/>
  <c r="X65" i="84"/>
  <c r="Z65" i="84" s="1"/>
  <c r="L65" i="84"/>
  <c r="N65" i="84" s="1"/>
  <c r="B65" i="84"/>
  <c r="X64" i="84"/>
  <c r="Z64" i="84" s="1"/>
  <c r="L64" i="84"/>
  <c r="N64" i="84" s="1"/>
  <c r="B64" i="84"/>
  <c r="Z63" i="84"/>
  <c r="X63" i="84"/>
  <c r="N63" i="84"/>
  <c r="L63" i="84"/>
  <c r="B63" i="84"/>
  <c r="X62" i="84"/>
  <c r="Z62" i="84" s="1"/>
  <c r="N62" i="84"/>
  <c r="L62" i="84"/>
  <c r="B62" i="84"/>
  <c r="X61" i="84"/>
  <c r="Z61" i="84" s="1"/>
  <c r="T61" i="84"/>
  <c r="P61" i="84"/>
  <c r="N61" i="84"/>
  <c r="L61" i="84"/>
  <c r="H61" i="84"/>
  <c r="D61" i="84"/>
  <c r="B61" i="84"/>
  <c r="X60" i="84"/>
  <c r="Z60" i="84" s="1"/>
  <c r="T60" i="84"/>
  <c r="P60" i="84"/>
  <c r="H60" i="84"/>
  <c r="D60" i="84"/>
  <c r="L60" i="84" s="1"/>
  <c r="X56" i="84"/>
  <c r="Z56" i="84" s="1"/>
  <c r="L56" i="84"/>
  <c r="N56" i="84" s="1"/>
  <c r="B56" i="84"/>
  <c r="Z55" i="84"/>
  <c r="X55" i="84"/>
  <c r="N55" i="84"/>
  <c r="L55" i="84"/>
  <c r="B55" i="84"/>
  <c r="Z54" i="84"/>
  <c r="X54" i="84"/>
  <c r="N54" i="84"/>
  <c r="L54" i="84"/>
  <c r="B54" i="84"/>
  <c r="X53" i="84"/>
  <c r="Z53" i="84" s="1"/>
  <c r="N53" i="84"/>
  <c r="L53" i="84"/>
  <c r="B53" i="84"/>
  <c r="Z52" i="84"/>
  <c r="X52" i="84"/>
  <c r="N52" i="84"/>
  <c r="L52" i="84"/>
  <c r="B52" i="84"/>
  <c r="Z51" i="84"/>
  <c r="X51" i="84"/>
  <c r="N51" i="84"/>
  <c r="L51" i="84"/>
  <c r="B51" i="84"/>
  <c r="Z50" i="84"/>
  <c r="X50" i="84"/>
  <c r="N50" i="84"/>
  <c r="L50" i="84"/>
  <c r="B50" i="84"/>
  <c r="X49" i="84"/>
  <c r="Z49" i="84" s="1"/>
  <c r="L49" i="84"/>
  <c r="N49" i="84" s="1"/>
  <c r="B49" i="84"/>
  <c r="X48" i="84"/>
  <c r="Z48" i="84" s="1"/>
  <c r="L48" i="84"/>
  <c r="N48" i="84" s="1"/>
  <c r="B48" i="84"/>
  <c r="Z47" i="84"/>
  <c r="X47" i="84"/>
  <c r="N47" i="84"/>
  <c r="L47" i="84"/>
  <c r="B47" i="84"/>
  <c r="Z46" i="84"/>
  <c r="X46" i="84"/>
  <c r="L46" i="84"/>
  <c r="N46" i="84" s="1"/>
  <c r="B46" i="84"/>
  <c r="X45" i="84"/>
  <c r="Z45" i="84" s="1"/>
  <c r="L45" i="84"/>
  <c r="N45" i="84" s="1"/>
  <c r="B45" i="84"/>
  <c r="X44" i="84"/>
  <c r="Z44" i="84" s="1"/>
  <c r="N44" i="84"/>
  <c r="L44" i="84"/>
  <c r="B44" i="84"/>
  <c r="Z43" i="84"/>
  <c r="X43" i="84"/>
  <c r="N43" i="84"/>
  <c r="L43" i="84"/>
  <c r="B43" i="84"/>
  <c r="Z42" i="84"/>
  <c r="X42" i="84"/>
  <c r="L42" i="84"/>
  <c r="N42" i="84" s="1"/>
  <c r="B42" i="84"/>
  <c r="X41" i="84"/>
  <c r="Z41" i="84" s="1"/>
  <c r="N41" i="84"/>
  <c r="L41" i="84"/>
  <c r="B41" i="84"/>
  <c r="T40" i="84"/>
  <c r="P40" i="84"/>
  <c r="X40" i="84" s="1"/>
  <c r="Z40" i="84" s="1"/>
  <c r="H40" i="84"/>
  <c r="D40" i="84"/>
  <c r="L40" i="84" s="1"/>
  <c r="X38" i="84"/>
  <c r="Z38" i="84" s="1"/>
  <c r="T38" i="84"/>
  <c r="P38" i="84"/>
  <c r="N38" i="84"/>
  <c r="L38" i="84"/>
  <c r="H38" i="84"/>
  <c r="D38" i="84"/>
  <c r="B38" i="84"/>
  <c r="T37" i="84"/>
  <c r="P37" i="84"/>
  <c r="X37" i="84" s="1"/>
  <c r="Z37" i="84" s="1"/>
  <c r="N37" i="84"/>
  <c r="H37" i="84"/>
  <c r="D37" i="84"/>
  <c r="L37" i="84" s="1"/>
  <c r="B37" i="84"/>
  <c r="T36" i="84"/>
  <c r="P36" i="84"/>
  <c r="X36" i="84" s="1"/>
  <c r="Z36" i="84" s="1"/>
  <c r="H36" i="84"/>
  <c r="N36" i="84" s="1"/>
  <c r="D36" i="84"/>
  <c r="L36" i="84" s="1"/>
  <c r="B36" i="84"/>
  <c r="T35" i="84"/>
  <c r="P35" i="84"/>
  <c r="H35" i="84"/>
  <c r="N35" i="84" s="1"/>
  <c r="D35" i="84"/>
  <c r="L35" i="84" s="1"/>
  <c r="B35" i="84"/>
  <c r="X34" i="84"/>
  <c r="Z34" i="84" s="1"/>
  <c r="T34" i="84"/>
  <c r="P34" i="84"/>
  <c r="L34" i="84"/>
  <c r="N34" i="84" s="1"/>
  <c r="H34" i="84"/>
  <c r="D34" i="84"/>
  <c r="B34" i="84"/>
  <c r="T33" i="84"/>
  <c r="P33" i="84"/>
  <c r="X33" i="84" s="1"/>
  <c r="Z33" i="84" s="1"/>
  <c r="N33" i="84"/>
  <c r="H33" i="84"/>
  <c r="D33" i="84"/>
  <c r="L33" i="84" s="1"/>
  <c r="B33" i="84"/>
  <c r="Z32" i="84"/>
  <c r="T32" i="84"/>
  <c r="P32" i="84"/>
  <c r="X32" i="84" s="1"/>
  <c r="H32" i="84"/>
  <c r="N32" i="84" s="1"/>
  <c r="D32" i="84"/>
  <c r="L32" i="84" s="1"/>
  <c r="B32" i="84"/>
  <c r="T31" i="84"/>
  <c r="P31" i="84"/>
  <c r="H31" i="84"/>
  <c r="N31" i="84" s="1"/>
  <c r="D31" i="84"/>
  <c r="L31" i="84" s="1"/>
  <c r="B31" i="84"/>
  <c r="Z30" i="84"/>
  <c r="X30" i="84"/>
  <c r="T30" i="84"/>
  <c r="P30" i="84"/>
  <c r="N30" i="84"/>
  <c r="L30" i="84"/>
  <c r="H30" i="84"/>
  <c r="D30" i="84"/>
  <c r="B30" i="84"/>
  <c r="T29" i="84"/>
  <c r="P29" i="84"/>
  <c r="X29" i="84" s="1"/>
  <c r="Z29" i="84" s="1"/>
  <c r="H29" i="84"/>
  <c r="D29" i="84"/>
  <c r="L29" i="84" s="1"/>
  <c r="N29" i="84" s="1"/>
  <c r="B29" i="84"/>
  <c r="Z28" i="84"/>
  <c r="T28" i="84"/>
  <c r="P28" i="84"/>
  <c r="X28" i="84" s="1"/>
  <c r="H28" i="84"/>
  <c r="N28" i="84" s="1"/>
  <c r="D28" i="84"/>
  <c r="L28" i="84" s="1"/>
  <c r="B28" i="84"/>
  <c r="T27" i="84"/>
  <c r="P27" i="84"/>
  <c r="H27" i="84"/>
  <c r="N27" i="84" s="1"/>
  <c r="D27" i="84"/>
  <c r="L27" i="84" s="1"/>
  <c r="B27" i="84"/>
  <c r="Z26" i="84"/>
  <c r="X26" i="84"/>
  <c r="T26" i="84"/>
  <c r="P26" i="84"/>
  <c r="N26" i="84"/>
  <c r="L26" i="84"/>
  <c r="H26" i="84"/>
  <c r="D26" i="84"/>
  <c r="B26" i="84"/>
  <c r="T25" i="84"/>
  <c r="P25" i="84"/>
  <c r="X25" i="84" s="1"/>
  <c r="Z25" i="84" s="1"/>
  <c r="N25" i="84"/>
  <c r="H25" i="84"/>
  <c r="D25" i="84"/>
  <c r="L25" i="84" s="1"/>
  <c r="B25" i="84"/>
  <c r="T24" i="84"/>
  <c r="P24" i="84"/>
  <c r="X24" i="84" s="1"/>
  <c r="Z24" i="84" s="1"/>
  <c r="H24" i="84"/>
  <c r="N24" i="84" s="1"/>
  <c r="D24" i="84"/>
  <c r="L24" i="84" s="1"/>
  <c r="B24" i="84"/>
  <c r="T23" i="84"/>
  <c r="P23" i="84"/>
  <c r="H23" i="84"/>
  <c r="N23" i="84" s="1"/>
  <c r="D23" i="84"/>
  <c r="L23" i="84" s="1"/>
  <c r="B23" i="84"/>
  <c r="X22" i="84"/>
  <c r="Z22" i="84" s="1"/>
  <c r="T22" i="84"/>
  <c r="P22" i="84"/>
  <c r="L22" i="84"/>
  <c r="N22" i="84" s="1"/>
  <c r="H22" i="84"/>
  <c r="D22" i="84"/>
  <c r="B22" i="84"/>
  <c r="T21" i="84"/>
  <c r="P21" i="84"/>
  <c r="X21" i="84" s="1"/>
  <c r="Z21" i="84" s="1"/>
  <c r="H21" i="84"/>
  <c r="D21" i="84"/>
  <c r="L21" i="84" s="1"/>
  <c r="N21" i="84" s="1"/>
  <c r="B21" i="84"/>
  <c r="T20" i="84"/>
  <c r="P20" i="84"/>
  <c r="X20" i="84" s="1"/>
  <c r="Z20" i="84" s="1"/>
  <c r="H20" i="84"/>
  <c r="D20" i="84"/>
  <c r="L20" i="84" s="1"/>
  <c r="B20" i="84"/>
  <c r="T19" i="84"/>
  <c r="P19" i="84"/>
  <c r="H19" i="84"/>
  <c r="D19" i="84"/>
  <c r="L19" i="84" s="1"/>
  <c r="B19" i="84"/>
  <c r="X18" i="84"/>
  <c r="Z18" i="84" s="1"/>
  <c r="T18" i="84"/>
  <c r="P18" i="84"/>
  <c r="L18" i="84"/>
  <c r="N18" i="84" s="1"/>
  <c r="H18" i="84"/>
  <c r="D18" i="84"/>
  <c r="B18" i="84"/>
  <c r="Z17" i="84"/>
  <c r="T17" i="84"/>
  <c r="P17" i="84"/>
  <c r="X17" i="84" s="1"/>
  <c r="N17" i="84"/>
  <c r="H17" i="84"/>
  <c r="D17" i="84"/>
  <c r="L17" i="84" s="1"/>
  <c r="B17" i="84"/>
  <c r="T16" i="84"/>
  <c r="P16" i="84"/>
  <c r="X16" i="84" s="1"/>
  <c r="Z16" i="84" s="1"/>
  <c r="H16" i="84"/>
  <c r="H12" i="84" s="1"/>
  <c r="D16" i="84"/>
  <c r="D12" i="84" s="1"/>
  <c r="B16" i="84"/>
  <c r="T15" i="84"/>
  <c r="P15" i="84"/>
  <c r="H15" i="84"/>
  <c r="D15" i="84"/>
  <c r="B15" i="84"/>
  <c r="X14" i="84"/>
  <c r="Z14" i="84" s="1"/>
  <c r="T14" i="84"/>
  <c r="P14" i="84"/>
  <c r="N14" i="84"/>
  <c r="L14" i="84"/>
  <c r="H14" i="84"/>
  <c r="D14" i="84"/>
  <c r="B14" i="84"/>
  <c r="Z13" i="84"/>
  <c r="T13" i="84"/>
  <c r="P13" i="84"/>
  <c r="X13" i="84" s="1"/>
  <c r="N13" i="84"/>
  <c r="H13" i="84"/>
  <c r="D13" i="84"/>
  <c r="L13" i="84" s="1"/>
  <c r="B13" i="84"/>
  <c r="P12" i="84"/>
  <c r="R82" i="84" s="1"/>
  <c r="D6" i="84"/>
  <c r="D4" i="84"/>
  <c r="X84" i="83"/>
  <c r="Z84" i="83" s="1"/>
  <c r="L84" i="83"/>
  <c r="N84" i="83" s="1"/>
  <c r="Z80" i="83"/>
  <c r="X80" i="83"/>
  <c r="T80" i="83"/>
  <c r="P80" i="83"/>
  <c r="H80" i="83"/>
  <c r="N80" i="83" s="1"/>
  <c r="D80" i="83"/>
  <c r="L80" i="83" s="1"/>
  <c r="Z78" i="83"/>
  <c r="X78" i="83"/>
  <c r="L78" i="83"/>
  <c r="N78" i="83" s="1"/>
  <c r="B78" i="83"/>
  <c r="Z77" i="83"/>
  <c r="T77" i="83"/>
  <c r="X77" i="83" s="1"/>
  <c r="P77" i="83"/>
  <c r="L77" i="83"/>
  <c r="H77" i="83"/>
  <c r="D77" i="83"/>
  <c r="B77" i="83"/>
  <c r="X76" i="83"/>
  <c r="Z76" i="83" s="1"/>
  <c r="L76" i="83"/>
  <c r="N76" i="83" s="1"/>
  <c r="B76" i="83"/>
  <c r="T75" i="83"/>
  <c r="P75" i="83"/>
  <c r="X75" i="83" s="1"/>
  <c r="H75" i="83"/>
  <c r="D75" i="83"/>
  <c r="B75" i="83"/>
  <c r="X74" i="83"/>
  <c r="Z74" i="83" s="1"/>
  <c r="L74" i="83"/>
  <c r="N74" i="83" s="1"/>
  <c r="B74" i="83"/>
  <c r="Z73" i="83"/>
  <c r="X73" i="83"/>
  <c r="T73" i="83"/>
  <c r="P73" i="83"/>
  <c r="H73" i="83"/>
  <c r="D73" i="83"/>
  <c r="L73" i="83" s="1"/>
  <c r="N73" i="83" s="1"/>
  <c r="B73" i="83"/>
  <c r="Z72" i="83"/>
  <c r="X72" i="83"/>
  <c r="L72" i="83"/>
  <c r="N72" i="83" s="1"/>
  <c r="B72" i="83"/>
  <c r="X71" i="83"/>
  <c r="Z71" i="83" s="1"/>
  <c r="L71" i="83"/>
  <c r="N71" i="83" s="1"/>
  <c r="B71" i="83"/>
  <c r="X70" i="83"/>
  <c r="Z70" i="83" s="1"/>
  <c r="N70" i="83"/>
  <c r="L70" i="83"/>
  <c r="B70" i="83"/>
  <c r="Z69" i="83"/>
  <c r="X69" i="83"/>
  <c r="N69" i="83"/>
  <c r="L69" i="83"/>
  <c r="B69" i="83"/>
  <c r="Z68" i="83"/>
  <c r="X68" i="83"/>
  <c r="N68" i="83"/>
  <c r="L68" i="83"/>
  <c r="B68" i="83"/>
  <c r="X67" i="83"/>
  <c r="T67" i="83"/>
  <c r="Z67" i="83" s="1"/>
  <c r="P67" i="83"/>
  <c r="H67" i="83"/>
  <c r="L67" i="83" s="1"/>
  <c r="D67" i="83"/>
  <c r="B67" i="83"/>
  <c r="Z66" i="83"/>
  <c r="X66" i="83"/>
  <c r="L66" i="83"/>
  <c r="N66" i="83" s="1"/>
  <c r="B66" i="83"/>
  <c r="T65" i="83"/>
  <c r="Z65" i="83" s="1"/>
  <c r="P65" i="83"/>
  <c r="X65" i="83" s="1"/>
  <c r="H65" i="83"/>
  <c r="N65" i="83" s="1"/>
  <c r="D65" i="83"/>
  <c r="L65" i="83" s="1"/>
  <c r="B65" i="83"/>
  <c r="X64" i="83"/>
  <c r="Z64" i="83" s="1"/>
  <c r="N64" i="83"/>
  <c r="L64" i="83"/>
  <c r="B64" i="83"/>
  <c r="X63" i="83"/>
  <c r="Z63" i="83" s="1"/>
  <c r="L63" i="83"/>
  <c r="N63" i="83" s="1"/>
  <c r="B63" i="83"/>
  <c r="X62" i="83"/>
  <c r="Z62" i="83" s="1"/>
  <c r="N62" i="83"/>
  <c r="L62" i="83"/>
  <c r="B62" i="83"/>
  <c r="Z61" i="83"/>
  <c r="X61" i="83"/>
  <c r="T61" i="83"/>
  <c r="P61" i="83"/>
  <c r="L61" i="83"/>
  <c r="N61" i="83" s="1"/>
  <c r="H61" i="83"/>
  <c r="D61" i="83"/>
  <c r="B61" i="83"/>
  <c r="Z60" i="83"/>
  <c r="X60" i="83"/>
  <c r="N60" i="83"/>
  <c r="L60" i="83"/>
  <c r="B60" i="83"/>
  <c r="X59" i="83"/>
  <c r="Z59" i="83" s="1"/>
  <c r="N59" i="83"/>
  <c r="L59" i="83"/>
  <c r="B59" i="83"/>
  <c r="X58" i="83"/>
  <c r="Z58" i="83" s="1"/>
  <c r="N58" i="83"/>
  <c r="L58" i="83"/>
  <c r="B58" i="83"/>
  <c r="Z57" i="83"/>
  <c r="T57" i="83"/>
  <c r="X57" i="83" s="1"/>
  <c r="P57" i="83"/>
  <c r="L57" i="83"/>
  <c r="H57" i="83"/>
  <c r="N57" i="83" s="1"/>
  <c r="D57" i="83"/>
  <c r="B57" i="83"/>
  <c r="X56" i="83"/>
  <c r="Z56" i="83" s="1"/>
  <c r="L56" i="83"/>
  <c r="N56" i="83" s="1"/>
  <c r="B56" i="83"/>
  <c r="T55" i="83"/>
  <c r="P55" i="83"/>
  <c r="X55" i="83" s="1"/>
  <c r="H55" i="83"/>
  <c r="N55" i="83" s="1"/>
  <c r="D55" i="83"/>
  <c r="L55" i="83" s="1"/>
  <c r="B55" i="83"/>
  <c r="X54" i="83"/>
  <c r="Z54" i="83" s="1"/>
  <c r="L54" i="83"/>
  <c r="N54" i="83" s="1"/>
  <c r="B54" i="83"/>
  <c r="Z53" i="83"/>
  <c r="X53" i="83"/>
  <c r="T53" i="83"/>
  <c r="P53" i="83"/>
  <c r="H53" i="83"/>
  <c r="D53" i="83"/>
  <c r="L53" i="83" s="1"/>
  <c r="N53" i="83" s="1"/>
  <c r="B53" i="83"/>
  <c r="Z52" i="83"/>
  <c r="X52" i="83"/>
  <c r="L52" i="83"/>
  <c r="N52" i="83" s="1"/>
  <c r="B52" i="83"/>
  <c r="X51" i="83"/>
  <c r="T51" i="83"/>
  <c r="Z51" i="83" s="1"/>
  <c r="P51" i="83"/>
  <c r="H51" i="83"/>
  <c r="L51" i="83" s="1"/>
  <c r="D51" i="83"/>
  <c r="B51" i="83"/>
  <c r="Z50" i="83"/>
  <c r="X50" i="83"/>
  <c r="L50" i="83"/>
  <c r="N50" i="83" s="1"/>
  <c r="B50" i="83"/>
  <c r="T49" i="83"/>
  <c r="P49" i="83"/>
  <c r="H49" i="83"/>
  <c r="N49" i="83" s="1"/>
  <c r="D49" i="83"/>
  <c r="L49" i="83" s="1"/>
  <c r="B49" i="83"/>
  <c r="X48" i="83"/>
  <c r="Z48" i="83" s="1"/>
  <c r="N48" i="83"/>
  <c r="L48" i="83"/>
  <c r="B48" i="83"/>
  <c r="T47" i="83"/>
  <c r="P47" i="83"/>
  <c r="X47" i="83" s="1"/>
  <c r="Z47" i="83" s="1"/>
  <c r="N47" i="83"/>
  <c r="L47" i="83"/>
  <c r="H47" i="83"/>
  <c r="D47" i="83"/>
  <c r="B47" i="83"/>
  <c r="X46" i="83"/>
  <c r="Z46" i="83" s="1"/>
  <c r="L46" i="83"/>
  <c r="N46" i="83" s="1"/>
  <c r="B46" i="83"/>
  <c r="Z45" i="83"/>
  <c r="X45" i="83"/>
  <c r="N45" i="83"/>
  <c r="L45" i="83"/>
  <c r="B45" i="83"/>
  <c r="T44" i="83"/>
  <c r="P44" i="83"/>
  <c r="X44" i="83" s="1"/>
  <c r="L44" i="83"/>
  <c r="N44" i="83" s="1"/>
  <c r="H44" i="83"/>
  <c r="D44" i="83"/>
  <c r="B44" i="83"/>
  <c r="X43" i="83"/>
  <c r="Z43" i="83" s="1"/>
  <c r="L43" i="83"/>
  <c r="N43" i="83" s="1"/>
  <c r="J43" i="83"/>
  <c r="B43" i="83"/>
  <c r="T42" i="83"/>
  <c r="P42" i="83"/>
  <c r="X42" i="83" s="1"/>
  <c r="Z42" i="83" s="1"/>
  <c r="L42" i="83"/>
  <c r="H42" i="83"/>
  <c r="N42" i="83" s="1"/>
  <c r="D42" i="83"/>
  <c r="B42" i="83"/>
  <c r="Z41" i="83"/>
  <c r="X41" i="83"/>
  <c r="N41" i="83"/>
  <c r="L41" i="83"/>
  <c r="B41" i="83"/>
  <c r="T40" i="83"/>
  <c r="P40" i="83"/>
  <c r="H40" i="83"/>
  <c r="D40" i="83"/>
  <c r="L40" i="83" s="1"/>
  <c r="B40" i="83"/>
  <c r="X39" i="83"/>
  <c r="Z39" i="83" s="1"/>
  <c r="L39" i="83"/>
  <c r="N39" i="83" s="1"/>
  <c r="J39" i="83"/>
  <c r="B39" i="83"/>
  <c r="T38" i="83"/>
  <c r="P38" i="83"/>
  <c r="X38" i="83" s="1"/>
  <c r="Z38" i="83" s="1"/>
  <c r="H38" i="83"/>
  <c r="D38" i="83"/>
  <c r="L38" i="83" s="1"/>
  <c r="B38" i="83"/>
  <c r="Z37" i="83"/>
  <c r="X37" i="83"/>
  <c r="N37" i="83"/>
  <c r="L37" i="83"/>
  <c r="B37" i="83"/>
  <c r="X36" i="83"/>
  <c r="Z36" i="83" s="1"/>
  <c r="L36" i="83"/>
  <c r="N36" i="83" s="1"/>
  <c r="J36" i="83"/>
  <c r="B36" i="83"/>
  <c r="X35" i="83"/>
  <c r="Z35" i="83" s="1"/>
  <c r="L35" i="83"/>
  <c r="N35" i="83" s="1"/>
  <c r="B35" i="83"/>
  <c r="X34" i="83"/>
  <c r="Z34" i="83" s="1"/>
  <c r="N34" i="83"/>
  <c r="L34" i="83"/>
  <c r="B34" i="83"/>
  <c r="Z33" i="83"/>
  <c r="X33" i="83"/>
  <c r="N33" i="83"/>
  <c r="L33" i="83"/>
  <c r="B33" i="83"/>
  <c r="T32" i="83"/>
  <c r="P32" i="83"/>
  <c r="L32" i="83"/>
  <c r="N32" i="83" s="1"/>
  <c r="J32" i="83"/>
  <c r="H32" i="83"/>
  <c r="D32" i="83"/>
  <c r="B32" i="83"/>
  <c r="X31" i="83"/>
  <c r="Z31" i="83" s="1"/>
  <c r="L31" i="83"/>
  <c r="N31" i="83" s="1"/>
  <c r="J31" i="83"/>
  <c r="B31" i="83"/>
  <c r="X30" i="83"/>
  <c r="Z30" i="83" s="1"/>
  <c r="N30" i="83"/>
  <c r="L30" i="83"/>
  <c r="B30" i="83"/>
  <c r="X29" i="83"/>
  <c r="Z29" i="83" s="1"/>
  <c r="N29" i="83"/>
  <c r="L29" i="83"/>
  <c r="J29" i="83"/>
  <c r="B29" i="83"/>
  <c r="X28" i="83"/>
  <c r="Z28" i="83" s="1"/>
  <c r="N28" i="83"/>
  <c r="L28" i="83"/>
  <c r="B28" i="83"/>
  <c r="X27" i="83"/>
  <c r="Z27" i="83" s="1"/>
  <c r="L27" i="83"/>
  <c r="N27" i="83" s="1"/>
  <c r="B27" i="83"/>
  <c r="X26" i="83"/>
  <c r="Z26" i="83" s="1"/>
  <c r="N26" i="83"/>
  <c r="L26" i="83"/>
  <c r="B26" i="83"/>
  <c r="X25" i="83"/>
  <c r="Z25" i="83" s="1"/>
  <c r="N25" i="83"/>
  <c r="L25" i="83"/>
  <c r="B25" i="83"/>
  <c r="X24" i="83"/>
  <c r="Z24" i="83" s="1"/>
  <c r="N24" i="83"/>
  <c r="L24" i="83"/>
  <c r="B24" i="83"/>
  <c r="X23" i="83"/>
  <c r="Z23" i="83" s="1"/>
  <c r="T23" i="83"/>
  <c r="P23" i="83"/>
  <c r="H23" i="83"/>
  <c r="D23" i="83"/>
  <c r="L23" i="83" s="1"/>
  <c r="N23" i="83" s="1"/>
  <c r="B23" i="83"/>
  <c r="X22" i="83"/>
  <c r="Z22" i="83" s="1"/>
  <c r="T22" i="83"/>
  <c r="P22" i="83"/>
  <c r="H22" i="83"/>
  <c r="D22" i="83"/>
  <c r="H20" i="83"/>
  <c r="X18" i="83"/>
  <c r="Z18" i="83" s="1"/>
  <c r="L18" i="83"/>
  <c r="N18" i="83" s="1"/>
  <c r="B18" i="83"/>
  <c r="X17" i="83"/>
  <c r="Z17" i="83" s="1"/>
  <c r="N17" i="83"/>
  <c r="L17" i="83"/>
  <c r="B17" i="83"/>
  <c r="T16" i="83"/>
  <c r="Z16" i="83" s="1"/>
  <c r="P16" i="83"/>
  <c r="X16" i="83" s="1"/>
  <c r="L16" i="83"/>
  <c r="N16" i="83" s="1"/>
  <c r="H16" i="83"/>
  <c r="D16" i="83"/>
  <c r="T14" i="83"/>
  <c r="P14" i="83"/>
  <c r="X14" i="83" s="1"/>
  <c r="Z14" i="83" s="1"/>
  <c r="H14" i="83"/>
  <c r="N14" i="83" s="1"/>
  <c r="D14" i="83"/>
  <c r="L14" i="83" s="1"/>
  <c r="B14" i="83"/>
  <c r="T13" i="83"/>
  <c r="P13" i="83"/>
  <c r="H13" i="83"/>
  <c r="D13" i="83"/>
  <c r="B13" i="83"/>
  <c r="H12" i="83"/>
  <c r="J76" i="83" s="1"/>
  <c r="D6" i="83"/>
  <c r="D4" i="83"/>
  <c r="X29" i="82"/>
  <c r="Z29" i="82" s="1"/>
  <c r="L29" i="82"/>
  <c r="N29" i="82" s="1"/>
  <c r="T25" i="82"/>
  <c r="Z25" i="82" s="1"/>
  <c r="P25" i="82"/>
  <c r="X25" i="82" s="1"/>
  <c r="N25" i="82"/>
  <c r="L25" i="82"/>
  <c r="H25" i="82"/>
  <c r="D25" i="82"/>
  <c r="Z23" i="82"/>
  <c r="T23" i="82"/>
  <c r="P23" i="82"/>
  <c r="X23" i="82" s="1"/>
  <c r="N23" i="82"/>
  <c r="L23" i="82"/>
  <c r="H23" i="82"/>
  <c r="D23" i="82"/>
  <c r="Z19" i="82"/>
  <c r="X19" i="82"/>
  <c r="L19" i="82"/>
  <c r="N19" i="82" s="1"/>
  <c r="B19" i="82"/>
  <c r="X18" i="82"/>
  <c r="Z18" i="82" s="1"/>
  <c r="L18" i="82"/>
  <c r="N18" i="82" s="1"/>
  <c r="B18" i="82"/>
  <c r="X17" i="82"/>
  <c r="Z17" i="82" s="1"/>
  <c r="T17" i="82"/>
  <c r="P17" i="82"/>
  <c r="H17" i="82"/>
  <c r="N17" i="82" s="1"/>
  <c r="D17" i="82"/>
  <c r="L17" i="82" s="1"/>
  <c r="T15" i="82"/>
  <c r="P15" i="82"/>
  <c r="X15" i="82" s="1"/>
  <c r="Z15" i="82" s="1"/>
  <c r="L15" i="82"/>
  <c r="N15" i="82" s="1"/>
  <c r="H15" i="82"/>
  <c r="D15" i="82"/>
  <c r="B15" i="82"/>
  <c r="T14" i="82"/>
  <c r="P14" i="82"/>
  <c r="H14" i="82"/>
  <c r="N14" i="82" s="1"/>
  <c r="D14" i="82"/>
  <c r="L14" i="82" s="1"/>
  <c r="B14" i="82"/>
  <c r="T13" i="82"/>
  <c r="P13" i="82"/>
  <c r="X13" i="82" s="1"/>
  <c r="Z13" i="82" s="1"/>
  <c r="H13" i="82"/>
  <c r="H12" i="82" s="1"/>
  <c r="J18" i="82" s="1"/>
  <c r="D13" i="82"/>
  <c r="B13" i="82"/>
  <c r="D6" i="82"/>
  <c r="D4" i="82"/>
  <c r="X73" i="80"/>
  <c r="Z73" i="80" s="1"/>
  <c r="L73" i="80"/>
  <c r="N73" i="80" s="1"/>
  <c r="Z69" i="80"/>
  <c r="T69" i="80"/>
  <c r="P69" i="80"/>
  <c r="X69" i="80" s="1"/>
  <c r="H69" i="80"/>
  <c r="D69" i="80"/>
  <c r="X67" i="80"/>
  <c r="Z67" i="80" s="1"/>
  <c r="L67" i="80"/>
  <c r="N67" i="80" s="1"/>
  <c r="B67" i="80"/>
  <c r="X66" i="80"/>
  <c r="Z66" i="80" s="1"/>
  <c r="T66" i="80"/>
  <c r="P66" i="80"/>
  <c r="N66" i="80"/>
  <c r="H66" i="80"/>
  <c r="D66" i="80"/>
  <c r="L66" i="80" s="1"/>
  <c r="B66" i="80"/>
  <c r="Z65" i="80"/>
  <c r="X65" i="80"/>
  <c r="V65" i="80"/>
  <c r="L65" i="80"/>
  <c r="N65" i="80" s="1"/>
  <c r="B65" i="80"/>
  <c r="T64" i="80"/>
  <c r="Z64" i="80" s="1"/>
  <c r="P64" i="80"/>
  <c r="X64" i="80" s="1"/>
  <c r="H64" i="80"/>
  <c r="L64" i="80" s="1"/>
  <c r="D64" i="80"/>
  <c r="B64" i="80"/>
  <c r="Z63" i="80"/>
  <c r="X63" i="80"/>
  <c r="N63" i="80"/>
  <c r="L63" i="80"/>
  <c r="B63" i="80"/>
  <c r="X62" i="80"/>
  <c r="Z62" i="80" s="1"/>
  <c r="L62" i="80"/>
  <c r="N62" i="80" s="1"/>
  <c r="B62" i="80"/>
  <c r="X61" i="80"/>
  <c r="Z61" i="80" s="1"/>
  <c r="N61" i="80"/>
  <c r="L61" i="80"/>
  <c r="B61" i="80"/>
  <c r="X60" i="80"/>
  <c r="Z60" i="80" s="1"/>
  <c r="L60" i="80"/>
  <c r="N60" i="80" s="1"/>
  <c r="B60" i="80"/>
  <c r="Z59" i="80"/>
  <c r="X59" i="80"/>
  <c r="N59" i="80"/>
  <c r="L59" i="80"/>
  <c r="B59" i="80"/>
  <c r="X58" i="80"/>
  <c r="Z58" i="80" s="1"/>
  <c r="N58" i="80"/>
  <c r="L58" i="80"/>
  <c r="B58" i="80"/>
  <c r="X57" i="80"/>
  <c r="Z57" i="80" s="1"/>
  <c r="T57" i="80"/>
  <c r="P57" i="80"/>
  <c r="H57" i="80"/>
  <c r="D57" i="80"/>
  <c r="B57" i="80"/>
  <c r="X56" i="80"/>
  <c r="Z56" i="80" s="1"/>
  <c r="L56" i="80"/>
  <c r="N56" i="80" s="1"/>
  <c r="B56" i="80"/>
  <c r="Z55" i="80"/>
  <c r="X55" i="80"/>
  <c r="N55" i="80"/>
  <c r="L55" i="80"/>
  <c r="B55" i="80"/>
  <c r="X54" i="80"/>
  <c r="Z54" i="80" s="1"/>
  <c r="L54" i="80"/>
  <c r="N54" i="80" s="1"/>
  <c r="B54" i="80"/>
  <c r="T53" i="80"/>
  <c r="P53" i="80"/>
  <c r="X53" i="80" s="1"/>
  <c r="H53" i="80"/>
  <c r="L53" i="80" s="1"/>
  <c r="N53" i="80" s="1"/>
  <c r="D53" i="80"/>
  <c r="B53" i="80"/>
  <c r="X52" i="80"/>
  <c r="Z52" i="80" s="1"/>
  <c r="N52" i="80"/>
  <c r="L52" i="80"/>
  <c r="B52" i="80"/>
  <c r="Z51" i="80"/>
  <c r="X51" i="80"/>
  <c r="N51" i="80"/>
  <c r="L51" i="80"/>
  <c r="B51" i="80"/>
  <c r="T50" i="80"/>
  <c r="X50" i="80" s="1"/>
  <c r="P50" i="80"/>
  <c r="H50" i="80"/>
  <c r="N50" i="80" s="1"/>
  <c r="D50" i="80"/>
  <c r="L50" i="80" s="1"/>
  <c r="B50" i="80"/>
  <c r="X49" i="80"/>
  <c r="Z49" i="80" s="1"/>
  <c r="N49" i="80"/>
  <c r="L49" i="80"/>
  <c r="B49" i="80"/>
  <c r="X48" i="80"/>
  <c r="Z48" i="80" s="1"/>
  <c r="T48" i="80"/>
  <c r="P48" i="80"/>
  <c r="H48" i="80"/>
  <c r="D48" i="80"/>
  <c r="L48" i="80" s="1"/>
  <c r="B48" i="80"/>
  <c r="Z47" i="80"/>
  <c r="X47" i="80"/>
  <c r="N47" i="80"/>
  <c r="L47" i="80"/>
  <c r="B47" i="80"/>
  <c r="T46" i="80"/>
  <c r="P46" i="80"/>
  <c r="L46" i="80"/>
  <c r="N46" i="80" s="1"/>
  <c r="H46" i="80"/>
  <c r="D46" i="80"/>
  <c r="B46" i="80"/>
  <c r="X45" i="80"/>
  <c r="Z45" i="80" s="1"/>
  <c r="V45" i="80"/>
  <c r="L45" i="80"/>
  <c r="N45" i="80" s="1"/>
  <c r="B45" i="80"/>
  <c r="T44" i="80"/>
  <c r="P44" i="80"/>
  <c r="X44" i="80" s="1"/>
  <c r="H44" i="80"/>
  <c r="L44" i="80" s="1"/>
  <c r="D44" i="80"/>
  <c r="B44" i="80"/>
  <c r="Z43" i="80"/>
  <c r="X43" i="80"/>
  <c r="N43" i="80"/>
  <c r="L43" i="80"/>
  <c r="B43" i="80"/>
  <c r="T42" i="80"/>
  <c r="P42" i="80"/>
  <c r="X42" i="80" s="1"/>
  <c r="L42" i="80"/>
  <c r="N42" i="80" s="1"/>
  <c r="H42" i="80"/>
  <c r="D42" i="80"/>
  <c r="B42" i="80"/>
  <c r="Z41" i="80"/>
  <c r="X41" i="80"/>
  <c r="L41" i="80"/>
  <c r="N41" i="80" s="1"/>
  <c r="J41" i="80"/>
  <c r="B41" i="80"/>
  <c r="X40" i="80"/>
  <c r="Z40" i="80" s="1"/>
  <c r="T40" i="80"/>
  <c r="P40" i="80"/>
  <c r="H40" i="80"/>
  <c r="D40" i="80"/>
  <c r="B40" i="80"/>
  <c r="Z39" i="80"/>
  <c r="X39" i="80"/>
  <c r="N39" i="80"/>
  <c r="L39" i="80"/>
  <c r="B39" i="80"/>
  <c r="T38" i="80"/>
  <c r="X38" i="80" s="1"/>
  <c r="P38" i="80"/>
  <c r="H38" i="80"/>
  <c r="D38" i="80"/>
  <c r="L38" i="80" s="1"/>
  <c r="B38" i="80"/>
  <c r="X37" i="80"/>
  <c r="Z37" i="80" s="1"/>
  <c r="N37" i="80"/>
  <c r="L37" i="80"/>
  <c r="B37" i="80"/>
  <c r="X36" i="80"/>
  <c r="Z36" i="80" s="1"/>
  <c r="L36" i="80"/>
  <c r="N36" i="80" s="1"/>
  <c r="B36" i="80"/>
  <c r="Z35" i="80"/>
  <c r="X35" i="80"/>
  <c r="N35" i="80"/>
  <c r="L35" i="80"/>
  <c r="B35" i="80"/>
  <c r="X34" i="80"/>
  <c r="Z34" i="80" s="1"/>
  <c r="L34" i="80"/>
  <c r="N34" i="80" s="1"/>
  <c r="B34" i="80"/>
  <c r="X33" i="80"/>
  <c r="Z33" i="80" s="1"/>
  <c r="V33" i="80"/>
  <c r="N33" i="80"/>
  <c r="L33" i="80"/>
  <c r="B33" i="80"/>
  <c r="X32" i="80"/>
  <c r="Z32" i="80" s="1"/>
  <c r="T32" i="80"/>
  <c r="P32" i="80"/>
  <c r="H32" i="80"/>
  <c r="N32" i="80" s="1"/>
  <c r="D32" i="80"/>
  <c r="L32" i="80" s="1"/>
  <c r="B32" i="80"/>
  <c r="Z31" i="80"/>
  <c r="X31" i="80"/>
  <c r="N31" i="80"/>
  <c r="L31" i="80"/>
  <c r="B31" i="80"/>
  <c r="X30" i="80"/>
  <c r="Z30" i="80" s="1"/>
  <c r="L30" i="80"/>
  <c r="N30" i="80" s="1"/>
  <c r="B30" i="80"/>
  <c r="Z29" i="80"/>
  <c r="X29" i="80"/>
  <c r="N29" i="80"/>
  <c r="L29" i="80"/>
  <c r="B29" i="80"/>
  <c r="X28" i="80"/>
  <c r="Z28" i="80" s="1"/>
  <c r="L28" i="80"/>
  <c r="N28" i="80" s="1"/>
  <c r="B28" i="80"/>
  <c r="Z27" i="80"/>
  <c r="X27" i="80"/>
  <c r="N27" i="80"/>
  <c r="L27" i="80"/>
  <c r="B27" i="80"/>
  <c r="X26" i="80"/>
  <c r="Z26" i="80" s="1"/>
  <c r="R26" i="80"/>
  <c r="L26" i="80"/>
  <c r="N26" i="80" s="1"/>
  <c r="B26" i="80"/>
  <c r="Z25" i="80"/>
  <c r="X25" i="80"/>
  <c r="L25" i="80"/>
  <c r="N25" i="80" s="1"/>
  <c r="B25" i="80"/>
  <c r="X24" i="80"/>
  <c r="Z24" i="80" s="1"/>
  <c r="L24" i="80"/>
  <c r="N24" i="80" s="1"/>
  <c r="B24" i="80"/>
  <c r="T23" i="80"/>
  <c r="X23" i="80" s="1"/>
  <c r="Z23" i="80" s="1"/>
  <c r="P23" i="80"/>
  <c r="H23" i="80"/>
  <c r="D23" i="80"/>
  <c r="L23" i="80" s="1"/>
  <c r="B23" i="80"/>
  <c r="T22" i="80"/>
  <c r="X22" i="80" s="1"/>
  <c r="P22" i="80"/>
  <c r="H22" i="80"/>
  <c r="D22" i="80"/>
  <c r="L22" i="80" s="1"/>
  <c r="T20" i="80"/>
  <c r="X18" i="80"/>
  <c r="Z18" i="80" s="1"/>
  <c r="R18" i="80"/>
  <c r="L18" i="80"/>
  <c r="N18" i="80" s="1"/>
  <c r="B18" i="80"/>
  <c r="Z17" i="80"/>
  <c r="X17" i="80"/>
  <c r="V17" i="80"/>
  <c r="L17" i="80"/>
  <c r="N17" i="80" s="1"/>
  <c r="B17" i="80"/>
  <c r="T16" i="80"/>
  <c r="Z16" i="80" s="1"/>
  <c r="P16" i="80"/>
  <c r="X16" i="80" s="1"/>
  <c r="H16" i="80"/>
  <c r="D16" i="80"/>
  <c r="T14" i="80"/>
  <c r="P14" i="80"/>
  <c r="X14" i="80" s="1"/>
  <c r="L14" i="80"/>
  <c r="N14" i="80" s="1"/>
  <c r="H14" i="80"/>
  <c r="D14" i="80"/>
  <c r="B14" i="80"/>
  <c r="T13" i="80"/>
  <c r="X13" i="80" s="1"/>
  <c r="Z13" i="80" s="1"/>
  <c r="P13" i="80"/>
  <c r="H13" i="80"/>
  <c r="H12" i="80" s="1"/>
  <c r="J29" i="80" s="1"/>
  <c r="D13" i="80"/>
  <c r="D12" i="80" s="1"/>
  <c r="B13" i="80"/>
  <c r="T12" i="80"/>
  <c r="V66" i="80" s="1"/>
  <c r="P12" i="80"/>
  <c r="R30" i="80" s="1"/>
  <c r="D6" i="80"/>
  <c r="D4" i="80"/>
  <c r="X70" i="79"/>
  <c r="Z70" i="79" s="1"/>
  <c r="L70" i="79"/>
  <c r="N70" i="79" s="1"/>
  <c r="H68" i="79"/>
  <c r="T66" i="79"/>
  <c r="Z66" i="79" s="1"/>
  <c r="P66" i="79"/>
  <c r="X66" i="79" s="1"/>
  <c r="H66" i="79"/>
  <c r="D66" i="79"/>
  <c r="X64" i="79"/>
  <c r="Z64" i="79" s="1"/>
  <c r="L64" i="79"/>
  <c r="N64" i="79" s="1"/>
  <c r="B64" i="79"/>
  <c r="Z63" i="79"/>
  <c r="T63" i="79"/>
  <c r="P63" i="79"/>
  <c r="X63" i="79" s="1"/>
  <c r="J63" i="79"/>
  <c r="H63" i="79"/>
  <c r="D63" i="79"/>
  <c r="L63" i="79" s="1"/>
  <c r="N63" i="79" s="1"/>
  <c r="B63" i="79"/>
  <c r="X62" i="79"/>
  <c r="Z62" i="79" s="1"/>
  <c r="L62" i="79"/>
  <c r="N62" i="79" s="1"/>
  <c r="B62" i="79"/>
  <c r="X61" i="79"/>
  <c r="Z61" i="79" s="1"/>
  <c r="T61" i="79"/>
  <c r="P61" i="79"/>
  <c r="H61" i="79"/>
  <c r="F61" i="79"/>
  <c r="D61" i="79"/>
  <c r="B61" i="79"/>
  <c r="X60" i="79"/>
  <c r="Z60" i="79" s="1"/>
  <c r="L60" i="79"/>
  <c r="N60" i="79" s="1"/>
  <c r="B60" i="79"/>
  <c r="Z59" i="79"/>
  <c r="X59" i="79"/>
  <c r="N59" i="79"/>
  <c r="L59" i="79"/>
  <c r="B59" i="79"/>
  <c r="Z58" i="79"/>
  <c r="X58" i="79"/>
  <c r="N58" i="79"/>
  <c r="L58" i="79"/>
  <c r="B58" i="79"/>
  <c r="Z57" i="79"/>
  <c r="X57" i="79"/>
  <c r="N57" i="79"/>
  <c r="L57" i="79"/>
  <c r="J57" i="79"/>
  <c r="B57" i="79"/>
  <c r="X56" i="79"/>
  <c r="Z56" i="79" s="1"/>
  <c r="T56" i="79"/>
  <c r="P56" i="79"/>
  <c r="H56" i="79"/>
  <c r="D56" i="79"/>
  <c r="B56" i="79"/>
  <c r="Z55" i="79"/>
  <c r="X55" i="79"/>
  <c r="N55" i="79"/>
  <c r="L55" i="79"/>
  <c r="B55" i="79"/>
  <c r="X54" i="79"/>
  <c r="Z54" i="79" s="1"/>
  <c r="L54" i="79"/>
  <c r="N54" i="79" s="1"/>
  <c r="B54" i="79"/>
  <c r="Z53" i="79"/>
  <c r="X53" i="79"/>
  <c r="L53" i="79"/>
  <c r="N53" i="79" s="1"/>
  <c r="J53" i="79"/>
  <c r="B53" i="79"/>
  <c r="T52" i="79"/>
  <c r="Z52" i="79" s="1"/>
  <c r="P52" i="79"/>
  <c r="X52" i="79" s="1"/>
  <c r="H52" i="79"/>
  <c r="D52" i="79"/>
  <c r="B52" i="79"/>
  <c r="Z51" i="79"/>
  <c r="X51" i="79"/>
  <c r="N51" i="79"/>
  <c r="L51" i="79"/>
  <c r="B51" i="79"/>
  <c r="T50" i="79"/>
  <c r="Z50" i="79" s="1"/>
  <c r="P50" i="79"/>
  <c r="X50" i="79" s="1"/>
  <c r="N50" i="79"/>
  <c r="L50" i="79"/>
  <c r="H50" i="79"/>
  <c r="D50" i="79"/>
  <c r="B50" i="79"/>
  <c r="Z49" i="79"/>
  <c r="X49" i="79"/>
  <c r="N49" i="79"/>
  <c r="L49" i="79"/>
  <c r="J49" i="79"/>
  <c r="B49" i="79"/>
  <c r="X48" i="79"/>
  <c r="Z48" i="79" s="1"/>
  <c r="N48" i="79"/>
  <c r="L48" i="79"/>
  <c r="B48" i="79"/>
  <c r="Z47" i="79"/>
  <c r="X47" i="79"/>
  <c r="N47" i="79"/>
  <c r="L47" i="79"/>
  <c r="B47" i="79"/>
  <c r="T46" i="79"/>
  <c r="P46" i="79"/>
  <c r="L46" i="79"/>
  <c r="N46" i="79" s="1"/>
  <c r="H46" i="79"/>
  <c r="D46" i="79"/>
  <c r="B46" i="79"/>
  <c r="Z45" i="79"/>
  <c r="X45" i="79"/>
  <c r="L45" i="79"/>
  <c r="N45" i="79" s="1"/>
  <c r="J45" i="79"/>
  <c r="B45" i="79"/>
  <c r="T44" i="79"/>
  <c r="P44" i="79"/>
  <c r="X44" i="79" s="1"/>
  <c r="J44" i="79"/>
  <c r="H44" i="79"/>
  <c r="D44" i="79"/>
  <c r="B44" i="79"/>
  <c r="Z43" i="79"/>
  <c r="X43" i="79"/>
  <c r="N43" i="79"/>
  <c r="L43" i="79"/>
  <c r="B43" i="79"/>
  <c r="T42" i="79"/>
  <c r="Z42" i="79" s="1"/>
  <c r="P42" i="79"/>
  <c r="X42" i="79" s="1"/>
  <c r="H42" i="79"/>
  <c r="D42" i="79"/>
  <c r="L42" i="79" s="1"/>
  <c r="N42" i="79" s="1"/>
  <c r="B42" i="79"/>
  <c r="Z41" i="79"/>
  <c r="X41" i="79"/>
  <c r="L41" i="79"/>
  <c r="N41" i="79" s="1"/>
  <c r="J41" i="79"/>
  <c r="B41" i="79"/>
  <c r="T40" i="79"/>
  <c r="P40" i="79"/>
  <c r="X40" i="79" s="1"/>
  <c r="Z40" i="79" s="1"/>
  <c r="L40" i="79"/>
  <c r="H40" i="79"/>
  <c r="D40" i="79"/>
  <c r="B40" i="79"/>
  <c r="Z39" i="79"/>
  <c r="X39" i="79"/>
  <c r="N39" i="79"/>
  <c r="L39" i="79"/>
  <c r="B39" i="79"/>
  <c r="T38" i="79"/>
  <c r="P38" i="79"/>
  <c r="L38" i="79"/>
  <c r="H38" i="79"/>
  <c r="D38" i="79"/>
  <c r="B38" i="79"/>
  <c r="X37" i="79"/>
  <c r="Z37" i="79" s="1"/>
  <c r="N37" i="79"/>
  <c r="L37" i="79"/>
  <c r="J37" i="79"/>
  <c r="B37" i="79"/>
  <c r="X36" i="79"/>
  <c r="Z36" i="79" s="1"/>
  <c r="L36" i="79"/>
  <c r="N36" i="79" s="1"/>
  <c r="B36" i="79"/>
  <c r="Z35" i="79"/>
  <c r="X35" i="79"/>
  <c r="N35" i="79"/>
  <c r="L35" i="79"/>
  <c r="B35" i="79"/>
  <c r="X34" i="79"/>
  <c r="Z34" i="79" s="1"/>
  <c r="L34" i="79"/>
  <c r="N34" i="79" s="1"/>
  <c r="J34" i="79"/>
  <c r="B34" i="79"/>
  <c r="X33" i="79"/>
  <c r="Z33" i="79" s="1"/>
  <c r="N33" i="79"/>
  <c r="L33" i="79"/>
  <c r="J33" i="79"/>
  <c r="B33" i="79"/>
  <c r="Z32" i="79"/>
  <c r="T32" i="79"/>
  <c r="P32" i="79"/>
  <c r="X32" i="79" s="1"/>
  <c r="H32" i="79"/>
  <c r="D32" i="79"/>
  <c r="B32" i="79"/>
  <c r="Z31" i="79"/>
  <c r="X31" i="79"/>
  <c r="N31" i="79"/>
  <c r="L31" i="79"/>
  <c r="B31" i="79"/>
  <c r="X30" i="79"/>
  <c r="Z30" i="79" s="1"/>
  <c r="N30" i="79"/>
  <c r="L30" i="79"/>
  <c r="J30" i="79"/>
  <c r="B30" i="79"/>
  <c r="Z29" i="79"/>
  <c r="X29" i="79"/>
  <c r="V29" i="79"/>
  <c r="N29" i="79"/>
  <c r="L29" i="79"/>
  <c r="J29" i="79"/>
  <c r="B29" i="79"/>
  <c r="Z28" i="79"/>
  <c r="X28" i="79"/>
  <c r="N28" i="79"/>
  <c r="L28" i="79"/>
  <c r="B28" i="79"/>
  <c r="Z27" i="79"/>
  <c r="X27" i="79"/>
  <c r="N27" i="79"/>
  <c r="L27" i="79"/>
  <c r="B27" i="79"/>
  <c r="X26" i="79"/>
  <c r="Z26" i="79" s="1"/>
  <c r="N26" i="79"/>
  <c r="L26" i="79"/>
  <c r="J26" i="79"/>
  <c r="B26" i="79"/>
  <c r="Z25" i="79"/>
  <c r="X25" i="79"/>
  <c r="N25" i="79"/>
  <c r="L25" i="79"/>
  <c r="B25" i="79"/>
  <c r="X24" i="79"/>
  <c r="Z24" i="79" s="1"/>
  <c r="L24" i="79"/>
  <c r="N24" i="79" s="1"/>
  <c r="B24" i="79"/>
  <c r="T23" i="79"/>
  <c r="X23" i="79" s="1"/>
  <c r="P23" i="79"/>
  <c r="J23" i="79"/>
  <c r="H23" i="79"/>
  <c r="D23" i="79"/>
  <c r="L23" i="79" s="1"/>
  <c r="B23" i="79"/>
  <c r="T22" i="79"/>
  <c r="P22" i="79"/>
  <c r="H22" i="79"/>
  <c r="D22" i="79"/>
  <c r="L22" i="79" s="1"/>
  <c r="X18" i="79"/>
  <c r="Z18" i="79" s="1"/>
  <c r="V18" i="79"/>
  <c r="L18" i="79"/>
  <c r="N18" i="79" s="1"/>
  <c r="B18" i="79"/>
  <c r="Z17" i="79"/>
  <c r="X17" i="79"/>
  <c r="L17" i="79"/>
  <c r="N17" i="79" s="1"/>
  <c r="J17" i="79"/>
  <c r="B17" i="79"/>
  <c r="T16" i="79"/>
  <c r="P16" i="79"/>
  <c r="H16" i="79"/>
  <c r="H20" i="79" s="1"/>
  <c r="D16" i="79"/>
  <c r="T14" i="79"/>
  <c r="P14" i="79"/>
  <c r="X14" i="79" s="1"/>
  <c r="N14" i="79"/>
  <c r="L14" i="79"/>
  <c r="H14" i="79"/>
  <c r="D14" i="79"/>
  <c r="B14" i="79"/>
  <c r="T13" i="79"/>
  <c r="P13" i="79"/>
  <c r="X13" i="79" s="1"/>
  <c r="Z13" i="79" s="1"/>
  <c r="N13" i="79"/>
  <c r="H13" i="79"/>
  <c r="H12" i="79" s="1"/>
  <c r="D13" i="79"/>
  <c r="L13" i="79" s="1"/>
  <c r="B13" i="79"/>
  <c r="T12" i="79"/>
  <c r="V22" i="79" s="1"/>
  <c r="D12" i="79"/>
  <c r="F43" i="79" s="1"/>
  <c r="D6" i="79"/>
  <c r="D4" i="79"/>
  <c r="X65" i="78"/>
  <c r="Z65" i="78" s="1"/>
  <c r="N65" i="78"/>
  <c r="L65" i="78"/>
  <c r="X61" i="78"/>
  <c r="T61" i="78"/>
  <c r="P61" i="78"/>
  <c r="L61" i="78"/>
  <c r="H61" i="78"/>
  <c r="D61" i="78"/>
  <c r="B61" i="78"/>
  <c r="T60" i="78"/>
  <c r="X60" i="78" s="1"/>
  <c r="P60" i="78"/>
  <c r="N60" i="78"/>
  <c r="L60" i="78"/>
  <c r="H60" i="78"/>
  <c r="D60" i="78"/>
  <c r="B60" i="78"/>
  <c r="T59" i="78"/>
  <c r="P59" i="78"/>
  <c r="X59" i="78" s="1"/>
  <c r="N59" i="78"/>
  <c r="H59" i="78"/>
  <c r="D59" i="78"/>
  <c r="L59" i="78" s="1"/>
  <c r="B59" i="78"/>
  <c r="T58" i="78"/>
  <c r="P58" i="78"/>
  <c r="X58" i="78" s="1"/>
  <c r="Z58" i="78" s="1"/>
  <c r="N58" i="78"/>
  <c r="H58" i="78"/>
  <c r="D58" i="78"/>
  <c r="L58" i="78" s="1"/>
  <c r="B58" i="78"/>
  <c r="T57" i="78"/>
  <c r="P57" i="78"/>
  <c r="H57" i="78"/>
  <c r="D57" i="78"/>
  <c r="B57" i="78"/>
  <c r="Z54" i="78"/>
  <c r="X54" i="78"/>
  <c r="N54" i="78"/>
  <c r="L54" i="78"/>
  <c r="B54" i="78"/>
  <c r="T53" i="78"/>
  <c r="P53" i="78"/>
  <c r="H53" i="78"/>
  <c r="D53" i="78"/>
  <c r="L53" i="78" s="1"/>
  <c r="N53" i="78" s="1"/>
  <c r="B53" i="78"/>
  <c r="X52" i="78"/>
  <c r="Z52" i="78" s="1"/>
  <c r="L52" i="78"/>
  <c r="N52" i="78" s="1"/>
  <c r="B52" i="78"/>
  <c r="X51" i="78"/>
  <c r="Z51" i="78" s="1"/>
  <c r="N51" i="78"/>
  <c r="L51" i="78"/>
  <c r="B51" i="78"/>
  <c r="T50" i="78"/>
  <c r="P50" i="78"/>
  <c r="X50" i="78" s="1"/>
  <c r="Z50" i="78" s="1"/>
  <c r="H50" i="78"/>
  <c r="D50" i="78"/>
  <c r="L50" i="78" s="1"/>
  <c r="N50" i="78" s="1"/>
  <c r="B50" i="78"/>
  <c r="X49" i="78"/>
  <c r="Z49" i="78" s="1"/>
  <c r="L49" i="78"/>
  <c r="N49" i="78" s="1"/>
  <c r="B49" i="78"/>
  <c r="Z48" i="78"/>
  <c r="X48" i="78"/>
  <c r="T48" i="78"/>
  <c r="P48" i="78"/>
  <c r="L48" i="78"/>
  <c r="H48" i="78"/>
  <c r="N48" i="78" s="1"/>
  <c r="D48" i="78"/>
  <c r="B48" i="78"/>
  <c r="Z47" i="78"/>
  <c r="X47" i="78"/>
  <c r="N47" i="78"/>
  <c r="L47" i="78"/>
  <c r="B47" i="78"/>
  <c r="Z46" i="78"/>
  <c r="T46" i="78"/>
  <c r="X46" i="78" s="1"/>
  <c r="P46" i="78"/>
  <c r="H46" i="78"/>
  <c r="N46" i="78" s="1"/>
  <c r="D46" i="78"/>
  <c r="B46" i="78"/>
  <c r="X45" i="78"/>
  <c r="Z45" i="78" s="1"/>
  <c r="L45" i="78"/>
  <c r="N45" i="78" s="1"/>
  <c r="B45" i="78"/>
  <c r="X44" i="78"/>
  <c r="Z44" i="78" s="1"/>
  <c r="L44" i="78"/>
  <c r="N44" i="78" s="1"/>
  <c r="B44" i="78"/>
  <c r="T43" i="78"/>
  <c r="P43" i="78"/>
  <c r="X43" i="78" s="1"/>
  <c r="H43" i="78"/>
  <c r="D43" i="78"/>
  <c r="B43" i="78"/>
  <c r="X42" i="78"/>
  <c r="Z42" i="78" s="1"/>
  <c r="N42" i="78"/>
  <c r="L42" i="78"/>
  <c r="B42" i="78"/>
  <c r="X41" i="78"/>
  <c r="T41" i="78"/>
  <c r="P41" i="78"/>
  <c r="N41" i="78"/>
  <c r="H41" i="78"/>
  <c r="D41" i="78"/>
  <c r="L41" i="78" s="1"/>
  <c r="B41" i="78"/>
  <c r="Z40" i="78"/>
  <c r="X40" i="78"/>
  <c r="V40" i="78"/>
  <c r="L40" i="78"/>
  <c r="N40" i="78" s="1"/>
  <c r="B40" i="78"/>
  <c r="T39" i="78"/>
  <c r="Z39" i="78" s="1"/>
  <c r="P39" i="78"/>
  <c r="X39" i="78" s="1"/>
  <c r="L39" i="78"/>
  <c r="N39" i="78" s="1"/>
  <c r="H39" i="78"/>
  <c r="D39" i="78"/>
  <c r="B39" i="78"/>
  <c r="Z38" i="78"/>
  <c r="X38" i="78"/>
  <c r="N38" i="78"/>
  <c r="L38" i="78"/>
  <c r="B38" i="78"/>
  <c r="X37" i="78"/>
  <c r="Z37" i="78" s="1"/>
  <c r="N37" i="78"/>
  <c r="L37" i="78"/>
  <c r="B37" i="78"/>
  <c r="X36" i="78"/>
  <c r="Z36" i="78" s="1"/>
  <c r="N36" i="78"/>
  <c r="L36" i="78"/>
  <c r="B36" i="78"/>
  <c r="T35" i="78"/>
  <c r="P35" i="78"/>
  <c r="H35" i="78"/>
  <c r="N35" i="78" s="1"/>
  <c r="D35" i="78"/>
  <c r="L35" i="78" s="1"/>
  <c r="B35" i="78"/>
  <c r="Z34" i="78"/>
  <c r="X34" i="78"/>
  <c r="N34" i="78"/>
  <c r="L34" i="78"/>
  <c r="B34" i="78"/>
  <c r="X33" i="78"/>
  <c r="Z33" i="78" s="1"/>
  <c r="N33" i="78"/>
  <c r="L33" i="78"/>
  <c r="B33" i="78"/>
  <c r="Z32" i="78"/>
  <c r="X32" i="78"/>
  <c r="N32" i="78"/>
  <c r="L32" i="78"/>
  <c r="B32" i="78"/>
  <c r="Z31" i="78"/>
  <c r="X31" i="78"/>
  <c r="N31" i="78"/>
  <c r="L31" i="78"/>
  <c r="B31" i="78"/>
  <c r="X30" i="78"/>
  <c r="Z30" i="78" s="1"/>
  <c r="N30" i="78"/>
  <c r="L30" i="78"/>
  <c r="B30" i="78"/>
  <c r="X29" i="78"/>
  <c r="Z29" i="78" s="1"/>
  <c r="N29" i="78"/>
  <c r="L29" i="78"/>
  <c r="B29" i="78"/>
  <c r="X28" i="78"/>
  <c r="Z28" i="78" s="1"/>
  <c r="N28" i="78"/>
  <c r="L28" i="78"/>
  <c r="B28" i="78"/>
  <c r="T27" i="78"/>
  <c r="Z27" i="78" s="1"/>
  <c r="P27" i="78"/>
  <c r="X27" i="78" s="1"/>
  <c r="L27" i="78"/>
  <c r="H27" i="78"/>
  <c r="N27" i="78" s="1"/>
  <c r="D27" i="78"/>
  <c r="B27" i="78"/>
  <c r="Z26" i="78"/>
  <c r="T26" i="78"/>
  <c r="X26" i="78" s="1"/>
  <c r="P26" i="78"/>
  <c r="H26" i="78"/>
  <c r="D26" i="78"/>
  <c r="Z22" i="78"/>
  <c r="X22" i="78"/>
  <c r="N22" i="78"/>
  <c r="L22" i="78"/>
  <c r="B22" i="78"/>
  <c r="Z21" i="78"/>
  <c r="X21" i="78"/>
  <c r="N21" i="78"/>
  <c r="L21" i="78"/>
  <c r="B21" i="78"/>
  <c r="Z20" i="78"/>
  <c r="X20" i="78"/>
  <c r="N20" i="78"/>
  <c r="L20" i="78"/>
  <c r="B20" i="78"/>
  <c r="X19" i="78"/>
  <c r="Z19" i="78" s="1"/>
  <c r="N19" i="78"/>
  <c r="L19" i="78"/>
  <c r="B19" i="78"/>
  <c r="Z18" i="78"/>
  <c r="X18" i="78"/>
  <c r="N18" i="78"/>
  <c r="L18" i="78"/>
  <c r="B18" i="78"/>
  <c r="T17" i="78"/>
  <c r="Z17" i="78" s="1"/>
  <c r="P17" i="78"/>
  <c r="X17" i="78" s="1"/>
  <c r="H17" i="78"/>
  <c r="D17" i="78"/>
  <c r="T15" i="78"/>
  <c r="P15" i="78"/>
  <c r="H15" i="78"/>
  <c r="N15" i="78" s="1"/>
  <c r="D15" i="78"/>
  <c r="L15" i="78" s="1"/>
  <c r="B15" i="78"/>
  <c r="T14" i="78"/>
  <c r="T12" i="78" s="1"/>
  <c r="P14" i="78"/>
  <c r="H14" i="78"/>
  <c r="L14" i="78" s="1"/>
  <c r="D14" i="78"/>
  <c r="B14" i="78"/>
  <c r="T13" i="78"/>
  <c r="P13" i="78"/>
  <c r="X13" i="78" s="1"/>
  <c r="Z13" i="78" s="1"/>
  <c r="H13" i="78"/>
  <c r="N13" i="78" s="1"/>
  <c r="D13" i="78"/>
  <c r="B13" i="78"/>
  <c r="D6" i="78"/>
  <c r="D4" i="78"/>
  <c r="Z109" i="76"/>
  <c r="X109" i="76"/>
  <c r="L109" i="76"/>
  <c r="N109" i="76" s="1"/>
  <c r="Z105" i="76"/>
  <c r="T105" i="76"/>
  <c r="X105" i="76" s="1"/>
  <c r="P105" i="76"/>
  <c r="H105" i="76"/>
  <c r="D105" i="76"/>
  <c r="B105" i="76"/>
  <c r="X104" i="76"/>
  <c r="T104" i="76"/>
  <c r="P104" i="76"/>
  <c r="H104" i="76"/>
  <c r="N104" i="76" s="1"/>
  <c r="D104" i="76"/>
  <c r="L104" i="76" s="1"/>
  <c r="B104" i="76"/>
  <c r="X103" i="76"/>
  <c r="Z103" i="76" s="1"/>
  <c r="T103" i="76"/>
  <c r="P103" i="76"/>
  <c r="L103" i="76"/>
  <c r="H103" i="76"/>
  <c r="N103" i="76" s="1"/>
  <c r="D103" i="76"/>
  <c r="B103" i="76"/>
  <c r="T102" i="76"/>
  <c r="T101" i="76" s="1"/>
  <c r="Z101" i="76" s="1"/>
  <c r="P102" i="76"/>
  <c r="H102" i="76"/>
  <c r="N102" i="76" s="1"/>
  <c r="D102" i="76"/>
  <c r="L102" i="76" s="1"/>
  <c r="B102" i="76"/>
  <c r="P101" i="76"/>
  <c r="X101" i="76" s="1"/>
  <c r="H101" i="76"/>
  <c r="Z99" i="76"/>
  <c r="X99" i="76"/>
  <c r="N99" i="76"/>
  <c r="L99" i="76"/>
  <c r="B99" i="76"/>
  <c r="X98" i="76"/>
  <c r="T98" i="76"/>
  <c r="Z98" i="76" s="1"/>
  <c r="P98" i="76"/>
  <c r="L98" i="76"/>
  <c r="H98" i="76"/>
  <c r="N98" i="76" s="1"/>
  <c r="D98" i="76"/>
  <c r="B98" i="76"/>
  <c r="X97" i="76"/>
  <c r="Z97" i="76" s="1"/>
  <c r="N97" i="76"/>
  <c r="L97" i="76"/>
  <c r="B97" i="76"/>
  <c r="X96" i="76"/>
  <c r="T96" i="76"/>
  <c r="Z96" i="76" s="1"/>
  <c r="P96" i="76"/>
  <c r="L96" i="76"/>
  <c r="H96" i="76"/>
  <c r="D96" i="76"/>
  <c r="B96" i="76"/>
  <c r="X95" i="76"/>
  <c r="Z95" i="76" s="1"/>
  <c r="N95" i="76"/>
  <c r="L95" i="76"/>
  <c r="B95" i="76"/>
  <c r="T94" i="76"/>
  <c r="P94" i="76"/>
  <c r="L94" i="76"/>
  <c r="N94" i="76" s="1"/>
  <c r="H94" i="76"/>
  <c r="D94" i="76"/>
  <c r="B94" i="76"/>
  <c r="Z93" i="76"/>
  <c r="X93" i="76"/>
  <c r="N93" i="76"/>
  <c r="L93" i="76"/>
  <c r="B93" i="76"/>
  <c r="X92" i="76"/>
  <c r="Z92" i="76" s="1"/>
  <c r="L92" i="76"/>
  <c r="N92" i="76" s="1"/>
  <c r="B92" i="76"/>
  <c r="Z91" i="76"/>
  <c r="X91" i="76"/>
  <c r="N91" i="76"/>
  <c r="L91" i="76"/>
  <c r="B91" i="76"/>
  <c r="T90" i="76"/>
  <c r="P90" i="76"/>
  <c r="X90" i="76" s="1"/>
  <c r="Z90" i="76" s="1"/>
  <c r="H90" i="76"/>
  <c r="D90" i="76"/>
  <c r="L90" i="76" s="1"/>
  <c r="B90" i="76"/>
  <c r="X89" i="76"/>
  <c r="Z89" i="76" s="1"/>
  <c r="N89" i="76"/>
  <c r="L89" i="76"/>
  <c r="J89" i="76"/>
  <c r="B89" i="76"/>
  <c r="T88" i="76"/>
  <c r="P88" i="76"/>
  <c r="X88" i="76" s="1"/>
  <c r="Z88" i="76" s="1"/>
  <c r="H88" i="76"/>
  <c r="D88" i="76"/>
  <c r="L88" i="76" s="1"/>
  <c r="B88" i="76"/>
  <c r="X87" i="76"/>
  <c r="Z87" i="76" s="1"/>
  <c r="N87" i="76"/>
  <c r="L87" i="76"/>
  <c r="B87" i="76"/>
  <c r="X86" i="76"/>
  <c r="Z86" i="76" s="1"/>
  <c r="T86" i="76"/>
  <c r="P86" i="76"/>
  <c r="N86" i="76"/>
  <c r="L86" i="76"/>
  <c r="H86" i="76"/>
  <c r="D86" i="76"/>
  <c r="B86" i="76"/>
  <c r="Z85" i="76"/>
  <c r="X85" i="76"/>
  <c r="N85" i="76"/>
  <c r="L85" i="76"/>
  <c r="B85" i="76"/>
  <c r="T84" i="76"/>
  <c r="Z84" i="76" s="1"/>
  <c r="P84" i="76"/>
  <c r="X84" i="76" s="1"/>
  <c r="N84" i="76"/>
  <c r="L84" i="76"/>
  <c r="J84" i="76"/>
  <c r="H84" i="76"/>
  <c r="D84" i="76"/>
  <c r="B84" i="76"/>
  <c r="Z83" i="76"/>
  <c r="X83" i="76"/>
  <c r="N83" i="76"/>
  <c r="L83" i="76"/>
  <c r="B83" i="76"/>
  <c r="T82" i="76"/>
  <c r="Z82" i="76" s="1"/>
  <c r="P82" i="76"/>
  <c r="X82" i="76" s="1"/>
  <c r="H82" i="76"/>
  <c r="N82" i="76" s="1"/>
  <c r="D82" i="76"/>
  <c r="L82" i="76" s="1"/>
  <c r="B82" i="76"/>
  <c r="Z81" i="76"/>
  <c r="X81" i="76"/>
  <c r="N81" i="76"/>
  <c r="L81" i="76"/>
  <c r="B81" i="76"/>
  <c r="Z80" i="76"/>
  <c r="X80" i="76"/>
  <c r="L80" i="76"/>
  <c r="N80" i="76" s="1"/>
  <c r="B80" i="76"/>
  <c r="Z79" i="76"/>
  <c r="X79" i="76"/>
  <c r="T79" i="76"/>
  <c r="P79" i="76"/>
  <c r="H79" i="76"/>
  <c r="D79" i="76"/>
  <c r="B79" i="76"/>
  <c r="Z78" i="76"/>
  <c r="X78" i="76"/>
  <c r="L78" i="76"/>
  <c r="N78" i="76" s="1"/>
  <c r="B78" i="76"/>
  <c r="X77" i="76"/>
  <c r="Z77" i="76" s="1"/>
  <c r="T77" i="76"/>
  <c r="P77" i="76"/>
  <c r="H77" i="76"/>
  <c r="D77" i="76"/>
  <c r="L77" i="76" s="1"/>
  <c r="B77" i="76"/>
  <c r="Z76" i="76"/>
  <c r="X76" i="76"/>
  <c r="N76" i="76"/>
  <c r="L76" i="76"/>
  <c r="B76" i="76"/>
  <c r="T75" i="76"/>
  <c r="P75" i="76"/>
  <c r="H75" i="76"/>
  <c r="D75" i="76"/>
  <c r="L75" i="76" s="1"/>
  <c r="N75" i="76" s="1"/>
  <c r="B75" i="76"/>
  <c r="X74" i="76"/>
  <c r="Z74" i="76" s="1"/>
  <c r="V74" i="76"/>
  <c r="L74" i="76"/>
  <c r="N74" i="76" s="1"/>
  <c r="B74" i="76"/>
  <c r="T73" i="76"/>
  <c r="Z73" i="76" s="1"/>
  <c r="P73" i="76"/>
  <c r="X73" i="76" s="1"/>
  <c r="H73" i="76"/>
  <c r="L73" i="76" s="1"/>
  <c r="D73" i="76"/>
  <c r="B73" i="76"/>
  <c r="Z72" i="76"/>
  <c r="X72" i="76"/>
  <c r="N72" i="76"/>
  <c r="L72" i="76"/>
  <c r="B72" i="76"/>
  <c r="Z71" i="76"/>
  <c r="X71" i="76"/>
  <c r="N71" i="76"/>
  <c r="L71" i="76"/>
  <c r="B71" i="76"/>
  <c r="X70" i="76"/>
  <c r="Z70" i="76" s="1"/>
  <c r="L70" i="76"/>
  <c r="N70" i="76" s="1"/>
  <c r="B70" i="76"/>
  <c r="Z69" i="76"/>
  <c r="X69" i="76"/>
  <c r="N69" i="76"/>
  <c r="L69" i="76"/>
  <c r="B69" i="76"/>
  <c r="Z68" i="76"/>
  <c r="X68" i="76"/>
  <c r="N68" i="76"/>
  <c r="L68" i="76"/>
  <c r="B68" i="76"/>
  <c r="T67" i="76"/>
  <c r="P67" i="76"/>
  <c r="X67" i="76" s="1"/>
  <c r="L67" i="76"/>
  <c r="N67" i="76" s="1"/>
  <c r="H67" i="76"/>
  <c r="D67" i="76"/>
  <c r="B67" i="76"/>
  <c r="X66" i="76"/>
  <c r="Z66" i="76" s="1"/>
  <c r="L66" i="76"/>
  <c r="N66" i="76" s="1"/>
  <c r="J66" i="76"/>
  <c r="B66" i="76"/>
  <c r="X65" i="76"/>
  <c r="Z65" i="76" s="1"/>
  <c r="L65" i="76"/>
  <c r="N65" i="76" s="1"/>
  <c r="B65" i="76"/>
  <c r="Z64" i="76"/>
  <c r="X64" i="76"/>
  <c r="N64" i="76"/>
  <c r="L64" i="76"/>
  <c r="B64" i="76"/>
  <c r="Z63" i="76"/>
  <c r="X63" i="76"/>
  <c r="L63" i="76"/>
  <c r="N63" i="76" s="1"/>
  <c r="B63" i="76"/>
  <c r="X62" i="76"/>
  <c r="Z62" i="76" s="1"/>
  <c r="L62" i="76"/>
  <c r="N62" i="76" s="1"/>
  <c r="J62" i="76"/>
  <c r="B62" i="76"/>
  <c r="X61" i="76"/>
  <c r="Z61" i="76" s="1"/>
  <c r="L61" i="76"/>
  <c r="N61" i="76" s="1"/>
  <c r="B61" i="76"/>
  <c r="Z60" i="76"/>
  <c r="X60" i="76"/>
  <c r="N60" i="76"/>
  <c r="L60" i="76"/>
  <c r="B60" i="76"/>
  <c r="Z59" i="76"/>
  <c r="X59" i="76"/>
  <c r="L59" i="76"/>
  <c r="N59" i="76" s="1"/>
  <c r="B59" i="76"/>
  <c r="X58" i="76"/>
  <c r="Z58" i="76" s="1"/>
  <c r="L58" i="76"/>
  <c r="N58" i="76" s="1"/>
  <c r="J58" i="76"/>
  <c r="B58" i="76"/>
  <c r="T57" i="76"/>
  <c r="P57" i="76"/>
  <c r="X57" i="76" s="1"/>
  <c r="Z57" i="76" s="1"/>
  <c r="H57" i="76"/>
  <c r="D57" i="76"/>
  <c r="L57" i="76" s="1"/>
  <c r="B57" i="76"/>
  <c r="T56" i="76"/>
  <c r="P56" i="76"/>
  <c r="X56" i="76" s="1"/>
  <c r="Z56" i="76" s="1"/>
  <c r="J56" i="76"/>
  <c r="H56" i="76"/>
  <c r="D56" i="76"/>
  <c r="L56" i="76" s="1"/>
  <c r="N56" i="76" s="1"/>
  <c r="Z52" i="76"/>
  <c r="X52" i="76"/>
  <c r="N52" i="76"/>
  <c r="L52" i="76"/>
  <c r="B52" i="76"/>
  <c r="X51" i="76"/>
  <c r="Z51" i="76" s="1"/>
  <c r="N51" i="76"/>
  <c r="L51" i="76"/>
  <c r="B51" i="76"/>
  <c r="X50" i="76"/>
  <c r="Z50" i="76" s="1"/>
  <c r="N50" i="76"/>
  <c r="L50" i="76"/>
  <c r="B50" i="76"/>
  <c r="X49" i="76"/>
  <c r="Z49" i="76" s="1"/>
  <c r="N49" i="76"/>
  <c r="L49" i="76"/>
  <c r="B49" i="76"/>
  <c r="Z48" i="76"/>
  <c r="X48" i="76"/>
  <c r="N48" i="76"/>
  <c r="L48" i="76"/>
  <c r="B48" i="76"/>
  <c r="X47" i="76"/>
  <c r="Z47" i="76" s="1"/>
  <c r="N47" i="76"/>
  <c r="L47" i="76"/>
  <c r="B47" i="76"/>
  <c r="X46" i="76"/>
  <c r="Z46" i="76" s="1"/>
  <c r="L46" i="76"/>
  <c r="N46" i="76" s="1"/>
  <c r="B46" i="76"/>
  <c r="X45" i="76"/>
  <c r="Z45" i="76" s="1"/>
  <c r="L45" i="76"/>
  <c r="N45" i="76" s="1"/>
  <c r="B45" i="76"/>
  <c r="Z44" i="76"/>
  <c r="X44" i="76"/>
  <c r="N44" i="76"/>
  <c r="L44" i="76"/>
  <c r="B44" i="76"/>
  <c r="X43" i="76"/>
  <c r="Z43" i="76" s="1"/>
  <c r="N43" i="76"/>
  <c r="L43" i="76"/>
  <c r="B43" i="76"/>
  <c r="X42" i="76"/>
  <c r="Z42" i="76" s="1"/>
  <c r="L42" i="76"/>
  <c r="N42" i="76" s="1"/>
  <c r="B42" i="76"/>
  <c r="X41" i="76"/>
  <c r="Z41" i="76" s="1"/>
  <c r="L41" i="76"/>
  <c r="N41" i="76" s="1"/>
  <c r="B41" i="76"/>
  <c r="Z40" i="76"/>
  <c r="X40" i="76"/>
  <c r="N40" i="76"/>
  <c r="L40" i="76"/>
  <c r="B40" i="76"/>
  <c r="T39" i="76"/>
  <c r="X39" i="76" s="1"/>
  <c r="P39" i="76"/>
  <c r="H39" i="76"/>
  <c r="D39" i="76"/>
  <c r="L39" i="76" s="1"/>
  <c r="N39" i="76" s="1"/>
  <c r="T37" i="76"/>
  <c r="P37" i="76"/>
  <c r="X37" i="76" s="1"/>
  <c r="H37" i="76"/>
  <c r="N37" i="76" s="1"/>
  <c r="D37" i="76"/>
  <c r="L37" i="76" s="1"/>
  <c r="B37" i="76"/>
  <c r="T36" i="76"/>
  <c r="P36" i="76"/>
  <c r="L36" i="76"/>
  <c r="H36" i="76"/>
  <c r="N36" i="76" s="1"/>
  <c r="D36" i="76"/>
  <c r="B36" i="76"/>
  <c r="X35" i="76"/>
  <c r="T35" i="76"/>
  <c r="Z35" i="76" s="1"/>
  <c r="P35" i="76"/>
  <c r="N35" i="76"/>
  <c r="L35" i="76"/>
  <c r="H35" i="76"/>
  <c r="D35" i="76"/>
  <c r="B35" i="76"/>
  <c r="T34" i="76"/>
  <c r="P34" i="76"/>
  <c r="X34" i="76" s="1"/>
  <c r="Z34" i="76" s="1"/>
  <c r="N34" i="76"/>
  <c r="H34" i="76"/>
  <c r="D34" i="76"/>
  <c r="L34" i="76" s="1"/>
  <c r="B34" i="76"/>
  <c r="T33" i="76"/>
  <c r="Z33" i="76" s="1"/>
  <c r="P33" i="76"/>
  <c r="X33" i="76" s="1"/>
  <c r="H33" i="76"/>
  <c r="N33" i="76" s="1"/>
  <c r="D33" i="76"/>
  <c r="L33" i="76" s="1"/>
  <c r="B33" i="76"/>
  <c r="T32" i="76"/>
  <c r="P32" i="76"/>
  <c r="L32" i="76"/>
  <c r="H32" i="76"/>
  <c r="N32" i="76" s="1"/>
  <c r="D32" i="76"/>
  <c r="B32" i="76"/>
  <c r="X31" i="76"/>
  <c r="T31" i="76"/>
  <c r="Z31" i="76" s="1"/>
  <c r="P31" i="76"/>
  <c r="N31" i="76"/>
  <c r="L31" i="76"/>
  <c r="H31" i="76"/>
  <c r="D31" i="76"/>
  <c r="B31" i="76"/>
  <c r="T30" i="76"/>
  <c r="P30" i="76"/>
  <c r="X30" i="76" s="1"/>
  <c r="Z30" i="76" s="1"/>
  <c r="H30" i="76"/>
  <c r="D30" i="76"/>
  <c r="L30" i="76" s="1"/>
  <c r="N30" i="76" s="1"/>
  <c r="B30" i="76"/>
  <c r="T29" i="76"/>
  <c r="Z29" i="76" s="1"/>
  <c r="P29" i="76"/>
  <c r="X29" i="76" s="1"/>
  <c r="H29" i="76"/>
  <c r="N29" i="76" s="1"/>
  <c r="D29" i="76"/>
  <c r="L29" i="76" s="1"/>
  <c r="B29" i="76"/>
  <c r="T28" i="76"/>
  <c r="P28" i="76"/>
  <c r="L28" i="76"/>
  <c r="H28" i="76"/>
  <c r="N28" i="76" s="1"/>
  <c r="D28" i="76"/>
  <c r="B28" i="76"/>
  <c r="X27" i="76"/>
  <c r="T27" i="76"/>
  <c r="Z27" i="76" s="1"/>
  <c r="P27" i="76"/>
  <c r="N27" i="76"/>
  <c r="L27" i="76"/>
  <c r="H27" i="76"/>
  <c r="D27" i="76"/>
  <c r="B27" i="76"/>
  <c r="T26" i="76"/>
  <c r="P26" i="76"/>
  <c r="X26" i="76" s="1"/>
  <c r="Z26" i="76" s="1"/>
  <c r="H26" i="76"/>
  <c r="D26" i="76"/>
  <c r="L26" i="76" s="1"/>
  <c r="N26" i="76" s="1"/>
  <c r="B26" i="76"/>
  <c r="T25" i="76"/>
  <c r="Z25" i="76" s="1"/>
  <c r="P25" i="76"/>
  <c r="X25" i="76" s="1"/>
  <c r="H25" i="76"/>
  <c r="N25" i="76" s="1"/>
  <c r="D25" i="76"/>
  <c r="L25" i="76" s="1"/>
  <c r="B25" i="76"/>
  <c r="T24" i="76"/>
  <c r="P24" i="76"/>
  <c r="L24" i="76"/>
  <c r="H24" i="76"/>
  <c r="N24" i="76" s="1"/>
  <c r="D24" i="76"/>
  <c r="B24" i="76"/>
  <c r="X23" i="76"/>
  <c r="T23" i="76"/>
  <c r="Z23" i="76" s="1"/>
  <c r="P23" i="76"/>
  <c r="L23" i="76"/>
  <c r="N23" i="76" s="1"/>
  <c r="H23" i="76"/>
  <c r="D23" i="76"/>
  <c r="B23" i="76"/>
  <c r="T22" i="76"/>
  <c r="P22" i="76"/>
  <c r="X22" i="76" s="1"/>
  <c r="Z22" i="76" s="1"/>
  <c r="H22" i="76"/>
  <c r="D22" i="76"/>
  <c r="L22" i="76" s="1"/>
  <c r="N22" i="76" s="1"/>
  <c r="B22" i="76"/>
  <c r="T21" i="76"/>
  <c r="P21" i="76"/>
  <c r="X21" i="76" s="1"/>
  <c r="H21" i="76"/>
  <c r="D21" i="76"/>
  <c r="L21" i="76" s="1"/>
  <c r="B21" i="76"/>
  <c r="T20" i="76"/>
  <c r="P20" i="76"/>
  <c r="L20" i="76"/>
  <c r="H20" i="76"/>
  <c r="N20" i="76" s="1"/>
  <c r="D20" i="76"/>
  <c r="B20" i="76"/>
  <c r="X19" i="76"/>
  <c r="T19" i="76"/>
  <c r="Z19" i="76" s="1"/>
  <c r="P19" i="76"/>
  <c r="L19" i="76"/>
  <c r="N19" i="76" s="1"/>
  <c r="H19" i="76"/>
  <c r="D19" i="76"/>
  <c r="B19" i="76"/>
  <c r="T18" i="76"/>
  <c r="P18" i="76"/>
  <c r="X18" i="76" s="1"/>
  <c r="Z18" i="76" s="1"/>
  <c r="H18" i="76"/>
  <c r="D18" i="76"/>
  <c r="L18" i="76" s="1"/>
  <c r="N18" i="76" s="1"/>
  <c r="B18" i="76"/>
  <c r="T17" i="76"/>
  <c r="P17" i="76"/>
  <c r="X17" i="76" s="1"/>
  <c r="H17" i="76"/>
  <c r="N17" i="76" s="1"/>
  <c r="D17" i="76"/>
  <c r="L17" i="76" s="1"/>
  <c r="B17" i="76"/>
  <c r="T16" i="76"/>
  <c r="P16" i="76"/>
  <c r="L16" i="76"/>
  <c r="H16" i="76"/>
  <c r="N16" i="76" s="1"/>
  <c r="D16" i="76"/>
  <c r="B16" i="76"/>
  <c r="X15" i="76"/>
  <c r="T15" i="76"/>
  <c r="Z15" i="76" s="1"/>
  <c r="P15" i="76"/>
  <c r="L15" i="76"/>
  <c r="N15" i="76" s="1"/>
  <c r="H15" i="76"/>
  <c r="D15" i="76"/>
  <c r="B15" i="76"/>
  <c r="T14" i="76"/>
  <c r="P14" i="76"/>
  <c r="X14" i="76" s="1"/>
  <c r="Z14" i="76" s="1"/>
  <c r="H14" i="76"/>
  <c r="D14" i="76"/>
  <c r="L14" i="76" s="1"/>
  <c r="N14" i="76" s="1"/>
  <c r="B14" i="76"/>
  <c r="T13" i="76"/>
  <c r="Z13" i="76" s="1"/>
  <c r="P13" i="76"/>
  <c r="X13" i="76" s="1"/>
  <c r="H13" i="76"/>
  <c r="N13" i="76" s="1"/>
  <c r="D13" i="76"/>
  <c r="D12" i="76" s="1"/>
  <c r="F71" i="76" s="1"/>
  <c r="B13" i="76"/>
  <c r="T12" i="76"/>
  <c r="V46" i="76" s="1"/>
  <c r="H12" i="76"/>
  <c r="J109" i="76" s="1"/>
  <c r="D6" i="76"/>
  <c r="D4" i="76"/>
  <c r="Z87" i="75"/>
  <c r="X87" i="75"/>
  <c r="N87" i="75"/>
  <c r="L87" i="75"/>
  <c r="T83" i="75"/>
  <c r="P83" i="75"/>
  <c r="X83" i="75" s="1"/>
  <c r="Z83" i="75" s="1"/>
  <c r="H83" i="75"/>
  <c r="D83" i="75"/>
  <c r="D82" i="75" s="1"/>
  <c r="B83" i="75"/>
  <c r="T82" i="75"/>
  <c r="L82" i="75"/>
  <c r="N82" i="75" s="1"/>
  <c r="H82" i="75"/>
  <c r="Z80" i="75"/>
  <c r="X80" i="75"/>
  <c r="N80" i="75"/>
  <c r="L80" i="75"/>
  <c r="B80" i="75"/>
  <c r="X79" i="75"/>
  <c r="T79" i="75"/>
  <c r="Z79" i="75" s="1"/>
  <c r="P79" i="75"/>
  <c r="N79" i="75"/>
  <c r="H79" i="75"/>
  <c r="L79" i="75" s="1"/>
  <c r="D79" i="75"/>
  <c r="B79" i="75"/>
  <c r="Z78" i="75"/>
  <c r="X78" i="75"/>
  <c r="N78" i="75"/>
  <c r="L78" i="75"/>
  <c r="B78" i="75"/>
  <c r="Z77" i="75"/>
  <c r="T77" i="75"/>
  <c r="P77" i="75"/>
  <c r="X77" i="75" s="1"/>
  <c r="H77" i="75"/>
  <c r="N77" i="75" s="1"/>
  <c r="D77" i="75"/>
  <c r="L77" i="75" s="1"/>
  <c r="B77" i="75"/>
  <c r="X76" i="75"/>
  <c r="Z76" i="75" s="1"/>
  <c r="N76" i="75"/>
  <c r="L76" i="75"/>
  <c r="B76" i="75"/>
  <c r="T75" i="75"/>
  <c r="P75" i="75"/>
  <c r="X75" i="75" s="1"/>
  <c r="Z75" i="75" s="1"/>
  <c r="H75" i="75"/>
  <c r="D75" i="75"/>
  <c r="L75" i="75" s="1"/>
  <c r="N75" i="75" s="1"/>
  <c r="B75" i="75"/>
  <c r="X74" i="75"/>
  <c r="Z74" i="75" s="1"/>
  <c r="N74" i="75"/>
  <c r="L74" i="75"/>
  <c r="B74" i="75"/>
  <c r="Z73" i="75"/>
  <c r="X73" i="75"/>
  <c r="N73" i="75"/>
  <c r="L73" i="75"/>
  <c r="B73" i="75"/>
  <c r="Z72" i="75"/>
  <c r="X72" i="75"/>
  <c r="N72" i="75"/>
  <c r="L72" i="75"/>
  <c r="B72" i="75"/>
  <c r="X71" i="75"/>
  <c r="Z71" i="75" s="1"/>
  <c r="L71" i="75"/>
  <c r="N71" i="75" s="1"/>
  <c r="B71" i="75"/>
  <c r="Z70" i="75"/>
  <c r="X70" i="75"/>
  <c r="N70" i="75"/>
  <c r="L70" i="75"/>
  <c r="B70" i="75"/>
  <c r="Z69" i="75"/>
  <c r="X69" i="75"/>
  <c r="N69" i="75"/>
  <c r="L69" i="75"/>
  <c r="B69" i="75"/>
  <c r="T68" i="75"/>
  <c r="P68" i="75"/>
  <c r="X68" i="75" s="1"/>
  <c r="L68" i="75"/>
  <c r="N68" i="75" s="1"/>
  <c r="H68" i="75"/>
  <c r="D68" i="75"/>
  <c r="B68" i="75"/>
  <c r="X67" i="75"/>
  <c r="Z67" i="75" s="1"/>
  <c r="L67" i="75"/>
  <c r="N67" i="75" s="1"/>
  <c r="B67" i="75"/>
  <c r="T66" i="75"/>
  <c r="P66" i="75"/>
  <c r="X66" i="75" s="1"/>
  <c r="Z66" i="75" s="1"/>
  <c r="H66" i="75"/>
  <c r="D66" i="75"/>
  <c r="L66" i="75" s="1"/>
  <c r="B66" i="75"/>
  <c r="Z65" i="75"/>
  <c r="X65" i="75"/>
  <c r="N65" i="75"/>
  <c r="L65" i="75"/>
  <c r="B65" i="75"/>
  <c r="X64" i="75"/>
  <c r="Z64" i="75" s="1"/>
  <c r="N64" i="75"/>
  <c r="L64" i="75"/>
  <c r="B64" i="75"/>
  <c r="Z63" i="75"/>
  <c r="X63" i="75"/>
  <c r="N63" i="75"/>
  <c r="L63" i="75"/>
  <c r="B63" i="75"/>
  <c r="T62" i="75"/>
  <c r="P62" i="75"/>
  <c r="X62" i="75" s="1"/>
  <c r="Z62" i="75" s="1"/>
  <c r="H62" i="75"/>
  <c r="L62" i="75" s="1"/>
  <c r="D62" i="75"/>
  <c r="B62" i="75"/>
  <c r="Z61" i="75"/>
  <c r="X61" i="75"/>
  <c r="N61" i="75"/>
  <c r="L61" i="75"/>
  <c r="B61" i="75"/>
  <c r="T60" i="75"/>
  <c r="P60" i="75"/>
  <c r="X60" i="75" s="1"/>
  <c r="N60" i="75"/>
  <c r="L60" i="75"/>
  <c r="H60" i="75"/>
  <c r="D60" i="75"/>
  <c r="B60" i="75"/>
  <c r="Z59" i="75"/>
  <c r="X59" i="75"/>
  <c r="N59" i="75"/>
  <c r="L59" i="75"/>
  <c r="B59" i="75"/>
  <c r="Z58" i="75"/>
  <c r="X58" i="75"/>
  <c r="N58" i="75"/>
  <c r="L58" i="75"/>
  <c r="B58" i="75"/>
  <c r="T57" i="75"/>
  <c r="P57" i="75"/>
  <c r="X57" i="75" s="1"/>
  <c r="Z57" i="75" s="1"/>
  <c r="H57" i="75"/>
  <c r="N57" i="75" s="1"/>
  <c r="D57" i="75"/>
  <c r="L57" i="75" s="1"/>
  <c r="B57" i="75"/>
  <c r="X56" i="75"/>
  <c r="Z56" i="75" s="1"/>
  <c r="N56" i="75"/>
  <c r="L56" i="75"/>
  <c r="B56" i="75"/>
  <c r="T55" i="75"/>
  <c r="P55" i="75"/>
  <c r="X55" i="75" s="1"/>
  <c r="Z55" i="75" s="1"/>
  <c r="H55" i="75"/>
  <c r="D55" i="75"/>
  <c r="L55" i="75" s="1"/>
  <c r="N55" i="75" s="1"/>
  <c r="B55" i="75"/>
  <c r="X54" i="75"/>
  <c r="Z54" i="75" s="1"/>
  <c r="N54" i="75"/>
  <c r="L54" i="75"/>
  <c r="B54" i="75"/>
  <c r="T53" i="75"/>
  <c r="X53" i="75" s="1"/>
  <c r="Z53" i="75" s="1"/>
  <c r="P53" i="75"/>
  <c r="L53" i="75"/>
  <c r="N53" i="75" s="1"/>
  <c r="H53" i="75"/>
  <c r="D53" i="75"/>
  <c r="B53" i="75"/>
  <c r="Z52" i="75"/>
  <c r="X52" i="75"/>
  <c r="L52" i="75"/>
  <c r="N52" i="75" s="1"/>
  <c r="B52" i="75"/>
  <c r="T51" i="75"/>
  <c r="P51" i="75"/>
  <c r="X51" i="75" s="1"/>
  <c r="H51" i="75"/>
  <c r="D51" i="75"/>
  <c r="L51" i="75" s="1"/>
  <c r="N51" i="75" s="1"/>
  <c r="B51" i="75"/>
  <c r="X50" i="75"/>
  <c r="Z50" i="75" s="1"/>
  <c r="N50" i="75"/>
  <c r="L50" i="75"/>
  <c r="B50" i="75"/>
  <c r="T49" i="75"/>
  <c r="P49" i="75"/>
  <c r="X49" i="75" s="1"/>
  <c r="Z49" i="75" s="1"/>
  <c r="N49" i="75"/>
  <c r="H49" i="75"/>
  <c r="D49" i="75"/>
  <c r="L49" i="75" s="1"/>
  <c r="B49" i="75"/>
  <c r="Z48" i="75"/>
  <c r="X48" i="75"/>
  <c r="N48" i="75"/>
  <c r="L48" i="75"/>
  <c r="B48" i="75"/>
  <c r="X47" i="75"/>
  <c r="Z47" i="75" s="1"/>
  <c r="L47" i="75"/>
  <c r="N47" i="75" s="1"/>
  <c r="B47" i="75"/>
  <c r="X46" i="75"/>
  <c r="Z46" i="75" s="1"/>
  <c r="N46" i="75"/>
  <c r="L46" i="75"/>
  <c r="B46" i="75"/>
  <c r="Z45" i="75"/>
  <c r="X45" i="75"/>
  <c r="N45" i="75"/>
  <c r="L45" i="75"/>
  <c r="B45" i="75"/>
  <c r="T44" i="75"/>
  <c r="P44" i="75"/>
  <c r="X44" i="75" s="1"/>
  <c r="L44" i="75"/>
  <c r="N44" i="75" s="1"/>
  <c r="H44" i="75"/>
  <c r="D44" i="75"/>
  <c r="B44" i="75"/>
  <c r="X43" i="75"/>
  <c r="Z43" i="75" s="1"/>
  <c r="L43" i="75"/>
  <c r="N43" i="75" s="1"/>
  <c r="B43" i="75"/>
  <c r="Z42" i="75"/>
  <c r="X42" i="75"/>
  <c r="L42" i="75"/>
  <c r="N42" i="75" s="1"/>
  <c r="B42" i="75"/>
  <c r="Z41" i="75"/>
  <c r="X41" i="75"/>
  <c r="N41" i="75"/>
  <c r="L41" i="75"/>
  <c r="B41" i="75"/>
  <c r="Z40" i="75"/>
  <c r="X40" i="75"/>
  <c r="L40" i="75"/>
  <c r="N40" i="75" s="1"/>
  <c r="B40" i="75"/>
  <c r="X39" i="75"/>
  <c r="Z39" i="75" s="1"/>
  <c r="L39" i="75"/>
  <c r="N39" i="75" s="1"/>
  <c r="B39" i="75"/>
  <c r="Z38" i="75"/>
  <c r="X38" i="75"/>
  <c r="L38" i="75"/>
  <c r="N38" i="75" s="1"/>
  <c r="B38" i="75"/>
  <c r="Z37" i="75"/>
  <c r="X37" i="75"/>
  <c r="N37" i="75"/>
  <c r="L37" i="75"/>
  <c r="B37" i="75"/>
  <c r="Z36" i="75"/>
  <c r="X36" i="75"/>
  <c r="L36" i="75"/>
  <c r="N36" i="75" s="1"/>
  <c r="B36" i="75"/>
  <c r="T35" i="75"/>
  <c r="Z35" i="75" s="1"/>
  <c r="P35" i="75"/>
  <c r="X35" i="75" s="1"/>
  <c r="H35" i="75"/>
  <c r="D35" i="75"/>
  <c r="B35" i="75"/>
  <c r="T34" i="75"/>
  <c r="P34" i="75"/>
  <c r="X34" i="75" s="1"/>
  <c r="Z34" i="75" s="1"/>
  <c r="H34" i="75"/>
  <c r="L34" i="75" s="1"/>
  <c r="D34" i="75"/>
  <c r="Z30" i="75"/>
  <c r="T30" i="75"/>
  <c r="P30" i="75"/>
  <c r="X30" i="75" s="1"/>
  <c r="H30" i="75"/>
  <c r="D30" i="75"/>
  <c r="X28" i="75"/>
  <c r="T28" i="75"/>
  <c r="Z28" i="75" s="1"/>
  <c r="P28" i="75"/>
  <c r="N28" i="75"/>
  <c r="L28" i="75"/>
  <c r="H28" i="75"/>
  <c r="D28" i="75"/>
  <c r="B28" i="75"/>
  <c r="Z27" i="75"/>
  <c r="T27" i="75"/>
  <c r="P27" i="75"/>
  <c r="X27" i="75" s="1"/>
  <c r="N27" i="75"/>
  <c r="H27" i="75"/>
  <c r="D27" i="75"/>
  <c r="L27" i="75" s="1"/>
  <c r="B27" i="75"/>
  <c r="T26" i="75"/>
  <c r="Z26" i="75" s="1"/>
  <c r="P26" i="75"/>
  <c r="X26" i="75" s="1"/>
  <c r="H26" i="75"/>
  <c r="N26" i="75" s="1"/>
  <c r="D26" i="75"/>
  <c r="L26" i="75" s="1"/>
  <c r="B26" i="75"/>
  <c r="T25" i="75"/>
  <c r="P25" i="75"/>
  <c r="H25" i="75"/>
  <c r="N25" i="75" s="1"/>
  <c r="D25" i="75"/>
  <c r="B25" i="75"/>
  <c r="X24" i="75"/>
  <c r="T24" i="75"/>
  <c r="Z24" i="75" s="1"/>
  <c r="P24" i="75"/>
  <c r="L24" i="75"/>
  <c r="N24" i="75" s="1"/>
  <c r="H24" i="75"/>
  <c r="D24" i="75"/>
  <c r="B24" i="75"/>
  <c r="Z23" i="75"/>
  <c r="T23" i="75"/>
  <c r="P23" i="75"/>
  <c r="X23" i="75" s="1"/>
  <c r="H23" i="75"/>
  <c r="D23" i="75"/>
  <c r="L23" i="75" s="1"/>
  <c r="N23" i="75" s="1"/>
  <c r="B23" i="75"/>
  <c r="T22" i="75"/>
  <c r="P22" i="75"/>
  <c r="H22" i="75"/>
  <c r="D22" i="75"/>
  <c r="L22" i="75" s="1"/>
  <c r="B22" i="75"/>
  <c r="T21" i="75"/>
  <c r="P21" i="75"/>
  <c r="H21" i="75"/>
  <c r="D21" i="75"/>
  <c r="B21" i="75"/>
  <c r="X20" i="75"/>
  <c r="T20" i="75"/>
  <c r="Z20" i="75" s="1"/>
  <c r="P20" i="75"/>
  <c r="L20" i="75"/>
  <c r="N20" i="75" s="1"/>
  <c r="H20" i="75"/>
  <c r="D20" i="75"/>
  <c r="B20" i="75"/>
  <c r="Z19" i="75"/>
  <c r="T19" i="75"/>
  <c r="P19" i="75"/>
  <c r="X19" i="75" s="1"/>
  <c r="N19" i="75"/>
  <c r="H19" i="75"/>
  <c r="D19" i="75"/>
  <c r="L19" i="75" s="1"/>
  <c r="B19" i="75"/>
  <c r="T18" i="75"/>
  <c r="P18" i="75"/>
  <c r="X18" i="75" s="1"/>
  <c r="H18" i="75"/>
  <c r="N18" i="75" s="1"/>
  <c r="D18" i="75"/>
  <c r="L18" i="75" s="1"/>
  <c r="B18" i="75"/>
  <c r="T17" i="75"/>
  <c r="P17" i="75"/>
  <c r="H17" i="75"/>
  <c r="D17" i="75"/>
  <c r="B17" i="75"/>
  <c r="X16" i="75"/>
  <c r="T16" i="75"/>
  <c r="P16" i="75"/>
  <c r="L16" i="75"/>
  <c r="N16" i="75" s="1"/>
  <c r="H16" i="75"/>
  <c r="D16" i="75"/>
  <c r="B16" i="75"/>
  <c r="T15" i="75"/>
  <c r="P15" i="75"/>
  <c r="X15" i="75" s="1"/>
  <c r="Z15" i="75" s="1"/>
  <c r="H15" i="75"/>
  <c r="D15" i="75"/>
  <c r="L15" i="75" s="1"/>
  <c r="N15" i="75" s="1"/>
  <c r="B15" i="75"/>
  <c r="T14" i="75"/>
  <c r="P14" i="75"/>
  <c r="H14" i="75"/>
  <c r="D14" i="75"/>
  <c r="B14" i="75"/>
  <c r="T13" i="75"/>
  <c r="P13" i="75"/>
  <c r="L13" i="75"/>
  <c r="H13" i="75"/>
  <c r="D13" i="75"/>
  <c r="B13" i="75"/>
  <c r="D6" i="75"/>
  <c r="D4" i="75"/>
  <c r="Z134" i="74"/>
  <c r="X134" i="74"/>
  <c r="N134" i="74"/>
  <c r="L134" i="74"/>
  <c r="T130" i="74"/>
  <c r="P130" i="74"/>
  <c r="N130" i="74"/>
  <c r="H130" i="74"/>
  <c r="D130" i="74"/>
  <c r="D128" i="74" s="1"/>
  <c r="L128" i="74" s="1"/>
  <c r="B130" i="74"/>
  <c r="X129" i="74"/>
  <c r="T129" i="74"/>
  <c r="Z129" i="74" s="1"/>
  <c r="P129" i="74"/>
  <c r="H129" i="74"/>
  <c r="L129" i="74" s="1"/>
  <c r="N129" i="74" s="1"/>
  <c r="D129" i="74"/>
  <c r="B129" i="74"/>
  <c r="P128" i="74"/>
  <c r="H128" i="74"/>
  <c r="X126" i="74"/>
  <c r="Z126" i="74" s="1"/>
  <c r="N126" i="74"/>
  <c r="L126" i="74"/>
  <c r="B126" i="74"/>
  <c r="Z125" i="74"/>
  <c r="X125" i="74"/>
  <c r="N125" i="74"/>
  <c r="L125" i="74"/>
  <c r="B125" i="74"/>
  <c r="T124" i="74"/>
  <c r="P124" i="74"/>
  <c r="N124" i="74"/>
  <c r="L124" i="74"/>
  <c r="H124" i="74"/>
  <c r="D124" i="74"/>
  <c r="B124" i="74"/>
  <c r="X123" i="74"/>
  <c r="Z123" i="74" s="1"/>
  <c r="L123" i="74"/>
  <c r="N123" i="74" s="1"/>
  <c r="B123" i="74"/>
  <c r="T122" i="74"/>
  <c r="P122" i="74"/>
  <c r="X122" i="74" s="1"/>
  <c r="Z122" i="74" s="1"/>
  <c r="H122" i="74"/>
  <c r="D122" i="74"/>
  <c r="L122" i="74" s="1"/>
  <c r="B122" i="74"/>
  <c r="Z121" i="74"/>
  <c r="X121" i="74"/>
  <c r="N121" i="74"/>
  <c r="L121" i="74"/>
  <c r="B121" i="74"/>
  <c r="T120" i="74"/>
  <c r="P120" i="74"/>
  <c r="X120" i="74" s="1"/>
  <c r="H120" i="74"/>
  <c r="D120" i="74"/>
  <c r="L120" i="74" s="1"/>
  <c r="N120" i="74" s="1"/>
  <c r="B120" i="74"/>
  <c r="X119" i="74"/>
  <c r="Z119" i="74" s="1"/>
  <c r="N119" i="74"/>
  <c r="L119" i="74"/>
  <c r="B119" i="74"/>
  <c r="X118" i="74"/>
  <c r="Z118" i="74" s="1"/>
  <c r="N118" i="74"/>
  <c r="L118" i="74"/>
  <c r="B118" i="74"/>
  <c r="Z117" i="74"/>
  <c r="X117" i="74"/>
  <c r="N117" i="74"/>
  <c r="L117" i="74"/>
  <c r="B117" i="74"/>
  <c r="Z116" i="74"/>
  <c r="X116" i="74"/>
  <c r="N116" i="74"/>
  <c r="L116" i="74"/>
  <c r="B116" i="74"/>
  <c r="X115" i="74"/>
  <c r="Z115" i="74" s="1"/>
  <c r="N115" i="74"/>
  <c r="L115" i="74"/>
  <c r="B115" i="74"/>
  <c r="X114" i="74"/>
  <c r="Z114" i="74" s="1"/>
  <c r="T114" i="74"/>
  <c r="P114" i="74"/>
  <c r="H114" i="74"/>
  <c r="D114" i="74"/>
  <c r="L114" i="74" s="1"/>
  <c r="N114" i="74" s="1"/>
  <c r="B114" i="74"/>
  <c r="Z113" i="74"/>
  <c r="X113" i="74"/>
  <c r="N113" i="74"/>
  <c r="L113" i="74"/>
  <c r="B113" i="74"/>
  <c r="X112" i="74"/>
  <c r="Z112" i="74" s="1"/>
  <c r="L112" i="74"/>
  <c r="N112" i="74" s="1"/>
  <c r="B112" i="74"/>
  <c r="T111" i="74"/>
  <c r="P111" i="74"/>
  <c r="X111" i="74" s="1"/>
  <c r="Z111" i="74" s="1"/>
  <c r="N111" i="74"/>
  <c r="H111" i="74"/>
  <c r="D111" i="74"/>
  <c r="L111" i="74" s="1"/>
  <c r="B111" i="74"/>
  <c r="X110" i="74"/>
  <c r="Z110" i="74" s="1"/>
  <c r="N110" i="74"/>
  <c r="L110" i="74"/>
  <c r="B110" i="74"/>
  <c r="Z109" i="74"/>
  <c r="X109" i="74"/>
  <c r="N109" i="74"/>
  <c r="L109" i="74"/>
  <c r="B109" i="74"/>
  <c r="T108" i="74"/>
  <c r="P108" i="74"/>
  <c r="X108" i="74" s="1"/>
  <c r="H108" i="74"/>
  <c r="D108" i="74"/>
  <c r="L108" i="74" s="1"/>
  <c r="N108" i="74" s="1"/>
  <c r="B108" i="74"/>
  <c r="X107" i="74"/>
  <c r="Z107" i="74" s="1"/>
  <c r="L107" i="74"/>
  <c r="N107" i="74" s="1"/>
  <c r="B107" i="74"/>
  <c r="T106" i="74"/>
  <c r="P106" i="74"/>
  <c r="X106" i="74" s="1"/>
  <c r="Z106" i="74" s="1"/>
  <c r="N106" i="74"/>
  <c r="H106" i="74"/>
  <c r="D106" i="74"/>
  <c r="L106" i="74" s="1"/>
  <c r="B106" i="74"/>
  <c r="Z105" i="74"/>
  <c r="X105" i="74"/>
  <c r="N105" i="74"/>
  <c r="L105" i="74"/>
  <c r="B105" i="74"/>
  <c r="X104" i="74"/>
  <c r="Z104" i="74" s="1"/>
  <c r="N104" i="74"/>
  <c r="L104" i="74"/>
  <c r="B104" i="74"/>
  <c r="X103" i="74"/>
  <c r="Z103" i="74" s="1"/>
  <c r="T103" i="74"/>
  <c r="P103" i="74"/>
  <c r="N103" i="74"/>
  <c r="H103" i="74"/>
  <c r="D103" i="74"/>
  <c r="L103" i="74" s="1"/>
  <c r="B103" i="74"/>
  <c r="X102" i="74"/>
  <c r="Z102" i="74" s="1"/>
  <c r="L102" i="74"/>
  <c r="N102" i="74" s="1"/>
  <c r="B102" i="74"/>
  <c r="T101" i="74"/>
  <c r="X101" i="74" s="1"/>
  <c r="P101" i="74"/>
  <c r="L101" i="74"/>
  <c r="N101" i="74" s="1"/>
  <c r="H101" i="74"/>
  <c r="D101" i="74"/>
  <c r="B101" i="74"/>
  <c r="Z100" i="74"/>
  <c r="X100" i="74"/>
  <c r="N100" i="74"/>
  <c r="L100" i="74"/>
  <c r="B100" i="74"/>
  <c r="X99" i="74"/>
  <c r="Z99" i="74" s="1"/>
  <c r="L99" i="74"/>
  <c r="N99" i="74" s="1"/>
  <c r="B99" i="74"/>
  <c r="T98" i="74"/>
  <c r="P98" i="74"/>
  <c r="X98" i="74" s="1"/>
  <c r="Z98" i="74" s="1"/>
  <c r="H98" i="74"/>
  <c r="N98" i="74" s="1"/>
  <c r="D98" i="74"/>
  <c r="L98" i="74" s="1"/>
  <c r="B98" i="74"/>
  <c r="Z97" i="74"/>
  <c r="X97" i="74"/>
  <c r="L97" i="74"/>
  <c r="N97" i="74" s="1"/>
  <c r="B97" i="74"/>
  <c r="T96" i="74"/>
  <c r="P96" i="74"/>
  <c r="H96" i="74"/>
  <c r="D96" i="74"/>
  <c r="L96" i="74" s="1"/>
  <c r="N96" i="74" s="1"/>
  <c r="B96" i="74"/>
  <c r="X95" i="74"/>
  <c r="Z95" i="74" s="1"/>
  <c r="N95" i="74"/>
  <c r="L95" i="74"/>
  <c r="B95" i="74"/>
  <c r="Z94" i="74"/>
  <c r="X94" i="74"/>
  <c r="L94" i="74"/>
  <c r="N94" i="74" s="1"/>
  <c r="B94" i="74"/>
  <c r="X93" i="74"/>
  <c r="Z93" i="74" s="1"/>
  <c r="N93" i="74"/>
  <c r="L93" i="74"/>
  <c r="B93" i="74"/>
  <c r="X92" i="74"/>
  <c r="Z92" i="74" s="1"/>
  <c r="N92" i="74"/>
  <c r="L92" i="74"/>
  <c r="B92" i="74"/>
  <c r="X91" i="74"/>
  <c r="Z91" i="74" s="1"/>
  <c r="L91" i="74"/>
  <c r="N91" i="74" s="1"/>
  <c r="B91" i="74"/>
  <c r="X90" i="74"/>
  <c r="Z90" i="74" s="1"/>
  <c r="N90" i="74"/>
  <c r="L90" i="74"/>
  <c r="B90" i="74"/>
  <c r="T89" i="74"/>
  <c r="P89" i="74"/>
  <c r="L89" i="74"/>
  <c r="N89" i="74" s="1"/>
  <c r="H89" i="74"/>
  <c r="D89" i="74"/>
  <c r="B89" i="74"/>
  <c r="Z88" i="74"/>
  <c r="X88" i="74"/>
  <c r="L88" i="74"/>
  <c r="N88" i="74" s="1"/>
  <c r="B88" i="74"/>
  <c r="X87" i="74"/>
  <c r="Z87" i="74" s="1"/>
  <c r="L87" i="74"/>
  <c r="N87" i="74" s="1"/>
  <c r="B87" i="74"/>
  <c r="Z86" i="74"/>
  <c r="X86" i="74"/>
  <c r="L86" i="74"/>
  <c r="N86" i="74" s="1"/>
  <c r="B86" i="74"/>
  <c r="Z85" i="74"/>
  <c r="X85" i="74"/>
  <c r="N85" i="74"/>
  <c r="L85" i="74"/>
  <c r="B85" i="74"/>
  <c r="Z84" i="74"/>
  <c r="X84" i="74"/>
  <c r="L84" i="74"/>
  <c r="N84" i="74" s="1"/>
  <c r="B84" i="74"/>
  <c r="X83" i="74"/>
  <c r="Z83" i="74" s="1"/>
  <c r="L83" i="74"/>
  <c r="N83" i="74" s="1"/>
  <c r="B83" i="74"/>
  <c r="Z82" i="74"/>
  <c r="X82" i="74"/>
  <c r="L82" i="74"/>
  <c r="N82" i="74" s="1"/>
  <c r="B82" i="74"/>
  <c r="Z81" i="74"/>
  <c r="X81" i="74"/>
  <c r="N81" i="74"/>
  <c r="L81" i="74"/>
  <c r="B81" i="74"/>
  <c r="T80" i="74"/>
  <c r="P80" i="74"/>
  <c r="L80" i="74"/>
  <c r="N80" i="74" s="1"/>
  <c r="H80" i="74"/>
  <c r="D80" i="74"/>
  <c r="B80" i="74"/>
  <c r="X79" i="74"/>
  <c r="Z79" i="74" s="1"/>
  <c r="T79" i="74"/>
  <c r="P79" i="74"/>
  <c r="H79" i="74"/>
  <c r="N79" i="74" s="1"/>
  <c r="D79" i="74"/>
  <c r="L79" i="74" s="1"/>
  <c r="X75" i="74"/>
  <c r="Z75" i="74" s="1"/>
  <c r="N75" i="74"/>
  <c r="L75" i="74"/>
  <c r="B75" i="74"/>
  <c r="X74" i="74"/>
  <c r="Z74" i="74" s="1"/>
  <c r="L74" i="74"/>
  <c r="N74" i="74" s="1"/>
  <c r="B74" i="74"/>
  <c r="Z73" i="74"/>
  <c r="X73" i="74"/>
  <c r="N73" i="74"/>
  <c r="L73" i="74"/>
  <c r="B73" i="74"/>
  <c r="X72" i="74"/>
  <c r="Z72" i="74" s="1"/>
  <c r="L72" i="74"/>
  <c r="N72" i="74" s="1"/>
  <c r="B72" i="74"/>
  <c r="X71" i="74"/>
  <c r="Z71" i="74" s="1"/>
  <c r="L71" i="74"/>
  <c r="N71" i="74" s="1"/>
  <c r="B71" i="74"/>
  <c r="Z70" i="74"/>
  <c r="X70" i="74"/>
  <c r="L70" i="74"/>
  <c r="N70" i="74" s="1"/>
  <c r="B70" i="74"/>
  <c r="Z69" i="74"/>
  <c r="X69" i="74"/>
  <c r="N69" i="74"/>
  <c r="L69" i="74"/>
  <c r="B69" i="74"/>
  <c r="Z68" i="74"/>
  <c r="X68" i="74"/>
  <c r="N68" i="74"/>
  <c r="L68" i="74"/>
  <c r="B68" i="74"/>
  <c r="Z67" i="74"/>
  <c r="X67" i="74"/>
  <c r="N67" i="74"/>
  <c r="L67" i="74"/>
  <c r="B67" i="74"/>
  <c r="X66" i="74"/>
  <c r="Z66" i="74" s="1"/>
  <c r="N66" i="74"/>
  <c r="L66" i="74"/>
  <c r="B66" i="74"/>
  <c r="Z65" i="74"/>
  <c r="X65" i="74"/>
  <c r="L65" i="74"/>
  <c r="N65" i="74" s="1"/>
  <c r="B65" i="74"/>
  <c r="X64" i="74"/>
  <c r="Z64" i="74" s="1"/>
  <c r="N64" i="74"/>
  <c r="L64" i="74"/>
  <c r="B64" i="74"/>
  <c r="X63" i="74"/>
  <c r="Z63" i="74" s="1"/>
  <c r="N63" i="74"/>
  <c r="L63" i="74"/>
  <c r="B63" i="74"/>
  <c r="X62" i="74"/>
  <c r="Z62" i="74" s="1"/>
  <c r="L62" i="74"/>
  <c r="N62" i="74" s="1"/>
  <c r="B62" i="74"/>
  <c r="X61" i="74"/>
  <c r="Z61" i="74" s="1"/>
  <c r="L61" i="74"/>
  <c r="N61" i="74" s="1"/>
  <c r="B61" i="74"/>
  <c r="X60" i="74"/>
  <c r="Z60" i="74" s="1"/>
  <c r="L60" i="74"/>
  <c r="N60" i="74" s="1"/>
  <c r="B60" i="74"/>
  <c r="X59" i="74"/>
  <c r="Z59" i="74" s="1"/>
  <c r="L59" i="74"/>
  <c r="N59" i="74" s="1"/>
  <c r="B59" i="74"/>
  <c r="X58" i="74"/>
  <c r="Z58" i="74" s="1"/>
  <c r="L58" i="74"/>
  <c r="N58" i="74" s="1"/>
  <c r="B58" i="74"/>
  <c r="Z57" i="74"/>
  <c r="X57" i="74"/>
  <c r="N57" i="74"/>
  <c r="L57" i="74"/>
  <c r="B57" i="74"/>
  <c r="Z56" i="74"/>
  <c r="X56" i="74"/>
  <c r="N56" i="74"/>
  <c r="L56" i="74"/>
  <c r="B56" i="74"/>
  <c r="Z55" i="74"/>
  <c r="X55" i="74"/>
  <c r="N55" i="74"/>
  <c r="L55" i="74"/>
  <c r="B55" i="74"/>
  <c r="Z54" i="74"/>
  <c r="X54" i="74"/>
  <c r="N54" i="74"/>
  <c r="L54" i="74"/>
  <c r="B54" i="74"/>
  <c r="Z53" i="74"/>
  <c r="X53" i="74"/>
  <c r="N53" i="74"/>
  <c r="L53" i="74"/>
  <c r="B53" i="74"/>
  <c r="T52" i="74"/>
  <c r="P52" i="74"/>
  <c r="H52" i="74"/>
  <c r="D52" i="74"/>
  <c r="L52" i="74" s="1"/>
  <c r="N52" i="74" s="1"/>
  <c r="T50" i="74"/>
  <c r="P50" i="74"/>
  <c r="X50" i="74" s="1"/>
  <c r="N50" i="74"/>
  <c r="H50" i="74"/>
  <c r="D50" i="74"/>
  <c r="L50" i="74" s="1"/>
  <c r="B50" i="74"/>
  <c r="T49" i="74"/>
  <c r="X49" i="74" s="1"/>
  <c r="Z49" i="74" s="1"/>
  <c r="P49" i="74"/>
  <c r="H49" i="74"/>
  <c r="D49" i="74"/>
  <c r="L49" i="74" s="1"/>
  <c r="B49" i="74"/>
  <c r="T48" i="74"/>
  <c r="P48" i="74"/>
  <c r="X48" i="74" s="1"/>
  <c r="N48" i="74"/>
  <c r="H48" i="74"/>
  <c r="D48" i="74"/>
  <c r="L48" i="74" s="1"/>
  <c r="B48" i="74"/>
  <c r="X47" i="74"/>
  <c r="Z47" i="74" s="1"/>
  <c r="T47" i="74"/>
  <c r="P47" i="74"/>
  <c r="H47" i="74"/>
  <c r="N47" i="74" s="1"/>
  <c r="D47" i="74"/>
  <c r="B47" i="74"/>
  <c r="T46" i="74"/>
  <c r="P46" i="74"/>
  <c r="L46" i="74"/>
  <c r="N46" i="74" s="1"/>
  <c r="H46" i="74"/>
  <c r="D46" i="74"/>
  <c r="B46" i="74"/>
  <c r="X45" i="74"/>
  <c r="Z45" i="74" s="1"/>
  <c r="T45" i="74"/>
  <c r="P45" i="74"/>
  <c r="H45" i="74"/>
  <c r="D45" i="74"/>
  <c r="L45" i="74" s="1"/>
  <c r="N45" i="74" s="1"/>
  <c r="B45" i="74"/>
  <c r="T44" i="74"/>
  <c r="P44" i="74"/>
  <c r="X44" i="74" s="1"/>
  <c r="H44" i="74"/>
  <c r="D44" i="74"/>
  <c r="L44" i="74" s="1"/>
  <c r="N44" i="74" s="1"/>
  <c r="B44" i="74"/>
  <c r="T43" i="74"/>
  <c r="P43" i="74"/>
  <c r="H43" i="74"/>
  <c r="N43" i="74" s="1"/>
  <c r="D43" i="74"/>
  <c r="L43" i="74" s="1"/>
  <c r="B43" i="74"/>
  <c r="T42" i="74"/>
  <c r="P42" i="74"/>
  <c r="X42" i="74" s="1"/>
  <c r="H42" i="74"/>
  <c r="D42" i="74"/>
  <c r="B42" i="74"/>
  <c r="T41" i="74"/>
  <c r="Z41" i="74" s="1"/>
  <c r="P41" i="74"/>
  <c r="H41" i="74"/>
  <c r="N41" i="74" s="1"/>
  <c r="D41" i="74"/>
  <c r="B41" i="74"/>
  <c r="Z40" i="74"/>
  <c r="T40" i="74"/>
  <c r="P40" i="74"/>
  <c r="X40" i="74" s="1"/>
  <c r="N40" i="74"/>
  <c r="L40" i="74"/>
  <c r="H40" i="74"/>
  <c r="D40" i="74"/>
  <c r="B40" i="74"/>
  <c r="T39" i="74"/>
  <c r="Z39" i="74" s="1"/>
  <c r="P39" i="74"/>
  <c r="X39" i="74" s="1"/>
  <c r="H39" i="74"/>
  <c r="N39" i="74" s="1"/>
  <c r="D39" i="74"/>
  <c r="L39" i="74" s="1"/>
  <c r="B39" i="74"/>
  <c r="T38" i="74"/>
  <c r="P38" i="74"/>
  <c r="X38" i="74" s="1"/>
  <c r="H38" i="74"/>
  <c r="D38" i="74"/>
  <c r="B38" i="74"/>
  <c r="T37" i="74"/>
  <c r="P37" i="74"/>
  <c r="L37" i="74"/>
  <c r="H37" i="74"/>
  <c r="N37" i="74" s="1"/>
  <c r="D37" i="74"/>
  <c r="B37" i="74"/>
  <c r="T36" i="74"/>
  <c r="P36" i="74"/>
  <c r="X36" i="74" s="1"/>
  <c r="Z36" i="74" s="1"/>
  <c r="L36" i="74"/>
  <c r="N36" i="74" s="1"/>
  <c r="H36" i="74"/>
  <c r="D36" i="74"/>
  <c r="B36" i="74"/>
  <c r="T35" i="74"/>
  <c r="Z35" i="74" s="1"/>
  <c r="P35" i="74"/>
  <c r="X35" i="74" s="1"/>
  <c r="H35" i="74"/>
  <c r="N35" i="74" s="1"/>
  <c r="D35" i="74"/>
  <c r="L35" i="74" s="1"/>
  <c r="B35" i="74"/>
  <c r="T34" i="74"/>
  <c r="P34" i="74"/>
  <c r="X34" i="74" s="1"/>
  <c r="H34" i="74"/>
  <c r="D34" i="74"/>
  <c r="B34" i="74"/>
  <c r="T33" i="74"/>
  <c r="P33" i="74"/>
  <c r="L33" i="74"/>
  <c r="H33" i="74"/>
  <c r="N33" i="74" s="1"/>
  <c r="D33" i="74"/>
  <c r="B33" i="74"/>
  <c r="Z32" i="74"/>
  <c r="T32" i="74"/>
  <c r="P32" i="74"/>
  <c r="X32" i="74" s="1"/>
  <c r="N32" i="74"/>
  <c r="L32" i="74"/>
  <c r="H32" i="74"/>
  <c r="D32" i="74"/>
  <c r="B32" i="74"/>
  <c r="T31" i="74"/>
  <c r="Z31" i="74" s="1"/>
  <c r="P31" i="74"/>
  <c r="X31" i="74" s="1"/>
  <c r="H31" i="74"/>
  <c r="N31" i="74" s="1"/>
  <c r="D31" i="74"/>
  <c r="L31" i="74" s="1"/>
  <c r="B31" i="74"/>
  <c r="T30" i="74"/>
  <c r="Z30" i="74" s="1"/>
  <c r="P30" i="74"/>
  <c r="X30" i="74" s="1"/>
  <c r="H30" i="74"/>
  <c r="D30" i="74"/>
  <c r="B30" i="74"/>
  <c r="T29" i="74"/>
  <c r="Z29" i="74" s="1"/>
  <c r="P29" i="74"/>
  <c r="L29" i="74"/>
  <c r="H29" i="74"/>
  <c r="N29" i="74" s="1"/>
  <c r="D29" i="74"/>
  <c r="B29" i="74"/>
  <c r="Z28" i="74"/>
  <c r="T28" i="74"/>
  <c r="P28" i="74"/>
  <c r="X28" i="74" s="1"/>
  <c r="N28" i="74"/>
  <c r="L28" i="74"/>
  <c r="H28" i="74"/>
  <c r="D28" i="74"/>
  <c r="B28" i="74"/>
  <c r="T27" i="74"/>
  <c r="Z27" i="74" s="1"/>
  <c r="P27" i="74"/>
  <c r="X27" i="74" s="1"/>
  <c r="H27" i="74"/>
  <c r="N27" i="74" s="1"/>
  <c r="D27" i="74"/>
  <c r="L27" i="74" s="1"/>
  <c r="B27" i="74"/>
  <c r="T26" i="74"/>
  <c r="Z26" i="74" s="1"/>
  <c r="P26" i="74"/>
  <c r="X26" i="74" s="1"/>
  <c r="H26" i="74"/>
  <c r="D26" i="74"/>
  <c r="B26" i="74"/>
  <c r="T25" i="74"/>
  <c r="Z25" i="74" s="1"/>
  <c r="P25" i="74"/>
  <c r="L25" i="74"/>
  <c r="H25" i="74"/>
  <c r="N25" i="74" s="1"/>
  <c r="D25" i="74"/>
  <c r="B25" i="74"/>
  <c r="T24" i="74"/>
  <c r="P24" i="74"/>
  <c r="X24" i="74" s="1"/>
  <c r="Z24" i="74" s="1"/>
  <c r="L24" i="74"/>
  <c r="N24" i="74" s="1"/>
  <c r="H24" i="74"/>
  <c r="D24" i="74"/>
  <c r="B24" i="74"/>
  <c r="T23" i="74"/>
  <c r="P23" i="74"/>
  <c r="X23" i="74" s="1"/>
  <c r="H23" i="74"/>
  <c r="N23" i="74" s="1"/>
  <c r="D23" i="74"/>
  <c r="L23" i="74" s="1"/>
  <c r="B23" i="74"/>
  <c r="T22" i="74"/>
  <c r="Z22" i="74" s="1"/>
  <c r="P22" i="74"/>
  <c r="X22" i="74" s="1"/>
  <c r="H22" i="74"/>
  <c r="D22" i="74"/>
  <c r="B22" i="74"/>
  <c r="T21" i="74"/>
  <c r="P21" i="74"/>
  <c r="L21" i="74"/>
  <c r="H21" i="74"/>
  <c r="N21" i="74" s="1"/>
  <c r="D21" i="74"/>
  <c r="B21" i="74"/>
  <c r="T20" i="74"/>
  <c r="P20" i="74"/>
  <c r="X20" i="74" s="1"/>
  <c r="Z20" i="74" s="1"/>
  <c r="L20" i="74"/>
  <c r="N20" i="74" s="1"/>
  <c r="H20" i="74"/>
  <c r="D20" i="74"/>
  <c r="B20" i="74"/>
  <c r="T19" i="74"/>
  <c r="Z19" i="74" s="1"/>
  <c r="P19" i="74"/>
  <c r="X19" i="74" s="1"/>
  <c r="H19" i="74"/>
  <c r="N19" i="74" s="1"/>
  <c r="D19" i="74"/>
  <c r="L19" i="74" s="1"/>
  <c r="B19" i="74"/>
  <c r="T18" i="74"/>
  <c r="Z18" i="74" s="1"/>
  <c r="P18" i="74"/>
  <c r="X18" i="74" s="1"/>
  <c r="H18" i="74"/>
  <c r="D18" i="74"/>
  <c r="B18" i="74"/>
  <c r="T17" i="74"/>
  <c r="Z17" i="74" s="1"/>
  <c r="P17" i="74"/>
  <c r="L17" i="74"/>
  <c r="H17" i="74"/>
  <c r="N17" i="74" s="1"/>
  <c r="D17" i="74"/>
  <c r="B17" i="74"/>
  <c r="Z16" i="74"/>
  <c r="T16" i="74"/>
  <c r="P16" i="74"/>
  <c r="X16" i="74" s="1"/>
  <c r="N16" i="74"/>
  <c r="L16" i="74"/>
  <c r="H16" i="74"/>
  <c r="D16" i="74"/>
  <c r="B16" i="74"/>
  <c r="T15" i="74"/>
  <c r="Z15" i="74" s="1"/>
  <c r="P15" i="74"/>
  <c r="X15" i="74" s="1"/>
  <c r="H15" i="74"/>
  <c r="N15" i="74" s="1"/>
  <c r="D15" i="74"/>
  <c r="L15" i="74" s="1"/>
  <c r="B15" i="74"/>
  <c r="T14" i="74"/>
  <c r="Z14" i="74" s="1"/>
  <c r="P14" i="74"/>
  <c r="H14" i="74"/>
  <c r="D14" i="74"/>
  <c r="B14" i="74"/>
  <c r="T13" i="74"/>
  <c r="T12" i="74" s="1"/>
  <c r="V103" i="74" s="1"/>
  <c r="P13" i="74"/>
  <c r="L13" i="74"/>
  <c r="H13" i="74"/>
  <c r="D13" i="74"/>
  <c r="D12" i="74" s="1"/>
  <c r="F64" i="74" s="1"/>
  <c r="B13" i="74"/>
  <c r="D6" i="74"/>
  <c r="D4" i="74"/>
  <c r="X87" i="73"/>
  <c r="Z87" i="73" s="1"/>
  <c r="L87" i="73"/>
  <c r="N87" i="73" s="1"/>
  <c r="T83" i="73"/>
  <c r="Z83" i="73" s="1"/>
  <c r="P83" i="73"/>
  <c r="X83" i="73" s="1"/>
  <c r="N83" i="73"/>
  <c r="H83" i="73"/>
  <c r="D83" i="73"/>
  <c r="L83" i="73" s="1"/>
  <c r="X81" i="73"/>
  <c r="Z81" i="73" s="1"/>
  <c r="N81" i="73"/>
  <c r="L81" i="73"/>
  <c r="B81" i="73"/>
  <c r="T80" i="73"/>
  <c r="P80" i="73"/>
  <c r="X80" i="73" s="1"/>
  <c r="Z80" i="73" s="1"/>
  <c r="H80" i="73"/>
  <c r="D80" i="73"/>
  <c r="B80" i="73"/>
  <c r="X79" i="73"/>
  <c r="Z79" i="73" s="1"/>
  <c r="N79" i="73"/>
  <c r="L79" i="73"/>
  <c r="B79" i="73"/>
  <c r="T78" i="73"/>
  <c r="X78" i="73" s="1"/>
  <c r="P78" i="73"/>
  <c r="H78" i="73"/>
  <c r="D78" i="73"/>
  <c r="L78" i="73" s="1"/>
  <c r="B78" i="73"/>
  <c r="X77" i="73"/>
  <c r="Z77" i="73" s="1"/>
  <c r="L77" i="73"/>
  <c r="N77" i="73" s="1"/>
  <c r="B77" i="73"/>
  <c r="X76" i="73"/>
  <c r="Z76" i="73" s="1"/>
  <c r="T76" i="73"/>
  <c r="P76" i="73"/>
  <c r="H76" i="73"/>
  <c r="D76" i="73"/>
  <c r="L76" i="73" s="1"/>
  <c r="B76" i="73"/>
  <c r="Z75" i="73"/>
  <c r="X75" i="73"/>
  <c r="N75" i="73"/>
  <c r="L75" i="73"/>
  <c r="B75" i="73"/>
  <c r="T74" i="73"/>
  <c r="P74" i="73"/>
  <c r="N74" i="73"/>
  <c r="H74" i="73"/>
  <c r="D74" i="73"/>
  <c r="L74" i="73" s="1"/>
  <c r="B74" i="73"/>
  <c r="X73" i="73"/>
  <c r="Z73" i="73" s="1"/>
  <c r="N73" i="73"/>
  <c r="L73" i="73"/>
  <c r="B73" i="73"/>
  <c r="T72" i="73"/>
  <c r="Z72" i="73" s="1"/>
  <c r="P72" i="73"/>
  <c r="X72" i="73" s="1"/>
  <c r="H72" i="73"/>
  <c r="L72" i="73" s="1"/>
  <c r="D72" i="73"/>
  <c r="B72" i="73"/>
  <c r="Z71" i="73"/>
  <c r="X71" i="73"/>
  <c r="N71" i="73"/>
  <c r="L71" i="73"/>
  <c r="B71" i="73"/>
  <c r="Z70" i="73"/>
  <c r="X70" i="73"/>
  <c r="N70" i="73"/>
  <c r="L70" i="73"/>
  <c r="F70" i="73"/>
  <c r="B70" i="73"/>
  <c r="T69" i="73"/>
  <c r="P69" i="73"/>
  <c r="H69" i="73"/>
  <c r="L69" i="73" s="1"/>
  <c r="N69" i="73" s="1"/>
  <c r="F69" i="73"/>
  <c r="D69" i="73"/>
  <c r="B69" i="73"/>
  <c r="X68" i="73"/>
  <c r="Z68" i="73" s="1"/>
  <c r="L68" i="73"/>
  <c r="N68" i="73" s="1"/>
  <c r="B68" i="73"/>
  <c r="Z67" i="73"/>
  <c r="T67" i="73"/>
  <c r="P67" i="73"/>
  <c r="X67" i="73" s="1"/>
  <c r="H67" i="73"/>
  <c r="N67" i="73" s="1"/>
  <c r="D67" i="73"/>
  <c r="L67" i="73" s="1"/>
  <c r="B67" i="73"/>
  <c r="X66" i="73"/>
  <c r="Z66" i="73" s="1"/>
  <c r="N66" i="73"/>
  <c r="L66" i="73"/>
  <c r="F66" i="73"/>
  <c r="B66" i="73"/>
  <c r="X65" i="73"/>
  <c r="Z65" i="73" s="1"/>
  <c r="N65" i="73"/>
  <c r="L65" i="73"/>
  <c r="B65" i="73"/>
  <c r="X64" i="73"/>
  <c r="Z64" i="73" s="1"/>
  <c r="L64" i="73"/>
  <c r="N64" i="73" s="1"/>
  <c r="B64" i="73"/>
  <c r="X63" i="73"/>
  <c r="Z63" i="73" s="1"/>
  <c r="T63" i="73"/>
  <c r="P63" i="73"/>
  <c r="L63" i="73"/>
  <c r="N63" i="73" s="1"/>
  <c r="H63" i="73"/>
  <c r="D63" i="73"/>
  <c r="B63" i="73"/>
  <c r="Z62" i="73"/>
  <c r="X62" i="73"/>
  <c r="N62" i="73"/>
  <c r="L62" i="73"/>
  <c r="F62" i="73"/>
  <c r="B62" i="73"/>
  <c r="X61" i="73"/>
  <c r="Z61" i="73" s="1"/>
  <c r="L61" i="73"/>
  <c r="N61" i="73" s="1"/>
  <c r="B61" i="73"/>
  <c r="X60" i="73"/>
  <c r="Z60" i="73" s="1"/>
  <c r="N60" i="73"/>
  <c r="L60" i="73"/>
  <c r="B60" i="73"/>
  <c r="Z59" i="73"/>
  <c r="X59" i="73"/>
  <c r="N59" i="73"/>
  <c r="L59" i="73"/>
  <c r="B59" i="73"/>
  <c r="Z58" i="73"/>
  <c r="X58" i="73"/>
  <c r="N58" i="73"/>
  <c r="L58" i="73"/>
  <c r="F58" i="73"/>
  <c r="B58" i="73"/>
  <c r="X57" i="73"/>
  <c r="Z57" i="73" s="1"/>
  <c r="L57" i="73"/>
  <c r="N57" i="73" s="1"/>
  <c r="B57" i="73"/>
  <c r="X56" i="73"/>
  <c r="Z56" i="73" s="1"/>
  <c r="L56" i="73"/>
  <c r="N56" i="73" s="1"/>
  <c r="B56" i="73"/>
  <c r="Z55" i="73"/>
  <c r="X55" i="73"/>
  <c r="N55" i="73"/>
  <c r="L55" i="73"/>
  <c r="B55" i="73"/>
  <c r="T54" i="73"/>
  <c r="P54" i="73"/>
  <c r="X54" i="73" s="1"/>
  <c r="L54" i="73"/>
  <c r="N54" i="73" s="1"/>
  <c r="H54" i="73"/>
  <c r="D54" i="73"/>
  <c r="B54" i="73"/>
  <c r="T53" i="73"/>
  <c r="P53" i="73"/>
  <c r="X53" i="73" s="1"/>
  <c r="H53" i="73"/>
  <c r="D53" i="73"/>
  <c r="L53" i="73" s="1"/>
  <c r="N53" i="73" s="1"/>
  <c r="X49" i="73"/>
  <c r="Z49" i="73" s="1"/>
  <c r="N49" i="73"/>
  <c r="L49" i="73"/>
  <c r="B49" i="73"/>
  <c r="Z48" i="73"/>
  <c r="X48" i="73"/>
  <c r="L48" i="73"/>
  <c r="N48" i="73" s="1"/>
  <c r="B48" i="73"/>
  <c r="Z47" i="73"/>
  <c r="X47" i="73"/>
  <c r="N47" i="73"/>
  <c r="L47" i="73"/>
  <c r="B47" i="73"/>
  <c r="Z46" i="73"/>
  <c r="X46" i="73"/>
  <c r="L46" i="73"/>
  <c r="N46" i="73" s="1"/>
  <c r="B46" i="73"/>
  <c r="X45" i="73"/>
  <c r="Z45" i="73" s="1"/>
  <c r="N45" i="73"/>
  <c r="L45" i="73"/>
  <c r="B45" i="73"/>
  <c r="Z44" i="73"/>
  <c r="X44" i="73"/>
  <c r="L44" i="73"/>
  <c r="N44" i="73" s="1"/>
  <c r="B44" i="73"/>
  <c r="Z43" i="73"/>
  <c r="X43" i="73"/>
  <c r="L43" i="73"/>
  <c r="N43" i="73" s="1"/>
  <c r="B43" i="73"/>
  <c r="Z42" i="73"/>
  <c r="X42" i="73"/>
  <c r="N42" i="73"/>
  <c r="L42" i="73"/>
  <c r="B42" i="73"/>
  <c r="X41" i="73"/>
  <c r="Z41" i="73" s="1"/>
  <c r="L41" i="73"/>
  <c r="N41" i="73" s="1"/>
  <c r="B41" i="73"/>
  <c r="Z40" i="73"/>
  <c r="X40" i="73"/>
  <c r="L40" i="73"/>
  <c r="N40" i="73" s="1"/>
  <c r="B40" i="73"/>
  <c r="Z39" i="73"/>
  <c r="X39" i="73"/>
  <c r="L39" i="73"/>
  <c r="N39" i="73" s="1"/>
  <c r="B39" i="73"/>
  <c r="Z38" i="73"/>
  <c r="X38" i="73"/>
  <c r="L38" i="73"/>
  <c r="N38" i="73" s="1"/>
  <c r="B38" i="73"/>
  <c r="X37" i="73"/>
  <c r="Z37" i="73" s="1"/>
  <c r="L37" i="73"/>
  <c r="N37" i="73" s="1"/>
  <c r="B37" i="73"/>
  <c r="Z36" i="73"/>
  <c r="X36" i="73"/>
  <c r="L36" i="73"/>
  <c r="N36" i="73" s="1"/>
  <c r="B36" i="73"/>
  <c r="Z35" i="73"/>
  <c r="X35" i="73"/>
  <c r="N35" i="73"/>
  <c r="L35" i="73"/>
  <c r="B35" i="73"/>
  <c r="T34" i="73"/>
  <c r="P34" i="73"/>
  <c r="H34" i="73"/>
  <c r="D34" i="73"/>
  <c r="L34" i="73" s="1"/>
  <c r="N34" i="73" s="1"/>
  <c r="T32" i="73"/>
  <c r="P32" i="73"/>
  <c r="X32" i="73" s="1"/>
  <c r="H32" i="73"/>
  <c r="N32" i="73" s="1"/>
  <c r="D32" i="73"/>
  <c r="L32" i="73" s="1"/>
  <c r="B32" i="73"/>
  <c r="T31" i="73"/>
  <c r="P31" i="73"/>
  <c r="X31" i="73" s="1"/>
  <c r="H31" i="73"/>
  <c r="D31" i="73"/>
  <c r="B31" i="73"/>
  <c r="T30" i="73"/>
  <c r="P30" i="73"/>
  <c r="L30" i="73"/>
  <c r="H30" i="73"/>
  <c r="N30" i="73" s="1"/>
  <c r="D30" i="73"/>
  <c r="B30" i="73"/>
  <c r="Z29" i="73"/>
  <c r="T29" i="73"/>
  <c r="P29" i="73"/>
  <c r="X29" i="73" s="1"/>
  <c r="L29" i="73"/>
  <c r="N29" i="73" s="1"/>
  <c r="H29" i="73"/>
  <c r="D29" i="73"/>
  <c r="B29" i="73"/>
  <c r="T28" i="73"/>
  <c r="Z28" i="73" s="1"/>
  <c r="P28" i="73"/>
  <c r="X28" i="73" s="1"/>
  <c r="H28" i="73"/>
  <c r="N28" i="73" s="1"/>
  <c r="D28" i="73"/>
  <c r="L28" i="73" s="1"/>
  <c r="B28" i="73"/>
  <c r="T27" i="73"/>
  <c r="Z27" i="73" s="1"/>
  <c r="P27" i="73"/>
  <c r="X27" i="73" s="1"/>
  <c r="H27" i="73"/>
  <c r="D27" i="73"/>
  <c r="B27" i="73"/>
  <c r="T26" i="73"/>
  <c r="P26" i="73"/>
  <c r="L26" i="73"/>
  <c r="H26" i="73"/>
  <c r="N26" i="73" s="1"/>
  <c r="D26" i="73"/>
  <c r="B26" i="73"/>
  <c r="Z25" i="73"/>
  <c r="T25" i="73"/>
  <c r="P25" i="73"/>
  <c r="X25" i="73" s="1"/>
  <c r="L25" i="73"/>
  <c r="N25" i="73" s="1"/>
  <c r="H25" i="73"/>
  <c r="D25" i="73"/>
  <c r="B25" i="73"/>
  <c r="T24" i="73"/>
  <c r="Z24" i="73" s="1"/>
  <c r="P24" i="73"/>
  <c r="X24" i="73" s="1"/>
  <c r="H24" i="73"/>
  <c r="D24" i="73"/>
  <c r="L24" i="73" s="1"/>
  <c r="B24" i="73"/>
  <c r="T23" i="73"/>
  <c r="Z23" i="73" s="1"/>
  <c r="P23" i="73"/>
  <c r="X23" i="73" s="1"/>
  <c r="H23" i="73"/>
  <c r="D23" i="73"/>
  <c r="B23" i="73"/>
  <c r="T22" i="73"/>
  <c r="P22" i="73"/>
  <c r="L22" i="73"/>
  <c r="H22" i="73"/>
  <c r="N22" i="73" s="1"/>
  <c r="D22" i="73"/>
  <c r="B22" i="73"/>
  <c r="T21" i="73"/>
  <c r="P21" i="73"/>
  <c r="X21" i="73" s="1"/>
  <c r="Z21" i="73" s="1"/>
  <c r="L21" i="73"/>
  <c r="N21" i="73" s="1"/>
  <c r="H21" i="73"/>
  <c r="D21" i="73"/>
  <c r="B21" i="73"/>
  <c r="T20" i="73"/>
  <c r="Z20" i="73" s="1"/>
  <c r="P20" i="73"/>
  <c r="X20" i="73" s="1"/>
  <c r="H20" i="73"/>
  <c r="N20" i="73" s="1"/>
  <c r="D20" i="73"/>
  <c r="L20" i="73" s="1"/>
  <c r="B20" i="73"/>
  <c r="T19" i="73"/>
  <c r="P19" i="73"/>
  <c r="X19" i="73" s="1"/>
  <c r="H19" i="73"/>
  <c r="D19" i="73"/>
  <c r="B19" i="73"/>
  <c r="T18" i="73"/>
  <c r="P18" i="73"/>
  <c r="L18" i="73"/>
  <c r="H18" i="73"/>
  <c r="N18" i="73" s="1"/>
  <c r="D18" i="73"/>
  <c r="B18" i="73"/>
  <c r="T17" i="73"/>
  <c r="P17" i="73"/>
  <c r="X17" i="73" s="1"/>
  <c r="Z17" i="73" s="1"/>
  <c r="L17" i="73"/>
  <c r="N17" i="73" s="1"/>
  <c r="H17" i="73"/>
  <c r="D17" i="73"/>
  <c r="B17" i="73"/>
  <c r="T16" i="73"/>
  <c r="P16" i="73"/>
  <c r="X16" i="73" s="1"/>
  <c r="H16" i="73"/>
  <c r="N16" i="73" s="1"/>
  <c r="D16" i="73"/>
  <c r="L16" i="73" s="1"/>
  <c r="B16" i="73"/>
  <c r="T15" i="73"/>
  <c r="Z15" i="73" s="1"/>
  <c r="P15" i="73"/>
  <c r="X15" i="73" s="1"/>
  <c r="H15" i="73"/>
  <c r="D15" i="73"/>
  <c r="B15" i="73"/>
  <c r="T14" i="73"/>
  <c r="P14" i="73"/>
  <c r="L14" i="73"/>
  <c r="H14" i="73"/>
  <c r="N14" i="73" s="1"/>
  <c r="D14" i="73"/>
  <c r="B14" i="73"/>
  <c r="T13" i="73"/>
  <c r="P13" i="73"/>
  <c r="X13" i="73" s="1"/>
  <c r="Z13" i="73" s="1"/>
  <c r="N13" i="73"/>
  <c r="L13" i="73"/>
  <c r="H13" i="73"/>
  <c r="D13" i="73"/>
  <c r="B13" i="73"/>
  <c r="D12" i="73"/>
  <c r="F64" i="73" s="1"/>
  <c r="D6" i="73"/>
  <c r="D4" i="73"/>
  <c r="X75" i="72"/>
  <c r="Z75" i="72" s="1"/>
  <c r="L75" i="72"/>
  <c r="N75" i="72" s="1"/>
  <c r="Z71" i="72"/>
  <c r="T71" i="72"/>
  <c r="P71" i="72"/>
  <c r="X71" i="72" s="1"/>
  <c r="H71" i="72"/>
  <c r="D71" i="72"/>
  <c r="Z69" i="72"/>
  <c r="X69" i="72"/>
  <c r="N69" i="72"/>
  <c r="L69" i="72"/>
  <c r="B69" i="72"/>
  <c r="Z68" i="72"/>
  <c r="T68" i="72"/>
  <c r="P68" i="72"/>
  <c r="X68" i="72" s="1"/>
  <c r="J68" i="72"/>
  <c r="H68" i="72"/>
  <c r="N68" i="72" s="1"/>
  <c r="D68" i="72"/>
  <c r="L68" i="72" s="1"/>
  <c r="B68" i="72"/>
  <c r="X67" i="72"/>
  <c r="Z67" i="72" s="1"/>
  <c r="N67" i="72"/>
  <c r="L67" i="72"/>
  <c r="B67" i="72"/>
  <c r="X66" i="72"/>
  <c r="Z66" i="72" s="1"/>
  <c r="T66" i="72"/>
  <c r="P66" i="72"/>
  <c r="L66" i="72"/>
  <c r="N66" i="72" s="1"/>
  <c r="H66" i="72"/>
  <c r="D66" i="72"/>
  <c r="B66" i="72"/>
  <c r="X65" i="72"/>
  <c r="Z65" i="72" s="1"/>
  <c r="N65" i="72"/>
  <c r="L65" i="72"/>
  <c r="B65" i="72"/>
  <c r="Z64" i="72"/>
  <c r="X64" i="72"/>
  <c r="N64" i="72"/>
  <c r="L64" i="72"/>
  <c r="B64" i="72"/>
  <c r="Z63" i="72"/>
  <c r="X63" i="72"/>
  <c r="N63" i="72"/>
  <c r="L63" i="72"/>
  <c r="J63" i="72"/>
  <c r="B63" i="72"/>
  <c r="X62" i="72"/>
  <c r="Z62" i="72" s="1"/>
  <c r="N62" i="72"/>
  <c r="L62" i="72"/>
  <c r="J62" i="72"/>
  <c r="B62" i="72"/>
  <c r="X61" i="72"/>
  <c r="Z61" i="72" s="1"/>
  <c r="N61" i="72"/>
  <c r="L61" i="72"/>
  <c r="B61" i="72"/>
  <c r="Z60" i="72"/>
  <c r="T60" i="72"/>
  <c r="X60" i="72" s="1"/>
  <c r="P60" i="72"/>
  <c r="H60" i="72"/>
  <c r="D60" i="72"/>
  <c r="B60" i="72"/>
  <c r="Z59" i="72"/>
  <c r="X59" i="72"/>
  <c r="L59" i="72"/>
  <c r="N59" i="72" s="1"/>
  <c r="B59" i="72"/>
  <c r="T58" i="72"/>
  <c r="P58" i="72"/>
  <c r="X58" i="72" s="1"/>
  <c r="H58" i="72"/>
  <c r="D58" i="72"/>
  <c r="L58" i="72" s="1"/>
  <c r="N58" i="72" s="1"/>
  <c r="B58" i="72"/>
  <c r="X57" i="72"/>
  <c r="Z57" i="72" s="1"/>
  <c r="N57" i="72"/>
  <c r="L57" i="72"/>
  <c r="B57" i="72"/>
  <c r="X56" i="72"/>
  <c r="Z56" i="72" s="1"/>
  <c r="N56" i="72"/>
  <c r="L56" i="72"/>
  <c r="B56" i="72"/>
  <c r="X55" i="72"/>
  <c r="Z55" i="72" s="1"/>
  <c r="N55" i="72"/>
  <c r="L55" i="72"/>
  <c r="B55" i="72"/>
  <c r="X54" i="72"/>
  <c r="Z54" i="72" s="1"/>
  <c r="T54" i="72"/>
  <c r="P54" i="72"/>
  <c r="N54" i="72"/>
  <c r="L54" i="72"/>
  <c r="H54" i="72"/>
  <c r="D54" i="72"/>
  <c r="B54" i="72"/>
  <c r="X53" i="72"/>
  <c r="Z53" i="72" s="1"/>
  <c r="N53" i="72"/>
  <c r="L53" i="72"/>
  <c r="B53" i="72"/>
  <c r="Z52" i="72"/>
  <c r="T52" i="72"/>
  <c r="X52" i="72" s="1"/>
  <c r="P52" i="72"/>
  <c r="H52" i="72"/>
  <c r="D52" i="72"/>
  <c r="B52" i="72"/>
  <c r="Z51" i="72"/>
  <c r="X51" i="72"/>
  <c r="L51" i="72"/>
  <c r="N51" i="72" s="1"/>
  <c r="B51" i="72"/>
  <c r="T50" i="72"/>
  <c r="Z50" i="72" s="1"/>
  <c r="P50" i="72"/>
  <c r="X50" i="72" s="1"/>
  <c r="H50" i="72"/>
  <c r="D50" i="72"/>
  <c r="L50" i="72" s="1"/>
  <c r="N50" i="72" s="1"/>
  <c r="B50" i="72"/>
  <c r="X49" i="72"/>
  <c r="Z49" i="72" s="1"/>
  <c r="L49" i="72"/>
  <c r="N49" i="72" s="1"/>
  <c r="B49" i="72"/>
  <c r="X48" i="72"/>
  <c r="Z48" i="72" s="1"/>
  <c r="T48" i="72"/>
  <c r="P48" i="72"/>
  <c r="L48" i="72"/>
  <c r="N48" i="72" s="1"/>
  <c r="J48" i="72"/>
  <c r="H48" i="72"/>
  <c r="D48" i="72"/>
  <c r="B48" i="72"/>
  <c r="Z47" i="72"/>
  <c r="X47" i="72"/>
  <c r="N47" i="72"/>
  <c r="L47" i="72"/>
  <c r="J47" i="72"/>
  <c r="B47" i="72"/>
  <c r="T46" i="72"/>
  <c r="P46" i="72"/>
  <c r="H46" i="72"/>
  <c r="L46" i="72" s="1"/>
  <c r="D46" i="72"/>
  <c r="B46" i="72"/>
  <c r="Z45" i="72"/>
  <c r="X45" i="72"/>
  <c r="L45" i="72"/>
  <c r="N45" i="72" s="1"/>
  <c r="B45" i="72"/>
  <c r="Z44" i="72"/>
  <c r="T44" i="72"/>
  <c r="P44" i="72"/>
  <c r="X44" i="72" s="1"/>
  <c r="J44" i="72"/>
  <c r="H44" i="72"/>
  <c r="N44" i="72" s="1"/>
  <c r="D44" i="72"/>
  <c r="L44" i="72" s="1"/>
  <c r="B44" i="72"/>
  <c r="X43" i="72"/>
  <c r="Z43" i="72" s="1"/>
  <c r="N43" i="72"/>
  <c r="L43" i="72"/>
  <c r="B43" i="72"/>
  <c r="X42" i="72"/>
  <c r="Z42" i="72" s="1"/>
  <c r="T42" i="72"/>
  <c r="P42" i="72"/>
  <c r="L42" i="72"/>
  <c r="N42" i="72" s="1"/>
  <c r="H42" i="72"/>
  <c r="D42" i="72"/>
  <c r="B42" i="72"/>
  <c r="X41" i="72"/>
  <c r="Z41" i="72" s="1"/>
  <c r="N41" i="72"/>
  <c r="L41" i="72"/>
  <c r="B41" i="72"/>
  <c r="Z40" i="72"/>
  <c r="X40" i="72"/>
  <c r="N40" i="72"/>
  <c r="L40" i="72"/>
  <c r="B40" i="72"/>
  <c r="Z39" i="72"/>
  <c r="X39" i="72"/>
  <c r="N39" i="72"/>
  <c r="L39" i="72"/>
  <c r="J39" i="72"/>
  <c r="B39" i="72"/>
  <c r="X38" i="72"/>
  <c r="Z38" i="72" s="1"/>
  <c r="L38" i="72"/>
  <c r="N38" i="72" s="1"/>
  <c r="J38" i="72"/>
  <c r="B38" i="72"/>
  <c r="Z37" i="72"/>
  <c r="X37" i="72"/>
  <c r="N37" i="72"/>
  <c r="L37" i="72"/>
  <c r="J37" i="72"/>
  <c r="B37" i="72"/>
  <c r="Z36" i="72"/>
  <c r="T36" i="72"/>
  <c r="X36" i="72" s="1"/>
  <c r="P36" i="72"/>
  <c r="H36" i="72"/>
  <c r="D36" i="72"/>
  <c r="B36" i="72"/>
  <c r="Z35" i="72"/>
  <c r="X35" i="72"/>
  <c r="L35" i="72"/>
  <c r="N35" i="72" s="1"/>
  <c r="B35" i="72"/>
  <c r="X34" i="72"/>
  <c r="Z34" i="72" s="1"/>
  <c r="L34" i="72"/>
  <c r="N34" i="72" s="1"/>
  <c r="J34" i="72"/>
  <c r="B34" i="72"/>
  <c r="Z33" i="72"/>
  <c r="X33" i="72"/>
  <c r="L33" i="72"/>
  <c r="N33" i="72" s="1"/>
  <c r="B33" i="72"/>
  <c r="Z32" i="72"/>
  <c r="X32" i="72"/>
  <c r="L32" i="72"/>
  <c r="N32" i="72" s="1"/>
  <c r="B32" i="72"/>
  <c r="Z31" i="72"/>
  <c r="X31" i="72"/>
  <c r="L31" i="72"/>
  <c r="N31" i="72" s="1"/>
  <c r="B31" i="72"/>
  <c r="X30" i="72"/>
  <c r="Z30" i="72" s="1"/>
  <c r="L30" i="72"/>
  <c r="N30" i="72" s="1"/>
  <c r="J30" i="72"/>
  <c r="B30" i="72"/>
  <c r="Z29" i="72"/>
  <c r="X29" i="72"/>
  <c r="L29" i="72"/>
  <c r="N29" i="72" s="1"/>
  <c r="B29" i="72"/>
  <c r="Z28" i="72"/>
  <c r="X28" i="72"/>
  <c r="L28" i="72"/>
  <c r="N28" i="72" s="1"/>
  <c r="B28" i="72"/>
  <c r="T27" i="72"/>
  <c r="P27" i="72"/>
  <c r="J27" i="72"/>
  <c r="H27" i="72"/>
  <c r="D27" i="72"/>
  <c r="L27" i="72" s="1"/>
  <c r="N27" i="72" s="1"/>
  <c r="B27" i="72"/>
  <c r="X26" i="72"/>
  <c r="Z26" i="72" s="1"/>
  <c r="T26" i="72"/>
  <c r="P26" i="72"/>
  <c r="L26" i="72"/>
  <c r="N26" i="72" s="1"/>
  <c r="H26" i="72"/>
  <c r="D26" i="72"/>
  <c r="X22" i="72"/>
  <c r="Z22" i="72" s="1"/>
  <c r="L22" i="72"/>
  <c r="N22" i="72" s="1"/>
  <c r="B22" i="72"/>
  <c r="X21" i="72"/>
  <c r="Z21" i="72" s="1"/>
  <c r="L21" i="72"/>
  <c r="N21" i="72" s="1"/>
  <c r="B21" i="72"/>
  <c r="X20" i="72"/>
  <c r="Z20" i="72" s="1"/>
  <c r="T20" i="72"/>
  <c r="P20" i="72"/>
  <c r="L20" i="72"/>
  <c r="N20" i="72" s="1"/>
  <c r="J20" i="72"/>
  <c r="H20" i="72"/>
  <c r="D20" i="72"/>
  <c r="X18" i="72"/>
  <c r="Z18" i="72" s="1"/>
  <c r="T18" i="72"/>
  <c r="P18" i="72"/>
  <c r="N18" i="72"/>
  <c r="H18" i="72"/>
  <c r="D18" i="72"/>
  <c r="L18" i="72" s="1"/>
  <c r="B18" i="72"/>
  <c r="T17" i="72"/>
  <c r="Z17" i="72" s="1"/>
  <c r="P17" i="72"/>
  <c r="X17" i="72" s="1"/>
  <c r="N17" i="72"/>
  <c r="H17" i="72"/>
  <c r="D17" i="72"/>
  <c r="L17" i="72" s="1"/>
  <c r="B17" i="72"/>
  <c r="T16" i="72"/>
  <c r="T12" i="72" s="1"/>
  <c r="P16" i="72"/>
  <c r="L16" i="72"/>
  <c r="H16" i="72"/>
  <c r="N16" i="72" s="1"/>
  <c r="D16" i="72"/>
  <c r="B16" i="72"/>
  <c r="X15" i="72"/>
  <c r="T15" i="72"/>
  <c r="P15" i="72"/>
  <c r="N15" i="72"/>
  <c r="L15" i="72"/>
  <c r="H15" i="72"/>
  <c r="D15" i="72"/>
  <c r="B15" i="72"/>
  <c r="X14" i="72"/>
  <c r="Z14" i="72" s="1"/>
  <c r="T14" i="72"/>
  <c r="P14" i="72"/>
  <c r="N14" i="72"/>
  <c r="H14" i="72"/>
  <c r="D14" i="72"/>
  <c r="L14" i="72" s="1"/>
  <c r="B14" i="72"/>
  <c r="T13" i="72"/>
  <c r="Z13" i="72" s="1"/>
  <c r="P13" i="72"/>
  <c r="X13" i="72" s="1"/>
  <c r="H13" i="72"/>
  <c r="D13" i="72"/>
  <c r="B13" i="72"/>
  <c r="H12" i="72"/>
  <c r="J64" i="72" s="1"/>
  <c r="D6" i="72"/>
  <c r="D4" i="72"/>
  <c r="X122" i="70"/>
  <c r="Z122" i="70" s="1"/>
  <c r="L122" i="70"/>
  <c r="N122" i="70" s="1"/>
  <c r="T118" i="70"/>
  <c r="P118" i="70"/>
  <c r="X118" i="70" s="1"/>
  <c r="Z118" i="70" s="1"/>
  <c r="N118" i="70"/>
  <c r="L118" i="70"/>
  <c r="H118" i="70"/>
  <c r="D118" i="70"/>
  <c r="B118" i="70"/>
  <c r="Z117" i="70"/>
  <c r="X117" i="70"/>
  <c r="T117" i="70"/>
  <c r="P117" i="70"/>
  <c r="H117" i="70"/>
  <c r="D117" i="70"/>
  <c r="B117" i="70"/>
  <c r="T116" i="70"/>
  <c r="T115" i="70" s="1"/>
  <c r="P116" i="70"/>
  <c r="H116" i="70"/>
  <c r="D116" i="70"/>
  <c r="L116" i="70" s="1"/>
  <c r="B116" i="70"/>
  <c r="X113" i="70"/>
  <c r="Z113" i="70" s="1"/>
  <c r="N113" i="70"/>
  <c r="L113" i="70"/>
  <c r="B113" i="70"/>
  <c r="X112" i="70"/>
  <c r="Z112" i="70" s="1"/>
  <c r="T112" i="70"/>
  <c r="P112" i="70"/>
  <c r="N112" i="70"/>
  <c r="L112" i="70"/>
  <c r="H112" i="70"/>
  <c r="D112" i="70"/>
  <c r="B112" i="70"/>
  <c r="X111" i="70"/>
  <c r="Z111" i="70" s="1"/>
  <c r="N111" i="70"/>
  <c r="L111" i="70"/>
  <c r="B111" i="70"/>
  <c r="Z110" i="70"/>
  <c r="T110" i="70"/>
  <c r="X110" i="70" s="1"/>
  <c r="P110" i="70"/>
  <c r="L110" i="70"/>
  <c r="H110" i="70"/>
  <c r="D110" i="70"/>
  <c r="B110" i="70"/>
  <c r="Z109" i="70"/>
  <c r="X109" i="70"/>
  <c r="L109" i="70"/>
  <c r="N109" i="70" s="1"/>
  <c r="B109" i="70"/>
  <c r="X108" i="70"/>
  <c r="Z108" i="70" s="1"/>
  <c r="L108" i="70"/>
  <c r="N108" i="70" s="1"/>
  <c r="B108" i="70"/>
  <c r="Z107" i="70"/>
  <c r="T107" i="70"/>
  <c r="P107" i="70"/>
  <c r="X107" i="70" s="1"/>
  <c r="H107" i="70"/>
  <c r="D107" i="70"/>
  <c r="B107" i="70"/>
  <c r="X106" i="70"/>
  <c r="Z106" i="70" s="1"/>
  <c r="N106" i="70"/>
  <c r="L106" i="70"/>
  <c r="B106" i="70"/>
  <c r="X105" i="70"/>
  <c r="Z105" i="70" s="1"/>
  <c r="N105" i="70"/>
  <c r="L105" i="70"/>
  <c r="B105" i="70"/>
  <c r="X104" i="70"/>
  <c r="Z104" i="70" s="1"/>
  <c r="L104" i="70"/>
  <c r="N104" i="70" s="1"/>
  <c r="B104" i="70"/>
  <c r="X103" i="70"/>
  <c r="Z103" i="70" s="1"/>
  <c r="T103" i="70"/>
  <c r="P103" i="70"/>
  <c r="H103" i="70"/>
  <c r="L103" i="70" s="1"/>
  <c r="D103" i="70"/>
  <c r="B103" i="70"/>
  <c r="Z102" i="70"/>
  <c r="X102" i="70"/>
  <c r="N102" i="70"/>
  <c r="L102" i="70"/>
  <c r="B102" i="70"/>
  <c r="Z101" i="70"/>
  <c r="X101" i="70"/>
  <c r="N101" i="70"/>
  <c r="L101" i="70"/>
  <c r="B101" i="70"/>
  <c r="X100" i="70"/>
  <c r="T100" i="70"/>
  <c r="P100" i="70"/>
  <c r="H100" i="70"/>
  <c r="L100" i="70" s="1"/>
  <c r="N100" i="70" s="1"/>
  <c r="D100" i="70"/>
  <c r="B100" i="70"/>
  <c r="Z99" i="70"/>
  <c r="X99" i="70"/>
  <c r="N99" i="70"/>
  <c r="L99" i="70"/>
  <c r="B99" i="70"/>
  <c r="Z98" i="70"/>
  <c r="X98" i="70"/>
  <c r="N98" i="70"/>
  <c r="L98" i="70"/>
  <c r="B98" i="70"/>
  <c r="Z97" i="70"/>
  <c r="T97" i="70"/>
  <c r="X97" i="70" s="1"/>
  <c r="P97" i="70"/>
  <c r="N97" i="70"/>
  <c r="L97" i="70"/>
  <c r="H97" i="70"/>
  <c r="D97" i="70"/>
  <c r="B97" i="70"/>
  <c r="X96" i="70"/>
  <c r="Z96" i="70" s="1"/>
  <c r="L96" i="70"/>
  <c r="N96" i="70" s="1"/>
  <c r="B96" i="70"/>
  <c r="X95" i="70"/>
  <c r="Z95" i="70" s="1"/>
  <c r="T95" i="70"/>
  <c r="P95" i="70"/>
  <c r="H95" i="70"/>
  <c r="D95" i="70"/>
  <c r="B95" i="70"/>
  <c r="X94" i="70"/>
  <c r="Z94" i="70" s="1"/>
  <c r="N94" i="70"/>
  <c r="L94" i="70"/>
  <c r="B94" i="70"/>
  <c r="T93" i="70"/>
  <c r="P93" i="70"/>
  <c r="N93" i="70"/>
  <c r="H93" i="70"/>
  <c r="D93" i="70"/>
  <c r="L93" i="70" s="1"/>
  <c r="B93" i="70"/>
  <c r="X92" i="70"/>
  <c r="Z92" i="70" s="1"/>
  <c r="N92" i="70"/>
  <c r="L92" i="70"/>
  <c r="B92" i="70"/>
  <c r="X91" i="70"/>
  <c r="Z91" i="70" s="1"/>
  <c r="L91" i="70"/>
  <c r="N91" i="70" s="1"/>
  <c r="B91" i="70"/>
  <c r="T90" i="70"/>
  <c r="P90" i="70"/>
  <c r="H90" i="70"/>
  <c r="D90" i="70"/>
  <c r="B90" i="70"/>
  <c r="X89" i="70"/>
  <c r="Z89" i="70" s="1"/>
  <c r="N89" i="70"/>
  <c r="L89" i="70"/>
  <c r="B89" i="70"/>
  <c r="X88" i="70"/>
  <c r="Z88" i="70" s="1"/>
  <c r="T88" i="70"/>
  <c r="P88" i="70"/>
  <c r="L88" i="70"/>
  <c r="N88" i="70" s="1"/>
  <c r="H88" i="70"/>
  <c r="D88" i="70"/>
  <c r="B88" i="70"/>
  <c r="Z87" i="70"/>
  <c r="X87" i="70"/>
  <c r="N87" i="70"/>
  <c r="L87" i="70"/>
  <c r="B87" i="70"/>
  <c r="X86" i="70"/>
  <c r="Z86" i="70" s="1"/>
  <c r="T86" i="70"/>
  <c r="P86" i="70"/>
  <c r="H86" i="70"/>
  <c r="N86" i="70" s="1"/>
  <c r="D86" i="70"/>
  <c r="B86" i="70"/>
  <c r="Z85" i="70"/>
  <c r="X85" i="70"/>
  <c r="L85" i="70"/>
  <c r="N85" i="70" s="1"/>
  <c r="B85" i="70"/>
  <c r="X84" i="70"/>
  <c r="Z84" i="70" s="1"/>
  <c r="L84" i="70"/>
  <c r="N84" i="70" s="1"/>
  <c r="B84" i="70"/>
  <c r="X83" i="70"/>
  <c r="Z83" i="70" s="1"/>
  <c r="T83" i="70"/>
  <c r="P83" i="70"/>
  <c r="H83" i="70"/>
  <c r="L83" i="70" s="1"/>
  <c r="D83" i="70"/>
  <c r="B83" i="70"/>
  <c r="Z82" i="70"/>
  <c r="X82" i="70"/>
  <c r="L82" i="70"/>
  <c r="N82" i="70" s="1"/>
  <c r="B82" i="70"/>
  <c r="T81" i="70"/>
  <c r="P81" i="70"/>
  <c r="H81" i="70"/>
  <c r="D81" i="70"/>
  <c r="L81" i="70" s="1"/>
  <c r="N81" i="70" s="1"/>
  <c r="B81" i="70"/>
  <c r="Z80" i="70"/>
  <c r="X80" i="70"/>
  <c r="N80" i="70"/>
  <c r="L80" i="70"/>
  <c r="B80" i="70"/>
  <c r="X79" i="70"/>
  <c r="Z79" i="70" s="1"/>
  <c r="N79" i="70"/>
  <c r="L79" i="70"/>
  <c r="B79" i="70"/>
  <c r="X78" i="70"/>
  <c r="Z78" i="70" s="1"/>
  <c r="N78" i="70"/>
  <c r="L78" i="70"/>
  <c r="B78" i="70"/>
  <c r="Z77" i="70"/>
  <c r="X77" i="70"/>
  <c r="N77" i="70"/>
  <c r="L77" i="70"/>
  <c r="B77" i="70"/>
  <c r="X76" i="70"/>
  <c r="Z76" i="70" s="1"/>
  <c r="L76" i="70"/>
  <c r="N76" i="70" s="1"/>
  <c r="B76" i="70"/>
  <c r="X75" i="70"/>
  <c r="Z75" i="70" s="1"/>
  <c r="L75" i="70"/>
  <c r="N75" i="70" s="1"/>
  <c r="B75" i="70"/>
  <c r="Z74" i="70"/>
  <c r="X74" i="70"/>
  <c r="N74" i="70"/>
  <c r="L74" i="70"/>
  <c r="B74" i="70"/>
  <c r="T73" i="70"/>
  <c r="P73" i="70"/>
  <c r="L73" i="70"/>
  <c r="N73" i="70" s="1"/>
  <c r="H73" i="70"/>
  <c r="D73" i="70"/>
  <c r="B73" i="70"/>
  <c r="X72" i="70"/>
  <c r="Z72" i="70" s="1"/>
  <c r="L72" i="70"/>
  <c r="N72" i="70" s="1"/>
  <c r="B72" i="70"/>
  <c r="X71" i="70"/>
  <c r="Z71" i="70" s="1"/>
  <c r="L71" i="70"/>
  <c r="N71" i="70" s="1"/>
  <c r="B71" i="70"/>
  <c r="Z70" i="70"/>
  <c r="X70" i="70"/>
  <c r="N70" i="70"/>
  <c r="L70" i="70"/>
  <c r="B70" i="70"/>
  <c r="Z69" i="70"/>
  <c r="X69" i="70"/>
  <c r="L69" i="70"/>
  <c r="N69" i="70" s="1"/>
  <c r="B69" i="70"/>
  <c r="X68" i="70"/>
  <c r="Z68" i="70" s="1"/>
  <c r="L68" i="70"/>
  <c r="N68" i="70" s="1"/>
  <c r="B68" i="70"/>
  <c r="Z67" i="70"/>
  <c r="X67" i="70"/>
  <c r="N67" i="70"/>
  <c r="L67" i="70"/>
  <c r="B67" i="70"/>
  <c r="Z66" i="70"/>
  <c r="X66" i="70"/>
  <c r="L66" i="70"/>
  <c r="N66" i="70" s="1"/>
  <c r="B66" i="70"/>
  <c r="Z65" i="70"/>
  <c r="X65" i="70"/>
  <c r="L65" i="70"/>
  <c r="N65" i="70" s="1"/>
  <c r="B65" i="70"/>
  <c r="X64" i="70"/>
  <c r="Z64" i="70" s="1"/>
  <c r="L64" i="70"/>
  <c r="N64" i="70" s="1"/>
  <c r="B64" i="70"/>
  <c r="T63" i="70"/>
  <c r="P63" i="70"/>
  <c r="X63" i="70" s="1"/>
  <c r="Z63" i="70" s="1"/>
  <c r="H63" i="70"/>
  <c r="L63" i="70" s="1"/>
  <c r="D63" i="70"/>
  <c r="B63" i="70"/>
  <c r="T62" i="70"/>
  <c r="P62" i="70"/>
  <c r="X62" i="70" s="1"/>
  <c r="H62" i="70"/>
  <c r="D62" i="70"/>
  <c r="L62" i="70" s="1"/>
  <c r="N62" i="70" s="1"/>
  <c r="X58" i="70"/>
  <c r="Z58" i="70" s="1"/>
  <c r="N58" i="70"/>
  <c r="L58" i="70"/>
  <c r="B58" i="70"/>
  <c r="Z57" i="70"/>
  <c r="X57" i="70"/>
  <c r="N57" i="70"/>
  <c r="L57" i="70"/>
  <c r="B57" i="70"/>
  <c r="Z56" i="70"/>
  <c r="X56" i="70"/>
  <c r="N56" i="70"/>
  <c r="L56" i="70"/>
  <c r="B56" i="70"/>
  <c r="X55" i="70"/>
  <c r="Z55" i="70" s="1"/>
  <c r="N55" i="70"/>
  <c r="L55" i="70"/>
  <c r="B55" i="70"/>
  <c r="Z54" i="70"/>
  <c r="X54" i="70"/>
  <c r="N54" i="70"/>
  <c r="L54" i="70"/>
  <c r="B54" i="70"/>
  <c r="Z53" i="70"/>
  <c r="X53" i="70"/>
  <c r="N53" i="70"/>
  <c r="L53" i="70"/>
  <c r="B53" i="70"/>
  <c r="X52" i="70"/>
  <c r="Z52" i="70" s="1"/>
  <c r="L52" i="70"/>
  <c r="N52" i="70" s="1"/>
  <c r="B52" i="70"/>
  <c r="Z51" i="70"/>
  <c r="X51" i="70"/>
  <c r="N51" i="70"/>
  <c r="L51" i="70"/>
  <c r="B51" i="70"/>
  <c r="X50" i="70"/>
  <c r="Z50" i="70" s="1"/>
  <c r="N50" i="70"/>
  <c r="L50" i="70"/>
  <c r="B50" i="70"/>
  <c r="Z49" i="70"/>
  <c r="X49" i="70"/>
  <c r="N49" i="70"/>
  <c r="L49" i="70"/>
  <c r="B49" i="70"/>
  <c r="Z48" i="70"/>
  <c r="X48" i="70"/>
  <c r="L48" i="70"/>
  <c r="N48" i="70" s="1"/>
  <c r="B48" i="70"/>
  <c r="X47" i="70"/>
  <c r="Z47" i="70" s="1"/>
  <c r="L47" i="70"/>
  <c r="N47" i="70" s="1"/>
  <c r="B47" i="70"/>
  <c r="Z46" i="70"/>
  <c r="X46" i="70"/>
  <c r="L46" i="70"/>
  <c r="N46" i="70" s="1"/>
  <c r="B46" i="70"/>
  <c r="Z45" i="70"/>
  <c r="X45" i="70"/>
  <c r="N45" i="70"/>
  <c r="L45" i="70"/>
  <c r="B45" i="70"/>
  <c r="X44" i="70"/>
  <c r="Z44" i="70" s="1"/>
  <c r="L44" i="70"/>
  <c r="N44" i="70" s="1"/>
  <c r="B44" i="70"/>
  <c r="Z43" i="70"/>
  <c r="X43" i="70"/>
  <c r="N43" i="70"/>
  <c r="L43" i="70"/>
  <c r="B43" i="70"/>
  <c r="Z42" i="70"/>
  <c r="X42" i="70"/>
  <c r="T42" i="70"/>
  <c r="P42" i="70"/>
  <c r="H42" i="70"/>
  <c r="D42" i="70"/>
  <c r="L42" i="70" s="1"/>
  <c r="N42" i="70" s="1"/>
  <c r="X40" i="70"/>
  <c r="Z40" i="70" s="1"/>
  <c r="T40" i="70"/>
  <c r="P40" i="70"/>
  <c r="H40" i="70"/>
  <c r="D40" i="70"/>
  <c r="L40" i="70" s="1"/>
  <c r="N40" i="70" s="1"/>
  <c r="B40" i="70"/>
  <c r="T39" i="70"/>
  <c r="P39" i="70"/>
  <c r="X39" i="70" s="1"/>
  <c r="N39" i="70"/>
  <c r="H39" i="70"/>
  <c r="D39" i="70"/>
  <c r="L39" i="70" s="1"/>
  <c r="B39" i="70"/>
  <c r="T38" i="70"/>
  <c r="X38" i="70" s="1"/>
  <c r="Z38" i="70" s="1"/>
  <c r="P38" i="70"/>
  <c r="L38" i="70"/>
  <c r="H38" i="70"/>
  <c r="N38" i="70" s="1"/>
  <c r="D38" i="70"/>
  <c r="B38" i="70"/>
  <c r="Z37" i="70"/>
  <c r="T37" i="70"/>
  <c r="P37" i="70"/>
  <c r="X37" i="70" s="1"/>
  <c r="N37" i="70"/>
  <c r="L37" i="70"/>
  <c r="H37" i="70"/>
  <c r="D37" i="70"/>
  <c r="B37" i="70"/>
  <c r="T36" i="70"/>
  <c r="P36" i="70"/>
  <c r="X36" i="70" s="1"/>
  <c r="Z36" i="70" s="1"/>
  <c r="L36" i="70"/>
  <c r="H36" i="70"/>
  <c r="N36" i="70" s="1"/>
  <c r="D36" i="70"/>
  <c r="B36" i="70"/>
  <c r="T35" i="70"/>
  <c r="P35" i="70"/>
  <c r="N35" i="70"/>
  <c r="H35" i="70"/>
  <c r="D35" i="70"/>
  <c r="B35" i="70"/>
  <c r="T34" i="70"/>
  <c r="X34" i="70" s="1"/>
  <c r="Z34" i="70" s="1"/>
  <c r="P34" i="70"/>
  <c r="L34" i="70"/>
  <c r="H34" i="70"/>
  <c r="N34" i="70" s="1"/>
  <c r="D34" i="70"/>
  <c r="B34" i="70"/>
  <c r="Z33" i="70"/>
  <c r="X33" i="70"/>
  <c r="T33" i="70"/>
  <c r="P33" i="70"/>
  <c r="N33" i="70"/>
  <c r="L33" i="70"/>
  <c r="H33" i="70"/>
  <c r="D33" i="70"/>
  <c r="B33" i="70"/>
  <c r="T32" i="70"/>
  <c r="P32" i="70"/>
  <c r="X32" i="70" s="1"/>
  <c r="Z32" i="70" s="1"/>
  <c r="H32" i="70"/>
  <c r="D32" i="70"/>
  <c r="L32" i="70" s="1"/>
  <c r="N32" i="70" s="1"/>
  <c r="B32" i="70"/>
  <c r="T31" i="70"/>
  <c r="P31" i="70"/>
  <c r="N31" i="70"/>
  <c r="H31" i="70"/>
  <c r="D31" i="70"/>
  <c r="L31" i="70" s="1"/>
  <c r="B31" i="70"/>
  <c r="Z30" i="70"/>
  <c r="X30" i="70"/>
  <c r="T30" i="70"/>
  <c r="P30" i="70"/>
  <c r="L30" i="70"/>
  <c r="H30" i="70"/>
  <c r="D30" i="70"/>
  <c r="B30" i="70"/>
  <c r="T29" i="70"/>
  <c r="X29" i="70" s="1"/>
  <c r="Z29" i="70" s="1"/>
  <c r="P29" i="70"/>
  <c r="N29" i="70"/>
  <c r="L29" i="70"/>
  <c r="H29" i="70"/>
  <c r="D29" i="70"/>
  <c r="B29" i="70"/>
  <c r="X28" i="70"/>
  <c r="T28" i="70"/>
  <c r="Z28" i="70" s="1"/>
  <c r="P28" i="70"/>
  <c r="H28" i="70"/>
  <c r="D28" i="70"/>
  <c r="L28" i="70" s="1"/>
  <c r="N28" i="70" s="1"/>
  <c r="B28" i="70"/>
  <c r="T27" i="70"/>
  <c r="P27" i="70"/>
  <c r="X27" i="70" s="1"/>
  <c r="H27" i="70"/>
  <c r="D27" i="70"/>
  <c r="L27" i="70" s="1"/>
  <c r="N27" i="70" s="1"/>
  <c r="B27" i="70"/>
  <c r="X26" i="70"/>
  <c r="Z26" i="70" s="1"/>
  <c r="T26" i="70"/>
  <c r="P26" i="70"/>
  <c r="L26" i="70"/>
  <c r="H26" i="70"/>
  <c r="D26" i="70"/>
  <c r="B26" i="70"/>
  <c r="X25" i="70"/>
  <c r="T25" i="70"/>
  <c r="Z25" i="70" s="1"/>
  <c r="P25" i="70"/>
  <c r="L25" i="70"/>
  <c r="N25" i="70" s="1"/>
  <c r="H25" i="70"/>
  <c r="D25" i="70"/>
  <c r="B25" i="70"/>
  <c r="T24" i="70"/>
  <c r="P24" i="70"/>
  <c r="N24" i="70"/>
  <c r="L24" i="70"/>
  <c r="H24" i="70"/>
  <c r="D24" i="70"/>
  <c r="B24" i="70"/>
  <c r="T23" i="70"/>
  <c r="P23" i="70"/>
  <c r="X23" i="70" s="1"/>
  <c r="H23" i="70"/>
  <c r="D23" i="70"/>
  <c r="L23" i="70" s="1"/>
  <c r="N23" i="70" s="1"/>
  <c r="B23" i="70"/>
  <c r="Z22" i="70"/>
  <c r="X22" i="70"/>
  <c r="T22" i="70"/>
  <c r="P22" i="70"/>
  <c r="H22" i="70"/>
  <c r="D22" i="70"/>
  <c r="L22" i="70" s="1"/>
  <c r="B22" i="70"/>
  <c r="T21" i="70"/>
  <c r="P21" i="70"/>
  <c r="N21" i="70"/>
  <c r="L21" i="70"/>
  <c r="H21" i="70"/>
  <c r="D21" i="70"/>
  <c r="B21" i="70"/>
  <c r="X20" i="70"/>
  <c r="T20" i="70"/>
  <c r="Z20" i="70" s="1"/>
  <c r="P20" i="70"/>
  <c r="L20" i="70"/>
  <c r="N20" i="70" s="1"/>
  <c r="H20" i="70"/>
  <c r="D20" i="70"/>
  <c r="B20" i="70"/>
  <c r="T19" i="70"/>
  <c r="X19" i="70" s="1"/>
  <c r="Z19" i="70" s="1"/>
  <c r="P19" i="70"/>
  <c r="N19" i="70"/>
  <c r="L19" i="70"/>
  <c r="H19" i="70"/>
  <c r="D19" i="70"/>
  <c r="B19" i="70"/>
  <c r="X18" i="70"/>
  <c r="T18" i="70"/>
  <c r="Z18" i="70" s="1"/>
  <c r="P18" i="70"/>
  <c r="H18" i="70"/>
  <c r="D18" i="70"/>
  <c r="L18" i="70" s="1"/>
  <c r="N18" i="70" s="1"/>
  <c r="B18" i="70"/>
  <c r="T17" i="70"/>
  <c r="P17" i="70"/>
  <c r="N17" i="70"/>
  <c r="L17" i="70"/>
  <c r="H17" i="70"/>
  <c r="D17" i="70"/>
  <c r="B17" i="70"/>
  <c r="X16" i="70"/>
  <c r="T16" i="70"/>
  <c r="Z16" i="70" s="1"/>
  <c r="P16" i="70"/>
  <c r="L16" i="70"/>
  <c r="N16" i="70" s="1"/>
  <c r="H16" i="70"/>
  <c r="D16" i="70"/>
  <c r="B16" i="70"/>
  <c r="T15" i="70"/>
  <c r="X15" i="70" s="1"/>
  <c r="Z15" i="70" s="1"/>
  <c r="P15" i="70"/>
  <c r="N15" i="70"/>
  <c r="L15" i="70"/>
  <c r="H15" i="70"/>
  <c r="D15" i="70"/>
  <c r="B15" i="70"/>
  <c r="X14" i="70"/>
  <c r="T14" i="70"/>
  <c r="Z14" i="70" s="1"/>
  <c r="P14" i="70"/>
  <c r="H14" i="70"/>
  <c r="D14" i="70"/>
  <c r="D12" i="70" s="1"/>
  <c r="F54" i="70" s="1"/>
  <c r="B14" i="70"/>
  <c r="T13" i="70"/>
  <c r="P13" i="70"/>
  <c r="N13" i="70"/>
  <c r="L13" i="70"/>
  <c r="H13" i="70"/>
  <c r="H12" i="70" s="1"/>
  <c r="J96" i="70" s="1"/>
  <c r="D13" i="70"/>
  <c r="B13" i="70"/>
  <c r="L12" i="70"/>
  <c r="D6" i="70"/>
  <c r="D4" i="70"/>
  <c r="X70" i="69"/>
  <c r="Z70" i="69" s="1"/>
  <c r="N70" i="69"/>
  <c r="L70" i="69"/>
  <c r="X66" i="69"/>
  <c r="T66" i="69"/>
  <c r="Z66" i="69" s="1"/>
  <c r="P66" i="69"/>
  <c r="H66" i="69"/>
  <c r="N66" i="69" s="1"/>
  <c r="D66" i="69"/>
  <c r="L66" i="69" s="1"/>
  <c r="X64" i="69"/>
  <c r="Z64" i="69" s="1"/>
  <c r="L64" i="69"/>
  <c r="N64" i="69" s="1"/>
  <c r="B64" i="69"/>
  <c r="T63" i="69"/>
  <c r="P63" i="69"/>
  <c r="X63" i="69" s="1"/>
  <c r="Z63" i="69" s="1"/>
  <c r="H63" i="69"/>
  <c r="D63" i="69"/>
  <c r="L63" i="69" s="1"/>
  <c r="N63" i="69" s="1"/>
  <c r="B63" i="69"/>
  <c r="X62" i="69"/>
  <c r="Z62" i="69" s="1"/>
  <c r="N62" i="69"/>
  <c r="L62" i="69"/>
  <c r="B62" i="69"/>
  <c r="Z61" i="69"/>
  <c r="X61" i="69"/>
  <c r="N61" i="69"/>
  <c r="L61" i="69"/>
  <c r="B61" i="69"/>
  <c r="X60" i="69"/>
  <c r="Z60" i="69" s="1"/>
  <c r="N60" i="69"/>
  <c r="L60" i="69"/>
  <c r="F60" i="69"/>
  <c r="B60" i="69"/>
  <c r="Z59" i="69"/>
  <c r="X59" i="69"/>
  <c r="T59" i="69"/>
  <c r="P59" i="69"/>
  <c r="N59" i="69"/>
  <c r="L59" i="69"/>
  <c r="H59" i="69"/>
  <c r="D59" i="69"/>
  <c r="B59" i="69"/>
  <c r="Z58" i="69"/>
  <c r="X58" i="69"/>
  <c r="N58" i="69"/>
  <c r="L58" i="69"/>
  <c r="B58" i="69"/>
  <c r="Z57" i="69"/>
  <c r="X57" i="69"/>
  <c r="N57" i="69"/>
  <c r="L57" i="69"/>
  <c r="B57" i="69"/>
  <c r="Z56" i="69"/>
  <c r="X56" i="69"/>
  <c r="R56" i="69"/>
  <c r="L56" i="69"/>
  <c r="N56" i="69" s="1"/>
  <c r="B56" i="69"/>
  <c r="T55" i="69"/>
  <c r="P55" i="69"/>
  <c r="X55" i="69" s="1"/>
  <c r="N55" i="69"/>
  <c r="H55" i="69"/>
  <c r="L55" i="69" s="1"/>
  <c r="D55" i="69"/>
  <c r="B55" i="69"/>
  <c r="X54" i="69"/>
  <c r="Z54" i="69" s="1"/>
  <c r="L54" i="69"/>
  <c r="N54" i="69" s="1"/>
  <c r="B54" i="69"/>
  <c r="Z53" i="69"/>
  <c r="X53" i="69"/>
  <c r="N53" i="69"/>
  <c r="L53" i="69"/>
  <c r="B53" i="69"/>
  <c r="X52" i="69"/>
  <c r="T52" i="69"/>
  <c r="Z52" i="69" s="1"/>
  <c r="P52" i="69"/>
  <c r="H52" i="69"/>
  <c r="D52" i="69"/>
  <c r="L52" i="69" s="1"/>
  <c r="B52" i="69"/>
  <c r="X51" i="69"/>
  <c r="Z51" i="69" s="1"/>
  <c r="N51" i="69"/>
  <c r="L51" i="69"/>
  <c r="B51" i="69"/>
  <c r="X50" i="69"/>
  <c r="T50" i="69"/>
  <c r="Z50" i="69" s="1"/>
  <c r="P50" i="69"/>
  <c r="H50" i="69"/>
  <c r="D50" i="69"/>
  <c r="L50" i="69" s="1"/>
  <c r="B50" i="69"/>
  <c r="Z49" i="69"/>
  <c r="X49" i="69"/>
  <c r="N49" i="69"/>
  <c r="L49" i="69"/>
  <c r="B49" i="69"/>
  <c r="T48" i="69"/>
  <c r="P48" i="69"/>
  <c r="X48" i="69" s="1"/>
  <c r="N48" i="69"/>
  <c r="H48" i="69"/>
  <c r="D48" i="69"/>
  <c r="L48" i="69" s="1"/>
  <c r="B48" i="69"/>
  <c r="X47" i="69"/>
  <c r="Z47" i="69" s="1"/>
  <c r="V47" i="69"/>
  <c r="N47" i="69"/>
  <c r="L47" i="69"/>
  <c r="B47" i="69"/>
  <c r="T46" i="69"/>
  <c r="P46" i="69"/>
  <c r="X46" i="69" s="1"/>
  <c r="L46" i="69"/>
  <c r="H46" i="69"/>
  <c r="N46" i="69" s="1"/>
  <c r="D46" i="69"/>
  <c r="B46" i="69"/>
  <c r="Z45" i="69"/>
  <c r="X45" i="69"/>
  <c r="N45" i="69"/>
  <c r="L45" i="69"/>
  <c r="B45" i="69"/>
  <c r="T44" i="69"/>
  <c r="Z44" i="69" s="1"/>
  <c r="P44" i="69"/>
  <c r="X44" i="69" s="1"/>
  <c r="L44" i="69"/>
  <c r="H44" i="69"/>
  <c r="N44" i="69" s="1"/>
  <c r="D44" i="69"/>
  <c r="B44" i="69"/>
  <c r="Z43" i="69"/>
  <c r="X43" i="69"/>
  <c r="L43" i="69"/>
  <c r="N43" i="69" s="1"/>
  <c r="J43" i="69"/>
  <c r="B43" i="69"/>
  <c r="T42" i="69"/>
  <c r="P42" i="69"/>
  <c r="X42" i="69" s="1"/>
  <c r="Z42" i="69" s="1"/>
  <c r="H42" i="69"/>
  <c r="D42" i="69"/>
  <c r="L42" i="69" s="1"/>
  <c r="B42" i="69"/>
  <c r="Z41" i="69"/>
  <c r="X41" i="69"/>
  <c r="N41" i="69"/>
  <c r="L41" i="69"/>
  <c r="B41" i="69"/>
  <c r="X40" i="69"/>
  <c r="T40" i="69"/>
  <c r="Z40" i="69" s="1"/>
  <c r="P40" i="69"/>
  <c r="H40" i="69"/>
  <c r="N40" i="69" s="1"/>
  <c r="D40" i="69"/>
  <c r="L40" i="69" s="1"/>
  <c r="B40" i="69"/>
  <c r="X39" i="69"/>
  <c r="Z39" i="69" s="1"/>
  <c r="N39" i="69"/>
  <c r="L39" i="69"/>
  <c r="B39" i="69"/>
  <c r="X38" i="69"/>
  <c r="T38" i="69"/>
  <c r="Z38" i="69" s="1"/>
  <c r="P38" i="69"/>
  <c r="H38" i="69"/>
  <c r="N38" i="69" s="1"/>
  <c r="D38" i="69"/>
  <c r="L38" i="69" s="1"/>
  <c r="B38" i="69"/>
  <c r="Z37" i="69"/>
  <c r="X37" i="69"/>
  <c r="N37" i="69"/>
  <c r="L37" i="69"/>
  <c r="B37" i="69"/>
  <c r="Z36" i="69"/>
  <c r="X36" i="69"/>
  <c r="R36" i="69"/>
  <c r="L36" i="69"/>
  <c r="N36" i="69" s="1"/>
  <c r="B36" i="69"/>
  <c r="Z35" i="69"/>
  <c r="X35" i="69"/>
  <c r="L35" i="69"/>
  <c r="N35" i="69" s="1"/>
  <c r="B35" i="69"/>
  <c r="Z34" i="69"/>
  <c r="X34" i="69"/>
  <c r="L34" i="69"/>
  <c r="N34" i="69" s="1"/>
  <c r="B34" i="69"/>
  <c r="Z33" i="69"/>
  <c r="X33" i="69"/>
  <c r="N33" i="69"/>
  <c r="L33" i="69"/>
  <c r="B33" i="69"/>
  <c r="T32" i="69"/>
  <c r="P32" i="69"/>
  <c r="X32" i="69" s="1"/>
  <c r="H32" i="69"/>
  <c r="D32" i="69"/>
  <c r="L32" i="69" s="1"/>
  <c r="N32" i="69" s="1"/>
  <c r="B32" i="69"/>
  <c r="X31" i="69"/>
  <c r="Z31" i="69" s="1"/>
  <c r="V31" i="69"/>
  <c r="N31" i="69"/>
  <c r="L31" i="69"/>
  <c r="B31" i="69"/>
  <c r="X30" i="69"/>
  <c r="Z30" i="69" s="1"/>
  <c r="N30" i="69"/>
  <c r="L30" i="69"/>
  <c r="B30" i="69"/>
  <c r="Z29" i="69"/>
  <c r="X29" i="69"/>
  <c r="N29" i="69"/>
  <c r="L29" i="69"/>
  <c r="B29" i="69"/>
  <c r="X28" i="69"/>
  <c r="Z28" i="69" s="1"/>
  <c r="N28" i="69"/>
  <c r="L28" i="69"/>
  <c r="B28" i="69"/>
  <c r="X27" i="69"/>
  <c r="Z27" i="69" s="1"/>
  <c r="L27" i="69"/>
  <c r="N27" i="69" s="1"/>
  <c r="B27" i="69"/>
  <c r="X26" i="69"/>
  <c r="Z26" i="69" s="1"/>
  <c r="N26" i="69"/>
  <c r="L26" i="69"/>
  <c r="B26" i="69"/>
  <c r="Z25" i="69"/>
  <c r="X25" i="69"/>
  <c r="N25" i="69"/>
  <c r="L25" i="69"/>
  <c r="B25" i="69"/>
  <c r="X24" i="69"/>
  <c r="Z24" i="69" s="1"/>
  <c r="L24" i="69"/>
  <c r="N24" i="69" s="1"/>
  <c r="B24" i="69"/>
  <c r="V23" i="69"/>
  <c r="T23" i="69"/>
  <c r="P23" i="69"/>
  <c r="X23" i="69" s="1"/>
  <c r="Z23" i="69" s="1"/>
  <c r="H23" i="69"/>
  <c r="D23" i="69"/>
  <c r="L23" i="69" s="1"/>
  <c r="N23" i="69" s="1"/>
  <c r="B23" i="69"/>
  <c r="X22" i="69"/>
  <c r="T22" i="69"/>
  <c r="P22" i="69"/>
  <c r="H22" i="69"/>
  <c r="D22" i="69"/>
  <c r="L22" i="69" s="1"/>
  <c r="X18" i="69"/>
  <c r="Z18" i="69" s="1"/>
  <c r="N18" i="69"/>
  <c r="L18" i="69"/>
  <c r="B18" i="69"/>
  <c r="Z17" i="69"/>
  <c r="X17" i="69"/>
  <c r="N17" i="69"/>
  <c r="L17" i="69"/>
  <c r="B17" i="69"/>
  <c r="T16" i="69"/>
  <c r="P16" i="69"/>
  <c r="X16" i="69" s="1"/>
  <c r="L16" i="69"/>
  <c r="H16" i="69"/>
  <c r="N16" i="69" s="1"/>
  <c r="D16" i="69"/>
  <c r="T14" i="69"/>
  <c r="P14" i="69"/>
  <c r="P12" i="69" s="1"/>
  <c r="H14" i="69"/>
  <c r="D14" i="69"/>
  <c r="L14" i="69" s="1"/>
  <c r="N14" i="69" s="1"/>
  <c r="B14" i="69"/>
  <c r="Z13" i="69"/>
  <c r="X13" i="69"/>
  <c r="T13" i="69"/>
  <c r="T12" i="69" s="1"/>
  <c r="P13" i="69"/>
  <c r="H13" i="69"/>
  <c r="H12" i="69" s="1"/>
  <c r="D13" i="69"/>
  <c r="D12" i="69" s="1"/>
  <c r="F70" i="69" s="1"/>
  <c r="B13" i="69"/>
  <c r="D6" i="69"/>
  <c r="D4" i="69"/>
  <c r="Z122" i="68"/>
  <c r="X122" i="68"/>
  <c r="L122" i="68"/>
  <c r="N122" i="68" s="1"/>
  <c r="T118" i="68"/>
  <c r="Z118" i="68" s="1"/>
  <c r="P118" i="68"/>
  <c r="X118" i="68" s="1"/>
  <c r="L118" i="68"/>
  <c r="H118" i="68"/>
  <c r="H117" i="68" s="1"/>
  <c r="D118" i="68"/>
  <c r="D117" i="68" s="1"/>
  <c r="L117" i="68" s="1"/>
  <c r="B118" i="68"/>
  <c r="N117" i="68"/>
  <c r="Z115" i="68"/>
  <c r="X115" i="68"/>
  <c r="N115" i="68"/>
  <c r="L115" i="68"/>
  <c r="B115" i="68"/>
  <c r="T114" i="68"/>
  <c r="P114" i="68"/>
  <c r="X114" i="68" s="1"/>
  <c r="Z114" i="68" s="1"/>
  <c r="H114" i="68"/>
  <c r="D114" i="68"/>
  <c r="L114" i="68" s="1"/>
  <c r="B114" i="68"/>
  <c r="Z113" i="68"/>
  <c r="X113" i="68"/>
  <c r="N113" i="68"/>
  <c r="L113" i="68"/>
  <c r="B113" i="68"/>
  <c r="X112" i="68"/>
  <c r="T112" i="68"/>
  <c r="Z112" i="68" s="1"/>
  <c r="P112" i="68"/>
  <c r="H112" i="68"/>
  <c r="D112" i="68"/>
  <c r="L112" i="68" s="1"/>
  <c r="B112" i="68"/>
  <c r="Z111" i="68"/>
  <c r="X111" i="68"/>
  <c r="N111" i="68"/>
  <c r="L111" i="68"/>
  <c r="B111" i="68"/>
  <c r="X110" i="68"/>
  <c r="Z110" i="68" s="1"/>
  <c r="N110" i="68"/>
  <c r="L110" i="68"/>
  <c r="B110" i="68"/>
  <c r="Z109" i="68"/>
  <c r="X109" i="68"/>
  <c r="N109" i="68"/>
  <c r="L109" i="68"/>
  <c r="B109" i="68"/>
  <c r="Z108" i="68"/>
  <c r="X108" i="68"/>
  <c r="N108" i="68"/>
  <c r="L108" i="68"/>
  <c r="B108" i="68"/>
  <c r="Z107" i="68"/>
  <c r="X107" i="68"/>
  <c r="T107" i="68"/>
  <c r="P107" i="68"/>
  <c r="N107" i="68"/>
  <c r="L107" i="68"/>
  <c r="H107" i="68"/>
  <c r="F107" i="68"/>
  <c r="D107" i="68"/>
  <c r="B107" i="68"/>
  <c r="Z106" i="68"/>
  <c r="X106" i="68"/>
  <c r="L106" i="68"/>
  <c r="N106" i="68" s="1"/>
  <c r="B106" i="68"/>
  <c r="Z105" i="68"/>
  <c r="X105" i="68"/>
  <c r="N105" i="68"/>
  <c r="L105" i="68"/>
  <c r="B105" i="68"/>
  <c r="T104" i="68"/>
  <c r="P104" i="68"/>
  <c r="H104" i="68"/>
  <c r="D104" i="68"/>
  <c r="L104" i="68" s="1"/>
  <c r="N104" i="68" s="1"/>
  <c r="B104" i="68"/>
  <c r="Z103" i="68"/>
  <c r="X103" i="68"/>
  <c r="N103" i="68"/>
  <c r="L103" i="68"/>
  <c r="B103" i="68"/>
  <c r="X102" i="68"/>
  <c r="Z102" i="68" s="1"/>
  <c r="N102" i="68"/>
  <c r="L102" i="68"/>
  <c r="B102" i="68"/>
  <c r="T101" i="68"/>
  <c r="P101" i="68"/>
  <c r="X101" i="68" s="1"/>
  <c r="Z101" i="68" s="1"/>
  <c r="N101" i="68"/>
  <c r="H101" i="68"/>
  <c r="D101" i="68"/>
  <c r="L101" i="68" s="1"/>
  <c r="B101" i="68"/>
  <c r="X100" i="68"/>
  <c r="Z100" i="68" s="1"/>
  <c r="N100" i="68"/>
  <c r="L100" i="68"/>
  <c r="B100" i="68"/>
  <c r="Z99" i="68"/>
  <c r="X99" i="68"/>
  <c r="T99" i="68"/>
  <c r="P99" i="68"/>
  <c r="N99" i="68"/>
  <c r="L99" i="68"/>
  <c r="H99" i="68"/>
  <c r="F99" i="68"/>
  <c r="D99" i="68"/>
  <c r="B99" i="68"/>
  <c r="Z98" i="68"/>
  <c r="X98" i="68"/>
  <c r="N98" i="68"/>
  <c r="L98" i="68"/>
  <c r="B98" i="68"/>
  <c r="Z97" i="68"/>
  <c r="T97" i="68"/>
  <c r="X97" i="68" s="1"/>
  <c r="P97" i="68"/>
  <c r="H97" i="68"/>
  <c r="N97" i="68" s="1"/>
  <c r="D97" i="68"/>
  <c r="L97" i="68" s="1"/>
  <c r="B97" i="68"/>
  <c r="Z96" i="68"/>
  <c r="X96" i="68"/>
  <c r="N96" i="68"/>
  <c r="L96" i="68"/>
  <c r="B96" i="68"/>
  <c r="Z95" i="68"/>
  <c r="X95" i="68"/>
  <c r="N95" i="68"/>
  <c r="L95" i="68"/>
  <c r="B95" i="68"/>
  <c r="X94" i="68"/>
  <c r="T94" i="68"/>
  <c r="Z94" i="68" s="1"/>
  <c r="P94" i="68"/>
  <c r="L94" i="68"/>
  <c r="H94" i="68"/>
  <c r="N94" i="68" s="1"/>
  <c r="D94" i="68"/>
  <c r="B94" i="68"/>
  <c r="Z93" i="68"/>
  <c r="X93" i="68"/>
  <c r="N93" i="68"/>
  <c r="L93" i="68"/>
  <c r="B93" i="68"/>
  <c r="T92" i="68"/>
  <c r="P92" i="68"/>
  <c r="X92" i="68" s="1"/>
  <c r="L92" i="68"/>
  <c r="H92" i="68"/>
  <c r="D92" i="68"/>
  <c r="B92" i="68"/>
  <c r="Z91" i="68"/>
  <c r="X91" i="68"/>
  <c r="N91" i="68"/>
  <c r="L91" i="68"/>
  <c r="B91" i="68"/>
  <c r="T90" i="68"/>
  <c r="P90" i="68"/>
  <c r="X90" i="68" s="1"/>
  <c r="Z90" i="68" s="1"/>
  <c r="H90" i="68"/>
  <c r="N90" i="68" s="1"/>
  <c r="D90" i="68"/>
  <c r="L90" i="68" s="1"/>
  <c r="B90" i="68"/>
  <c r="Z89" i="68"/>
  <c r="X89" i="68"/>
  <c r="N89" i="68"/>
  <c r="L89" i="68"/>
  <c r="B89" i="68"/>
  <c r="X88" i="68"/>
  <c r="Z88" i="68" s="1"/>
  <c r="N88" i="68"/>
  <c r="L88" i="68"/>
  <c r="B88" i="68"/>
  <c r="Z87" i="68"/>
  <c r="X87" i="68"/>
  <c r="N87" i="68"/>
  <c r="L87" i="68"/>
  <c r="B87" i="68"/>
  <c r="X86" i="68"/>
  <c r="Z86" i="68" s="1"/>
  <c r="L86" i="68"/>
  <c r="N86" i="68" s="1"/>
  <c r="B86" i="68"/>
  <c r="T85" i="68"/>
  <c r="P85" i="68"/>
  <c r="X85" i="68" s="1"/>
  <c r="Z85" i="68" s="1"/>
  <c r="H85" i="68"/>
  <c r="D85" i="68"/>
  <c r="L85" i="68" s="1"/>
  <c r="N85" i="68" s="1"/>
  <c r="B85" i="68"/>
  <c r="X84" i="68"/>
  <c r="Z84" i="68" s="1"/>
  <c r="N84" i="68"/>
  <c r="L84" i="68"/>
  <c r="B84" i="68"/>
  <c r="Z83" i="68"/>
  <c r="X83" i="68"/>
  <c r="N83" i="68"/>
  <c r="L83" i="68"/>
  <c r="B83" i="68"/>
  <c r="X82" i="68"/>
  <c r="Z82" i="68" s="1"/>
  <c r="N82" i="68"/>
  <c r="L82" i="68"/>
  <c r="B82" i="68"/>
  <c r="Z81" i="68"/>
  <c r="X81" i="68"/>
  <c r="N81" i="68"/>
  <c r="L81" i="68"/>
  <c r="B81" i="68"/>
  <c r="X80" i="68"/>
  <c r="Z80" i="68" s="1"/>
  <c r="N80" i="68"/>
  <c r="L80" i="68"/>
  <c r="F80" i="68"/>
  <c r="B80" i="68"/>
  <c r="X79" i="68"/>
  <c r="Z79" i="68" s="1"/>
  <c r="N79" i="68"/>
  <c r="L79" i="68"/>
  <c r="B79" i="68"/>
  <c r="X78" i="68"/>
  <c r="Z78" i="68" s="1"/>
  <c r="L78" i="68"/>
  <c r="N78" i="68" s="1"/>
  <c r="B78" i="68"/>
  <c r="Z77" i="68"/>
  <c r="X77" i="68"/>
  <c r="N77" i="68"/>
  <c r="L77" i="68"/>
  <c r="B77" i="68"/>
  <c r="T76" i="68"/>
  <c r="P76" i="68"/>
  <c r="X76" i="68" s="1"/>
  <c r="L76" i="68"/>
  <c r="H76" i="68"/>
  <c r="D76" i="68"/>
  <c r="B76" i="68"/>
  <c r="T75" i="68"/>
  <c r="Z75" i="68" s="1"/>
  <c r="P75" i="68"/>
  <c r="X75" i="68" s="1"/>
  <c r="N75" i="68"/>
  <c r="H75" i="68"/>
  <c r="D75" i="68"/>
  <c r="L75" i="68" s="1"/>
  <c r="Z71" i="68"/>
  <c r="X71" i="68"/>
  <c r="L71" i="68"/>
  <c r="N71" i="68" s="1"/>
  <c r="B71" i="68"/>
  <c r="Z70" i="68"/>
  <c r="X70" i="68"/>
  <c r="L70" i="68"/>
  <c r="N70" i="68" s="1"/>
  <c r="B70" i="68"/>
  <c r="Z69" i="68"/>
  <c r="X69" i="68"/>
  <c r="N69" i="68"/>
  <c r="L69" i="68"/>
  <c r="B69" i="68"/>
  <c r="Z68" i="68"/>
  <c r="X68" i="68"/>
  <c r="L68" i="68"/>
  <c r="N68" i="68" s="1"/>
  <c r="B68" i="68"/>
  <c r="Z67" i="68"/>
  <c r="X67" i="68"/>
  <c r="L67" i="68"/>
  <c r="N67" i="68" s="1"/>
  <c r="B67" i="68"/>
  <c r="Z66" i="68"/>
  <c r="X66" i="68"/>
  <c r="L66" i="68"/>
  <c r="N66" i="68" s="1"/>
  <c r="B66" i="68"/>
  <c r="Z65" i="68"/>
  <c r="X65" i="68"/>
  <c r="N65" i="68"/>
  <c r="L65" i="68"/>
  <c r="B65" i="68"/>
  <c r="Z64" i="68"/>
  <c r="X64" i="68"/>
  <c r="N64" i="68"/>
  <c r="L64" i="68"/>
  <c r="B64" i="68"/>
  <c r="Z63" i="68"/>
  <c r="X63" i="68"/>
  <c r="N63" i="68"/>
  <c r="L63" i="68"/>
  <c r="B63" i="68"/>
  <c r="Z62" i="68"/>
  <c r="X62" i="68"/>
  <c r="L62" i="68"/>
  <c r="N62" i="68" s="1"/>
  <c r="B62" i="68"/>
  <c r="Z61" i="68"/>
  <c r="X61" i="68"/>
  <c r="N61" i="68"/>
  <c r="L61" i="68"/>
  <c r="B61" i="68"/>
  <c r="Z60" i="68"/>
  <c r="X60" i="68"/>
  <c r="L60" i="68"/>
  <c r="N60" i="68" s="1"/>
  <c r="B60" i="68"/>
  <c r="Z59" i="68"/>
  <c r="X59" i="68"/>
  <c r="L59" i="68"/>
  <c r="N59" i="68" s="1"/>
  <c r="B59" i="68"/>
  <c r="Z58" i="68"/>
  <c r="X58" i="68"/>
  <c r="L58" i="68"/>
  <c r="N58" i="68" s="1"/>
  <c r="B58" i="68"/>
  <c r="Z57" i="68"/>
  <c r="X57" i="68"/>
  <c r="N57" i="68"/>
  <c r="L57" i="68"/>
  <c r="B57" i="68"/>
  <c r="Z56" i="68"/>
  <c r="X56" i="68"/>
  <c r="L56" i="68"/>
  <c r="N56" i="68" s="1"/>
  <c r="B56" i="68"/>
  <c r="Z55" i="68"/>
  <c r="X55" i="68"/>
  <c r="L55" i="68"/>
  <c r="N55" i="68" s="1"/>
  <c r="B55" i="68"/>
  <c r="Z54" i="68"/>
  <c r="X54" i="68"/>
  <c r="L54" i="68"/>
  <c r="N54" i="68" s="1"/>
  <c r="B54" i="68"/>
  <c r="Z53" i="68"/>
  <c r="X53" i="68"/>
  <c r="N53" i="68"/>
  <c r="L53" i="68"/>
  <c r="B53" i="68"/>
  <c r="Z52" i="68"/>
  <c r="X52" i="68"/>
  <c r="N52" i="68"/>
  <c r="L52" i="68"/>
  <c r="B52" i="68"/>
  <c r="T51" i="68"/>
  <c r="P51" i="68"/>
  <c r="X51" i="68" s="1"/>
  <c r="H51" i="68"/>
  <c r="D51" i="68"/>
  <c r="L51" i="68" s="1"/>
  <c r="N51" i="68" s="1"/>
  <c r="T49" i="68"/>
  <c r="P49" i="68"/>
  <c r="X49" i="68" s="1"/>
  <c r="H49" i="68"/>
  <c r="D49" i="68"/>
  <c r="B49" i="68"/>
  <c r="Z48" i="68"/>
  <c r="X48" i="68"/>
  <c r="T48" i="68"/>
  <c r="P48" i="68"/>
  <c r="L48" i="68"/>
  <c r="H48" i="68"/>
  <c r="N48" i="68" s="1"/>
  <c r="D48" i="68"/>
  <c r="B48" i="68"/>
  <c r="T47" i="68"/>
  <c r="P47" i="68"/>
  <c r="X47" i="68" s="1"/>
  <c r="Z47" i="68" s="1"/>
  <c r="N47" i="68"/>
  <c r="L47" i="68"/>
  <c r="H47" i="68"/>
  <c r="D47" i="68"/>
  <c r="B47" i="68"/>
  <c r="T46" i="68"/>
  <c r="P46" i="68"/>
  <c r="X46" i="68" s="1"/>
  <c r="H46" i="68"/>
  <c r="L46" i="68" s="1"/>
  <c r="D46" i="68"/>
  <c r="B46" i="68"/>
  <c r="T45" i="68"/>
  <c r="P45" i="68"/>
  <c r="X45" i="68" s="1"/>
  <c r="H45" i="68"/>
  <c r="D45" i="68"/>
  <c r="B45" i="68"/>
  <c r="Z44" i="68"/>
  <c r="X44" i="68"/>
  <c r="T44" i="68"/>
  <c r="P44" i="68"/>
  <c r="L44" i="68"/>
  <c r="H44" i="68"/>
  <c r="N44" i="68" s="1"/>
  <c r="D44" i="68"/>
  <c r="B44" i="68"/>
  <c r="Z43" i="68"/>
  <c r="T43" i="68"/>
  <c r="P43" i="68"/>
  <c r="X43" i="68" s="1"/>
  <c r="N43" i="68"/>
  <c r="L43" i="68"/>
  <c r="H43" i="68"/>
  <c r="D43" i="68"/>
  <c r="B43" i="68"/>
  <c r="T42" i="68"/>
  <c r="Z42" i="68" s="1"/>
  <c r="P42" i="68"/>
  <c r="X42" i="68" s="1"/>
  <c r="H42" i="68"/>
  <c r="L42" i="68" s="1"/>
  <c r="D42" i="68"/>
  <c r="B42" i="68"/>
  <c r="T41" i="68"/>
  <c r="P41" i="68"/>
  <c r="H41" i="68"/>
  <c r="D41" i="68"/>
  <c r="B41" i="68"/>
  <c r="Z40" i="68"/>
  <c r="X40" i="68"/>
  <c r="T40" i="68"/>
  <c r="P40" i="68"/>
  <c r="L40" i="68"/>
  <c r="H40" i="68"/>
  <c r="N40" i="68" s="1"/>
  <c r="D40" i="68"/>
  <c r="B40" i="68"/>
  <c r="Z39" i="68"/>
  <c r="T39" i="68"/>
  <c r="P39" i="68"/>
  <c r="X39" i="68" s="1"/>
  <c r="N39" i="68"/>
  <c r="L39" i="68"/>
  <c r="H39" i="68"/>
  <c r="D39" i="68"/>
  <c r="B39" i="68"/>
  <c r="T38" i="68"/>
  <c r="P38" i="68"/>
  <c r="X38" i="68" s="1"/>
  <c r="H38" i="68"/>
  <c r="L38" i="68" s="1"/>
  <c r="D38" i="68"/>
  <c r="B38" i="68"/>
  <c r="T37" i="68"/>
  <c r="P37" i="68"/>
  <c r="H37" i="68"/>
  <c r="D37" i="68"/>
  <c r="B37" i="68"/>
  <c r="Z36" i="68"/>
  <c r="X36" i="68"/>
  <c r="T36" i="68"/>
  <c r="P36" i="68"/>
  <c r="L36" i="68"/>
  <c r="H36" i="68"/>
  <c r="D36" i="68"/>
  <c r="B36" i="68"/>
  <c r="T35" i="68"/>
  <c r="P35" i="68"/>
  <c r="X35" i="68" s="1"/>
  <c r="Z35" i="68" s="1"/>
  <c r="N35" i="68"/>
  <c r="L35" i="68"/>
  <c r="H35" i="68"/>
  <c r="D35" i="68"/>
  <c r="B35" i="68"/>
  <c r="T34" i="68"/>
  <c r="Z34" i="68" s="1"/>
  <c r="P34" i="68"/>
  <c r="X34" i="68" s="1"/>
  <c r="H34" i="68"/>
  <c r="L34" i="68" s="1"/>
  <c r="D34" i="68"/>
  <c r="B34" i="68"/>
  <c r="T33" i="68"/>
  <c r="P33" i="68"/>
  <c r="X33" i="68" s="1"/>
  <c r="H33" i="68"/>
  <c r="D33" i="68"/>
  <c r="B33" i="68"/>
  <c r="Z32" i="68"/>
  <c r="X32" i="68"/>
  <c r="T32" i="68"/>
  <c r="P32" i="68"/>
  <c r="L32" i="68"/>
  <c r="H32" i="68"/>
  <c r="N32" i="68" s="1"/>
  <c r="D32" i="68"/>
  <c r="B32" i="68"/>
  <c r="Z31" i="68"/>
  <c r="T31" i="68"/>
  <c r="P31" i="68"/>
  <c r="X31" i="68" s="1"/>
  <c r="N31" i="68"/>
  <c r="L31" i="68"/>
  <c r="H31" i="68"/>
  <c r="D31" i="68"/>
  <c r="B31" i="68"/>
  <c r="T30" i="68"/>
  <c r="P30" i="68"/>
  <c r="X30" i="68" s="1"/>
  <c r="L30" i="68"/>
  <c r="H30" i="68"/>
  <c r="N30" i="68" s="1"/>
  <c r="D30" i="68"/>
  <c r="B30" i="68"/>
  <c r="T29" i="68"/>
  <c r="P29" i="68"/>
  <c r="H29" i="68"/>
  <c r="D29" i="68"/>
  <c r="B29" i="68"/>
  <c r="Z28" i="68"/>
  <c r="X28" i="68"/>
  <c r="T28" i="68"/>
  <c r="P28" i="68"/>
  <c r="L28" i="68"/>
  <c r="H28" i="68"/>
  <c r="N28" i="68" s="1"/>
  <c r="D28" i="68"/>
  <c r="B28" i="68"/>
  <c r="T27" i="68"/>
  <c r="P27" i="68"/>
  <c r="X27" i="68" s="1"/>
  <c r="Z27" i="68" s="1"/>
  <c r="N27" i="68"/>
  <c r="L27" i="68"/>
  <c r="H27" i="68"/>
  <c r="D27" i="68"/>
  <c r="B27" i="68"/>
  <c r="T26" i="68"/>
  <c r="P26" i="68"/>
  <c r="X26" i="68" s="1"/>
  <c r="L26" i="68"/>
  <c r="H26" i="68"/>
  <c r="N26" i="68" s="1"/>
  <c r="D26" i="68"/>
  <c r="B26" i="68"/>
  <c r="T25" i="68"/>
  <c r="P25" i="68"/>
  <c r="H25" i="68"/>
  <c r="D25" i="68"/>
  <c r="B25" i="68"/>
  <c r="Z24" i="68"/>
  <c r="X24" i="68"/>
  <c r="T24" i="68"/>
  <c r="P24" i="68"/>
  <c r="L24" i="68"/>
  <c r="H24" i="68"/>
  <c r="D24" i="68"/>
  <c r="B24" i="68"/>
  <c r="T23" i="68"/>
  <c r="P23" i="68"/>
  <c r="N23" i="68"/>
  <c r="L23" i="68"/>
  <c r="H23" i="68"/>
  <c r="D23" i="68"/>
  <c r="B23" i="68"/>
  <c r="T22" i="68"/>
  <c r="Z22" i="68" s="1"/>
  <c r="P22" i="68"/>
  <c r="X22" i="68" s="1"/>
  <c r="L22" i="68"/>
  <c r="H22" i="68"/>
  <c r="N22" i="68" s="1"/>
  <c r="D22" i="68"/>
  <c r="B22" i="68"/>
  <c r="T21" i="68"/>
  <c r="P21" i="68"/>
  <c r="X21" i="68" s="1"/>
  <c r="H21" i="68"/>
  <c r="D21" i="68"/>
  <c r="B21" i="68"/>
  <c r="Z20" i="68"/>
  <c r="X20" i="68"/>
  <c r="T20" i="68"/>
  <c r="P20" i="68"/>
  <c r="L20" i="68"/>
  <c r="H20" i="68"/>
  <c r="D20" i="68"/>
  <c r="B20" i="68"/>
  <c r="Z19" i="68"/>
  <c r="T19" i="68"/>
  <c r="P19" i="68"/>
  <c r="X19" i="68" s="1"/>
  <c r="N19" i="68"/>
  <c r="L19" i="68"/>
  <c r="H19" i="68"/>
  <c r="D19" i="68"/>
  <c r="B19" i="68"/>
  <c r="T18" i="68"/>
  <c r="Z18" i="68" s="1"/>
  <c r="P18" i="68"/>
  <c r="X18" i="68" s="1"/>
  <c r="L18" i="68"/>
  <c r="H18" i="68"/>
  <c r="D18" i="68"/>
  <c r="B18" i="68"/>
  <c r="T17" i="68"/>
  <c r="P17" i="68"/>
  <c r="X17" i="68" s="1"/>
  <c r="H17" i="68"/>
  <c r="D17" i="68"/>
  <c r="B17" i="68"/>
  <c r="Z16" i="68"/>
  <c r="X16" i="68"/>
  <c r="T16" i="68"/>
  <c r="P16" i="68"/>
  <c r="L16" i="68"/>
  <c r="H16" i="68"/>
  <c r="N16" i="68" s="1"/>
  <c r="D16" i="68"/>
  <c r="B16" i="68"/>
  <c r="T15" i="68"/>
  <c r="P15" i="68"/>
  <c r="N15" i="68"/>
  <c r="L15" i="68"/>
  <c r="H15" i="68"/>
  <c r="D15" i="68"/>
  <c r="B15" i="68"/>
  <c r="T14" i="68"/>
  <c r="P14" i="68"/>
  <c r="X14" i="68" s="1"/>
  <c r="L14" i="68"/>
  <c r="H14" i="68"/>
  <c r="N14" i="68" s="1"/>
  <c r="D14" i="68"/>
  <c r="D12" i="68" s="1"/>
  <c r="F88" i="68" s="1"/>
  <c r="B14" i="68"/>
  <c r="T13" i="68"/>
  <c r="P13" i="68"/>
  <c r="H13" i="68"/>
  <c r="D13" i="68"/>
  <c r="B13" i="68"/>
  <c r="D6" i="68"/>
  <c r="D4" i="68"/>
  <c r="J65" i="67"/>
  <c r="J62" i="67"/>
  <c r="Z60" i="67"/>
  <c r="X60" i="67"/>
  <c r="N60" i="67"/>
  <c r="L60" i="67"/>
  <c r="T56" i="67"/>
  <c r="Z56" i="67" s="1"/>
  <c r="P56" i="67"/>
  <c r="N56" i="67"/>
  <c r="H56" i="67"/>
  <c r="D56" i="67"/>
  <c r="L56" i="67" s="1"/>
  <c r="Z54" i="67"/>
  <c r="X54" i="67"/>
  <c r="R54" i="67"/>
  <c r="N54" i="67"/>
  <c r="L54" i="67"/>
  <c r="J54" i="67"/>
  <c r="B54" i="67"/>
  <c r="T53" i="67"/>
  <c r="P53" i="67"/>
  <c r="X53" i="67" s="1"/>
  <c r="N53" i="67"/>
  <c r="J53" i="67"/>
  <c r="H53" i="67"/>
  <c r="D53" i="67"/>
  <c r="L53" i="67" s="1"/>
  <c r="B53" i="67"/>
  <c r="X52" i="67"/>
  <c r="Z52" i="67" s="1"/>
  <c r="L52" i="67"/>
  <c r="N52" i="67" s="1"/>
  <c r="B52" i="67"/>
  <c r="T51" i="67"/>
  <c r="R51" i="67"/>
  <c r="P51" i="67"/>
  <c r="X51" i="67" s="1"/>
  <c r="Z51" i="67" s="1"/>
  <c r="L51" i="67"/>
  <c r="N51" i="67" s="1"/>
  <c r="J51" i="67"/>
  <c r="H51" i="67"/>
  <c r="F51" i="67"/>
  <c r="D51" i="67"/>
  <c r="B51" i="67"/>
  <c r="Z50" i="67"/>
  <c r="X50" i="67"/>
  <c r="R50" i="67"/>
  <c r="N50" i="67"/>
  <c r="L50" i="67"/>
  <c r="J50" i="67"/>
  <c r="B50" i="67"/>
  <c r="X49" i="67"/>
  <c r="Z49" i="67" s="1"/>
  <c r="N49" i="67"/>
  <c r="L49" i="67"/>
  <c r="J49" i="67"/>
  <c r="B49" i="67"/>
  <c r="Z48" i="67"/>
  <c r="X48" i="67"/>
  <c r="R48" i="67"/>
  <c r="N48" i="67"/>
  <c r="L48" i="67"/>
  <c r="B48" i="67"/>
  <c r="T47" i="67"/>
  <c r="P47" i="67"/>
  <c r="L47" i="67"/>
  <c r="N47" i="67" s="1"/>
  <c r="J47" i="67"/>
  <c r="H47" i="67"/>
  <c r="D47" i="67"/>
  <c r="B47" i="67"/>
  <c r="Z46" i="67"/>
  <c r="X46" i="67"/>
  <c r="R46" i="67"/>
  <c r="N46" i="67"/>
  <c r="L46" i="67"/>
  <c r="J46" i="67"/>
  <c r="B46" i="67"/>
  <c r="Z45" i="67"/>
  <c r="X45" i="67"/>
  <c r="L45" i="67"/>
  <c r="N45" i="67" s="1"/>
  <c r="J45" i="67"/>
  <c r="B45" i="67"/>
  <c r="T44" i="67"/>
  <c r="P44" i="67"/>
  <c r="X44" i="67" s="1"/>
  <c r="Z44" i="67" s="1"/>
  <c r="J44" i="67"/>
  <c r="H44" i="67"/>
  <c r="D44" i="67"/>
  <c r="B44" i="67"/>
  <c r="Z43" i="67"/>
  <c r="X43" i="67"/>
  <c r="N43" i="67"/>
  <c r="L43" i="67"/>
  <c r="J43" i="67"/>
  <c r="B43" i="67"/>
  <c r="X42" i="67"/>
  <c r="T42" i="67"/>
  <c r="P42" i="67"/>
  <c r="J42" i="67"/>
  <c r="H42" i="67"/>
  <c r="N42" i="67" s="1"/>
  <c r="D42" i="67"/>
  <c r="L42" i="67" s="1"/>
  <c r="B42" i="67"/>
  <c r="X41" i="67"/>
  <c r="Z41" i="67" s="1"/>
  <c r="N41" i="67"/>
  <c r="L41" i="67"/>
  <c r="J41" i="67"/>
  <c r="B41" i="67"/>
  <c r="T40" i="67"/>
  <c r="R40" i="67"/>
  <c r="P40" i="67"/>
  <c r="X40" i="67" s="1"/>
  <c r="Z40" i="67" s="1"/>
  <c r="H40" i="67"/>
  <c r="D40" i="67"/>
  <c r="L40" i="67" s="1"/>
  <c r="B40" i="67"/>
  <c r="Z39" i="67"/>
  <c r="X39" i="67"/>
  <c r="R39" i="67"/>
  <c r="N39" i="67"/>
  <c r="L39" i="67"/>
  <c r="B39" i="67"/>
  <c r="T38" i="67"/>
  <c r="P38" i="67"/>
  <c r="L38" i="67"/>
  <c r="N38" i="67" s="1"/>
  <c r="H38" i="67"/>
  <c r="D38" i="67"/>
  <c r="B38" i="67"/>
  <c r="X37" i="67"/>
  <c r="Z37" i="67" s="1"/>
  <c r="V37" i="67"/>
  <c r="N37" i="67"/>
  <c r="L37" i="67"/>
  <c r="J37" i="67"/>
  <c r="B37" i="67"/>
  <c r="T36" i="67"/>
  <c r="R36" i="67"/>
  <c r="P36" i="67"/>
  <c r="X36" i="67" s="1"/>
  <c r="L36" i="67"/>
  <c r="J36" i="67"/>
  <c r="H36" i="67"/>
  <c r="N36" i="67" s="1"/>
  <c r="D36" i="67"/>
  <c r="B36" i="67"/>
  <c r="Z35" i="67"/>
  <c r="X35" i="67"/>
  <c r="R35" i="67"/>
  <c r="N35" i="67"/>
  <c r="L35" i="67"/>
  <c r="J35" i="67"/>
  <c r="B35" i="67"/>
  <c r="Z34" i="67"/>
  <c r="X34" i="67"/>
  <c r="R34" i="67"/>
  <c r="N34" i="67"/>
  <c r="L34" i="67"/>
  <c r="J34" i="67"/>
  <c r="F34" i="67"/>
  <c r="B34" i="67"/>
  <c r="X33" i="67"/>
  <c r="Z33" i="67" s="1"/>
  <c r="N33" i="67"/>
  <c r="L33" i="67"/>
  <c r="J33" i="67"/>
  <c r="B33" i="67"/>
  <c r="Z32" i="67"/>
  <c r="X32" i="67"/>
  <c r="R32" i="67"/>
  <c r="N32" i="67"/>
  <c r="L32" i="67"/>
  <c r="J32" i="67"/>
  <c r="B32" i="67"/>
  <c r="Z31" i="67"/>
  <c r="X31" i="67"/>
  <c r="N31" i="67"/>
  <c r="L31" i="67"/>
  <c r="J31" i="67"/>
  <c r="B31" i="67"/>
  <c r="Z30" i="67"/>
  <c r="X30" i="67"/>
  <c r="R30" i="67"/>
  <c r="N30" i="67"/>
  <c r="L30" i="67"/>
  <c r="J30" i="67"/>
  <c r="B30" i="67"/>
  <c r="Z29" i="67"/>
  <c r="X29" i="67"/>
  <c r="T29" i="67"/>
  <c r="P29" i="67"/>
  <c r="J29" i="67"/>
  <c r="H29" i="67"/>
  <c r="L29" i="67" s="1"/>
  <c r="D29" i="67"/>
  <c r="B29" i="67"/>
  <c r="X28" i="67"/>
  <c r="Z28" i="67" s="1"/>
  <c r="L28" i="67"/>
  <c r="N28" i="67" s="1"/>
  <c r="J28" i="67"/>
  <c r="B28" i="67"/>
  <c r="Z27" i="67"/>
  <c r="X27" i="67"/>
  <c r="R27" i="67"/>
  <c r="N27" i="67"/>
  <c r="L27" i="67"/>
  <c r="B27" i="67"/>
  <c r="Z26" i="67"/>
  <c r="X26" i="67"/>
  <c r="R26" i="67"/>
  <c r="L26" i="67"/>
  <c r="N26" i="67" s="1"/>
  <c r="J26" i="67"/>
  <c r="B26" i="67"/>
  <c r="Z25" i="67"/>
  <c r="X25" i="67"/>
  <c r="N25" i="67"/>
  <c r="L25" i="67"/>
  <c r="J25" i="67"/>
  <c r="B25" i="67"/>
  <c r="Z24" i="67"/>
  <c r="X24" i="67"/>
  <c r="L24" i="67"/>
  <c r="N24" i="67" s="1"/>
  <c r="J24" i="67"/>
  <c r="B24" i="67"/>
  <c r="Z23" i="67"/>
  <c r="X23" i="67"/>
  <c r="N23" i="67"/>
  <c r="L23" i="67"/>
  <c r="J23" i="67"/>
  <c r="B23" i="67"/>
  <c r="Z22" i="67"/>
  <c r="X22" i="67"/>
  <c r="R22" i="67"/>
  <c r="L22" i="67"/>
  <c r="N22" i="67" s="1"/>
  <c r="J22" i="67"/>
  <c r="B22" i="67"/>
  <c r="Z21" i="67"/>
  <c r="X21" i="67"/>
  <c r="V21" i="67"/>
  <c r="L21" i="67"/>
  <c r="N21" i="67" s="1"/>
  <c r="J21" i="67"/>
  <c r="B21" i="67"/>
  <c r="X20" i="67"/>
  <c r="Z20" i="67" s="1"/>
  <c r="L20" i="67"/>
  <c r="N20" i="67" s="1"/>
  <c r="J20" i="67"/>
  <c r="B20" i="67"/>
  <c r="T19" i="67"/>
  <c r="R19" i="67"/>
  <c r="P19" i="67"/>
  <c r="J19" i="67"/>
  <c r="H19" i="67"/>
  <c r="N19" i="67" s="1"/>
  <c r="D19" i="67"/>
  <c r="L19" i="67" s="1"/>
  <c r="B19" i="67"/>
  <c r="X18" i="67"/>
  <c r="T18" i="67"/>
  <c r="P18" i="67"/>
  <c r="J18" i="67"/>
  <c r="H18" i="67"/>
  <c r="D18" i="67"/>
  <c r="L18" i="67" s="1"/>
  <c r="J16" i="67"/>
  <c r="V14" i="67"/>
  <c r="T14" i="67"/>
  <c r="Z14" i="67" s="1"/>
  <c r="P14" i="67"/>
  <c r="J14" i="67"/>
  <c r="H14" i="67"/>
  <c r="N14" i="67" s="1"/>
  <c r="D14" i="67"/>
  <c r="L14" i="67" s="1"/>
  <c r="T12" i="67"/>
  <c r="V39" i="67" s="1"/>
  <c r="P12" i="67"/>
  <c r="R47" i="67" s="1"/>
  <c r="N12" i="67"/>
  <c r="H12" i="67"/>
  <c r="J58" i="67" s="1"/>
  <c r="D12" i="67"/>
  <c r="F42" i="67" s="1"/>
  <c r="D6" i="67"/>
  <c r="D4" i="67"/>
  <c r="Z104" i="63"/>
  <c r="X104" i="63"/>
  <c r="N104" i="63"/>
  <c r="L104" i="63"/>
  <c r="F104" i="63"/>
  <c r="X100" i="63"/>
  <c r="T100" i="63"/>
  <c r="P100" i="63"/>
  <c r="H100" i="63"/>
  <c r="N100" i="63" s="1"/>
  <c r="D100" i="63"/>
  <c r="L100" i="63" s="1"/>
  <c r="B100" i="63"/>
  <c r="X99" i="63"/>
  <c r="Z99" i="63" s="1"/>
  <c r="T99" i="63"/>
  <c r="P99" i="63"/>
  <c r="H99" i="63"/>
  <c r="L99" i="63" s="1"/>
  <c r="N99" i="63" s="1"/>
  <c r="D99" i="63"/>
  <c r="B99" i="63"/>
  <c r="X98" i="63"/>
  <c r="Z98" i="63" s="1"/>
  <c r="T98" i="63"/>
  <c r="T97" i="63" s="1"/>
  <c r="Z97" i="63" s="1"/>
  <c r="P98" i="63"/>
  <c r="P97" i="63" s="1"/>
  <c r="X97" i="63" s="1"/>
  <c r="L98" i="63"/>
  <c r="N98" i="63" s="1"/>
  <c r="H98" i="63"/>
  <c r="D98" i="63"/>
  <c r="B98" i="63"/>
  <c r="D97" i="63"/>
  <c r="Z95" i="63"/>
  <c r="X95" i="63"/>
  <c r="L95" i="63"/>
  <c r="N95" i="63" s="1"/>
  <c r="B95" i="63"/>
  <c r="X94" i="63"/>
  <c r="T94" i="63"/>
  <c r="P94" i="63"/>
  <c r="L94" i="63"/>
  <c r="H94" i="63"/>
  <c r="D94" i="63"/>
  <c r="B94" i="63"/>
  <c r="X93" i="63"/>
  <c r="Z93" i="63" s="1"/>
  <c r="N93" i="63"/>
  <c r="L93" i="63"/>
  <c r="F93" i="63"/>
  <c r="B93" i="63"/>
  <c r="X92" i="63"/>
  <c r="Z92" i="63" s="1"/>
  <c r="N92" i="63"/>
  <c r="L92" i="63"/>
  <c r="B92" i="63"/>
  <c r="Z91" i="63"/>
  <c r="X91" i="63"/>
  <c r="N91" i="63"/>
  <c r="L91" i="63"/>
  <c r="B91" i="63"/>
  <c r="T90" i="63"/>
  <c r="P90" i="63"/>
  <c r="H90" i="63"/>
  <c r="D90" i="63"/>
  <c r="L90" i="63" s="1"/>
  <c r="N90" i="63" s="1"/>
  <c r="B90" i="63"/>
  <c r="Z89" i="63"/>
  <c r="X89" i="63"/>
  <c r="L89" i="63"/>
  <c r="N89" i="63" s="1"/>
  <c r="B89" i="63"/>
  <c r="X88" i="63"/>
  <c r="Z88" i="63" s="1"/>
  <c r="T88" i="63"/>
  <c r="P88" i="63"/>
  <c r="H88" i="63"/>
  <c r="D88" i="63"/>
  <c r="B88" i="63"/>
  <c r="Z87" i="63"/>
  <c r="X87" i="63"/>
  <c r="L87" i="63"/>
  <c r="N87" i="63" s="1"/>
  <c r="B87" i="63"/>
  <c r="X86" i="63"/>
  <c r="T86" i="63"/>
  <c r="P86" i="63"/>
  <c r="H86" i="63"/>
  <c r="D86" i="63"/>
  <c r="L86" i="63" s="1"/>
  <c r="B86" i="63"/>
  <c r="X85" i="63"/>
  <c r="Z85" i="63" s="1"/>
  <c r="N85" i="63"/>
  <c r="L85" i="63"/>
  <c r="B85" i="63"/>
  <c r="X84" i="63"/>
  <c r="Z84" i="63" s="1"/>
  <c r="V84" i="63"/>
  <c r="N84" i="63"/>
  <c r="L84" i="63"/>
  <c r="B84" i="63"/>
  <c r="X83" i="63"/>
  <c r="Z83" i="63" s="1"/>
  <c r="L83" i="63"/>
  <c r="N83" i="63" s="1"/>
  <c r="B83" i="63"/>
  <c r="Z82" i="63"/>
  <c r="X82" i="63"/>
  <c r="N82" i="63"/>
  <c r="L82" i="63"/>
  <c r="B82" i="63"/>
  <c r="Z81" i="63"/>
  <c r="X81" i="63"/>
  <c r="N81" i="63"/>
  <c r="L81" i="63"/>
  <c r="B81" i="63"/>
  <c r="X80" i="63"/>
  <c r="Z80" i="63" s="1"/>
  <c r="V80" i="63"/>
  <c r="N80" i="63"/>
  <c r="L80" i="63"/>
  <c r="B80" i="63"/>
  <c r="T79" i="63"/>
  <c r="Z79" i="63" s="1"/>
  <c r="P79" i="63"/>
  <c r="X79" i="63" s="1"/>
  <c r="H79" i="63"/>
  <c r="L79" i="63" s="1"/>
  <c r="D79" i="63"/>
  <c r="B79" i="63"/>
  <c r="Z78" i="63"/>
  <c r="X78" i="63"/>
  <c r="N78" i="63"/>
  <c r="L78" i="63"/>
  <c r="B78" i="63"/>
  <c r="Z77" i="63"/>
  <c r="X77" i="63"/>
  <c r="N77" i="63"/>
  <c r="L77" i="63"/>
  <c r="F77" i="63"/>
  <c r="B77" i="63"/>
  <c r="X76" i="63"/>
  <c r="T76" i="63"/>
  <c r="Z76" i="63" s="1"/>
  <c r="P76" i="63"/>
  <c r="N76" i="63"/>
  <c r="L76" i="63"/>
  <c r="H76" i="63"/>
  <c r="F76" i="63"/>
  <c r="D76" i="63"/>
  <c r="B76" i="63"/>
  <c r="X75" i="63"/>
  <c r="Z75" i="63" s="1"/>
  <c r="L75" i="63"/>
  <c r="N75" i="63" s="1"/>
  <c r="B75" i="63"/>
  <c r="Z74" i="63"/>
  <c r="X74" i="63"/>
  <c r="N74" i="63"/>
  <c r="L74" i="63"/>
  <c r="B74" i="63"/>
  <c r="Z73" i="63"/>
  <c r="X73" i="63"/>
  <c r="R73" i="63"/>
  <c r="L73" i="63"/>
  <c r="N73" i="63" s="1"/>
  <c r="B73" i="63"/>
  <c r="V72" i="63"/>
  <c r="T72" i="63"/>
  <c r="P72" i="63"/>
  <c r="X72" i="63" s="1"/>
  <c r="N72" i="63"/>
  <c r="H72" i="63"/>
  <c r="D72" i="63"/>
  <c r="L72" i="63" s="1"/>
  <c r="B72" i="63"/>
  <c r="X71" i="63"/>
  <c r="Z71" i="63" s="1"/>
  <c r="L71" i="63"/>
  <c r="N71" i="63" s="1"/>
  <c r="B71" i="63"/>
  <c r="Z70" i="63"/>
  <c r="X70" i="63"/>
  <c r="N70" i="63"/>
  <c r="L70" i="63"/>
  <c r="B70" i="63"/>
  <c r="X69" i="63"/>
  <c r="Z69" i="63" s="1"/>
  <c r="N69" i="63"/>
  <c r="L69" i="63"/>
  <c r="B69" i="63"/>
  <c r="X68" i="63"/>
  <c r="Z68" i="63" s="1"/>
  <c r="V68" i="63"/>
  <c r="L68" i="63"/>
  <c r="N68" i="63" s="1"/>
  <c r="B68" i="63"/>
  <c r="T67" i="63"/>
  <c r="P67" i="63"/>
  <c r="X67" i="63" s="1"/>
  <c r="H67" i="63"/>
  <c r="L67" i="63" s="1"/>
  <c r="D67" i="63"/>
  <c r="B67" i="63"/>
  <c r="Z66" i="63"/>
  <c r="X66" i="63"/>
  <c r="N66" i="63"/>
  <c r="L66" i="63"/>
  <c r="B66" i="63"/>
  <c r="T65" i="63"/>
  <c r="P65" i="63"/>
  <c r="X65" i="63" s="1"/>
  <c r="L65" i="63"/>
  <c r="N65" i="63" s="1"/>
  <c r="H65" i="63"/>
  <c r="D65" i="63"/>
  <c r="B65" i="63"/>
  <c r="X64" i="63"/>
  <c r="Z64" i="63" s="1"/>
  <c r="V64" i="63"/>
  <c r="N64" i="63"/>
  <c r="L64" i="63"/>
  <c r="J64" i="63"/>
  <c r="B64" i="63"/>
  <c r="T63" i="63"/>
  <c r="P63" i="63"/>
  <c r="X63" i="63" s="1"/>
  <c r="Z63" i="63" s="1"/>
  <c r="H63" i="63"/>
  <c r="D63" i="63"/>
  <c r="B63" i="63"/>
  <c r="Z62" i="63"/>
  <c r="X62" i="63"/>
  <c r="N62" i="63"/>
  <c r="L62" i="63"/>
  <c r="B62" i="63"/>
  <c r="T61" i="63"/>
  <c r="X61" i="63" s="1"/>
  <c r="P61" i="63"/>
  <c r="J61" i="63"/>
  <c r="H61" i="63"/>
  <c r="N61" i="63" s="1"/>
  <c r="D61" i="63"/>
  <c r="L61" i="63" s="1"/>
  <c r="B61" i="63"/>
  <c r="X60" i="63"/>
  <c r="Z60" i="63" s="1"/>
  <c r="N60" i="63"/>
  <c r="L60" i="63"/>
  <c r="J60" i="63"/>
  <c r="B60" i="63"/>
  <c r="X59" i="63"/>
  <c r="Z59" i="63" s="1"/>
  <c r="T59" i="63"/>
  <c r="P59" i="63"/>
  <c r="H59" i="63"/>
  <c r="N59" i="63" s="1"/>
  <c r="D59" i="63"/>
  <c r="L59" i="63" s="1"/>
  <c r="B59" i="63"/>
  <c r="Z58" i="63"/>
  <c r="X58" i="63"/>
  <c r="N58" i="63"/>
  <c r="L58" i="63"/>
  <c r="B58" i="63"/>
  <c r="T57" i="63"/>
  <c r="P57" i="63"/>
  <c r="N57" i="63"/>
  <c r="H57" i="63"/>
  <c r="D57" i="63"/>
  <c r="L57" i="63" s="1"/>
  <c r="B57" i="63"/>
  <c r="Z56" i="63"/>
  <c r="X56" i="63"/>
  <c r="V56" i="63"/>
  <c r="N56" i="63"/>
  <c r="L56" i="63"/>
  <c r="J56" i="63"/>
  <c r="B56" i="63"/>
  <c r="V55" i="63"/>
  <c r="T55" i="63"/>
  <c r="Z55" i="63" s="1"/>
  <c r="P55" i="63"/>
  <c r="X55" i="63" s="1"/>
  <c r="H55" i="63"/>
  <c r="L55" i="63" s="1"/>
  <c r="D55" i="63"/>
  <c r="B55" i="63"/>
  <c r="Z54" i="63"/>
  <c r="X54" i="63"/>
  <c r="N54" i="63"/>
  <c r="L54" i="63"/>
  <c r="B54" i="63"/>
  <c r="T53" i="63"/>
  <c r="P53" i="63"/>
  <c r="X53" i="63" s="1"/>
  <c r="L53" i="63"/>
  <c r="N53" i="63" s="1"/>
  <c r="H53" i="63"/>
  <c r="D53" i="63"/>
  <c r="B53" i="63"/>
  <c r="X52" i="63"/>
  <c r="Z52" i="63" s="1"/>
  <c r="V52" i="63"/>
  <c r="L52" i="63"/>
  <c r="N52" i="63" s="1"/>
  <c r="J52" i="63"/>
  <c r="B52" i="63"/>
  <c r="T51" i="63"/>
  <c r="P51" i="63"/>
  <c r="X51" i="63" s="1"/>
  <c r="Z51" i="63" s="1"/>
  <c r="J51" i="63"/>
  <c r="H51" i="63"/>
  <c r="D51" i="63"/>
  <c r="B51" i="63"/>
  <c r="Z50" i="63"/>
  <c r="X50" i="63"/>
  <c r="N50" i="63"/>
  <c r="L50" i="63"/>
  <c r="B50" i="63"/>
  <c r="X49" i="63"/>
  <c r="Z49" i="63" s="1"/>
  <c r="N49" i="63"/>
  <c r="L49" i="63"/>
  <c r="F49" i="63"/>
  <c r="B49" i="63"/>
  <c r="V48" i="63"/>
  <c r="T48" i="63"/>
  <c r="P48" i="63"/>
  <c r="X48" i="63" s="1"/>
  <c r="Z48" i="63" s="1"/>
  <c r="H48" i="63"/>
  <c r="F48" i="63"/>
  <c r="D48" i="63"/>
  <c r="L48" i="63" s="1"/>
  <c r="N48" i="63" s="1"/>
  <c r="B48" i="63"/>
  <c r="X47" i="63"/>
  <c r="Z47" i="63" s="1"/>
  <c r="L47" i="63"/>
  <c r="N47" i="63" s="1"/>
  <c r="J47" i="63"/>
  <c r="B47" i="63"/>
  <c r="Z46" i="63"/>
  <c r="X46" i="63"/>
  <c r="N46" i="63"/>
  <c r="L46" i="63"/>
  <c r="B46" i="63"/>
  <c r="T45" i="63"/>
  <c r="P45" i="63"/>
  <c r="X45" i="63" s="1"/>
  <c r="L45" i="63"/>
  <c r="N45" i="63" s="1"/>
  <c r="H45" i="63"/>
  <c r="D45" i="63"/>
  <c r="B45" i="63"/>
  <c r="X44" i="63"/>
  <c r="Z44" i="63" s="1"/>
  <c r="V44" i="63"/>
  <c r="L44" i="63"/>
  <c r="N44" i="63" s="1"/>
  <c r="J44" i="63"/>
  <c r="B44" i="63"/>
  <c r="T43" i="63"/>
  <c r="P43" i="63"/>
  <c r="X43" i="63" s="1"/>
  <c r="Z43" i="63" s="1"/>
  <c r="J43" i="63"/>
  <c r="H43" i="63"/>
  <c r="D43" i="63"/>
  <c r="B43" i="63"/>
  <c r="Z42" i="63"/>
  <c r="X42" i="63"/>
  <c r="N42" i="63"/>
  <c r="L42" i="63"/>
  <c r="B42" i="63"/>
  <c r="X41" i="63"/>
  <c r="Z41" i="63" s="1"/>
  <c r="N41" i="63"/>
  <c r="L41" i="63"/>
  <c r="F41" i="63"/>
  <c r="B41" i="63"/>
  <c r="V40" i="63"/>
  <c r="T40" i="63"/>
  <c r="P40" i="63"/>
  <c r="X40" i="63" s="1"/>
  <c r="Z40" i="63" s="1"/>
  <c r="H40" i="63"/>
  <c r="F40" i="63"/>
  <c r="D40" i="63"/>
  <c r="L40" i="63" s="1"/>
  <c r="N40" i="63" s="1"/>
  <c r="B40" i="63"/>
  <c r="X39" i="63"/>
  <c r="Z39" i="63" s="1"/>
  <c r="L39" i="63"/>
  <c r="N39" i="63" s="1"/>
  <c r="J39" i="63"/>
  <c r="B39" i="63"/>
  <c r="Z38" i="63"/>
  <c r="X38" i="63"/>
  <c r="T38" i="63"/>
  <c r="R38" i="63"/>
  <c r="P38" i="63"/>
  <c r="L38" i="63"/>
  <c r="J38" i="63"/>
  <c r="H38" i="63"/>
  <c r="N38" i="63" s="1"/>
  <c r="D38" i="63"/>
  <c r="B38" i="63"/>
  <c r="Z37" i="63"/>
  <c r="X37" i="63"/>
  <c r="V37" i="63"/>
  <c r="R37" i="63"/>
  <c r="L37" i="63"/>
  <c r="N37" i="63" s="1"/>
  <c r="J37" i="63"/>
  <c r="B37" i="63"/>
  <c r="X36" i="63"/>
  <c r="Z36" i="63" s="1"/>
  <c r="V36" i="63"/>
  <c r="L36" i="63"/>
  <c r="N36" i="63" s="1"/>
  <c r="J36" i="63"/>
  <c r="B36" i="63"/>
  <c r="X35" i="63"/>
  <c r="Z35" i="63" s="1"/>
  <c r="N35" i="63"/>
  <c r="L35" i="63"/>
  <c r="J35" i="63"/>
  <c r="B35" i="63"/>
  <c r="Z34" i="63"/>
  <c r="X34" i="63"/>
  <c r="N34" i="63"/>
  <c r="L34" i="63"/>
  <c r="B34" i="63"/>
  <c r="Z33" i="63"/>
  <c r="X33" i="63"/>
  <c r="V33" i="63"/>
  <c r="R33" i="63"/>
  <c r="N33" i="63"/>
  <c r="L33" i="63"/>
  <c r="J33" i="63"/>
  <c r="B33" i="63"/>
  <c r="X32" i="63"/>
  <c r="Z32" i="63" s="1"/>
  <c r="V32" i="63"/>
  <c r="L32" i="63"/>
  <c r="N32" i="63" s="1"/>
  <c r="J32" i="63"/>
  <c r="B32" i="63"/>
  <c r="X31" i="63"/>
  <c r="Z31" i="63" s="1"/>
  <c r="V31" i="63"/>
  <c r="L31" i="63"/>
  <c r="N31" i="63" s="1"/>
  <c r="J31" i="63"/>
  <c r="B31" i="63"/>
  <c r="T30" i="63"/>
  <c r="P30" i="63"/>
  <c r="X30" i="63" s="1"/>
  <c r="Z30" i="63" s="1"/>
  <c r="J30" i="63"/>
  <c r="H30" i="63"/>
  <c r="D30" i="63"/>
  <c r="L30" i="63" s="1"/>
  <c r="B30" i="63"/>
  <c r="X29" i="63"/>
  <c r="Z29" i="63" s="1"/>
  <c r="V29" i="63"/>
  <c r="N29" i="63"/>
  <c r="L29" i="63"/>
  <c r="F29" i="63"/>
  <c r="B29" i="63"/>
  <c r="X28" i="63"/>
  <c r="Z28" i="63" s="1"/>
  <c r="V28" i="63"/>
  <c r="L28" i="63"/>
  <c r="N28" i="63" s="1"/>
  <c r="J28" i="63"/>
  <c r="B28" i="63"/>
  <c r="X27" i="63"/>
  <c r="Z27" i="63" s="1"/>
  <c r="V27" i="63"/>
  <c r="L27" i="63"/>
  <c r="N27" i="63" s="1"/>
  <c r="B27" i="63"/>
  <c r="Z26" i="63"/>
  <c r="X26" i="63"/>
  <c r="N26" i="63"/>
  <c r="L26" i="63"/>
  <c r="J26" i="63"/>
  <c r="B26" i="63"/>
  <c r="Z25" i="63"/>
  <c r="X25" i="63"/>
  <c r="V25" i="63"/>
  <c r="N25" i="63"/>
  <c r="L25" i="63"/>
  <c r="F25" i="63"/>
  <c r="B25" i="63"/>
  <c r="X24" i="63"/>
  <c r="Z24" i="63" s="1"/>
  <c r="V24" i="63"/>
  <c r="L24" i="63"/>
  <c r="N24" i="63" s="1"/>
  <c r="J24" i="63"/>
  <c r="B24" i="63"/>
  <c r="X23" i="63"/>
  <c r="Z23" i="63" s="1"/>
  <c r="V23" i="63"/>
  <c r="L23" i="63"/>
  <c r="N23" i="63" s="1"/>
  <c r="B23" i="63"/>
  <c r="Z22" i="63"/>
  <c r="X22" i="63"/>
  <c r="N22" i="63"/>
  <c r="L22" i="63"/>
  <c r="J22" i="63"/>
  <c r="B22" i="63"/>
  <c r="X21" i="63"/>
  <c r="Z21" i="63" s="1"/>
  <c r="V21" i="63"/>
  <c r="N21" i="63"/>
  <c r="L21" i="63"/>
  <c r="F21" i="63"/>
  <c r="B21" i="63"/>
  <c r="X20" i="63"/>
  <c r="Z20" i="63" s="1"/>
  <c r="V20" i="63"/>
  <c r="L20" i="63"/>
  <c r="N20" i="63" s="1"/>
  <c r="J20" i="63"/>
  <c r="B20" i="63"/>
  <c r="V19" i="63"/>
  <c r="T19" i="63"/>
  <c r="P19" i="63"/>
  <c r="X19" i="63" s="1"/>
  <c r="J19" i="63"/>
  <c r="H19" i="63"/>
  <c r="L19" i="63" s="1"/>
  <c r="D19" i="63"/>
  <c r="B19" i="63"/>
  <c r="T18" i="63"/>
  <c r="X18" i="63" s="1"/>
  <c r="Z18" i="63" s="1"/>
  <c r="R18" i="63"/>
  <c r="P18" i="63"/>
  <c r="J18" i="63"/>
  <c r="H18" i="63"/>
  <c r="D18" i="63"/>
  <c r="R16" i="63"/>
  <c r="J16" i="63"/>
  <c r="Z14" i="63"/>
  <c r="T14" i="63"/>
  <c r="X14" i="63" s="1"/>
  <c r="R14" i="63"/>
  <c r="P14" i="63"/>
  <c r="J14" i="63"/>
  <c r="H14" i="63"/>
  <c r="N14" i="63" s="1"/>
  <c r="D14" i="63"/>
  <c r="Z12" i="63"/>
  <c r="T12" i="63"/>
  <c r="V73" i="63" s="1"/>
  <c r="P12" i="63"/>
  <c r="R84" i="63" s="1"/>
  <c r="N12" i="63"/>
  <c r="H12" i="63"/>
  <c r="J79" i="63" s="1"/>
  <c r="D12" i="63"/>
  <c r="F106" i="63" s="1"/>
  <c r="D6" i="63"/>
  <c r="D4" i="63"/>
  <c r="J56" i="61"/>
  <c r="J53" i="61"/>
  <c r="Z51" i="61"/>
  <c r="X51" i="61"/>
  <c r="N51" i="61"/>
  <c r="L51" i="61"/>
  <c r="R49" i="61"/>
  <c r="J49" i="61"/>
  <c r="Z47" i="61"/>
  <c r="T47" i="61"/>
  <c r="X47" i="61" s="1"/>
  <c r="R47" i="61"/>
  <c r="P47" i="61"/>
  <c r="J47" i="61"/>
  <c r="H47" i="61"/>
  <c r="N47" i="61" s="1"/>
  <c r="D47" i="61"/>
  <c r="Z45" i="61"/>
  <c r="X45" i="61"/>
  <c r="R45" i="61"/>
  <c r="N45" i="61"/>
  <c r="L45" i="61"/>
  <c r="F45" i="61"/>
  <c r="B45" i="61"/>
  <c r="T44" i="61"/>
  <c r="R44" i="61"/>
  <c r="P44" i="61"/>
  <c r="X44" i="61" s="1"/>
  <c r="L44" i="61"/>
  <c r="N44" i="61" s="1"/>
  <c r="H44" i="61"/>
  <c r="F44" i="61"/>
  <c r="D44" i="61"/>
  <c r="B44" i="61"/>
  <c r="X43" i="61"/>
  <c r="Z43" i="61" s="1"/>
  <c r="V43" i="61"/>
  <c r="R43" i="61"/>
  <c r="L43" i="61"/>
  <c r="N43" i="61" s="1"/>
  <c r="J43" i="61"/>
  <c r="B43" i="61"/>
  <c r="T42" i="61"/>
  <c r="P42" i="61"/>
  <c r="X42" i="61" s="1"/>
  <c r="Z42" i="61" s="1"/>
  <c r="J42" i="61"/>
  <c r="H42" i="61"/>
  <c r="D42" i="61"/>
  <c r="B42" i="61"/>
  <c r="X41" i="61"/>
  <c r="Z41" i="61" s="1"/>
  <c r="N41" i="61"/>
  <c r="L41" i="61"/>
  <c r="F41" i="61"/>
  <c r="B41" i="61"/>
  <c r="X40" i="61"/>
  <c r="Z40" i="61" s="1"/>
  <c r="R40" i="61"/>
  <c r="N40" i="61"/>
  <c r="L40" i="61"/>
  <c r="J40" i="61"/>
  <c r="F40" i="61"/>
  <c r="B40" i="61"/>
  <c r="X39" i="61"/>
  <c r="Z39" i="61" s="1"/>
  <c r="V39" i="61"/>
  <c r="T39" i="61"/>
  <c r="P39" i="61"/>
  <c r="L39" i="61"/>
  <c r="N39" i="61" s="1"/>
  <c r="H39" i="61"/>
  <c r="F39" i="61"/>
  <c r="D39" i="61"/>
  <c r="B39" i="61"/>
  <c r="X38" i="61"/>
  <c r="Z38" i="61" s="1"/>
  <c r="L38" i="61"/>
  <c r="N38" i="61" s="1"/>
  <c r="J38" i="61"/>
  <c r="B38" i="61"/>
  <c r="T37" i="61"/>
  <c r="X37" i="61" s="1"/>
  <c r="Z37" i="61" s="1"/>
  <c r="R37" i="61"/>
  <c r="P37" i="61"/>
  <c r="J37" i="61"/>
  <c r="H37" i="61"/>
  <c r="D37" i="61"/>
  <c r="B37" i="61"/>
  <c r="Z36" i="61"/>
  <c r="X36" i="61"/>
  <c r="V36" i="61"/>
  <c r="R36" i="61"/>
  <c r="L36" i="61"/>
  <c r="N36" i="61" s="1"/>
  <c r="J36" i="61"/>
  <c r="F36" i="61"/>
  <c r="B36" i="61"/>
  <c r="V35" i="61"/>
  <c r="T35" i="61"/>
  <c r="P35" i="61"/>
  <c r="X35" i="61" s="1"/>
  <c r="N35" i="61"/>
  <c r="H35" i="61"/>
  <c r="F35" i="61"/>
  <c r="D35" i="61"/>
  <c r="L35" i="61" s="1"/>
  <c r="B35" i="61"/>
  <c r="X34" i="61"/>
  <c r="Z34" i="61" s="1"/>
  <c r="L34" i="61"/>
  <c r="N34" i="61" s="1"/>
  <c r="B34" i="61"/>
  <c r="X33" i="61"/>
  <c r="Z33" i="61" s="1"/>
  <c r="T33" i="61"/>
  <c r="R33" i="61"/>
  <c r="P33" i="61"/>
  <c r="L33" i="61"/>
  <c r="N33" i="61" s="1"/>
  <c r="J33" i="61"/>
  <c r="H33" i="61"/>
  <c r="D33" i="61"/>
  <c r="B33" i="61"/>
  <c r="Z32" i="61"/>
  <c r="X32" i="61"/>
  <c r="R32" i="61"/>
  <c r="N32" i="61"/>
  <c r="L32" i="61"/>
  <c r="J32" i="61"/>
  <c r="F32" i="61"/>
  <c r="B32" i="61"/>
  <c r="X31" i="61"/>
  <c r="Z31" i="61" s="1"/>
  <c r="R31" i="61"/>
  <c r="L31" i="61"/>
  <c r="N31" i="61" s="1"/>
  <c r="J31" i="61"/>
  <c r="F31" i="61"/>
  <c r="B31" i="61"/>
  <c r="X30" i="61"/>
  <c r="Z30" i="61" s="1"/>
  <c r="N30" i="61"/>
  <c r="L30" i="61"/>
  <c r="J30" i="61"/>
  <c r="B30" i="61"/>
  <c r="Z29" i="61"/>
  <c r="X29" i="61"/>
  <c r="R29" i="61"/>
  <c r="N29" i="61"/>
  <c r="L29" i="61"/>
  <c r="F29" i="61"/>
  <c r="B29" i="61"/>
  <c r="T28" i="61"/>
  <c r="Z28" i="61" s="1"/>
  <c r="R28" i="61"/>
  <c r="P28" i="61"/>
  <c r="X28" i="61" s="1"/>
  <c r="L28" i="61"/>
  <c r="N28" i="61" s="1"/>
  <c r="H28" i="61"/>
  <c r="F28" i="61"/>
  <c r="D28" i="61"/>
  <c r="B28" i="61"/>
  <c r="X27" i="61"/>
  <c r="Z27" i="61" s="1"/>
  <c r="V27" i="61"/>
  <c r="R27" i="61"/>
  <c r="L27" i="61"/>
  <c r="N27" i="61" s="1"/>
  <c r="J27" i="61"/>
  <c r="B27" i="61"/>
  <c r="X26" i="61"/>
  <c r="Z26" i="61" s="1"/>
  <c r="V26" i="61"/>
  <c r="L26" i="61"/>
  <c r="N26" i="61" s="1"/>
  <c r="J26" i="61"/>
  <c r="B26" i="61"/>
  <c r="Z25" i="61"/>
  <c r="X25" i="61"/>
  <c r="R25" i="61"/>
  <c r="L25" i="61"/>
  <c r="N25" i="61" s="1"/>
  <c r="F25" i="61"/>
  <c r="B25" i="61"/>
  <c r="Z24" i="61"/>
  <c r="X24" i="61"/>
  <c r="V24" i="61"/>
  <c r="R24" i="61"/>
  <c r="N24" i="61"/>
  <c r="L24" i="61"/>
  <c r="J24" i="61"/>
  <c r="F24" i="61"/>
  <c r="B24" i="61"/>
  <c r="X23" i="61"/>
  <c r="Z23" i="61" s="1"/>
  <c r="V23" i="61"/>
  <c r="R23" i="61"/>
  <c r="L23" i="61"/>
  <c r="N23" i="61" s="1"/>
  <c r="J23" i="61"/>
  <c r="B23" i="61"/>
  <c r="X22" i="61"/>
  <c r="Z22" i="61" s="1"/>
  <c r="V22" i="61"/>
  <c r="L22" i="61"/>
  <c r="N22" i="61" s="1"/>
  <c r="J22" i="61"/>
  <c r="F22" i="61"/>
  <c r="B22" i="61"/>
  <c r="Z21" i="61"/>
  <c r="X21" i="61"/>
  <c r="R21" i="61"/>
  <c r="L21" i="61"/>
  <c r="N21" i="61" s="1"/>
  <c r="F21" i="61"/>
  <c r="B21" i="61"/>
  <c r="Z20" i="61"/>
  <c r="X20" i="61"/>
  <c r="V20" i="61"/>
  <c r="R20" i="61"/>
  <c r="L20" i="61"/>
  <c r="N20" i="61" s="1"/>
  <c r="J20" i="61"/>
  <c r="F20" i="61"/>
  <c r="B20" i="61"/>
  <c r="V19" i="61"/>
  <c r="T19" i="61"/>
  <c r="Z19" i="61" s="1"/>
  <c r="P19" i="61"/>
  <c r="X19" i="61" s="1"/>
  <c r="N19" i="61"/>
  <c r="J19" i="61"/>
  <c r="H19" i="61"/>
  <c r="F19" i="61"/>
  <c r="D19" i="61"/>
  <c r="L19" i="61" s="1"/>
  <c r="B19" i="61"/>
  <c r="T18" i="61"/>
  <c r="R18" i="61"/>
  <c r="P18" i="61"/>
  <c r="X18" i="61" s="1"/>
  <c r="Z18" i="61" s="1"/>
  <c r="J18" i="61"/>
  <c r="H18" i="61"/>
  <c r="N18" i="61" s="1"/>
  <c r="F18" i="61"/>
  <c r="D18" i="61"/>
  <c r="L18" i="61" s="1"/>
  <c r="R16" i="61"/>
  <c r="J16" i="61"/>
  <c r="F16" i="61"/>
  <c r="Z14" i="61"/>
  <c r="T14" i="61"/>
  <c r="R14" i="61"/>
  <c r="P14" i="61"/>
  <c r="X14" i="61" s="1"/>
  <c r="J14" i="61"/>
  <c r="H14" i="61"/>
  <c r="H16" i="61" s="1"/>
  <c r="F14" i="61"/>
  <c r="D14" i="61"/>
  <c r="L14" i="61" s="1"/>
  <c r="X12" i="61"/>
  <c r="T12" i="61"/>
  <c r="V56" i="61" s="1"/>
  <c r="P12" i="61"/>
  <c r="R39" i="61" s="1"/>
  <c r="N12" i="61"/>
  <c r="L12" i="61"/>
  <c r="H12" i="61"/>
  <c r="J45" i="61" s="1"/>
  <c r="D12" i="61"/>
  <c r="F34" i="61" s="1"/>
  <c r="D6" i="61"/>
  <c r="D4" i="61"/>
  <c r="Z52" i="60"/>
  <c r="X52" i="60"/>
  <c r="N52" i="60"/>
  <c r="L52" i="60"/>
  <c r="J52" i="60"/>
  <c r="F52" i="60"/>
  <c r="T48" i="60"/>
  <c r="Z48" i="60" s="1"/>
  <c r="P48" i="60"/>
  <c r="X48" i="60" s="1"/>
  <c r="N48" i="60"/>
  <c r="H48" i="60"/>
  <c r="D48" i="60"/>
  <c r="L48" i="60" s="1"/>
  <c r="X46" i="60"/>
  <c r="Z46" i="60" s="1"/>
  <c r="N46" i="60"/>
  <c r="L46" i="60"/>
  <c r="B46" i="60"/>
  <c r="X45" i="60"/>
  <c r="Z45" i="60" s="1"/>
  <c r="V45" i="60"/>
  <c r="T45" i="60"/>
  <c r="P45" i="60"/>
  <c r="N45" i="60"/>
  <c r="L45" i="60"/>
  <c r="H45" i="60"/>
  <c r="D45" i="60"/>
  <c r="B45" i="60"/>
  <c r="X44" i="60"/>
  <c r="Z44" i="60" s="1"/>
  <c r="L44" i="60"/>
  <c r="N44" i="60" s="1"/>
  <c r="J44" i="60"/>
  <c r="B44" i="60"/>
  <c r="T43" i="60"/>
  <c r="X43" i="60" s="1"/>
  <c r="Z43" i="60" s="1"/>
  <c r="R43" i="60"/>
  <c r="P43" i="60"/>
  <c r="J43" i="60"/>
  <c r="H43" i="60"/>
  <c r="D43" i="60"/>
  <c r="B43" i="60"/>
  <c r="Z42" i="60"/>
  <c r="X42" i="60"/>
  <c r="R42" i="60"/>
  <c r="L42" i="60"/>
  <c r="N42" i="60" s="1"/>
  <c r="B42" i="60"/>
  <c r="Z41" i="60"/>
  <c r="X41" i="60"/>
  <c r="V41" i="60"/>
  <c r="N41" i="60"/>
  <c r="L41" i="60"/>
  <c r="J41" i="60"/>
  <c r="B41" i="60"/>
  <c r="X40" i="60"/>
  <c r="Z40" i="60" s="1"/>
  <c r="N40" i="60"/>
  <c r="L40" i="60"/>
  <c r="B40" i="60"/>
  <c r="T39" i="60"/>
  <c r="P39" i="60"/>
  <c r="X39" i="60" s="1"/>
  <c r="Z39" i="60" s="1"/>
  <c r="J39" i="60"/>
  <c r="H39" i="60"/>
  <c r="N39" i="60" s="1"/>
  <c r="D39" i="60"/>
  <c r="L39" i="60" s="1"/>
  <c r="B39" i="60"/>
  <c r="X38" i="60"/>
  <c r="Z38" i="60" s="1"/>
  <c r="N38" i="60"/>
  <c r="L38" i="60"/>
  <c r="B38" i="60"/>
  <c r="X37" i="60"/>
  <c r="Z37" i="60" s="1"/>
  <c r="V37" i="60"/>
  <c r="T37" i="60"/>
  <c r="P37" i="60"/>
  <c r="N37" i="60"/>
  <c r="L37" i="60"/>
  <c r="H37" i="60"/>
  <c r="D37" i="60"/>
  <c r="B37" i="60"/>
  <c r="X36" i="60"/>
  <c r="Z36" i="60" s="1"/>
  <c r="N36" i="60"/>
  <c r="L36" i="60"/>
  <c r="J36" i="60"/>
  <c r="B36" i="60"/>
  <c r="Z35" i="60"/>
  <c r="X35" i="60"/>
  <c r="N35" i="60"/>
  <c r="L35" i="60"/>
  <c r="B35" i="60"/>
  <c r="T34" i="60"/>
  <c r="Z34" i="60" s="1"/>
  <c r="P34" i="60"/>
  <c r="X34" i="60" s="1"/>
  <c r="L34" i="60"/>
  <c r="N34" i="60" s="1"/>
  <c r="H34" i="60"/>
  <c r="D34" i="60"/>
  <c r="B34" i="60"/>
  <c r="X33" i="60"/>
  <c r="Z33" i="60" s="1"/>
  <c r="V33" i="60"/>
  <c r="L33" i="60"/>
  <c r="N33" i="60" s="1"/>
  <c r="J33" i="60"/>
  <c r="B33" i="60"/>
  <c r="T32" i="60"/>
  <c r="P32" i="60"/>
  <c r="X32" i="60" s="1"/>
  <c r="Z32" i="60" s="1"/>
  <c r="J32" i="60"/>
  <c r="H32" i="60"/>
  <c r="D32" i="60"/>
  <c r="B32" i="60"/>
  <c r="Z31" i="60"/>
  <c r="X31" i="60"/>
  <c r="N31" i="60"/>
  <c r="L31" i="60"/>
  <c r="B31" i="60"/>
  <c r="T30" i="60"/>
  <c r="X30" i="60" s="1"/>
  <c r="P30" i="60"/>
  <c r="J30" i="60"/>
  <c r="H30" i="60"/>
  <c r="D30" i="60"/>
  <c r="L30" i="60" s="1"/>
  <c r="N30" i="60" s="1"/>
  <c r="B30" i="60"/>
  <c r="X29" i="60"/>
  <c r="Z29" i="60" s="1"/>
  <c r="V29" i="60"/>
  <c r="L29" i="60"/>
  <c r="N29" i="60" s="1"/>
  <c r="J29" i="60"/>
  <c r="B29" i="60"/>
  <c r="X28" i="60"/>
  <c r="Z28" i="60" s="1"/>
  <c r="T28" i="60"/>
  <c r="P28" i="60"/>
  <c r="H28" i="60"/>
  <c r="N28" i="60" s="1"/>
  <c r="D28" i="60"/>
  <c r="L28" i="60" s="1"/>
  <c r="B28" i="60"/>
  <c r="Z27" i="60"/>
  <c r="X27" i="60"/>
  <c r="N27" i="60"/>
  <c r="L27" i="60"/>
  <c r="B27" i="60"/>
  <c r="Z26" i="60"/>
  <c r="X26" i="60"/>
  <c r="V26" i="60"/>
  <c r="R26" i="60"/>
  <c r="L26" i="60"/>
  <c r="N26" i="60" s="1"/>
  <c r="J26" i="60"/>
  <c r="B26" i="60"/>
  <c r="X25" i="60"/>
  <c r="Z25" i="60" s="1"/>
  <c r="V25" i="60"/>
  <c r="L25" i="60"/>
  <c r="N25" i="60" s="1"/>
  <c r="J25" i="60"/>
  <c r="B25" i="60"/>
  <c r="X24" i="60"/>
  <c r="Z24" i="60" s="1"/>
  <c r="V24" i="60"/>
  <c r="L24" i="60"/>
  <c r="N24" i="60" s="1"/>
  <c r="J24" i="60"/>
  <c r="B24" i="60"/>
  <c r="Z23" i="60"/>
  <c r="X23" i="60"/>
  <c r="N23" i="60"/>
  <c r="L23" i="60"/>
  <c r="B23" i="60"/>
  <c r="Z22" i="60"/>
  <c r="X22" i="60"/>
  <c r="V22" i="60"/>
  <c r="R22" i="60"/>
  <c r="L22" i="60"/>
  <c r="N22" i="60" s="1"/>
  <c r="J22" i="60"/>
  <c r="B22" i="60"/>
  <c r="X21" i="60"/>
  <c r="Z21" i="60" s="1"/>
  <c r="V21" i="60"/>
  <c r="L21" i="60"/>
  <c r="N21" i="60" s="1"/>
  <c r="J21" i="60"/>
  <c r="B21" i="60"/>
  <c r="X20" i="60"/>
  <c r="Z20" i="60" s="1"/>
  <c r="V20" i="60"/>
  <c r="L20" i="60"/>
  <c r="N20" i="60" s="1"/>
  <c r="J20" i="60"/>
  <c r="B20" i="60"/>
  <c r="Z19" i="60"/>
  <c r="T19" i="60"/>
  <c r="P19" i="60"/>
  <c r="X19" i="60" s="1"/>
  <c r="J19" i="60"/>
  <c r="H19" i="60"/>
  <c r="D19" i="60"/>
  <c r="L19" i="60" s="1"/>
  <c r="B19" i="60"/>
  <c r="T18" i="60"/>
  <c r="P18" i="60"/>
  <c r="X18" i="60" s="1"/>
  <c r="J18" i="60"/>
  <c r="H18" i="60"/>
  <c r="D18" i="60"/>
  <c r="L18" i="60" s="1"/>
  <c r="J16" i="60"/>
  <c r="D16" i="60"/>
  <c r="T14" i="60"/>
  <c r="T16" i="60" s="1"/>
  <c r="P14" i="60"/>
  <c r="X14" i="60" s="1"/>
  <c r="J14" i="60"/>
  <c r="H14" i="60"/>
  <c r="N14" i="60" s="1"/>
  <c r="D14" i="60"/>
  <c r="L14" i="60" s="1"/>
  <c r="T12" i="60"/>
  <c r="V39" i="60" s="1"/>
  <c r="P12" i="60"/>
  <c r="R45" i="60" s="1"/>
  <c r="N12" i="60"/>
  <c r="H12" i="60"/>
  <c r="J35" i="60" s="1"/>
  <c r="D12" i="60"/>
  <c r="F57" i="60" s="1"/>
  <c r="D6" i="60"/>
  <c r="D4" i="60"/>
  <c r="Z63" i="59"/>
  <c r="X63" i="59"/>
  <c r="N63" i="59"/>
  <c r="L63" i="59"/>
  <c r="F61" i="59"/>
  <c r="T59" i="59"/>
  <c r="Z59" i="59" s="1"/>
  <c r="P59" i="59"/>
  <c r="X59" i="59" s="1"/>
  <c r="H59" i="59"/>
  <c r="N59" i="59" s="1"/>
  <c r="F59" i="59"/>
  <c r="D59" i="59"/>
  <c r="L59" i="59" s="1"/>
  <c r="X57" i="59"/>
  <c r="Z57" i="59" s="1"/>
  <c r="N57" i="59"/>
  <c r="L57" i="59"/>
  <c r="B57" i="59"/>
  <c r="Z56" i="59"/>
  <c r="X56" i="59"/>
  <c r="N56" i="59"/>
  <c r="L56" i="59"/>
  <c r="F56" i="59"/>
  <c r="B56" i="59"/>
  <c r="T55" i="59"/>
  <c r="Z55" i="59" s="1"/>
  <c r="P55" i="59"/>
  <c r="X55" i="59" s="1"/>
  <c r="H55" i="59"/>
  <c r="N55" i="59" s="1"/>
  <c r="F55" i="59"/>
  <c r="D55" i="59"/>
  <c r="L55" i="59" s="1"/>
  <c r="B55" i="59"/>
  <c r="X54" i="59"/>
  <c r="Z54" i="59" s="1"/>
  <c r="L54" i="59"/>
  <c r="N54" i="59" s="1"/>
  <c r="B54" i="59"/>
  <c r="X53" i="59"/>
  <c r="Z53" i="59" s="1"/>
  <c r="T53" i="59"/>
  <c r="P53" i="59"/>
  <c r="H53" i="59"/>
  <c r="N53" i="59" s="1"/>
  <c r="D53" i="59"/>
  <c r="L53" i="59" s="1"/>
  <c r="B53" i="59"/>
  <c r="Z52" i="59"/>
  <c r="X52" i="59"/>
  <c r="N52" i="59"/>
  <c r="L52" i="59"/>
  <c r="B52" i="59"/>
  <c r="Z51" i="59"/>
  <c r="X51" i="59"/>
  <c r="R51" i="59"/>
  <c r="L51" i="59"/>
  <c r="N51" i="59" s="1"/>
  <c r="F51" i="59"/>
  <c r="B51" i="59"/>
  <c r="T50" i="59"/>
  <c r="P50" i="59"/>
  <c r="X50" i="59" s="1"/>
  <c r="H50" i="59"/>
  <c r="F50" i="59"/>
  <c r="D50" i="59"/>
  <c r="L50" i="59" s="1"/>
  <c r="N50" i="59" s="1"/>
  <c r="B50" i="59"/>
  <c r="X49" i="59"/>
  <c r="Z49" i="59" s="1"/>
  <c r="L49" i="59"/>
  <c r="N49" i="59" s="1"/>
  <c r="B49" i="59"/>
  <c r="Z48" i="59"/>
  <c r="X48" i="59"/>
  <c r="T48" i="59"/>
  <c r="R48" i="59"/>
  <c r="P48" i="59"/>
  <c r="L48" i="59"/>
  <c r="N48" i="59" s="1"/>
  <c r="H48" i="59"/>
  <c r="D48" i="59"/>
  <c r="B48" i="59"/>
  <c r="Z47" i="59"/>
  <c r="X47" i="59"/>
  <c r="R47" i="59"/>
  <c r="N47" i="59"/>
  <c r="L47" i="59"/>
  <c r="F47" i="59"/>
  <c r="B47" i="59"/>
  <c r="X46" i="59"/>
  <c r="Z46" i="59" s="1"/>
  <c r="L46" i="59"/>
  <c r="N46" i="59" s="1"/>
  <c r="F46" i="59"/>
  <c r="B46" i="59"/>
  <c r="X45" i="59"/>
  <c r="Z45" i="59" s="1"/>
  <c r="L45" i="59"/>
  <c r="N45" i="59" s="1"/>
  <c r="B45" i="59"/>
  <c r="T44" i="59"/>
  <c r="X44" i="59" s="1"/>
  <c r="Z44" i="59" s="1"/>
  <c r="R44" i="59"/>
  <c r="P44" i="59"/>
  <c r="H44" i="59"/>
  <c r="D44" i="59"/>
  <c r="B44" i="59"/>
  <c r="Z43" i="59"/>
  <c r="X43" i="59"/>
  <c r="R43" i="59"/>
  <c r="L43" i="59"/>
  <c r="N43" i="59" s="1"/>
  <c r="F43" i="59"/>
  <c r="B43" i="59"/>
  <c r="T42" i="59"/>
  <c r="Z42" i="59" s="1"/>
  <c r="P42" i="59"/>
  <c r="X42" i="59" s="1"/>
  <c r="H42" i="59"/>
  <c r="F42" i="59"/>
  <c r="D42" i="59"/>
  <c r="L42" i="59" s="1"/>
  <c r="N42" i="59" s="1"/>
  <c r="B42" i="59"/>
  <c r="Z41" i="59"/>
  <c r="X41" i="59"/>
  <c r="N41" i="59"/>
  <c r="L41" i="59"/>
  <c r="B41" i="59"/>
  <c r="Z40" i="59"/>
  <c r="X40" i="59"/>
  <c r="T40" i="59"/>
  <c r="R40" i="59"/>
  <c r="P40" i="59"/>
  <c r="N40" i="59"/>
  <c r="L40" i="59"/>
  <c r="H40" i="59"/>
  <c r="D40" i="59"/>
  <c r="B40" i="59"/>
  <c r="Z39" i="59"/>
  <c r="X39" i="59"/>
  <c r="R39" i="59"/>
  <c r="N39" i="59"/>
  <c r="L39" i="59"/>
  <c r="F39" i="59"/>
  <c r="B39" i="59"/>
  <c r="T38" i="59"/>
  <c r="P38" i="59"/>
  <c r="N38" i="59"/>
  <c r="H38" i="59"/>
  <c r="L38" i="59" s="1"/>
  <c r="F38" i="59"/>
  <c r="D38" i="59"/>
  <c r="B38" i="59"/>
  <c r="X37" i="59"/>
  <c r="Z37" i="59" s="1"/>
  <c r="N37" i="59"/>
  <c r="L37" i="59"/>
  <c r="F37" i="59"/>
  <c r="B37" i="59"/>
  <c r="Z36" i="59"/>
  <c r="T36" i="59"/>
  <c r="R36" i="59"/>
  <c r="P36" i="59"/>
  <c r="X36" i="59" s="1"/>
  <c r="H36" i="59"/>
  <c r="N36" i="59" s="1"/>
  <c r="F36" i="59"/>
  <c r="D36" i="59"/>
  <c r="L36" i="59" s="1"/>
  <c r="B36" i="59"/>
  <c r="X35" i="59"/>
  <c r="Z35" i="59" s="1"/>
  <c r="R35" i="59"/>
  <c r="N35" i="59"/>
  <c r="L35" i="59"/>
  <c r="F35" i="59"/>
  <c r="B35" i="59"/>
  <c r="X34" i="59"/>
  <c r="Z34" i="59" s="1"/>
  <c r="L34" i="59"/>
  <c r="N34" i="59" s="1"/>
  <c r="F34" i="59"/>
  <c r="B34" i="59"/>
  <c r="X33" i="59"/>
  <c r="Z33" i="59" s="1"/>
  <c r="L33" i="59"/>
  <c r="N33" i="59" s="1"/>
  <c r="B33" i="59"/>
  <c r="Z32" i="59"/>
  <c r="X32" i="59"/>
  <c r="N32" i="59"/>
  <c r="L32" i="59"/>
  <c r="F32" i="59"/>
  <c r="B32" i="59"/>
  <c r="X31" i="59"/>
  <c r="Z31" i="59" s="1"/>
  <c r="R31" i="59"/>
  <c r="N31" i="59"/>
  <c r="L31" i="59"/>
  <c r="F31" i="59"/>
  <c r="B31" i="59"/>
  <c r="X30" i="59"/>
  <c r="Z30" i="59" s="1"/>
  <c r="V30" i="59"/>
  <c r="T30" i="59"/>
  <c r="P30" i="59"/>
  <c r="N30" i="59"/>
  <c r="L30" i="59"/>
  <c r="H30" i="59"/>
  <c r="F30" i="59"/>
  <c r="D30" i="59"/>
  <c r="B30" i="59"/>
  <c r="X29" i="59"/>
  <c r="Z29" i="59" s="1"/>
  <c r="L29" i="59"/>
  <c r="N29" i="59" s="1"/>
  <c r="B29" i="59"/>
  <c r="Z28" i="59"/>
  <c r="X28" i="59"/>
  <c r="R28" i="59"/>
  <c r="N28" i="59"/>
  <c r="L28" i="59"/>
  <c r="F28" i="59"/>
  <c r="B28" i="59"/>
  <c r="Z27" i="59"/>
  <c r="X27" i="59"/>
  <c r="R27" i="59"/>
  <c r="N27" i="59"/>
  <c r="L27" i="59"/>
  <c r="F27" i="59"/>
  <c r="B27" i="59"/>
  <c r="X26" i="59"/>
  <c r="Z26" i="59" s="1"/>
  <c r="R26" i="59"/>
  <c r="L26" i="59"/>
  <c r="N26" i="59" s="1"/>
  <c r="F26" i="59"/>
  <c r="B26" i="59"/>
  <c r="X25" i="59"/>
  <c r="Z25" i="59" s="1"/>
  <c r="N25" i="59"/>
  <c r="L25" i="59"/>
  <c r="B25" i="59"/>
  <c r="Z24" i="59"/>
  <c r="X24" i="59"/>
  <c r="R24" i="59"/>
  <c r="N24" i="59"/>
  <c r="L24" i="59"/>
  <c r="F24" i="59"/>
  <c r="B24" i="59"/>
  <c r="Z23" i="59"/>
  <c r="X23" i="59"/>
  <c r="R23" i="59"/>
  <c r="N23" i="59"/>
  <c r="L23" i="59"/>
  <c r="F23" i="59"/>
  <c r="B23" i="59"/>
  <c r="X22" i="59"/>
  <c r="Z22" i="59" s="1"/>
  <c r="R22" i="59"/>
  <c r="L22" i="59"/>
  <c r="N22" i="59" s="1"/>
  <c r="F22" i="59"/>
  <c r="B22" i="59"/>
  <c r="X21" i="59"/>
  <c r="Z21" i="59" s="1"/>
  <c r="L21" i="59"/>
  <c r="N21" i="59" s="1"/>
  <c r="B21" i="59"/>
  <c r="Z20" i="59"/>
  <c r="X20" i="59"/>
  <c r="R20" i="59"/>
  <c r="N20" i="59"/>
  <c r="L20" i="59"/>
  <c r="F20" i="59"/>
  <c r="B20" i="59"/>
  <c r="T19" i="59"/>
  <c r="P19" i="59"/>
  <c r="X19" i="59" s="1"/>
  <c r="H19" i="59"/>
  <c r="F19" i="59"/>
  <c r="D19" i="59"/>
  <c r="L19" i="59" s="1"/>
  <c r="N19" i="59" s="1"/>
  <c r="B19" i="59"/>
  <c r="T18" i="59"/>
  <c r="P18" i="59"/>
  <c r="X18" i="59" s="1"/>
  <c r="N18" i="59"/>
  <c r="H18" i="59"/>
  <c r="F18" i="59"/>
  <c r="D18" i="59"/>
  <c r="L18" i="59" s="1"/>
  <c r="V16" i="59"/>
  <c r="P16" i="59"/>
  <c r="F16" i="59"/>
  <c r="V14" i="59"/>
  <c r="T14" i="59"/>
  <c r="Z14" i="59" s="1"/>
  <c r="P14" i="59"/>
  <c r="X14" i="59" s="1"/>
  <c r="N14" i="59"/>
  <c r="H14" i="59"/>
  <c r="F14" i="59"/>
  <c r="D14" i="59"/>
  <c r="D16" i="59" s="1"/>
  <c r="T12" i="59"/>
  <c r="V26" i="59" s="1"/>
  <c r="P12" i="59"/>
  <c r="R63" i="59" s="1"/>
  <c r="H12" i="59"/>
  <c r="J40" i="59" s="1"/>
  <c r="D12" i="59"/>
  <c r="F57" i="59" s="1"/>
  <c r="D6" i="59"/>
  <c r="D4" i="59"/>
  <c r="R79" i="58"/>
  <c r="R76" i="58"/>
  <c r="Z74" i="58"/>
  <c r="X74" i="58"/>
  <c r="N74" i="58"/>
  <c r="L74" i="58"/>
  <c r="R72" i="58"/>
  <c r="Z70" i="58"/>
  <c r="T70" i="58"/>
  <c r="R70" i="58"/>
  <c r="P70" i="58"/>
  <c r="X70" i="58" s="1"/>
  <c r="H70" i="58"/>
  <c r="N70" i="58" s="1"/>
  <c r="D70" i="58"/>
  <c r="L70" i="58" s="1"/>
  <c r="Z68" i="58"/>
  <c r="X68" i="58"/>
  <c r="N68" i="58"/>
  <c r="L68" i="58"/>
  <c r="B68" i="58"/>
  <c r="T67" i="58"/>
  <c r="P67" i="58"/>
  <c r="N67" i="58"/>
  <c r="L67" i="58"/>
  <c r="H67" i="58"/>
  <c r="D67" i="58"/>
  <c r="B67" i="58"/>
  <c r="X66" i="58"/>
  <c r="Z66" i="58" s="1"/>
  <c r="L66" i="58"/>
  <c r="N66" i="58" s="1"/>
  <c r="B66" i="58"/>
  <c r="T65" i="58"/>
  <c r="R65" i="58"/>
  <c r="P65" i="58"/>
  <c r="X65" i="58" s="1"/>
  <c r="J65" i="58"/>
  <c r="H65" i="58"/>
  <c r="D65" i="58"/>
  <c r="L65" i="58" s="1"/>
  <c r="B65" i="58"/>
  <c r="Z64" i="58"/>
  <c r="X64" i="58"/>
  <c r="N64" i="58"/>
  <c r="L64" i="58"/>
  <c r="B64" i="58"/>
  <c r="T63" i="58"/>
  <c r="P63" i="58"/>
  <c r="X63" i="58" s="1"/>
  <c r="H63" i="58"/>
  <c r="D63" i="58"/>
  <c r="L63" i="58" s="1"/>
  <c r="N63" i="58" s="1"/>
  <c r="B63" i="58"/>
  <c r="X62" i="58"/>
  <c r="Z62" i="58" s="1"/>
  <c r="L62" i="58"/>
  <c r="N62" i="58" s="1"/>
  <c r="B62" i="58"/>
  <c r="Z61" i="58"/>
  <c r="X61" i="58"/>
  <c r="L61" i="58"/>
  <c r="N61" i="58" s="1"/>
  <c r="B61" i="58"/>
  <c r="Z60" i="58"/>
  <c r="X60" i="58"/>
  <c r="N60" i="58"/>
  <c r="L60" i="58"/>
  <c r="B60" i="58"/>
  <c r="Z59" i="58"/>
  <c r="X59" i="58"/>
  <c r="N59" i="58"/>
  <c r="L59" i="58"/>
  <c r="B59" i="58"/>
  <c r="T58" i="58"/>
  <c r="P58" i="58"/>
  <c r="X58" i="58" s="1"/>
  <c r="H58" i="58"/>
  <c r="F58" i="58"/>
  <c r="D58" i="58"/>
  <c r="B58" i="58"/>
  <c r="X57" i="58"/>
  <c r="Z57" i="58" s="1"/>
  <c r="N57" i="58"/>
  <c r="L57" i="58"/>
  <c r="B57" i="58"/>
  <c r="X56" i="58"/>
  <c r="Z56" i="58" s="1"/>
  <c r="T56" i="58"/>
  <c r="R56" i="58"/>
  <c r="P56" i="58"/>
  <c r="N56" i="58"/>
  <c r="H56" i="58"/>
  <c r="D56" i="58"/>
  <c r="L56" i="58" s="1"/>
  <c r="B56" i="58"/>
  <c r="Z55" i="58"/>
  <c r="X55" i="58"/>
  <c r="R55" i="58"/>
  <c r="N55" i="58"/>
  <c r="L55" i="58"/>
  <c r="F55" i="58"/>
  <c r="B55" i="58"/>
  <c r="X54" i="58"/>
  <c r="Z54" i="58" s="1"/>
  <c r="R54" i="58"/>
  <c r="L54" i="58"/>
  <c r="N54" i="58" s="1"/>
  <c r="B54" i="58"/>
  <c r="T53" i="58"/>
  <c r="R53" i="58"/>
  <c r="P53" i="58"/>
  <c r="X53" i="58" s="1"/>
  <c r="Z53" i="58" s="1"/>
  <c r="H53" i="58"/>
  <c r="N53" i="58" s="1"/>
  <c r="D53" i="58"/>
  <c r="L53" i="58" s="1"/>
  <c r="B53" i="58"/>
  <c r="Z52" i="58"/>
  <c r="X52" i="58"/>
  <c r="R52" i="58"/>
  <c r="L52" i="58"/>
  <c r="N52" i="58" s="1"/>
  <c r="B52" i="58"/>
  <c r="Z51" i="58"/>
  <c r="X51" i="58"/>
  <c r="R51" i="58"/>
  <c r="N51" i="58"/>
  <c r="L51" i="58"/>
  <c r="B51" i="58"/>
  <c r="T50" i="58"/>
  <c r="P50" i="58"/>
  <c r="X50" i="58" s="1"/>
  <c r="H50" i="58"/>
  <c r="D50" i="58"/>
  <c r="B50" i="58"/>
  <c r="X49" i="58"/>
  <c r="Z49" i="58" s="1"/>
  <c r="N49" i="58"/>
  <c r="L49" i="58"/>
  <c r="B49" i="58"/>
  <c r="X48" i="58"/>
  <c r="Z48" i="58" s="1"/>
  <c r="T48" i="58"/>
  <c r="R48" i="58"/>
  <c r="P48" i="58"/>
  <c r="H48" i="58"/>
  <c r="D48" i="58"/>
  <c r="L48" i="58" s="1"/>
  <c r="N48" i="58" s="1"/>
  <c r="B48" i="58"/>
  <c r="Z47" i="58"/>
  <c r="X47" i="58"/>
  <c r="R47" i="58"/>
  <c r="N47" i="58"/>
  <c r="L47" i="58"/>
  <c r="F47" i="58"/>
  <c r="B47" i="58"/>
  <c r="T46" i="58"/>
  <c r="P46" i="58"/>
  <c r="H46" i="58"/>
  <c r="L46" i="58" s="1"/>
  <c r="D46" i="58"/>
  <c r="B46" i="58"/>
  <c r="X45" i="58"/>
  <c r="Z45" i="58" s="1"/>
  <c r="L45" i="58"/>
  <c r="N45" i="58" s="1"/>
  <c r="B45" i="58"/>
  <c r="T44" i="58"/>
  <c r="P44" i="58"/>
  <c r="H44" i="58"/>
  <c r="D44" i="58"/>
  <c r="L44" i="58" s="1"/>
  <c r="B44" i="58"/>
  <c r="Z43" i="58"/>
  <c r="X43" i="58"/>
  <c r="R43" i="58"/>
  <c r="N43" i="58"/>
  <c r="L43" i="58"/>
  <c r="B43" i="58"/>
  <c r="T42" i="58"/>
  <c r="P42" i="58"/>
  <c r="X42" i="58" s="1"/>
  <c r="Z42" i="58" s="1"/>
  <c r="N42" i="58"/>
  <c r="L42" i="58"/>
  <c r="H42" i="58"/>
  <c r="D42" i="58"/>
  <c r="B42" i="58"/>
  <c r="X41" i="58"/>
  <c r="Z41" i="58" s="1"/>
  <c r="N41" i="58"/>
  <c r="L41" i="58"/>
  <c r="B41" i="58"/>
  <c r="Z40" i="58"/>
  <c r="T40" i="58"/>
  <c r="X40" i="58" s="1"/>
  <c r="R40" i="58"/>
  <c r="P40" i="58"/>
  <c r="L40" i="58"/>
  <c r="H40" i="58"/>
  <c r="D40" i="58"/>
  <c r="B40" i="58"/>
  <c r="Z39" i="58"/>
  <c r="X39" i="58"/>
  <c r="R39" i="58"/>
  <c r="N39" i="58"/>
  <c r="L39" i="58"/>
  <c r="B39" i="58"/>
  <c r="T38" i="58"/>
  <c r="P38" i="58"/>
  <c r="X38" i="58" s="1"/>
  <c r="H38" i="58"/>
  <c r="D38" i="58"/>
  <c r="L38" i="58" s="1"/>
  <c r="B38" i="58"/>
  <c r="X37" i="58"/>
  <c r="Z37" i="58" s="1"/>
  <c r="N37" i="58"/>
  <c r="L37" i="58"/>
  <c r="B37" i="58"/>
  <c r="X36" i="58"/>
  <c r="Z36" i="58" s="1"/>
  <c r="T36" i="58"/>
  <c r="R36" i="58"/>
  <c r="P36" i="58"/>
  <c r="L36" i="58"/>
  <c r="N36" i="58" s="1"/>
  <c r="H36" i="58"/>
  <c r="D36" i="58"/>
  <c r="B36" i="58"/>
  <c r="Z35" i="58"/>
  <c r="X35" i="58"/>
  <c r="R35" i="58"/>
  <c r="N35" i="58"/>
  <c r="L35" i="58"/>
  <c r="B35" i="58"/>
  <c r="X34" i="58"/>
  <c r="Z34" i="58" s="1"/>
  <c r="R34" i="58"/>
  <c r="L34" i="58"/>
  <c r="N34" i="58" s="1"/>
  <c r="B34" i="58"/>
  <c r="Z33" i="58"/>
  <c r="X33" i="58"/>
  <c r="N33" i="58"/>
  <c r="L33" i="58"/>
  <c r="J33" i="58"/>
  <c r="B33" i="58"/>
  <c r="X32" i="58"/>
  <c r="Z32" i="58" s="1"/>
  <c r="R32" i="58"/>
  <c r="N32" i="58"/>
  <c r="L32" i="58"/>
  <c r="B32" i="58"/>
  <c r="Z31" i="58"/>
  <c r="X31" i="58"/>
  <c r="R31" i="58"/>
  <c r="N31" i="58"/>
  <c r="L31" i="58"/>
  <c r="B31" i="58"/>
  <c r="X30" i="58"/>
  <c r="T30" i="58"/>
  <c r="P30" i="58"/>
  <c r="L30" i="58"/>
  <c r="H30" i="58"/>
  <c r="N30" i="58" s="1"/>
  <c r="F30" i="58"/>
  <c r="D30" i="58"/>
  <c r="B30" i="58"/>
  <c r="X29" i="58"/>
  <c r="Z29" i="58" s="1"/>
  <c r="L29" i="58"/>
  <c r="N29" i="58" s="1"/>
  <c r="B29" i="58"/>
  <c r="Z28" i="58"/>
  <c r="X28" i="58"/>
  <c r="R28" i="58"/>
  <c r="N28" i="58"/>
  <c r="L28" i="58"/>
  <c r="B28" i="58"/>
  <c r="Z27" i="58"/>
  <c r="X27" i="58"/>
  <c r="R27" i="58"/>
  <c r="N27" i="58"/>
  <c r="L27" i="58"/>
  <c r="B27" i="58"/>
  <c r="X26" i="58"/>
  <c r="Z26" i="58" s="1"/>
  <c r="R26" i="58"/>
  <c r="L26" i="58"/>
  <c r="N26" i="58" s="1"/>
  <c r="B26" i="58"/>
  <c r="X25" i="58"/>
  <c r="Z25" i="58" s="1"/>
  <c r="L25" i="58"/>
  <c r="N25" i="58" s="1"/>
  <c r="B25" i="58"/>
  <c r="Z24" i="58"/>
  <c r="X24" i="58"/>
  <c r="R24" i="58"/>
  <c r="L24" i="58"/>
  <c r="N24" i="58" s="1"/>
  <c r="B24" i="58"/>
  <c r="Z23" i="58"/>
  <c r="X23" i="58"/>
  <c r="R23" i="58"/>
  <c r="N23" i="58"/>
  <c r="L23" i="58"/>
  <c r="J23" i="58"/>
  <c r="B23" i="58"/>
  <c r="X22" i="58"/>
  <c r="Z22" i="58" s="1"/>
  <c r="R22" i="58"/>
  <c r="L22" i="58"/>
  <c r="N22" i="58" s="1"/>
  <c r="B22" i="58"/>
  <c r="X21" i="58"/>
  <c r="Z21" i="58" s="1"/>
  <c r="L21" i="58"/>
  <c r="N21" i="58" s="1"/>
  <c r="B21" i="58"/>
  <c r="Z20" i="58"/>
  <c r="X20" i="58"/>
  <c r="R20" i="58"/>
  <c r="L20" i="58"/>
  <c r="N20" i="58" s="1"/>
  <c r="B20" i="58"/>
  <c r="T19" i="58"/>
  <c r="X19" i="58" s="1"/>
  <c r="P19" i="58"/>
  <c r="H19" i="58"/>
  <c r="D19" i="58"/>
  <c r="L19" i="58" s="1"/>
  <c r="N19" i="58" s="1"/>
  <c r="B19" i="58"/>
  <c r="T18" i="58"/>
  <c r="P18" i="58"/>
  <c r="X18" i="58" s="1"/>
  <c r="L18" i="58"/>
  <c r="N18" i="58" s="1"/>
  <c r="H18" i="58"/>
  <c r="D18" i="58"/>
  <c r="H16" i="58"/>
  <c r="H72" i="58" s="1"/>
  <c r="F16" i="58"/>
  <c r="D16" i="58"/>
  <c r="T14" i="58"/>
  <c r="Z14" i="58" s="1"/>
  <c r="P14" i="58"/>
  <c r="P16" i="58" s="1"/>
  <c r="N14" i="58"/>
  <c r="H14" i="58"/>
  <c r="F14" i="58"/>
  <c r="D14" i="58"/>
  <c r="L14" i="58" s="1"/>
  <c r="T12" i="58"/>
  <c r="P12" i="58"/>
  <c r="H12" i="58"/>
  <c r="J59" i="58" s="1"/>
  <c r="D12" i="58"/>
  <c r="F59" i="58" s="1"/>
  <c r="D6" i="58"/>
  <c r="D4" i="58"/>
  <c r="Z69" i="57"/>
  <c r="X69" i="57"/>
  <c r="N69" i="57"/>
  <c r="L69" i="57"/>
  <c r="F69" i="57"/>
  <c r="T65" i="57"/>
  <c r="Z65" i="57" s="1"/>
  <c r="P65" i="57"/>
  <c r="X65" i="57" s="1"/>
  <c r="H65" i="57"/>
  <c r="N65" i="57" s="1"/>
  <c r="D65" i="57"/>
  <c r="L65" i="57" s="1"/>
  <c r="Z63" i="57"/>
  <c r="X63" i="57"/>
  <c r="N63" i="57"/>
  <c r="L63" i="57"/>
  <c r="F63" i="57"/>
  <c r="B63" i="57"/>
  <c r="T62" i="57"/>
  <c r="Z62" i="57" s="1"/>
  <c r="P62" i="57"/>
  <c r="H62" i="57"/>
  <c r="N62" i="57" s="1"/>
  <c r="F62" i="57"/>
  <c r="D62" i="57"/>
  <c r="L62" i="57" s="1"/>
  <c r="B62" i="57"/>
  <c r="X61" i="57"/>
  <c r="Z61" i="57" s="1"/>
  <c r="L61" i="57"/>
  <c r="N61" i="57" s="1"/>
  <c r="F61" i="57"/>
  <c r="B61" i="57"/>
  <c r="X60" i="57"/>
  <c r="Z60" i="57" s="1"/>
  <c r="T60" i="57"/>
  <c r="P60" i="57"/>
  <c r="H60" i="57"/>
  <c r="D60" i="57"/>
  <c r="B60" i="57"/>
  <c r="X59" i="57"/>
  <c r="Z59" i="57" s="1"/>
  <c r="N59" i="57"/>
  <c r="L59" i="57"/>
  <c r="F59" i="57"/>
  <c r="B59" i="57"/>
  <c r="Z58" i="57"/>
  <c r="X58" i="57"/>
  <c r="T58" i="57"/>
  <c r="P58" i="57"/>
  <c r="H58" i="57"/>
  <c r="F58" i="57"/>
  <c r="D58" i="57"/>
  <c r="L58" i="57" s="1"/>
  <c r="N58" i="57" s="1"/>
  <c r="B58" i="57"/>
  <c r="Z57" i="57"/>
  <c r="X57" i="57"/>
  <c r="N57" i="57"/>
  <c r="L57" i="57"/>
  <c r="F57" i="57"/>
  <c r="B57" i="57"/>
  <c r="X56" i="57"/>
  <c r="Z56" i="57" s="1"/>
  <c r="L56" i="57"/>
  <c r="N56" i="57" s="1"/>
  <c r="B56" i="57"/>
  <c r="Z55" i="57"/>
  <c r="X55" i="57"/>
  <c r="V55" i="57"/>
  <c r="N55" i="57"/>
  <c r="L55" i="57"/>
  <c r="F55" i="57"/>
  <c r="B55" i="57"/>
  <c r="T54" i="57"/>
  <c r="Z54" i="57" s="1"/>
  <c r="P54" i="57"/>
  <c r="X54" i="57" s="1"/>
  <c r="N54" i="57"/>
  <c r="H54" i="57"/>
  <c r="F54" i="57"/>
  <c r="D54" i="57"/>
  <c r="L54" i="57" s="1"/>
  <c r="B54" i="57"/>
  <c r="X53" i="57"/>
  <c r="Z53" i="57" s="1"/>
  <c r="N53" i="57"/>
  <c r="L53" i="57"/>
  <c r="F53" i="57"/>
  <c r="B53" i="57"/>
  <c r="T52" i="57"/>
  <c r="P52" i="57"/>
  <c r="X52" i="57" s="1"/>
  <c r="Z52" i="57" s="1"/>
  <c r="N52" i="57"/>
  <c r="H52" i="57"/>
  <c r="F52" i="57"/>
  <c r="D52" i="57"/>
  <c r="L52" i="57" s="1"/>
  <c r="B52" i="57"/>
  <c r="Z51" i="57"/>
  <c r="X51" i="57"/>
  <c r="L51" i="57"/>
  <c r="N51" i="57" s="1"/>
  <c r="F51" i="57"/>
  <c r="B51" i="57"/>
  <c r="X50" i="57"/>
  <c r="T50" i="57"/>
  <c r="Z50" i="57" s="1"/>
  <c r="P50" i="57"/>
  <c r="H50" i="57"/>
  <c r="L50" i="57" s="1"/>
  <c r="N50" i="57" s="1"/>
  <c r="F50" i="57"/>
  <c r="D50" i="57"/>
  <c r="B50" i="57"/>
  <c r="Z49" i="57"/>
  <c r="X49" i="57"/>
  <c r="N49" i="57"/>
  <c r="L49" i="57"/>
  <c r="F49" i="57"/>
  <c r="B49" i="57"/>
  <c r="Z48" i="57"/>
  <c r="X48" i="57"/>
  <c r="N48" i="57"/>
  <c r="L48" i="57"/>
  <c r="F48" i="57"/>
  <c r="B48" i="57"/>
  <c r="X47" i="57"/>
  <c r="Z47" i="57" s="1"/>
  <c r="R47" i="57"/>
  <c r="L47" i="57"/>
  <c r="N47" i="57" s="1"/>
  <c r="F47" i="57"/>
  <c r="B47" i="57"/>
  <c r="T46" i="57"/>
  <c r="Z46" i="57" s="1"/>
  <c r="P46" i="57"/>
  <c r="X46" i="57" s="1"/>
  <c r="N46" i="57"/>
  <c r="H46" i="57"/>
  <c r="F46" i="57"/>
  <c r="D46" i="57"/>
  <c r="L46" i="57" s="1"/>
  <c r="B46" i="57"/>
  <c r="X45" i="57"/>
  <c r="Z45" i="57" s="1"/>
  <c r="N45" i="57"/>
  <c r="L45" i="57"/>
  <c r="F45" i="57"/>
  <c r="B45" i="57"/>
  <c r="T44" i="57"/>
  <c r="P44" i="57"/>
  <c r="X44" i="57" s="1"/>
  <c r="Z44" i="57" s="1"/>
  <c r="N44" i="57"/>
  <c r="J44" i="57"/>
  <c r="H44" i="57"/>
  <c r="F44" i="57"/>
  <c r="D44" i="57"/>
  <c r="L44" i="57" s="1"/>
  <c r="B44" i="57"/>
  <c r="Z43" i="57"/>
  <c r="X43" i="57"/>
  <c r="L43" i="57"/>
  <c r="N43" i="57" s="1"/>
  <c r="F43" i="57"/>
  <c r="B43" i="57"/>
  <c r="X42" i="57"/>
  <c r="T42" i="57"/>
  <c r="Z42" i="57" s="1"/>
  <c r="P42" i="57"/>
  <c r="H42" i="57"/>
  <c r="L42" i="57" s="1"/>
  <c r="N42" i="57" s="1"/>
  <c r="F42" i="57"/>
  <c r="D42" i="57"/>
  <c r="B42" i="57"/>
  <c r="Z41" i="57"/>
  <c r="X41" i="57"/>
  <c r="L41" i="57"/>
  <c r="N41" i="57" s="1"/>
  <c r="F41" i="57"/>
  <c r="B41" i="57"/>
  <c r="Z40" i="57"/>
  <c r="X40" i="57"/>
  <c r="N40" i="57"/>
  <c r="L40" i="57"/>
  <c r="F40" i="57"/>
  <c r="B40" i="57"/>
  <c r="T39" i="57"/>
  <c r="P39" i="57"/>
  <c r="H39" i="57"/>
  <c r="F39" i="57"/>
  <c r="D39" i="57"/>
  <c r="L39" i="57" s="1"/>
  <c r="N39" i="57" s="1"/>
  <c r="B39" i="57"/>
  <c r="Z38" i="57"/>
  <c r="X38" i="57"/>
  <c r="V38" i="57"/>
  <c r="L38" i="57"/>
  <c r="N38" i="57" s="1"/>
  <c r="F38" i="57"/>
  <c r="B38" i="57"/>
  <c r="T37" i="57"/>
  <c r="Z37" i="57" s="1"/>
  <c r="P37" i="57"/>
  <c r="X37" i="57" s="1"/>
  <c r="H37" i="57"/>
  <c r="L37" i="57" s="1"/>
  <c r="F37" i="57"/>
  <c r="D37" i="57"/>
  <c r="B37" i="57"/>
  <c r="Z36" i="57"/>
  <c r="X36" i="57"/>
  <c r="N36" i="57"/>
  <c r="L36" i="57"/>
  <c r="F36" i="57"/>
  <c r="B36" i="57"/>
  <c r="T35" i="57"/>
  <c r="Z35" i="57" s="1"/>
  <c r="P35" i="57"/>
  <c r="X35" i="57" s="1"/>
  <c r="L35" i="57"/>
  <c r="N35" i="57" s="1"/>
  <c r="H35" i="57"/>
  <c r="F35" i="57"/>
  <c r="D35" i="57"/>
  <c r="B35" i="57"/>
  <c r="X34" i="57"/>
  <c r="Z34" i="57" s="1"/>
  <c r="N34" i="57"/>
  <c r="L34" i="57"/>
  <c r="B34" i="57"/>
  <c r="T33" i="57"/>
  <c r="P33" i="57"/>
  <c r="X33" i="57" s="1"/>
  <c r="Z33" i="57" s="1"/>
  <c r="H33" i="57"/>
  <c r="D33" i="57"/>
  <c r="B33" i="57"/>
  <c r="Z32" i="57"/>
  <c r="X32" i="57"/>
  <c r="N32" i="57"/>
  <c r="L32" i="57"/>
  <c r="F32" i="57"/>
  <c r="B32" i="57"/>
  <c r="X31" i="57"/>
  <c r="Z31" i="57" s="1"/>
  <c r="N31" i="57"/>
  <c r="L31" i="57"/>
  <c r="F31" i="57"/>
  <c r="B31" i="57"/>
  <c r="Z30" i="57"/>
  <c r="X30" i="57"/>
  <c r="V30" i="57"/>
  <c r="L30" i="57"/>
  <c r="N30" i="57" s="1"/>
  <c r="F30" i="57"/>
  <c r="B30" i="57"/>
  <c r="X29" i="57"/>
  <c r="Z29" i="57" s="1"/>
  <c r="L29" i="57"/>
  <c r="N29" i="57" s="1"/>
  <c r="F29" i="57"/>
  <c r="B29" i="57"/>
  <c r="T28" i="57"/>
  <c r="R28" i="57"/>
  <c r="P28" i="57"/>
  <c r="X28" i="57" s="1"/>
  <c r="Z28" i="57" s="1"/>
  <c r="H28" i="57"/>
  <c r="F28" i="57"/>
  <c r="D28" i="57"/>
  <c r="L28" i="57" s="1"/>
  <c r="N28" i="57" s="1"/>
  <c r="B28" i="57"/>
  <c r="Z27" i="57"/>
  <c r="X27" i="57"/>
  <c r="R27" i="57"/>
  <c r="L27" i="57"/>
  <c r="N27" i="57" s="1"/>
  <c r="F27" i="57"/>
  <c r="B27" i="57"/>
  <c r="X26" i="57"/>
  <c r="Z26" i="57" s="1"/>
  <c r="L26" i="57"/>
  <c r="N26" i="57" s="1"/>
  <c r="F26" i="57"/>
  <c r="B26" i="57"/>
  <c r="X25" i="57"/>
  <c r="Z25" i="57" s="1"/>
  <c r="N25" i="57"/>
  <c r="L25" i="57"/>
  <c r="F25" i="57"/>
  <c r="B25" i="57"/>
  <c r="Z24" i="57"/>
  <c r="X24" i="57"/>
  <c r="N24" i="57"/>
  <c r="L24" i="57"/>
  <c r="F24" i="57"/>
  <c r="B24" i="57"/>
  <c r="Z23" i="57"/>
  <c r="X23" i="57"/>
  <c r="R23" i="57"/>
  <c r="L23" i="57"/>
  <c r="N23" i="57" s="1"/>
  <c r="F23" i="57"/>
  <c r="B23" i="57"/>
  <c r="X22" i="57"/>
  <c r="Z22" i="57" s="1"/>
  <c r="L22" i="57"/>
  <c r="N22" i="57" s="1"/>
  <c r="F22" i="57"/>
  <c r="B22" i="57"/>
  <c r="X21" i="57"/>
  <c r="Z21" i="57" s="1"/>
  <c r="N21" i="57"/>
  <c r="L21" i="57"/>
  <c r="F21" i="57"/>
  <c r="B21" i="57"/>
  <c r="Z20" i="57"/>
  <c r="X20" i="57"/>
  <c r="N20" i="57"/>
  <c r="L20" i="57"/>
  <c r="F20" i="57"/>
  <c r="B20" i="57"/>
  <c r="T19" i="57"/>
  <c r="Z19" i="57" s="1"/>
  <c r="P19" i="57"/>
  <c r="X19" i="57" s="1"/>
  <c r="L19" i="57"/>
  <c r="N19" i="57" s="1"/>
  <c r="H19" i="57"/>
  <c r="F19" i="57"/>
  <c r="D19" i="57"/>
  <c r="B19" i="57"/>
  <c r="T18" i="57"/>
  <c r="R18" i="57"/>
  <c r="P18" i="57"/>
  <c r="X18" i="57" s="1"/>
  <c r="H18" i="57"/>
  <c r="F18" i="57"/>
  <c r="D18" i="57"/>
  <c r="L18" i="57" s="1"/>
  <c r="N18" i="57" s="1"/>
  <c r="R16" i="57"/>
  <c r="F16" i="57"/>
  <c r="T14" i="57"/>
  <c r="Z14" i="57" s="1"/>
  <c r="R14" i="57"/>
  <c r="P14" i="57"/>
  <c r="X14" i="57" s="1"/>
  <c r="N14" i="57"/>
  <c r="H14" i="57"/>
  <c r="F14" i="57"/>
  <c r="D14" i="57"/>
  <c r="D16" i="57" s="1"/>
  <c r="T12" i="57"/>
  <c r="V74" i="57" s="1"/>
  <c r="P12" i="57"/>
  <c r="R25" i="57" s="1"/>
  <c r="H12" i="57"/>
  <c r="J58" i="57" s="1"/>
  <c r="D12" i="57"/>
  <c r="D6" i="57"/>
  <c r="D4" i="57"/>
  <c r="J77" i="56"/>
  <c r="J74" i="56"/>
  <c r="Z72" i="56"/>
  <c r="X72" i="56"/>
  <c r="N72" i="56"/>
  <c r="L72" i="56"/>
  <c r="Z68" i="56"/>
  <c r="T68" i="56"/>
  <c r="P68" i="56"/>
  <c r="X68" i="56" s="1"/>
  <c r="H68" i="56"/>
  <c r="N68" i="56" s="1"/>
  <c r="D68" i="56"/>
  <c r="L68" i="56" s="1"/>
  <c r="Z66" i="56"/>
  <c r="X66" i="56"/>
  <c r="R66" i="56"/>
  <c r="N66" i="56"/>
  <c r="L66" i="56"/>
  <c r="B66" i="56"/>
  <c r="V65" i="56"/>
  <c r="T65" i="56"/>
  <c r="P65" i="56"/>
  <c r="H65" i="56"/>
  <c r="D65" i="56"/>
  <c r="L65" i="56" s="1"/>
  <c r="N65" i="56" s="1"/>
  <c r="B65" i="56"/>
  <c r="X64" i="56"/>
  <c r="Z64" i="56" s="1"/>
  <c r="V64" i="56"/>
  <c r="L64" i="56"/>
  <c r="N64" i="56" s="1"/>
  <c r="B64" i="56"/>
  <c r="V63" i="56"/>
  <c r="T63" i="56"/>
  <c r="P63" i="56"/>
  <c r="X63" i="56" s="1"/>
  <c r="J63" i="56"/>
  <c r="H63" i="56"/>
  <c r="L63" i="56" s="1"/>
  <c r="D63" i="56"/>
  <c r="B63" i="56"/>
  <c r="Z62" i="56"/>
  <c r="X62" i="56"/>
  <c r="V62" i="56"/>
  <c r="N62" i="56"/>
  <c r="L62" i="56"/>
  <c r="B62" i="56"/>
  <c r="V61" i="56"/>
  <c r="T61" i="56"/>
  <c r="Z61" i="56" s="1"/>
  <c r="P61" i="56"/>
  <c r="X61" i="56" s="1"/>
  <c r="L61" i="56"/>
  <c r="N61" i="56" s="1"/>
  <c r="H61" i="56"/>
  <c r="D61" i="56"/>
  <c r="B61" i="56"/>
  <c r="X60" i="56"/>
  <c r="Z60" i="56" s="1"/>
  <c r="V60" i="56"/>
  <c r="N60" i="56"/>
  <c r="L60" i="56"/>
  <c r="J60" i="56"/>
  <c r="B60" i="56"/>
  <c r="Z59" i="56"/>
  <c r="X59" i="56"/>
  <c r="V59" i="56"/>
  <c r="L59" i="56"/>
  <c r="N59" i="56" s="1"/>
  <c r="B59" i="56"/>
  <c r="Z58" i="56"/>
  <c r="X58" i="56"/>
  <c r="V58" i="56"/>
  <c r="R58" i="56"/>
  <c r="N58" i="56"/>
  <c r="L58" i="56"/>
  <c r="B58" i="56"/>
  <c r="X57" i="56"/>
  <c r="Z57" i="56" s="1"/>
  <c r="V57" i="56"/>
  <c r="R57" i="56"/>
  <c r="N57" i="56"/>
  <c r="L57" i="56"/>
  <c r="J57" i="56"/>
  <c r="B57" i="56"/>
  <c r="V56" i="56"/>
  <c r="T56" i="56"/>
  <c r="Z56" i="56" s="1"/>
  <c r="P56" i="56"/>
  <c r="X56" i="56" s="1"/>
  <c r="H56" i="56"/>
  <c r="D56" i="56"/>
  <c r="L56" i="56" s="1"/>
  <c r="N56" i="56" s="1"/>
  <c r="B56" i="56"/>
  <c r="X55" i="56"/>
  <c r="Z55" i="56" s="1"/>
  <c r="V55" i="56"/>
  <c r="N55" i="56"/>
  <c r="L55" i="56"/>
  <c r="B55" i="56"/>
  <c r="T54" i="56"/>
  <c r="R54" i="56"/>
  <c r="P54" i="56"/>
  <c r="X54" i="56" s="1"/>
  <c r="Z54" i="56" s="1"/>
  <c r="N54" i="56"/>
  <c r="J54" i="56"/>
  <c r="H54" i="56"/>
  <c r="D54" i="56"/>
  <c r="L54" i="56" s="1"/>
  <c r="B54" i="56"/>
  <c r="Z53" i="56"/>
  <c r="X53" i="56"/>
  <c r="V53" i="56"/>
  <c r="R53" i="56"/>
  <c r="N53" i="56"/>
  <c r="L53" i="56"/>
  <c r="F53" i="56"/>
  <c r="B53" i="56"/>
  <c r="X52" i="56"/>
  <c r="Z52" i="56" s="1"/>
  <c r="V52" i="56"/>
  <c r="L52" i="56"/>
  <c r="N52" i="56" s="1"/>
  <c r="J52" i="56"/>
  <c r="B52" i="56"/>
  <c r="X51" i="56"/>
  <c r="Z51" i="56" s="1"/>
  <c r="N51" i="56"/>
  <c r="L51" i="56"/>
  <c r="B51" i="56"/>
  <c r="V50" i="56"/>
  <c r="T50" i="56"/>
  <c r="X50" i="56" s="1"/>
  <c r="Z50" i="56" s="1"/>
  <c r="R50" i="56"/>
  <c r="P50" i="56"/>
  <c r="L50" i="56"/>
  <c r="H50" i="56"/>
  <c r="N50" i="56" s="1"/>
  <c r="D50" i="56"/>
  <c r="B50" i="56"/>
  <c r="X49" i="56"/>
  <c r="Z49" i="56" s="1"/>
  <c r="V49" i="56"/>
  <c r="R49" i="56"/>
  <c r="N49" i="56"/>
  <c r="L49" i="56"/>
  <c r="J49" i="56"/>
  <c r="B49" i="56"/>
  <c r="X48" i="56"/>
  <c r="Z48" i="56" s="1"/>
  <c r="V48" i="56"/>
  <c r="L48" i="56"/>
  <c r="N48" i="56" s="1"/>
  <c r="J48" i="56"/>
  <c r="B48" i="56"/>
  <c r="Z47" i="56"/>
  <c r="X47" i="56"/>
  <c r="V47" i="56"/>
  <c r="N47" i="56"/>
  <c r="L47" i="56"/>
  <c r="B47" i="56"/>
  <c r="V46" i="56"/>
  <c r="T46" i="56"/>
  <c r="P46" i="56"/>
  <c r="X46" i="56" s="1"/>
  <c r="Z46" i="56" s="1"/>
  <c r="J46" i="56"/>
  <c r="H46" i="56"/>
  <c r="D46" i="56"/>
  <c r="L46" i="56" s="1"/>
  <c r="B46" i="56"/>
  <c r="X45" i="56"/>
  <c r="Z45" i="56" s="1"/>
  <c r="V45" i="56"/>
  <c r="N45" i="56"/>
  <c r="L45" i="56"/>
  <c r="B45" i="56"/>
  <c r="V44" i="56"/>
  <c r="T44" i="56"/>
  <c r="P44" i="56"/>
  <c r="X44" i="56" s="1"/>
  <c r="Z44" i="56" s="1"/>
  <c r="H44" i="56"/>
  <c r="D44" i="56"/>
  <c r="L44" i="56" s="1"/>
  <c r="N44" i="56" s="1"/>
  <c r="B44" i="56"/>
  <c r="X43" i="56"/>
  <c r="Z43" i="56" s="1"/>
  <c r="N43" i="56"/>
  <c r="L43" i="56"/>
  <c r="B43" i="56"/>
  <c r="V42" i="56"/>
  <c r="T42" i="56"/>
  <c r="X42" i="56" s="1"/>
  <c r="Z42" i="56" s="1"/>
  <c r="R42" i="56"/>
  <c r="P42" i="56"/>
  <c r="L42" i="56"/>
  <c r="H42" i="56"/>
  <c r="N42" i="56" s="1"/>
  <c r="D42" i="56"/>
  <c r="B42" i="56"/>
  <c r="X41" i="56"/>
  <c r="Z41" i="56" s="1"/>
  <c r="V41" i="56"/>
  <c r="R41" i="56"/>
  <c r="L41" i="56"/>
  <c r="N41" i="56" s="1"/>
  <c r="J41" i="56"/>
  <c r="B41" i="56"/>
  <c r="V40" i="56"/>
  <c r="T40" i="56"/>
  <c r="Z40" i="56" s="1"/>
  <c r="P40" i="56"/>
  <c r="X40" i="56" s="1"/>
  <c r="H40" i="56"/>
  <c r="D40" i="56"/>
  <c r="L40" i="56" s="1"/>
  <c r="N40" i="56" s="1"/>
  <c r="B40" i="56"/>
  <c r="X39" i="56"/>
  <c r="Z39" i="56" s="1"/>
  <c r="V39" i="56"/>
  <c r="L39" i="56"/>
  <c r="N39" i="56" s="1"/>
  <c r="B39" i="56"/>
  <c r="T38" i="56"/>
  <c r="R38" i="56"/>
  <c r="P38" i="56"/>
  <c r="X38" i="56" s="1"/>
  <c r="Z38" i="56" s="1"/>
  <c r="J38" i="56"/>
  <c r="H38" i="56"/>
  <c r="D38" i="56"/>
  <c r="L38" i="56" s="1"/>
  <c r="N38" i="56" s="1"/>
  <c r="B38" i="56"/>
  <c r="Z37" i="56"/>
  <c r="X37" i="56"/>
  <c r="V37" i="56"/>
  <c r="R37" i="56"/>
  <c r="N37" i="56"/>
  <c r="L37" i="56"/>
  <c r="F37" i="56"/>
  <c r="B37" i="56"/>
  <c r="X36" i="56"/>
  <c r="V36" i="56"/>
  <c r="T36" i="56"/>
  <c r="Z36" i="56" s="1"/>
  <c r="P36" i="56"/>
  <c r="N36" i="56"/>
  <c r="H36" i="56"/>
  <c r="L36" i="56" s="1"/>
  <c r="F36" i="56"/>
  <c r="D36" i="56"/>
  <c r="B36" i="56"/>
  <c r="Z35" i="56"/>
  <c r="X35" i="56"/>
  <c r="V35" i="56"/>
  <c r="L35" i="56"/>
  <c r="N35" i="56" s="1"/>
  <c r="B35" i="56"/>
  <c r="Z34" i="56"/>
  <c r="V34" i="56"/>
  <c r="T34" i="56"/>
  <c r="R34" i="56"/>
  <c r="P34" i="56"/>
  <c r="X34" i="56" s="1"/>
  <c r="J34" i="56"/>
  <c r="H34" i="56"/>
  <c r="N34" i="56" s="1"/>
  <c r="D34" i="56"/>
  <c r="L34" i="56" s="1"/>
  <c r="B34" i="56"/>
  <c r="X33" i="56"/>
  <c r="Z33" i="56" s="1"/>
  <c r="V33" i="56"/>
  <c r="R33" i="56"/>
  <c r="N33" i="56"/>
  <c r="L33" i="56"/>
  <c r="F33" i="56"/>
  <c r="B33" i="56"/>
  <c r="V32" i="56"/>
  <c r="T32" i="56"/>
  <c r="P32" i="56"/>
  <c r="X32" i="56" s="1"/>
  <c r="Z32" i="56" s="1"/>
  <c r="H32" i="56"/>
  <c r="F32" i="56"/>
  <c r="D32" i="56"/>
  <c r="L32" i="56" s="1"/>
  <c r="N32" i="56" s="1"/>
  <c r="B32" i="56"/>
  <c r="X31" i="56"/>
  <c r="Z31" i="56" s="1"/>
  <c r="N31" i="56"/>
  <c r="L31" i="56"/>
  <c r="B31" i="56"/>
  <c r="Z30" i="56"/>
  <c r="X30" i="56"/>
  <c r="V30" i="56"/>
  <c r="R30" i="56"/>
  <c r="N30" i="56"/>
  <c r="L30" i="56"/>
  <c r="F30" i="56"/>
  <c r="B30" i="56"/>
  <c r="Z29" i="56"/>
  <c r="X29" i="56"/>
  <c r="V29" i="56"/>
  <c r="R29" i="56"/>
  <c r="L29" i="56"/>
  <c r="N29" i="56" s="1"/>
  <c r="J29" i="56"/>
  <c r="F29" i="56"/>
  <c r="B29" i="56"/>
  <c r="X28" i="56"/>
  <c r="V28" i="56"/>
  <c r="T28" i="56"/>
  <c r="Z28" i="56" s="1"/>
  <c r="P28" i="56"/>
  <c r="H28" i="56"/>
  <c r="L28" i="56" s="1"/>
  <c r="N28" i="56" s="1"/>
  <c r="F28" i="56"/>
  <c r="D28" i="56"/>
  <c r="B28" i="56"/>
  <c r="Z27" i="56"/>
  <c r="X27" i="56"/>
  <c r="V27" i="56"/>
  <c r="L27" i="56"/>
  <c r="N27" i="56" s="1"/>
  <c r="B27" i="56"/>
  <c r="Z26" i="56"/>
  <c r="X26" i="56"/>
  <c r="V26" i="56"/>
  <c r="R26" i="56"/>
  <c r="N26" i="56"/>
  <c r="L26" i="56"/>
  <c r="B26" i="56"/>
  <c r="X25" i="56"/>
  <c r="Z25" i="56" s="1"/>
  <c r="V25" i="56"/>
  <c r="R25" i="56"/>
  <c r="L25" i="56"/>
  <c r="N25" i="56" s="1"/>
  <c r="J25" i="56"/>
  <c r="B25" i="56"/>
  <c r="X24" i="56"/>
  <c r="Z24" i="56" s="1"/>
  <c r="V24" i="56"/>
  <c r="R24" i="56"/>
  <c r="L24" i="56"/>
  <c r="N24" i="56" s="1"/>
  <c r="J24" i="56"/>
  <c r="B24" i="56"/>
  <c r="Z23" i="56"/>
  <c r="X23" i="56"/>
  <c r="V23" i="56"/>
  <c r="L23" i="56"/>
  <c r="N23" i="56" s="1"/>
  <c r="B23" i="56"/>
  <c r="Z22" i="56"/>
  <c r="X22" i="56"/>
  <c r="V22" i="56"/>
  <c r="R22" i="56"/>
  <c r="N22" i="56"/>
  <c r="L22" i="56"/>
  <c r="B22" i="56"/>
  <c r="X21" i="56"/>
  <c r="Z21" i="56" s="1"/>
  <c r="V21" i="56"/>
  <c r="R21" i="56"/>
  <c r="L21" i="56"/>
  <c r="N21" i="56" s="1"/>
  <c r="J21" i="56"/>
  <c r="B21" i="56"/>
  <c r="X20" i="56"/>
  <c r="Z20" i="56" s="1"/>
  <c r="V20" i="56"/>
  <c r="R20" i="56"/>
  <c r="L20" i="56"/>
  <c r="N20" i="56" s="1"/>
  <c r="J20" i="56"/>
  <c r="B20" i="56"/>
  <c r="V19" i="56"/>
  <c r="T19" i="56"/>
  <c r="P19" i="56"/>
  <c r="X19" i="56" s="1"/>
  <c r="Z19" i="56" s="1"/>
  <c r="J19" i="56"/>
  <c r="H19" i="56"/>
  <c r="D19" i="56"/>
  <c r="B19" i="56"/>
  <c r="T18" i="56"/>
  <c r="R18" i="56"/>
  <c r="P18" i="56"/>
  <c r="X18" i="56" s="1"/>
  <c r="Z18" i="56" s="1"/>
  <c r="J18" i="56"/>
  <c r="H18" i="56"/>
  <c r="D18" i="56"/>
  <c r="L18" i="56" s="1"/>
  <c r="N18" i="56" s="1"/>
  <c r="R16" i="56"/>
  <c r="J16" i="56"/>
  <c r="Z14" i="56"/>
  <c r="T14" i="56"/>
  <c r="T16" i="56" s="1"/>
  <c r="R14" i="56"/>
  <c r="P14" i="56"/>
  <c r="X14" i="56" s="1"/>
  <c r="N14" i="56"/>
  <c r="J14" i="56"/>
  <c r="H14" i="56"/>
  <c r="D14" i="56"/>
  <c r="D16" i="56" s="1"/>
  <c r="Z12" i="56"/>
  <c r="X12" i="56"/>
  <c r="T12" i="56"/>
  <c r="V70" i="56" s="1"/>
  <c r="P12" i="56"/>
  <c r="R51" i="56" s="1"/>
  <c r="N12" i="56"/>
  <c r="H12" i="56"/>
  <c r="J62" i="56" s="1"/>
  <c r="D12" i="56"/>
  <c r="F77" i="56" s="1"/>
  <c r="D6" i="56"/>
  <c r="D4" i="56"/>
  <c r="F40" i="55"/>
  <c r="F37" i="55"/>
  <c r="Z35" i="55"/>
  <c r="X35" i="55"/>
  <c r="N35" i="55"/>
  <c r="L35" i="55"/>
  <c r="V33" i="55"/>
  <c r="F33" i="55"/>
  <c r="Z31" i="55"/>
  <c r="V31" i="55"/>
  <c r="T31" i="55"/>
  <c r="P31" i="55"/>
  <c r="X31" i="55" s="1"/>
  <c r="N31" i="55"/>
  <c r="H31" i="55"/>
  <c r="F31" i="55"/>
  <c r="D31" i="55"/>
  <c r="L31" i="55" s="1"/>
  <c r="X29" i="55"/>
  <c r="Z29" i="55" s="1"/>
  <c r="V29" i="55"/>
  <c r="N29" i="55"/>
  <c r="L29" i="55"/>
  <c r="B29" i="55"/>
  <c r="X28" i="55"/>
  <c r="Z28" i="55" s="1"/>
  <c r="N28" i="55"/>
  <c r="L28" i="55"/>
  <c r="B28" i="55"/>
  <c r="T27" i="55"/>
  <c r="P27" i="55"/>
  <c r="X27" i="55" s="1"/>
  <c r="Z27" i="55" s="1"/>
  <c r="N27" i="55"/>
  <c r="J27" i="55"/>
  <c r="H27" i="55"/>
  <c r="D27" i="55"/>
  <c r="L27" i="55" s="1"/>
  <c r="B27" i="55"/>
  <c r="Z26" i="55"/>
  <c r="X26" i="55"/>
  <c r="N26" i="55"/>
  <c r="L26" i="55"/>
  <c r="F26" i="55"/>
  <c r="B26" i="55"/>
  <c r="X25" i="55"/>
  <c r="T25" i="55"/>
  <c r="Z25" i="55" s="1"/>
  <c r="P25" i="55"/>
  <c r="H25" i="55"/>
  <c r="L25" i="55" s="1"/>
  <c r="N25" i="55" s="1"/>
  <c r="F25" i="55"/>
  <c r="D25" i="55"/>
  <c r="B25" i="55"/>
  <c r="Z24" i="55"/>
  <c r="X24" i="55"/>
  <c r="L24" i="55"/>
  <c r="N24" i="55" s="1"/>
  <c r="B24" i="55"/>
  <c r="Z23" i="55"/>
  <c r="T23" i="55"/>
  <c r="P23" i="55"/>
  <c r="X23" i="55" s="1"/>
  <c r="H23" i="55"/>
  <c r="D23" i="55"/>
  <c r="L23" i="55" s="1"/>
  <c r="B23" i="55"/>
  <c r="X22" i="55"/>
  <c r="Z22" i="55" s="1"/>
  <c r="V22" i="55"/>
  <c r="N22" i="55"/>
  <c r="L22" i="55"/>
  <c r="F22" i="55"/>
  <c r="B22" i="55"/>
  <c r="V21" i="55"/>
  <c r="T21" i="55"/>
  <c r="P21" i="55"/>
  <c r="X21" i="55" s="1"/>
  <c r="Z21" i="55" s="1"/>
  <c r="H21" i="55"/>
  <c r="F21" i="55"/>
  <c r="D21" i="55"/>
  <c r="L21" i="55" s="1"/>
  <c r="N21" i="55" s="1"/>
  <c r="B21" i="55"/>
  <c r="X20" i="55"/>
  <c r="Z20" i="55" s="1"/>
  <c r="N20" i="55"/>
  <c r="L20" i="55"/>
  <c r="B20" i="55"/>
  <c r="T19" i="55"/>
  <c r="X19" i="55" s="1"/>
  <c r="Z19" i="55" s="1"/>
  <c r="P19" i="55"/>
  <c r="L19" i="55"/>
  <c r="H19" i="55"/>
  <c r="N19" i="55" s="1"/>
  <c r="D19" i="55"/>
  <c r="B19" i="55"/>
  <c r="T18" i="55"/>
  <c r="P18" i="55"/>
  <c r="H18" i="55"/>
  <c r="D18" i="55"/>
  <c r="L18" i="55" s="1"/>
  <c r="N18" i="55" s="1"/>
  <c r="T16" i="55"/>
  <c r="T14" i="55"/>
  <c r="P14" i="55"/>
  <c r="N14" i="55"/>
  <c r="H14" i="55"/>
  <c r="D14" i="55"/>
  <c r="L14" i="55" s="1"/>
  <c r="T12" i="55"/>
  <c r="V23" i="55" s="1"/>
  <c r="P12" i="55"/>
  <c r="R19" i="55" s="1"/>
  <c r="H12" i="55"/>
  <c r="J29" i="55" s="1"/>
  <c r="D12" i="55"/>
  <c r="F28" i="55" s="1"/>
  <c r="D6" i="55"/>
  <c r="D4" i="55"/>
  <c r="V31" i="54"/>
  <c r="R31" i="54"/>
  <c r="J31" i="54"/>
  <c r="V29" i="54"/>
  <c r="T29" i="54"/>
  <c r="R29" i="54"/>
  <c r="P29" i="54"/>
  <c r="X29" i="54" s="1"/>
  <c r="J29" i="54"/>
  <c r="H29" i="54"/>
  <c r="L29" i="54" s="1"/>
  <c r="D29" i="54"/>
  <c r="V28" i="54"/>
  <c r="T28" i="54"/>
  <c r="Z28" i="54" s="1"/>
  <c r="R28" i="54"/>
  <c r="P28" i="54"/>
  <c r="X28" i="54" s="1"/>
  <c r="J28" i="54"/>
  <c r="H28" i="54"/>
  <c r="L28" i="54" s="1"/>
  <c r="D28" i="54"/>
  <c r="V26" i="54"/>
  <c r="R26" i="54"/>
  <c r="J26" i="54"/>
  <c r="Z24" i="54"/>
  <c r="X24" i="54"/>
  <c r="V24" i="54"/>
  <c r="R24" i="54"/>
  <c r="N24" i="54"/>
  <c r="L24" i="54"/>
  <c r="R22" i="54"/>
  <c r="J22" i="54"/>
  <c r="Z20" i="54"/>
  <c r="T20" i="54"/>
  <c r="R20" i="54"/>
  <c r="P20" i="54"/>
  <c r="X20" i="54" s="1"/>
  <c r="J20" i="54"/>
  <c r="H20" i="54"/>
  <c r="D20" i="54"/>
  <c r="Z18" i="54"/>
  <c r="T18" i="54"/>
  <c r="R18" i="54"/>
  <c r="P18" i="54"/>
  <c r="X18" i="54" s="1"/>
  <c r="J18" i="54"/>
  <c r="H18" i="54"/>
  <c r="D18" i="54"/>
  <c r="R16" i="54"/>
  <c r="J16" i="54"/>
  <c r="H16" i="54"/>
  <c r="N16" i="54" s="1"/>
  <c r="Z14" i="54"/>
  <c r="T14" i="54"/>
  <c r="R14" i="54"/>
  <c r="P14" i="54"/>
  <c r="X14" i="54" s="1"/>
  <c r="J14" i="54"/>
  <c r="H14" i="54"/>
  <c r="D14" i="54"/>
  <c r="Z12" i="54"/>
  <c r="X12" i="54"/>
  <c r="T12" i="54"/>
  <c r="V22" i="54" s="1"/>
  <c r="P12" i="54"/>
  <c r="L12" i="54"/>
  <c r="H12" i="54"/>
  <c r="N12" i="54" s="1"/>
  <c r="D12" i="54"/>
  <c r="F24" i="54" s="1"/>
  <c r="D6" i="54"/>
  <c r="D4" i="54"/>
  <c r="Z109" i="51"/>
  <c r="X109" i="51"/>
  <c r="L109" i="51"/>
  <c r="N109" i="51" s="1"/>
  <c r="X105" i="51"/>
  <c r="Z105" i="51" s="1"/>
  <c r="T105" i="51"/>
  <c r="P105" i="51"/>
  <c r="H105" i="51"/>
  <c r="D105" i="51"/>
  <c r="B105" i="51"/>
  <c r="T104" i="51"/>
  <c r="Z104" i="51" s="1"/>
  <c r="P104" i="51"/>
  <c r="X104" i="51" s="1"/>
  <c r="H104" i="51"/>
  <c r="N104" i="51" s="1"/>
  <c r="D104" i="51"/>
  <c r="L104" i="51" s="1"/>
  <c r="B104" i="51"/>
  <c r="T103" i="51"/>
  <c r="X103" i="51" s="1"/>
  <c r="P103" i="51"/>
  <c r="N103" i="51"/>
  <c r="L103" i="51"/>
  <c r="H103" i="51"/>
  <c r="D103" i="51"/>
  <c r="D101" i="51" s="1"/>
  <c r="B103" i="51"/>
  <c r="X102" i="51"/>
  <c r="T102" i="51"/>
  <c r="P102" i="51"/>
  <c r="H102" i="51"/>
  <c r="L102" i="51" s="1"/>
  <c r="N102" i="51" s="1"/>
  <c r="D102" i="51"/>
  <c r="B102" i="51"/>
  <c r="P101" i="51"/>
  <c r="Z99" i="51"/>
  <c r="X99" i="51"/>
  <c r="N99" i="51"/>
  <c r="L99" i="51"/>
  <c r="B99" i="51"/>
  <c r="T98" i="51"/>
  <c r="P98" i="51"/>
  <c r="H98" i="51"/>
  <c r="N98" i="51" s="1"/>
  <c r="D98" i="51"/>
  <c r="L98" i="51" s="1"/>
  <c r="B98" i="51"/>
  <c r="X97" i="51"/>
  <c r="Z97" i="51" s="1"/>
  <c r="N97" i="51"/>
  <c r="L97" i="51"/>
  <c r="B97" i="51"/>
  <c r="T96" i="51"/>
  <c r="P96" i="51"/>
  <c r="X96" i="51" s="1"/>
  <c r="Z96" i="51" s="1"/>
  <c r="H96" i="51"/>
  <c r="D96" i="51"/>
  <c r="L96" i="51" s="1"/>
  <c r="N96" i="51" s="1"/>
  <c r="B96" i="51"/>
  <c r="X95" i="51"/>
  <c r="Z95" i="51" s="1"/>
  <c r="N95" i="51"/>
  <c r="L95" i="51"/>
  <c r="B95" i="51"/>
  <c r="Z94" i="51"/>
  <c r="T94" i="51"/>
  <c r="X94" i="51" s="1"/>
  <c r="P94" i="51"/>
  <c r="L94" i="51"/>
  <c r="H94" i="51"/>
  <c r="D94" i="51"/>
  <c r="B94" i="51"/>
  <c r="Z93" i="51"/>
  <c r="X93" i="51"/>
  <c r="N93" i="51"/>
  <c r="L93" i="51"/>
  <c r="B93" i="51"/>
  <c r="X92" i="51"/>
  <c r="Z92" i="51" s="1"/>
  <c r="L92" i="51"/>
  <c r="N92" i="51" s="1"/>
  <c r="B92" i="51"/>
  <c r="Z91" i="51"/>
  <c r="X91" i="51"/>
  <c r="N91" i="51"/>
  <c r="L91" i="51"/>
  <c r="B91" i="51"/>
  <c r="T90" i="51"/>
  <c r="P90" i="51"/>
  <c r="H90" i="51"/>
  <c r="D90" i="51"/>
  <c r="L90" i="51" s="1"/>
  <c r="B90" i="51"/>
  <c r="X89" i="51"/>
  <c r="Z89" i="51" s="1"/>
  <c r="N89" i="51"/>
  <c r="L89" i="51"/>
  <c r="B89" i="51"/>
  <c r="T88" i="51"/>
  <c r="P88" i="51"/>
  <c r="X88" i="51" s="1"/>
  <c r="Z88" i="51" s="1"/>
  <c r="H88" i="51"/>
  <c r="D88" i="51"/>
  <c r="L88" i="51" s="1"/>
  <c r="N88" i="51" s="1"/>
  <c r="B88" i="51"/>
  <c r="X87" i="51"/>
  <c r="Z87" i="51" s="1"/>
  <c r="N87" i="51"/>
  <c r="L87" i="51"/>
  <c r="B87" i="51"/>
  <c r="Z86" i="51"/>
  <c r="T86" i="51"/>
  <c r="X86" i="51" s="1"/>
  <c r="P86" i="51"/>
  <c r="L86" i="51"/>
  <c r="H86" i="51"/>
  <c r="N86" i="51" s="1"/>
  <c r="D86" i="51"/>
  <c r="B86" i="51"/>
  <c r="Z85" i="51"/>
  <c r="X85" i="51"/>
  <c r="N85" i="51"/>
  <c r="L85" i="51"/>
  <c r="B85" i="51"/>
  <c r="T84" i="51"/>
  <c r="Z84" i="51" s="1"/>
  <c r="P84" i="51"/>
  <c r="X84" i="51" s="1"/>
  <c r="H84" i="51"/>
  <c r="N84" i="51" s="1"/>
  <c r="D84" i="51"/>
  <c r="B84" i="51"/>
  <c r="Z83" i="51"/>
  <c r="X83" i="51"/>
  <c r="N83" i="51"/>
  <c r="L83" i="51"/>
  <c r="B83" i="51"/>
  <c r="Z82" i="51"/>
  <c r="T82" i="51"/>
  <c r="P82" i="51"/>
  <c r="X82" i="51" s="1"/>
  <c r="N82" i="51"/>
  <c r="H82" i="51"/>
  <c r="D82" i="51"/>
  <c r="L82" i="51" s="1"/>
  <c r="B82" i="51"/>
  <c r="Z81" i="51"/>
  <c r="X81" i="51"/>
  <c r="R81" i="51"/>
  <c r="N81" i="51"/>
  <c r="L81" i="51"/>
  <c r="B81" i="51"/>
  <c r="X80" i="51"/>
  <c r="Z80" i="51" s="1"/>
  <c r="L80" i="51"/>
  <c r="N80" i="51" s="1"/>
  <c r="B80" i="51"/>
  <c r="X79" i="51"/>
  <c r="Z79" i="51" s="1"/>
  <c r="T79" i="51"/>
  <c r="P79" i="51"/>
  <c r="H79" i="51"/>
  <c r="D79" i="51"/>
  <c r="L79" i="51" s="1"/>
  <c r="B79" i="51"/>
  <c r="Z78" i="51"/>
  <c r="X78" i="51"/>
  <c r="N78" i="51"/>
  <c r="L78" i="51"/>
  <c r="B78" i="51"/>
  <c r="T77" i="51"/>
  <c r="P77" i="51"/>
  <c r="N77" i="51"/>
  <c r="H77" i="51"/>
  <c r="D77" i="51"/>
  <c r="L77" i="51" s="1"/>
  <c r="B77" i="51"/>
  <c r="X76" i="51"/>
  <c r="Z76" i="51" s="1"/>
  <c r="L76" i="51"/>
  <c r="N76" i="51" s="1"/>
  <c r="B76" i="51"/>
  <c r="X75" i="51"/>
  <c r="Z75" i="51" s="1"/>
  <c r="T75" i="51"/>
  <c r="P75" i="51"/>
  <c r="H75" i="51"/>
  <c r="L75" i="51" s="1"/>
  <c r="D75" i="51"/>
  <c r="B75" i="51"/>
  <c r="Z74" i="51"/>
  <c r="X74" i="51"/>
  <c r="N74" i="51"/>
  <c r="L74" i="51"/>
  <c r="B74" i="51"/>
  <c r="T73" i="51"/>
  <c r="P73" i="51"/>
  <c r="X73" i="51" s="1"/>
  <c r="N73" i="51"/>
  <c r="L73" i="51"/>
  <c r="H73" i="51"/>
  <c r="D73" i="51"/>
  <c r="B73" i="51"/>
  <c r="X72" i="51"/>
  <c r="Z72" i="51" s="1"/>
  <c r="L72" i="51"/>
  <c r="N72" i="51" s="1"/>
  <c r="B72" i="51"/>
  <c r="Z71" i="51"/>
  <c r="X71" i="51"/>
  <c r="L71" i="51"/>
  <c r="N71" i="51" s="1"/>
  <c r="B71" i="51"/>
  <c r="Z70" i="51"/>
  <c r="X70" i="51"/>
  <c r="N70" i="51"/>
  <c r="L70" i="51"/>
  <c r="B70" i="51"/>
  <c r="Z69" i="51"/>
  <c r="X69" i="51"/>
  <c r="N69" i="51"/>
  <c r="L69" i="51"/>
  <c r="B69" i="51"/>
  <c r="X68" i="51"/>
  <c r="Z68" i="51" s="1"/>
  <c r="L68" i="51"/>
  <c r="N68" i="51" s="1"/>
  <c r="B68" i="51"/>
  <c r="T67" i="51"/>
  <c r="P67" i="51"/>
  <c r="X67" i="51" s="1"/>
  <c r="Z67" i="51" s="1"/>
  <c r="H67" i="51"/>
  <c r="D67" i="51"/>
  <c r="B67" i="51"/>
  <c r="Z66" i="51"/>
  <c r="X66" i="51"/>
  <c r="N66" i="51"/>
  <c r="L66" i="51"/>
  <c r="B66" i="51"/>
  <c r="X65" i="51"/>
  <c r="Z65" i="51" s="1"/>
  <c r="N65" i="51"/>
  <c r="L65" i="51"/>
  <c r="B65" i="51"/>
  <c r="X64" i="51"/>
  <c r="Z64" i="51" s="1"/>
  <c r="L64" i="51"/>
  <c r="N64" i="51" s="1"/>
  <c r="B64" i="51"/>
  <c r="X63" i="51"/>
  <c r="Z63" i="51" s="1"/>
  <c r="L63" i="51"/>
  <c r="N63" i="51" s="1"/>
  <c r="B63" i="51"/>
  <c r="Z62" i="51"/>
  <c r="X62" i="51"/>
  <c r="N62" i="51"/>
  <c r="L62" i="51"/>
  <c r="B62" i="51"/>
  <c r="X61" i="51"/>
  <c r="Z61" i="51" s="1"/>
  <c r="N61" i="51"/>
  <c r="L61" i="51"/>
  <c r="B61" i="51"/>
  <c r="X60" i="51"/>
  <c r="Z60" i="51" s="1"/>
  <c r="L60" i="51"/>
  <c r="N60" i="51" s="1"/>
  <c r="B60" i="51"/>
  <c r="X59" i="51"/>
  <c r="Z59" i="51" s="1"/>
  <c r="L59" i="51"/>
  <c r="N59" i="51" s="1"/>
  <c r="B59" i="51"/>
  <c r="Z58" i="51"/>
  <c r="X58" i="51"/>
  <c r="N58" i="51"/>
  <c r="L58" i="51"/>
  <c r="B58" i="51"/>
  <c r="T57" i="51"/>
  <c r="X57" i="51" s="1"/>
  <c r="P57" i="51"/>
  <c r="L57" i="51"/>
  <c r="N57" i="51" s="1"/>
  <c r="H57" i="51"/>
  <c r="D57" i="51"/>
  <c r="B57" i="51"/>
  <c r="X56" i="51"/>
  <c r="T56" i="51"/>
  <c r="Z56" i="51" s="1"/>
  <c r="P56" i="51"/>
  <c r="H56" i="51"/>
  <c r="L56" i="51" s="1"/>
  <c r="D56" i="51"/>
  <c r="X52" i="51"/>
  <c r="Z52" i="51" s="1"/>
  <c r="L52" i="51"/>
  <c r="N52" i="51" s="1"/>
  <c r="B52" i="51"/>
  <c r="Z51" i="51"/>
  <c r="X51" i="51"/>
  <c r="L51" i="51"/>
  <c r="N51" i="51" s="1"/>
  <c r="B51" i="51"/>
  <c r="Z50" i="51"/>
  <c r="X50" i="51"/>
  <c r="N50" i="51"/>
  <c r="L50" i="51"/>
  <c r="B50" i="51"/>
  <c r="Z49" i="51"/>
  <c r="X49" i="51"/>
  <c r="N49" i="51"/>
  <c r="L49" i="51"/>
  <c r="B49" i="51"/>
  <c r="X48" i="51"/>
  <c r="Z48" i="51" s="1"/>
  <c r="L48" i="51"/>
  <c r="N48" i="51" s="1"/>
  <c r="B48" i="51"/>
  <c r="X47" i="51"/>
  <c r="Z47" i="51" s="1"/>
  <c r="L47" i="51"/>
  <c r="N47" i="51" s="1"/>
  <c r="B47" i="51"/>
  <c r="Z46" i="51"/>
  <c r="X46" i="51"/>
  <c r="N46" i="51"/>
  <c r="L46" i="51"/>
  <c r="B46" i="51"/>
  <c r="Z45" i="51"/>
  <c r="X45" i="51"/>
  <c r="N45" i="51"/>
  <c r="L45" i="51"/>
  <c r="B45" i="51"/>
  <c r="X44" i="51"/>
  <c r="Z44" i="51" s="1"/>
  <c r="L44" i="51"/>
  <c r="N44" i="51" s="1"/>
  <c r="B44" i="51"/>
  <c r="X43" i="51"/>
  <c r="Z43" i="51" s="1"/>
  <c r="N43" i="51"/>
  <c r="L43" i="51"/>
  <c r="B43" i="51"/>
  <c r="Z42" i="51"/>
  <c r="X42" i="51"/>
  <c r="N42" i="51"/>
  <c r="L42" i="51"/>
  <c r="B42" i="51"/>
  <c r="Z41" i="51"/>
  <c r="X41" i="51"/>
  <c r="N41" i="51"/>
  <c r="L41" i="51"/>
  <c r="B41" i="51"/>
  <c r="X40" i="51"/>
  <c r="Z40" i="51" s="1"/>
  <c r="L40" i="51"/>
  <c r="N40" i="51" s="1"/>
  <c r="B40" i="51"/>
  <c r="T39" i="51"/>
  <c r="P39" i="51"/>
  <c r="X39" i="51" s="1"/>
  <c r="Z39" i="51" s="1"/>
  <c r="H39" i="51"/>
  <c r="D39" i="51"/>
  <c r="X37" i="51"/>
  <c r="Z37" i="51" s="1"/>
  <c r="T37" i="51"/>
  <c r="P37" i="51"/>
  <c r="H37" i="51"/>
  <c r="D37" i="51"/>
  <c r="B37" i="51"/>
  <c r="X36" i="51"/>
  <c r="Z36" i="51" s="1"/>
  <c r="T36" i="51"/>
  <c r="P36" i="51"/>
  <c r="N36" i="51"/>
  <c r="H36" i="51"/>
  <c r="D36" i="51"/>
  <c r="L36" i="51" s="1"/>
  <c r="B36" i="51"/>
  <c r="T35" i="51"/>
  <c r="P35" i="51"/>
  <c r="H35" i="51"/>
  <c r="N35" i="51" s="1"/>
  <c r="D35" i="51"/>
  <c r="B35" i="51"/>
  <c r="T34" i="51"/>
  <c r="P34" i="51"/>
  <c r="X34" i="51" s="1"/>
  <c r="H34" i="51"/>
  <c r="N34" i="51" s="1"/>
  <c r="D34" i="51"/>
  <c r="L34" i="51" s="1"/>
  <c r="B34" i="51"/>
  <c r="X33" i="51"/>
  <c r="Z33" i="51" s="1"/>
  <c r="T33" i="51"/>
  <c r="P33" i="51"/>
  <c r="H33" i="51"/>
  <c r="D33" i="51"/>
  <c r="B33" i="51"/>
  <c r="X32" i="51"/>
  <c r="Z32" i="51" s="1"/>
  <c r="T32" i="51"/>
  <c r="P32" i="51"/>
  <c r="N32" i="51"/>
  <c r="H32" i="51"/>
  <c r="D32" i="51"/>
  <c r="L32" i="51" s="1"/>
  <c r="B32" i="51"/>
  <c r="T31" i="51"/>
  <c r="P31" i="51"/>
  <c r="H31" i="51"/>
  <c r="D31" i="51"/>
  <c r="B31" i="51"/>
  <c r="T30" i="51"/>
  <c r="P30" i="51"/>
  <c r="H30" i="51"/>
  <c r="D30" i="51"/>
  <c r="L30" i="51" s="1"/>
  <c r="B30" i="51"/>
  <c r="Z29" i="51"/>
  <c r="X29" i="51"/>
  <c r="T29" i="51"/>
  <c r="P29" i="51"/>
  <c r="H29" i="51"/>
  <c r="D29" i="51"/>
  <c r="B29" i="51"/>
  <c r="X28" i="51"/>
  <c r="T28" i="51"/>
  <c r="Z28" i="51" s="1"/>
  <c r="P28" i="51"/>
  <c r="N28" i="51"/>
  <c r="H28" i="51"/>
  <c r="D28" i="51"/>
  <c r="L28" i="51" s="1"/>
  <c r="B28" i="51"/>
  <c r="T27" i="51"/>
  <c r="P27" i="51"/>
  <c r="H27" i="51"/>
  <c r="N27" i="51" s="1"/>
  <c r="D27" i="51"/>
  <c r="L27" i="51" s="1"/>
  <c r="B27" i="51"/>
  <c r="T26" i="51"/>
  <c r="P26" i="51"/>
  <c r="H26" i="51"/>
  <c r="D26" i="51"/>
  <c r="L26" i="51" s="1"/>
  <c r="B26" i="51"/>
  <c r="X25" i="51"/>
  <c r="Z25" i="51" s="1"/>
  <c r="T25" i="51"/>
  <c r="P25" i="51"/>
  <c r="H25" i="51"/>
  <c r="D25" i="51"/>
  <c r="B25" i="51"/>
  <c r="X24" i="51"/>
  <c r="Z24" i="51" s="1"/>
  <c r="T24" i="51"/>
  <c r="P24" i="51"/>
  <c r="N24" i="51"/>
  <c r="H24" i="51"/>
  <c r="D24" i="51"/>
  <c r="L24" i="51" s="1"/>
  <c r="B24" i="51"/>
  <c r="T23" i="51"/>
  <c r="P23" i="51"/>
  <c r="H23" i="51"/>
  <c r="D23" i="51"/>
  <c r="B23" i="51"/>
  <c r="T22" i="51"/>
  <c r="P22" i="51"/>
  <c r="X22" i="51" s="1"/>
  <c r="H22" i="51"/>
  <c r="D22" i="51"/>
  <c r="L22" i="51" s="1"/>
  <c r="B22" i="51"/>
  <c r="X21" i="51"/>
  <c r="Z21" i="51" s="1"/>
  <c r="T21" i="51"/>
  <c r="P21" i="51"/>
  <c r="H21" i="51"/>
  <c r="D21" i="51"/>
  <c r="B21" i="51"/>
  <c r="X20" i="51"/>
  <c r="Z20" i="51" s="1"/>
  <c r="T20" i="51"/>
  <c r="P20" i="51"/>
  <c r="N20" i="51"/>
  <c r="H20" i="51"/>
  <c r="D20" i="51"/>
  <c r="L20" i="51" s="1"/>
  <c r="B20" i="51"/>
  <c r="T19" i="51"/>
  <c r="P19" i="51"/>
  <c r="H19" i="51"/>
  <c r="D19" i="51"/>
  <c r="B19" i="51"/>
  <c r="T18" i="51"/>
  <c r="P18" i="51"/>
  <c r="H18" i="51"/>
  <c r="D18" i="51"/>
  <c r="L18" i="51" s="1"/>
  <c r="B18" i="51"/>
  <c r="T17" i="51"/>
  <c r="P17" i="51"/>
  <c r="H17" i="51"/>
  <c r="N17" i="51" s="1"/>
  <c r="D17" i="51"/>
  <c r="B17" i="51"/>
  <c r="X16" i="51"/>
  <c r="T16" i="51"/>
  <c r="Z16" i="51" s="1"/>
  <c r="P16" i="51"/>
  <c r="P12" i="51" s="1"/>
  <c r="P54" i="51" s="1"/>
  <c r="L16" i="51"/>
  <c r="N16" i="51" s="1"/>
  <c r="H16" i="51"/>
  <c r="D16" i="51"/>
  <c r="B16" i="51"/>
  <c r="T15" i="51"/>
  <c r="P15" i="51"/>
  <c r="L15" i="51"/>
  <c r="H15" i="51"/>
  <c r="N15" i="51" s="1"/>
  <c r="D15" i="51"/>
  <c r="B15" i="51"/>
  <c r="X14" i="51"/>
  <c r="T14" i="51"/>
  <c r="P14" i="51"/>
  <c r="H14" i="51"/>
  <c r="D14" i="51"/>
  <c r="B14" i="51"/>
  <c r="X13" i="51"/>
  <c r="T13" i="51"/>
  <c r="P13" i="51"/>
  <c r="N13" i="51"/>
  <c r="L13" i="51"/>
  <c r="H13" i="51"/>
  <c r="D13" i="51"/>
  <c r="B13" i="51"/>
  <c r="D4" i="51"/>
  <c r="X69" i="48"/>
  <c r="Z69" i="48" s="1"/>
  <c r="L69" i="48"/>
  <c r="N69" i="48" s="1"/>
  <c r="T65" i="48"/>
  <c r="P65" i="48"/>
  <c r="X65" i="48" s="1"/>
  <c r="Z65" i="48" s="1"/>
  <c r="H65" i="48"/>
  <c r="F65" i="48"/>
  <c r="D65" i="48"/>
  <c r="L65" i="48" s="1"/>
  <c r="N65" i="48" s="1"/>
  <c r="B65" i="48"/>
  <c r="X64" i="48"/>
  <c r="Z64" i="48" s="1"/>
  <c r="T64" i="48"/>
  <c r="P64" i="48"/>
  <c r="H64" i="48"/>
  <c r="X62" i="48"/>
  <c r="Z62" i="48" s="1"/>
  <c r="L62" i="48"/>
  <c r="N62" i="48" s="1"/>
  <c r="B62" i="48"/>
  <c r="T61" i="48"/>
  <c r="X61" i="48" s="1"/>
  <c r="Z61" i="48" s="1"/>
  <c r="R61" i="48"/>
  <c r="P61" i="48"/>
  <c r="L61" i="48"/>
  <c r="H61" i="48"/>
  <c r="N61" i="48" s="1"/>
  <c r="D61" i="48"/>
  <c r="B61" i="48"/>
  <c r="Z60" i="48"/>
  <c r="X60" i="48"/>
  <c r="N60" i="48"/>
  <c r="L60" i="48"/>
  <c r="B60" i="48"/>
  <c r="X59" i="48"/>
  <c r="Z59" i="48" s="1"/>
  <c r="L59" i="48"/>
  <c r="N59" i="48" s="1"/>
  <c r="B59" i="48"/>
  <c r="X58" i="48"/>
  <c r="Z58" i="48" s="1"/>
  <c r="N58" i="48"/>
  <c r="L58" i="48"/>
  <c r="B58" i="48"/>
  <c r="T57" i="48"/>
  <c r="P57" i="48"/>
  <c r="X57" i="48" s="1"/>
  <c r="Z57" i="48" s="1"/>
  <c r="H57" i="48"/>
  <c r="D57" i="48"/>
  <c r="L57" i="48" s="1"/>
  <c r="B57" i="48"/>
  <c r="X56" i="48"/>
  <c r="Z56" i="48" s="1"/>
  <c r="N56" i="48"/>
  <c r="L56" i="48"/>
  <c r="F56" i="48"/>
  <c r="B56" i="48"/>
  <c r="T55" i="48"/>
  <c r="P55" i="48"/>
  <c r="X55" i="48" s="1"/>
  <c r="Z55" i="48" s="1"/>
  <c r="N55" i="48"/>
  <c r="H55" i="48"/>
  <c r="F55" i="48"/>
  <c r="D55" i="48"/>
  <c r="L55" i="48" s="1"/>
  <c r="B55" i="48"/>
  <c r="X54" i="48"/>
  <c r="Z54" i="48" s="1"/>
  <c r="N54" i="48"/>
  <c r="L54" i="48"/>
  <c r="B54" i="48"/>
  <c r="Z53" i="48"/>
  <c r="X53" i="48"/>
  <c r="N53" i="48"/>
  <c r="L53" i="48"/>
  <c r="B53" i="48"/>
  <c r="Z52" i="48"/>
  <c r="X52" i="48"/>
  <c r="N52" i="48"/>
  <c r="L52" i="48"/>
  <c r="F52" i="48"/>
  <c r="B52" i="48"/>
  <c r="X51" i="48"/>
  <c r="T51" i="48"/>
  <c r="Z51" i="48" s="1"/>
  <c r="P51" i="48"/>
  <c r="H51" i="48"/>
  <c r="L51" i="48" s="1"/>
  <c r="N51" i="48" s="1"/>
  <c r="F51" i="48"/>
  <c r="D51" i="48"/>
  <c r="B51" i="48"/>
  <c r="X50" i="48"/>
  <c r="Z50" i="48" s="1"/>
  <c r="L50" i="48"/>
  <c r="N50" i="48" s="1"/>
  <c r="B50" i="48"/>
  <c r="T49" i="48"/>
  <c r="P49" i="48"/>
  <c r="X49" i="48" s="1"/>
  <c r="Z49" i="48" s="1"/>
  <c r="H49" i="48"/>
  <c r="D49" i="48"/>
  <c r="L49" i="48" s="1"/>
  <c r="B49" i="48"/>
  <c r="X48" i="48"/>
  <c r="Z48" i="48" s="1"/>
  <c r="N48" i="48"/>
  <c r="L48" i="48"/>
  <c r="F48" i="48"/>
  <c r="B48" i="48"/>
  <c r="T47" i="48"/>
  <c r="P47" i="48"/>
  <c r="X47" i="48" s="1"/>
  <c r="Z47" i="48" s="1"/>
  <c r="H47" i="48"/>
  <c r="F47" i="48"/>
  <c r="D47" i="48"/>
  <c r="L47" i="48" s="1"/>
  <c r="N47" i="48" s="1"/>
  <c r="B47" i="48"/>
  <c r="X46" i="48"/>
  <c r="Z46" i="48" s="1"/>
  <c r="N46" i="48"/>
  <c r="L46" i="48"/>
  <c r="B46" i="48"/>
  <c r="T45" i="48"/>
  <c r="X45" i="48" s="1"/>
  <c r="Z45" i="48" s="1"/>
  <c r="P45" i="48"/>
  <c r="L45" i="48"/>
  <c r="H45" i="48"/>
  <c r="N45" i="48" s="1"/>
  <c r="D45" i="48"/>
  <c r="B45" i="48"/>
  <c r="Z44" i="48"/>
  <c r="X44" i="48"/>
  <c r="R44" i="48"/>
  <c r="N44" i="48"/>
  <c r="L44" i="48"/>
  <c r="F44" i="48"/>
  <c r="B44" i="48"/>
  <c r="Z43" i="48"/>
  <c r="X43" i="48"/>
  <c r="N43" i="48"/>
  <c r="L43" i="48"/>
  <c r="B43" i="48"/>
  <c r="Z42" i="48"/>
  <c r="T42" i="48"/>
  <c r="P42" i="48"/>
  <c r="X42" i="48" s="1"/>
  <c r="H42" i="48"/>
  <c r="D42" i="48"/>
  <c r="B42" i="48"/>
  <c r="Z41" i="48"/>
  <c r="X41" i="48"/>
  <c r="N41" i="48"/>
  <c r="L41" i="48"/>
  <c r="B41" i="48"/>
  <c r="T40" i="48"/>
  <c r="X40" i="48" s="1"/>
  <c r="P40" i="48"/>
  <c r="H40" i="48"/>
  <c r="N40" i="48" s="1"/>
  <c r="D40" i="48"/>
  <c r="L40" i="48" s="1"/>
  <c r="B40" i="48"/>
  <c r="X39" i="48"/>
  <c r="Z39" i="48" s="1"/>
  <c r="L39" i="48"/>
  <c r="N39" i="48" s="1"/>
  <c r="B39" i="48"/>
  <c r="X38" i="48"/>
  <c r="Z38" i="48" s="1"/>
  <c r="T38" i="48"/>
  <c r="P38" i="48"/>
  <c r="H38" i="48"/>
  <c r="N38" i="48" s="1"/>
  <c r="D38" i="48"/>
  <c r="L38" i="48" s="1"/>
  <c r="B38" i="48"/>
  <c r="Z37" i="48"/>
  <c r="X37" i="48"/>
  <c r="N37" i="48"/>
  <c r="L37" i="48"/>
  <c r="B37" i="48"/>
  <c r="T36" i="48"/>
  <c r="P36" i="48"/>
  <c r="H36" i="48"/>
  <c r="D36" i="48"/>
  <c r="L36" i="48" s="1"/>
  <c r="N36" i="48" s="1"/>
  <c r="B36" i="48"/>
  <c r="X35" i="48"/>
  <c r="Z35" i="48" s="1"/>
  <c r="V35" i="48"/>
  <c r="L35" i="48"/>
  <c r="N35" i="48" s="1"/>
  <c r="B35" i="48"/>
  <c r="X34" i="48"/>
  <c r="Z34" i="48" s="1"/>
  <c r="L34" i="48"/>
  <c r="N34" i="48" s="1"/>
  <c r="B34" i="48"/>
  <c r="Z33" i="48"/>
  <c r="X33" i="48"/>
  <c r="N33" i="48"/>
  <c r="L33" i="48"/>
  <c r="F33" i="48"/>
  <c r="B33" i="48"/>
  <c r="X32" i="48"/>
  <c r="Z32" i="48" s="1"/>
  <c r="N32" i="48"/>
  <c r="L32" i="48"/>
  <c r="F32" i="48"/>
  <c r="B32" i="48"/>
  <c r="Z31" i="48"/>
  <c r="X31" i="48"/>
  <c r="V31" i="48"/>
  <c r="N31" i="48"/>
  <c r="L31" i="48"/>
  <c r="B31" i="48"/>
  <c r="T30" i="48"/>
  <c r="P30" i="48"/>
  <c r="X30" i="48" s="1"/>
  <c r="H30" i="48"/>
  <c r="L30" i="48" s="1"/>
  <c r="D30" i="48"/>
  <c r="B30" i="48"/>
  <c r="Z29" i="48"/>
  <c r="X29" i="48"/>
  <c r="N29" i="48"/>
  <c r="L29" i="48"/>
  <c r="F29" i="48"/>
  <c r="B29" i="48"/>
  <c r="Z28" i="48"/>
  <c r="X28" i="48"/>
  <c r="N28" i="48"/>
  <c r="L28" i="48"/>
  <c r="F28" i="48"/>
  <c r="B28" i="48"/>
  <c r="X27" i="48"/>
  <c r="Z27" i="48" s="1"/>
  <c r="L27" i="48"/>
  <c r="N27" i="48" s="1"/>
  <c r="F27" i="48"/>
  <c r="B27" i="48"/>
  <c r="Z26" i="48"/>
  <c r="X26" i="48"/>
  <c r="N26" i="48"/>
  <c r="L26" i="48"/>
  <c r="B26" i="48"/>
  <c r="Z25" i="48"/>
  <c r="X25" i="48"/>
  <c r="N25" i="48"/>
  <c r="L25" i="48"/>
  <c r="F25" i="48"/>
  <c r="B25" i="48"/>
  <c r="Z24" i="48"/>
  <c r="X24" i="48"/>
  <c r="N24" i="48"/>
  <c r="L24" i="48"/>
  <c r="F24" i="48"/>
  <c r="B24" i="48"/>
  <c r="X23" i="48"/>
  <c r="Z23" i="48" s="1"/>
  <c r="L23" i="48"/>
  <c r="N23" i="48" s="1"/>
  <c r="F23" i="48"/>
  <c r="B23" i="48"/>
  <c r="X22" i="48"/>
  <c r="Z22" i="48" s="1"/>
  <c r="L22" i="48"/>
  <c r="N22" i="48" s="1"/>
  <c r="B22" i="48"/>
  <c r="Z21" i="48"/>
  <c r="X21" i="48"/>
  <c r="N21" i="48"/>
  <c r="L21" i="48"/>
  <c r="F21" i="48"/>
  <c r="B21" i="48"/>
  <c r="T20" i="48"/>
  <c r="P20" i="48"/>
  <c r="X20" i="48" s="1"/>
  <c r="L20" i="48"/>
  <c r="N20" i="48" s="1"/>
  <c r="H20" i="48"/>
  <c r="D20" i="48"/>
  <c r="F20" i="48" s="1"/>
  <c r="B20" i="48"/>
  <c r="T19" i="48"/>
  <c r="Z19" i="48" s="1"/>
  <c r="P19" i="48"/>
  <c r="X19" i="48" s="1"/>
  <c r="H19" i="48"/>
  <c r="F19" i="48"/>
  <c r="D19" i="48"/>
  <c r="L19" i="48" s="1"/>
  <c r="N19" i="48" s="1"/>
  <c r="T15" i="48"/>
  <c r="Z15" i="48" s="1"/>
  <c r="P15" i="48"/>
  <c r="X15" i="48" s="1"/>
  <c r="N15" i="48"/>
  <c r="H15" i="48"/>
  <c r="F15" i="48"/>
  <c r="D15" i="48"/>
  <c r="D17" i="48" s="1"/>
  <c r="T13" i="48"/>
  <c r="T12" i="48" s="1"/>
  <c r="P13" i="48"/>
  <c r="P12" i="48" s="1"/>
  <c r="R45" i="48" s="1"/>
  <c r="H13" i="48"/>
  <c r="D13" i="48"/>
  <c r="B13" i="48"/>
  <c r="D12" i="48"/>
  <c r="F34" i="48" s="1"/>
  <c r="D4" i="48"/>
  <c r="X96" i="45"/>
  <c r="Z96" i="45" s="1"/>
  <c r="L96" i="45"/>
  <c r="N96" i="45" s="1"/>
  <c r="Z92" i="45"/>
  <c r="T92" i="45"/>
  <c r="P92" i="45"/>
  <c r="X92" i="45" s="1"/>
  <c r="N92" i="45"/>
  <c r="H92" i="45"/>
  <c r="D92" i="45"/>
  <c r="L92" i="45" s="1"/>
  <c r="X90" i="45"/>
  <c r="Z90" i="45" s="1"/>
  <c r="N90" i="45"/>
  <c r="L90" i="45"/>
  <c r="B90" i="45"/>
  <c r="T89" i="45"/>
  <c r="P89" i="45"/>
  <c r="X89" i="45" s="1"/>
  <c r="H89" i="45"/>
  <c r="L89" i="45" s="1"/>
  <c r="D89" i="45"/>
  <c r="B89" i="45"/>
  <c r="Z88" i="45"/>
  <c r="X88" i="45"/>
  <c r="N88" i="45"/>
  <c r="L88" i="45"/>
  <c r="B88" i="45"/>
  <c r="T87" i="45"/>
  <c r="Z87" i="45" s="1"/>
  <c r="P87" i="45"/>
  <c r="X87" i="45" s="1"/>
  <c r="L87" i="45"/>
  <c r="N87" i="45" s="1"/>
  <c r="H87" i="45"/>
  <c r="D87" i="45"/>
  <c r="B87" i="45"/>
  <c r="X86" i="45"/>
  <c r="Z86" i="45" s="1"/>
  <c r="L86" i="45"/>
  <c r="N86" i="45" s="1"/>
  <c r="J86" i="45"/>
  <c r="B86" i="45"/>
  <c r="T85" i="45"/>
  <c r="P85" i="45"/>
  <c r="X85" i="45" s="1"/>
  <c r="Z85" i="45" s="1"/>
  <c r="H85" i="45"/>
  <c r="D85" i="45"/>
  <c r="B85" i="45"/>
  <c r="Z84" i="45"/>
  <c r="X84" i="45"/>
  <c r="N84" i="45"/>
  <c r="L84" i="45"/>
  <c r="B84" i="45"/>
  <c r="X83" i="45"/>
  <c r="Z83" i="45" s="1"/>
  <c r="N83" i="45"/>
  <c r="L83" i="45"/>
  <c r="B83" i="45"/>
  <c r="X82" i="45"/>
  <c r="Z82" i="45" s="1"/>
  <c r="N82" i="45"/>
  <c r="L82" i="45"/>
  <c r="B82" i="45"/>
  <c r="X81" i="45"/>
  <c r="Z81" i="45" s="1"/>
  <c r="L81" i="45"/>
  <c r="N81" i="45" s="1"/>
  <c r="B81" i="45"/>
  <c r="Z80" i="45"/>
  <c r="X80" i="45"/>
  <c r="N80" i="45"/>
  <c r="L80" i="45"/>
  <c r="B80" i="45"/>
  <c r="X79" i="45"/>
  <c r="Z79" i="45" s="1"/>
  <c r="N79" i="45"/>
  <c r="L79" i="45"/>
  <c r="B79" i="45"/>
  <c r="X78" i="45"/>
  <c r="Z78" i="45" s="1"/>
  <c r="L78" i="45"/>
  <c r="N78" i="45" s="1"/>
  <c r="B78" i="45"/>
  <c r="Z77" i="45"/>
  <c r="X77" i="45"/>
  <c r="N77" i="45"/>
  <c r="L77" i="45"/>
  <c r="B77" i="45"/>
  <c r="Z76" i="45"/>
  <c r="X76" i="45"/>
  <c r="N76" i="45"/>
  <c r="L76" i="45"/>
  <c r="B76" i="45"/>
  <c r="T75" i="45"/>
  <c r="X75" i="45" s="1"/>
  <c r="P75" i="45"/>
  <c r="H75" i="45"/>
  <c r="D75" i="45"/>
  <c r="L75" i="45" s="1"/>
  <c r="B75" i="45"/>
  <c r="Z74" i="45"/>
  <c r="X74" i="45"/>
  <c r="N74" i="45"/>
  <c r="L74" i="45"/>
  <c r="B74" i="45"/>
  <c r="Z73" i="45"/>
  <c r="X73" i="45"/>
  <c r="T73" i="45"/>
  <c r="P73" i="45"/>
  <c r="H73" i="45"/>
  <c r="N73" i="45" s="1"/>
  <c r="D73" i="45"/>
  <c r="L73" i="45" s="1"/>
  <c r="B73" i="45"/>
  <c r="Z72" i="45"/>
  <c r="X72" i="45"/>
  <c r="N72" i="45"/>
  <c r="L72" i="45"/>
  <c r="B72" i="45"/>
  <c r="Z71" i="45"/>
  <c r="X71" i="45"/>
  <c r="L71" i="45"/>
  <c r="N71" i="45" s="1"/>
  <c r="B71" i="45"/>
  <c r="Z70" i="45"/>
  <c r="X70" i="45"/>
  <c r="N70" i="45"/>
  <c r="L70" i="45"/>
  <c r="B70" i="45"/>
  <c r="X69" i="45"/>
  <c r="Z69" i="45" s="1"/>
  <c r="L69" i="45"/>
  <c r="N69" i="45" s="1"/>
  <c r="B69" i="45"/>
  <c r="T68" i="45"/>
  <c r="P68" i="45"/>
  <c r="X68" i="45" s="1"/>
  <c r="Z68" i="45" s="1"/>
  <c r="H68" i="45"/>
  <c r="D68" i="45"/>
  <c r="L68" i="45" s="1"/>
  <c r="B68" i="45"/>
  <c r="X67" i="45"/>
  <c r="Z67" i="45" s="1"/>
  <c r="N67" i="45"/>
  <c r="L67" i="45"/>
  <c r="B67" i="45"/>
  <c r="X66" i="45"/>
  <c r="Z66" i="45" s="1"/>
  <c r="L66" i="45"/>
  <c r="N66" i="45" s="1"/>
  <c r="B66" i="45"/>
  <c r="X65" i="45"/>
  <c r="Z65" i="45" s="1"/>
  <c r="L65" i="45"/>
  <c r="N65" i="45" s="1"/>
  <c r="B65" i="45"/>
  <c r="T64" i="45"/>
  <c r="P64" i="45"/>
  <c r="X64" i="45" s="1"/>
  <c r="Z64" i="45" s="1"/>
  <c r="H64" i="45"/>
  <c r="D64" i="45"/>
  <c r="L64" i="45" s="1"/>
  <c r="N64" i="45" s="1"/>
  <c r="B64" i="45"/>
  <c r="Z63" i="45"/>
  <c r="X63" i="45"/>
  <c r="N63" i="45"/>
  <c r="L63" i="45"/>
  <c r="B63" i="45"/>
  <c r="X62" i="45"/>
  <c r="T62" i="45"/>
  <c r="Z62" i="45" s="1"/>
  <c r="P62" i="45"/>
  <c r="H62" i="45"/>
  <c r="L62" i="45" s="1"/>
  <c r="N62" i="45" s="1"/>
  <c r="D62" i="45"/>
  <c r="B62" i="45"/>
  <c r="X61" i="45"/>
  <c r="Z61" i="45" s="1"/>
  <c r="L61" i="45"/>
  <c r="N61" i="45" s="1"/>
  <c r="B61" i="45"/>
  <c r="T60" i="45"/>
  <c r="P60" i="45"/>
  <c r="X60" i="45" s="1"/>
  <c r="Z60" i="45" s="1"/>
  <c r="H60" i="45"/>
  <c r="D60" i="45"/>
  <c r="L60" i="45" s="1"/>
  <c r="B60" i="45"/>
  <c r="X59" i="45"/>
  <c r="Z59" i="45" s="1"/>
  <c r="N59" i="45"/>
  <c r="L59" i="45"/>
  <c r="B59" i="45"/>
  <c r="X58" i="45"/>
  <c r="Z58" i="45" s="1"/>
  <c r="T58" i="45"/>
  <c r="P58" i="45"/>
  <c r="H58" i="45"/>
  <c r="D58" i="45"/>
  <c r="L58" i="45" s="1"/>
  <c r="N58" i="45" s="1"/>
  <c r="B58" i="45"/>
  <c r="X57" i="45"/>
  <c r="Z57" i="45" s="1"/>
  <c r="L57" i="45"/>
  <c r="N57" i="45" s="1"/>
  <c r="B57" i="45"/>
  <c r="T56" i="45"/>
  <c r="X56" i="45" s="1"/>
  <c r="Z56" i="45" s="1"/>
  <c r="P56" i="45"/>
  <c r="L56" i="45"/>
  <c r="H56" i="45"/>
  <c r="N56" i="45" s="1"/>
  <c r="D56" i="45"/>
  <c r="B56" i="45"/>
  <c r="Z55" i="45"/>
  <c r="X55" i="45"/>
  <c r="N55" i="45"/>
  <c r="L55" i="45"/>
  <c r="B55" i="45"/>
  <c r="T54" i="45"/>
  <c r="P54" i="45"/>
  <c r="X54" i="45" s="1"/>
  <c r="N54" i="45"/>
  <c r="H54" i="45"/>
  <c r="D54" i="45"/>
  <c r="L54" i="45" s="1"/>
  <c r="B54" i="45"/>
  <c r="X53" i="45"/>
  <c r="Z53" i="45" s="1"/>
  <c r="L53" i="45"/>
  <c r="N53" i="45" s="1"/>
  <c r="B53" i="45"/>
  <c r="T52" i="45"/>
  <c r="P52" i="45"/>
  <c r="X52" i="45" s="1"/>
  <c r="Z52" i="45" s="1"/>
  <c r="H52" i="45"/>
  <c r="D52" i="45"/>
  <c r="L52" i="45" s="1"/>
  <c r="N52" i="45" s="1"/>
  <c r="B52" i="45"/>
  <c r="Z51" i="45"/>
  <c r="X51" i="45"/>
  <c r="N51" i="45"/>
  <c r="L51" i="45"/>
  <c r="B51" i="45"/>
  <c r="X50" i="45"/>
  <c r="T50" i="45"/>
  <c r="Z50" i="45" s="1"/>
  <c r="P50" i="45"/>
  <c r="N50" i="45"/>
  <c r="H50" i="45"/>
  <c r="L50" i="45" s="1"/>
  <c r="D50" i="45"/>
  <c r="B50" i="45"/>
  <c r="Z49" i="45"/>
  <c r="X49" i="45"/>
  <c r="L49" i="45"/>
  <c r="N49" i="45" s="1"/>
  <c r="B49" i="45"/>
  <c r="Z48" i="45"/>
  <c r="T48" i="45"/>
  <c r="P48" i="45"/>
  <c r="X48" i="45" s="1"/>
  <c r="H48" i="45"/>
  <c r="N48" i="45" s="1"/>
  <c r="D48" i="45"/>
  <c r="L48" i="45" s="1"/>
  <c r="B48" i="45"/>
  <c r="X47" i="45"/>
  <c r="Z47" i="45" s="1"/>
  <c r="N47" i="45"/>
  <c r="L47" i="45"/>
  <c r="B47" i="45"/>
  <c r="X46" i="45"/>
  <c r="Z46" i="45" s="1"/>
  <c r="T46" i="45"/>
  <c r="P46" i="45"/>
  <c r="H46" i="45"/>
  <c r="D46" i="45"/>
  <c r="L46" i="45" s="1"/>
  <c r="N46" i="45" s="1"/>
  <c r="B46" i="45"/>
  <c r="X45" i="45"/>
  <c r="Z45" i="45" s="1"/>
  <c r="N45" i="45"/>
  <c r="L45" i="45"/>
  <c r="B45" i="45"/>
  <c r="Z44" i="45"/>
  <c r="T44" i="45"/>
  <c r="X44" i="45" s="1"/>
  <c r="P44" i="45"/>
  <c r="L44" i="45"/>
  <c r="H44" i="45"/>
  <c r="N44" i="45" s="1"/>
  <c r="D44" i="45"/>
  <c r="B44" i="45"/>
  <c r="Z43" i="45"/>
  <c r="X43" i="45"/>
  <c r="L43" i="45"/>
  <c r="N43" i="45" s="1"/>
  <c r="B43" i="45"/>
  <c r="X42" i="45"/>
  <c r="Z42" i="45" s="1"/>
  <c r="L42" i="45"/>
  <c r="N42" i="45" s="1"/>
  <c r="J42" i="45"/>
  <c r="B42" i="45"/>
  <c r="Z41" i="45"/>
  <c r="X41" i="45"/>
  <c r="L41" i="45"/>
  <c r="N41" i="45" s="1"/>
  <c r="B41" i="45"/>
  <c r="Z40" i="45"/>
  <c r="X40" i="45"/>
  <c r="N40" i="45"/>
  <c r="L40" i="45"/>
  <c r="B40" i="45"/>
  <c r="Z39" i="45"/>
  <c r="X39" i="45"/>
  <c r="L39" i="45"/>
  <c r="N39" i="45" s="1"/>
  <c r="B39" i="45"/>
  <c r="X38" i="45"/>
  <c r="Z38" i="45" s="1"/>
  <c r="L38" i="45"/>
  <c r="N38" i="45" s="1"/>
  <c r="B38" i="45"/>
  <c r="Z37" i="45"/>
  <c r="X37" i="45"/>
  <c r="L37" i="45"/>
  <c r="N37" i="45" s="1"/>
  <c r="B37" i="45"/>
  <c r="T36" i="45"/>
  <c r="P36" i="45"/>
  <c r="X36" i="45" s="1"/>
  <c r="Z36" i="45" s="1"/>
  <c r="J36" i="45"/>
  <c r="H36" i="45"/>
  <c r="D36" i="45"/>
  <c r="L36" i="45" s="1"/>
  <c r="B36" i="45"/>
  <c r="X35" i="45"/>
  <c r="Z35" i="45" s="1"/>
  <c r="N35" i="45"/>
  <c r="L35" i="45"/>
  <c r="B35" i="45"/>
  <c r="X34" i="45"/>
  <c r="Z34" i="45" s="1"/>
  <c r="L34" i="45"/>
  <c r="N34" i="45" s="1"/>
  <c r="B34" i="45"/>
  <c r="X33" i="45"/>
  <c r="Z33" i="45" s="1"/>
  <c r="L33" i="45"/>
  <c r="N33" i="45" s="1"/>
  <c r="B33" i="45"/>
  <c r="Z32" i="45"/>
  <c r="X32" i="45"/>
  <c r="N32" i="45"/>
  <c r="L32" i="45"/>
  <c r="B32" i="45"/>
  <c r="X31" i="45"/>
  <c r="Z31" i="45" s="1"/>
  <c r="N31" i="45"/>
  <c r="L31" i="45"/>
  <c r="B31" i="45"/>
  <c r="X30" i="45"/>
  <c r="Z30" i="45" s="1"/>
  <c r="L30" i="45"/>
  <c r="N30" i="45" s="1"/>
  <c r="B30" i="45"/>
  <c r="X29" i="45"/>
  <c r="Z29" i="45" s="1"/>
  <c r="L29" i="45"/>
  <c r="N29" i="45" s="1"/>
  <c r="B29" i="45"/>
  <c r="Z28" i="45"/>
  <c r="X28" i="45"/>
  <c r="N28" i="45"/>
  <c r="L28" i="45"/>
  <c r="B28" i="45"/>
  <c r="X27" i="45"/>
  <c r="Z27" i="45" s="1"/>
  <c r="N27" i="45"/>
  <c r="L27" i="45"/>
  <c r="B27" i="45"/>
  <c r="T26" i="45"/>
  <c r="P26" i="45"/>
  <c r="X26" i="45" s="1"/>
  <c r="Z26" i="45" s="1"/>
  <c r="H26" i="45"/>
  <c r="D26" i="45"/>
  <c r="L26" i="45" s="1"/>
  <c r="N26" i="45" s="1"/>
  <c r="B26" i="45"/>
  <c r="X25" i="45"/>
  <c r="Z25" i="45" s="1"/>
  <c r="T25" i="45"/>
  <c r="P25" i="45"/>
  <c r="H25" i="45"/>
  <c r="D25" i="45"/>
  <c r="L25" i="45" s="1"/>
  <c r="H23" i="45"/>
  <c r="X21" i="45"/>
  <c r="Z21" i="45" s="1"/>
  <c r="L21" i="45"/>
  <c r="N21" i="45" s="1"/>
  <c r="B21" i="45"/>
  <c r="Z20" i="45"/>
  <c r="X20" i="45"/>
  <c r="N20" i="45"/>
  <c r="L20" i="45"/>
  <c r="B20" i="45"/>
  <c r="T19" i="45"/>
  <c r="P19" i="45"/>
  <c r="X19" i="45" s="1"/>
  <c r="H19" i="45"/>
  <c r="D19" i="45"/>
  <c r="L19" i="45" s="1"/>
  <c r="N19" i="45" s="1"/>
  <c r="T17" i="45"/>
  <c r="P17" i="45"/>
  <c r="X17" i="45" s="1"/>
  <c r="Z17" i="45" s="1"/>
  <c r="H17" i="45"/>
  <c r="N17" i="45" s="1"/>
  <c r="D17" i="45"/>
  <c r="L17" i="45" s="1"/>
  <c r="B17" i="45"/>
  <c r="T16" i="45"/>
  <c r="P16" i="45"/>
  <c r="H16" i="45"/>
  <c r="D16" i="45"/>
  <c r="L16" i="45" s="1"/>
  <c r="B16" i="45"/>
  <c r="X15" i="45"/>
  <c r="Z15" i="45" s="1"/>
  <c r="T15" i="45"/>
  <c r="P15" i="45"/>
  <c r="L15" i="45"/>
  <c r="N15" i="45" s="1"/>
  <c r="H15" i="45"/>
  <c r="D15" i="45"/>
  <c r="B15" i="45"/>
  <c r="Z14" i="45"/>
  <c r="T14" i="45"/>
  <c r="P14" i="45"/>
  <c r="X14" i="45" s="1"/>
  <c r="N14" i="45"/>
  <c r="H14" i="45"/>
  <c r="D14" i="45"/>
  <c r="L14" i="45" s="1"/>
  <c r="B14" i="45"/>
  <c r="T13" i="45"/>
  <c r="P13" i="45"/>
  <c r="H13" i="45"/>
  <c r="D13" i="45"/>
  <c r="B13" i="45"/>
  <c r="T12" i="45"/>
  <c r="V46" i="45" s="1"/>
  <c r="H12" i="45"/>
  <c r="J52" i="45" s="1"/>
  <c r="D4" i="45"/>
  <c r="X126" i="42"/>
  <c r="Z126" i="42" s="1"/>
  <c r="N126" i="42"/>
  <c r="L126" i="42"/>
  <c r="T122" i="42"/>
  <c r="X122" i="42" s="1"/>
  <c r="P122" i="42"/>
  <c r="H122" i="42"/>
  <c r="D122" i="42"/>
  <c r="L122" i="42" s="1"/>
  <c r="N122" i="42" s="1"/>
  <c r="B122" i="42"/>
  <c r="X121" i="42"/>
  <c r="Z121" i="42" s="1"/>
  <c r="T121" i="42"/>
  <c r="P121" i="42"/>
  <c r="N121" i="42"/>
  <c r="H121" i="42"/>
  <c r="D121" i="42"/>
  <c r="L121" i="42" s="1"/>
  <c r="B121" i="42"/>
  <c r="T120" i="42"/>
  <c r="P120" i="42"/>
  <c r="H120" i="42"/>
  <c r="D120" i="42"/>
  <c r="L120" i="42" s="1"/>
  <c r="B120" i="42"/>
  <c r="H119" i="42"/>
  <c r="D119" i="42"/>
  <c r="L119" i="42" s="1"/>
  <c r="Z117" i="42"/>
  <c r="X117" i="42"/>
  <c r="N117" i="42"/>
  <c r="L117" i="42"/>
  <c r="B117" i="42"/>
  <c r="T116" i="42"/>
  <c r="P116" i="42"/>
  <c r="L116" i="42"/>
  <c r="N116" i="42" s="1"/>
  <c r="H116" i="42"/>
  <c r="D116" i="42"/>
  <c r="B116" i="42"/>
  <c r="Z115" i="42"/>
  <c r="X115" i="42"/>
  <c r="L115" i="42"/>
  <c r="N115" i="42" s="1"/>
  <c r="B115" i="42"/>
  <c r="X114" i="42"/>
  <c r="Z114" i="42" s="1"/>
  <c r="N114" i="42"/>
  <c r="L114" i="42"/>
  <c r="B114" i="42"/>
  <c r="Z113" i="42"/>
  <c r="X113" i="42"/>
  <c r="N113" i="42"/>
  <c r="L113" i="42"/>
  <c r="B113" i="42"/>
  <c r="T112" i="42"/>
  <c r="P112" i="42"/>
  <c r="H112" i="42"/>
  <c r="D112" i="42"/>
  <c r="B112" i="42"/>
  <c r="X111" i="42"/>
  <c r="Z111" i="42" s="1"/>
  <c r="L111" i="42"/>
  <c r="N111" i="42" s="1"/>
  <c r="B111" i="42"/>
  <c r="X110" i="42"/>
  <c r="Z110" i="42" s="1"/>
  <c r="T110" i="42"/>
  <c r="P110" i="42"/>
  <c r="H110" i="42"/>
  <c r="D110" i="42"/>
  <c r="L110" i="42" s="1"/>
  <c r="B110" i="42"/>
  <c r="Z109" i="42"/>
  <c r="X109" i="42"/>
  <c r="N109" i="42"/>
  <c r="L109" i="42"/>
  <c r="B109" i="42"/>
  <c r="T108" i="42"/>
  <c r="P108" i="42"/>
  <c r="N108" i="42"/>
  <c r="L108" i="42"/>
  <c r="H108" i="42"/>
  <c r="D108" i="42"/>
  <c r="B108" i="42"/>
  <c r="X107" i="42"/>
  <c r="Z107" i="42" s="1"/>
  <c r="L107" i="42"/>
  <c r="N107" i="42" s="1"/>
  <c r="B107" i="42"/>
  <c r="X106" i="42"/>
  <c r="Z106" i="42" s="1"/>
  <c r="N106" i="42"/>
  <c r="L106" i="42"/>
  <c r="B106" i="42"/>
  <c r="Z105" i="42"/>
  <c r="X105" i="42"/>
  <c r="L105" i="42"/>
  <c r="N105" i="42" s="1"/>
  <c r="B105" i="42"/>
  <c r="X104" i="42"/>
  <c r="Z104" i="42" s="1"/>
  <c r="N104" i="42"/>
  <c r="L104" i="42"/>
  <c r="B104" i="42"/>
  <c r="X103" i="42"/>
  <c r="Z103" i="42" s="1"/>
  <c r="L103" i="42"/>
  <c r="N103" i="42" s="1"/>
  <c r="B103" i="42"/>
  <c r="X102" i="42"/>
  <c r="Z102" i="42" s="1"/>
  <c r="L102" i="42"/>
  <c r="N102" i="42" s="1"/>
  <c r="B102" i="42"/>
  <c r="Z101" i="42"/>
  <c r="X101" i="42"/>
  <c r="L101" i="42"/>
  <c r="N101" i="42" s="1"/>
  <c r="B101" i="42"/>
  <c r="X100" i="42"/>
  <c r="Z100" i="42" s="1"/>
  <c r="N100" i="42"/>
  <c r="L100" i="42"/>
  <c r="B100" i="42"/>
  <c r="Z99" i="42"/>
  <c r="X99" i="42"/>
  <c r="N99" i="42"/>
  <c r="L99" i="42"/>
  <c r="B99" i="42"/>
  <c r="X98" i="42"/>
  <c r="Z98" i="42" s="1"/>
  <c r="L98" i="42"/>
  <c r="N98" i="42" s="1"/>
  <c r="B98" i="42"/>
  <c r="Z97" i="42"/>
  <c r="T97" i="42"/>
  <c r="P97" i="42"/>
  <c r="X97" i="42" s="1"/>
  <c r="H97" i="42"/>
  <c r="D97" i="42"/>
  <c r="L97" i="42" s="1"/>
  <c r="N97" i="42" s="1"/>
  <c r="B97" i="42"/>
  <c r="Z96" i="42"/>
  <c r="X96" i="42"/>
  <c r="L96" i="42"/>
  <c r="N96" i="42" s="1"/>
  <c r="B96" i="42"/>
  <c r="X95" i="42"/>
  <c r="Z95" i="42" s="1"/>
  <c r="L95" i="42"/>
  <c r="N95" i="42" s="1"/>
  <c r="B95" i="42"/>
  <c r="T94" i="42"/>
  <c r="P94" i="42"/>
  <c r="X94" i="42" s="1"/>
  <c r="Z94" i="42" s="1"/>
  <c r="H94" i="42"/>
  <c r="D94" i="42"/>
  <c r="L94" i="42" s="1"/>
  <c r="B94" i="42"/>
  <c r="Z93" i="42"/>
  <c r="X93" i="42"/>
  <c r="N93" i="42"/>
  <c r="L93" i="42"/>
  <c r="B93" i="42"/>
  <c r="X92" i="42"/>
  <c r="Z92" i="42" s="1"/>
  <c r="L92" i="42"/>
  <c r="N92" i="42" s="1"/>
  <c r="B92" i="42"/>
  <c r="X91" i="42"/>
  <c r="Z91" i="42" s="1"/>
  <c r="L91" i="42"/>
  <c r="N91" i="42" s="1"/>
  <c r="J91" i="42"/>
  <c r="B91" i="42"/>
  <c r="X90" i="42"/>
  <c r="Z90" i="42" s="1"/>
  <c r="L90" i="42"/>
  <c r="N90" i="42" s="1"/>
  <c r="B90" i="42"/>
  <c r="Z89" i="42"/>
  <c r="X89" i="42"/>
  <c r="N89" i="42"/>
  <c r="L89" i="42"/>
  <c r="B89" i="42"/>
  <c r="X88" i="42"/>
  <c r="Z88" i="42" s="1"/>
  <c r="T88" i="42"/>
  <c r="P88" i="42"/>
  <c r="L88" i="42"/>
  <c r="N88" i="42" s="1"/>
  <c r="H88" i="42"/>
  <c r="D88" i="42"/>
  <c r="B88" i="42"/>
  <c r="X87" i="42"/>
  <c r="Z87" i="42" s="1"/>
  <c r="L87" i="42"/>
  <c r="N87" i="42" s="1"/>
  <c r="B87" i="42"/>
  <c r="X86" i="42"/>
  <c r="Z86" i="42" s="1"/>
  <c r="L86" i="42"/>
  <c r="N86" i="42" s="1"/>
  <c r="B86" i="42"/>
  <c r="X85" i="42"/>
  <c r="Z85" i="42" s="1"/>
  <c r="T85" i="42"/>
  <c r="P85" i="42"/>
  <c r="L85" i="42"/>
  <c r="N85" i="42" s="1"/>
  <c r="H85" i="42"/>
  <c r="D85" i="42"/>
  <c r="B85" i="42"/>
  <c r="Z84" i="42"/>
  <c r="X84" i="42"/>
  <c r="N84" i="42"/>
  <c r="L84" i="42"/>
  <c r="B84" i="42"/>
  <c r="X83" i="42"/>
  <c r="Z83" i="42" s="1"/>
  <c r="L83" i="42"/>
  <c r="N83" i="42" s="1"/>
  <c r="B83" i="42"/>
  <c r="Z82" i="42"/>
  <c r="X82" i="42"/>
  <c r="N82" i="42"/>
  <c r="L82" i="42"/>
  <c r="B82" i="42"/>
  <c r="X81" i="42"/>
  <c r="Z81" i="42" s="1"/>
  <c r="N81" i="42"/>
  <c r="L81" i="42"/>
  <c r="B81" i="42"/>
  <c r="T80" i="42"/>
  <c r="P80" i="42"/>
  <c r="X80" i="42" s="1"/>
  <c r="Z80" i="42" s="1"/>
  <c r="L80" i="42"/>
  <c r="N80" i="42" s="1"/>
  <c r="H80" i="42"/>
  <c r="D80" i="42"/>
  <c r="B80" i="42"/>
  <c r="X79" i="42"/>
  <c r="Z79" i="42" s="1"/>
  <c r="L79" i="42"/>
  <c r="N79" i="42" s="1"/>
  <c r="B79" i="42"/>
  <c r="X78" i="42"/>
  <c r="Z78" i="42" s="1"/>
  <c r="T78" i="42"/>
  <c r="P78" i="42"/>
  <c r="H78" i="42"/>
  <c r="N78" i="42" s="1"/>
  <c r="D78" i="42"/>
  <c r="L78" i="42" s="1"/>
  <c r="B78" i="42"/>
  <c r="X77" i="42"/>
  <c r="Z77" i="42" s="1"/>
  <c r="N77" i="42"/>
  <c r="L77" i="42"/>
  <c r="B77" i="42"/>
  <c r="T76" i="42"/>
  <c r="P76" i="42"/>
  <c r="N76" i="42"/>
  <c r="H76" i="42"/>
  <c r="D76" i="42"/>
  <c r="L76" i="42" s="1"/>
  <c r="B76" i="42"/>
  <c r="X75" i="42"/>
  <c r="Z75" i="42" s="1"/>
  <c r="L75" i="42"/>
  <c r="N75" i="42" s="1"/>
  <c r="B75" i="42"/>
  <c r="X74" i="42"/>
  <c r="Z74" i="42" s="1"/>
  <c r="T74" i="42"/>
  <c r="P74" i="42"/>
  <c r="H74" i="42"/>
  <c r="D74" i="42"/>
  <c r="L74" i="42" s="1"/>
  <c r="N74" i="42" s="1"/>
  <c r="B74" i="42"/>
  <c r="Z73" i="42"/>
  <c r="X73" i="42"/>
  <c r="N73" i="42"/>
  <c r="L73" i="42"/>
  <c r="B73" i="42"/>
  <c r="X72" i="42"/>
  <c r="Z72" i="42" s="1"/>
  <c r="T72" i="42"/>
  <c r="P72" i="42"/>
  <c r="H72" i="42"/>
  <c r="D72" i="42"/>
  <c r="L72" i="42" s="1"/>
  <c r="N72" i="42" s="1"/>
  <c r="B72" i="42"/>
  <c r="X71" i="42"/>
  <c r="Z71" i="42" s="1"/>
  <c r="L71" i="42"/>
  <c r="N71" i="42" s="1"/>
  <c r="B71" i="42"/>
  <c r="Z70" i="42"/>
  <c r="X70" i="42"/>
  <c r="L70" i="42"/>
  <c r="N70" i="42" s="1"/>
  <c r="B70" i="42"/>
  <c r="T69" i="42"/>
  <c r="P69" i="42"/>
  <c r="H69" i="42"/>
  <c r="D69" i="42"/>
  <c r="L69" i="42" s="1"/>
  <c r="N69" i="42" s="1"/>
  <c r="B69" i="42"/>
  <c r="Z68" i="42"/>
  <c r="X68" i="42"/>
  <c r="N68" i="42"/>
  <c r="L68" i="42"/>
  <c r="B68" i="42"/>
  <c r="Z67" i="42"/>
  <c r="X67" i="42"/>
  <c r="T67" i="42"/>
  <c r="P67" i="42"/>
  <c r="N67" i="42"/>
  <c r="H67" i="42"/>
  <c r="L67" i="42" s="1"/>
  <c r="D67" i="42"/>
  <c r="B67" i="42"/>
  <c r="X66" i="42"/>
  <c r="Z66" i="42" s="1"/>
  <c r="L66" i="42"/>
  <c r="N66" i="42" s="1"/>
  <c r="B66" i="42"/>
  <c r="T65" i="42"/>
  <c r="Z65" i="42" s="1"/>
  <c r="P65" i="42"/>
  <c r="X65" i="42" s="1"/>
  <c r="L65" i="42"/>
  <c r="H65" i="42"/>
  <c r="D65" i="42"/>
  <c r="B65" i="42"/>
  <c r="X64" i="42"/>
  <c r="Z64" i="42" s="1"/>
  <c r="L64" i="42"/>
  <c r="N64" i="42" s="1"/>
  <c r="B64" i="42"/>
  <c r="X63" i="42"/>
  <c r="Z63" i="42" s="1"/>
  <c r="T63" i="42"/>
  <c r="P63" i="42"/>
  <c r="H63" i="42"/>
  <c r="L63" i="42" s="1"/>
  <c r="N63" i="42" s="1"/>
  <c r="D63" i="42"/>
  <c r="B63" i="42"/>
  <c r="X62" i="42"/>
  <c r="Z62" i="42" s="1"/>
  <c r="N62" i="42"/>
  <c r="L62" i="42"/>
  <c r="B62" i="42"/>
  <c r="T61" i="42"/>
  <c r="P61" i="42"/>
  <c r="X61" i="42" s="1"/>
  <c r="Z61" i="42" s="1"/>
  <c r="H61" i="42"/>
  <c r="N61" i="42" s="1"/>
  <c r="D61" i="42"/>
  <c r="L61" i="42" s="1"/>
  <c r="B61" i="42"/>
  <c r="X60" i="42"/>
  <c r="Z60" i="42" s="1"/>
  <c r="N60" i="42"/>
  <c r="L60" i="42"/>
  <c r="B60" i="42"/>
  <c r="X59" i="42"/>
  <c r="Z59" i="42" s="1"/>
  <c r="T59" i="42"/>
  <c r="P59" i="42"/>
  <c r="N59" i="42"/>
  <c r="H59" i="42"/>
  <c r="D59" i="42"/>
  <c r="L59" i="42" s="1"/>
  <c r="B59" i="42"/>
  <c r="X58" i="42"/>
  <c r="Z58" i="42" s="1"/>
  <c r="L58" i="42"/>
  <c r="N58" i="42" s="1"/>
  <c r="B58" i="42"/>
  <c r="Z57" i="42"/>
  <c r="X57" i="42"/>
  <c r="N57" i="42"/>
  <c r="L57" i="42"/>
  <c r="B57" i="42"/>
  <c r="X56" i="42"/>
  <c r="Z56" i="42" s="1"/>
  <c r="L56" i="42"/>
  <c r="N56" i="42" s="1"/>
  <c r="B56" i="42"/>
  <c r="X55" i="42"/>
  <c r="Z55" i="42" s="1"/>
  <c r="T55" i="42"/>
  <c r="P55" i="42"/>
  <c r="H55" i="42"/>
  <c r="L55" i="42" s="1"/>
  <c r="N55" i="42" s="1"/>
  <c r="D55" i="42"/>
  <c r="B55" i="42"/>
  <c r="X54" i="42"/>
  <c r="Z54" i="42" s="1"/>
  <c r="L54" i="42"/>
  <c r="N54" i="42" s="1"/>
  <c r="B54" i="42"/>
  <c r="T53" i="42"/>
  <c r="P53" i="42"/>
  <c r="X53" i="42" s="1"/>
  <c r="Z53" i="42" s="1"/>
  <c r="H53" i="42"/>
  <c r="N53" i="42" s="1"/>
  <c r="D53" i="42"/>
  <c r="L53" i="42" s="1"/>
  <c r="B53" i="42"/>
  <c r="X52" i="42"/>
  <c r="Z52" i="42" s="1"/>
  <c r="L52" i="42"/>
  <c r="N52" i="42" s="1"/>
  <c r="B52" i="42"/>
  <c r="X51" i="42"/>
  <c r="Z51" i="42" s="1"/>
  <c r="T51" i="42"/>
  <c r="P51" i="42"/>
  <c r="H51" i="42"/>
  <c r="D51" i="42"/>
  <c r="L51" i="42" s="1"/>
  <c r="N51" i="42" s="1"/>
  <c r="B51" i="42"/>
  <c r="X50" i="42"/>
  <c r="Z50" i="42" s="1"/>
  <c r="L50" i="42"/>
  <c r="N50" i="42" s="1"/>
  <c r="B50" i="42"/>
  <c r="T49" i="42"/>
  <c r="X49" i="42" s="1"/>
  <c r="Z49" i="42" s="1"/>
  <c r="P49" i="42"/>
  <c r="L49" i="42"/>
  <c r="N49" i="42" s="1"/>
  <c r="H49" i="42"/>
  <c r="D49" i="42"/>
  <c r="B49" i="42"/>
  <c r="X48" i="42"/>
  <c r="Z48" i="42" s="1"/>
  <c r="R48" i="42"/>
  <c r="L48" i="42"/>
  <c r="N48" i="42" s="1"/>
  <c r="B48" i="42"/>
  <c r="Z47" i="42"/>
  <c r="X47" i="42"/>
  <c r="L47" i="42"/>
  <c r="N47" i="42" s="1"/>
  <c r="B47" i="42"/>
  <c r="X46" i="42"/>
  <c r="Z46" i="42" s="1"/>
  <c r="L46" i="42"/>
  <c r="N46" i="42" s="1"/>
  <c r="B46" i="42"/>
  <c r="Z45" i="42"/>
  <c r="X45" i="42"/>
  <c r="N45" i="42"/>
  <c r="L45" i="42"/>
  <c r="B45" i="42"/>
  <c r="X44" i="42"/>
  <c r="Z44" i="42" s="1"/>
  <c r="L44" i="42"/>
  <c r="N44" i="42" s="1"/>
  <c r="B44" i="42"/>
  <c r="Z43" i="42"/>
  <c r="X43" i="42"/>
  <c r="L43" i="42"/>
  <c r="N43" i="42" s="1"/>
  <c r="B43" i="42"/>
  <c r="X42" i="42"/>
  <c r="Z42" i="42" s="1"/>
  <c r="L42" i="42"/>
  <c r="N42" i="42" s="1"/>
  <c r="B42" i="42"/>
  <c r="T41" i="42"/>
  <c r="P41" i="42"/>
  <c r="X41" i="42" s="1"/>
  <c r="Z41" i="42" s="1"/>
  <c r="H41" i="42"/>
  <c r="N41" i="42" s="1"/>
  <c r="D41" i="42"/>
  <c r="L41" i="42" s="1"/>
  <c r="B41" i="42"/>
  <c r="X40" i="42"/>
  <c r="Z40" i="42" s="1"/>
  <c r="L40" i="42"/>
  <c r="N40" i="42" s="1"/>
  <c r="B40" i="42"/>
  <c r="X39" i="42"/>
  <c r="Z39" i="42" s="1"/>
  <c r="L39" i="42"/>
  <c r="N39" i="42" s="1"/>
  <c r="B39" i="42"/>
  <c r="X38" i="42"/>
  <c r="Z38" i="42" s="1"/>
  <c r="L38" i="42"/>
  <c r="N38" i="42" s="1"/>
  <c r="B38" i="42"/>
  <c r="Z37" i="42"/>
  <c r="X37" i="42"/>
  <c r="N37" i="42"/>
  <c r="L37" i="42"/>
  <c r="B37" i="42"/>
  <c r="X36" i="42"/>
  <c r="Z36" i="42" s="1"/>
  <c r="L36" i="42"/>
  <c r="N36" i="42" s="1"/>
  <c r="B36" i="42"/>
  <c r="X35" i="42"/>
  <c r="Z35" i="42" s="1"/>
  <c r="L35" i="42"/>
  <c r="N35" i="42" s="1"/>
  <c r="B35" i="42"/>
  <c r="X34" i="42"/>
  <c r="Z34" i="42" s="1"/>
  <c r="L34" i="42"/>
  <c r="N34" i="42" s="1"/>
  <c r="B34" i="42"/>
  <c r="Z33" i="42"/>
  <c r="X33" i="42"/>
  <c r="N33" i="42"/>
  <c r="L33" i="42"/>
  <c r="B33" i="42"/>
  <c r="X32" i="42"/>
  <c r="Z32" i="42" s="1"/>
  <c r="L32" i="42"/>
  <c r="N32" i="42" s="1"/>
  <c r="B32" i="42"/>
  <c r="X31" i="42"/>
  <c r="Z31" i="42" s="1"/>
  <c r="T31" i="42"/>
  <c r="P31" i="42"/>
  <c r="H31" i="42"/>
  <c r="D31" i="42"/>
  <c r="L31" i="42" s="1"/>
  <c r="N31" i="42" s="1"/>
  <c r="B31" i="42"/>
  <c r="X30" i="42"/>
  <c r="Z30" i="42" s="1"/>
  <c r="T30" i="42"/>
  <c r="P30" i="42"/>
  <c r="H30" i="42"/>
  <c r="D30" i="42"/>
  <c r="L30" i="42" s="1"/>
  <c r="X26" i="42"/>
  <c r="Z26" i="42" s="1"/>
  <c r="L26" i="42"/>
  <c r="N26" i="42" s="1"/>
  <c r="B26" i="42"/>
  <c r="Z25" i="42"/>
  <c r="X25" i="42"/>
  <c r="N25" i="42"/>
  <c r="L25" i="42"/>
  <c r="B25" i="42"/>
  <c r="T24" i="42"/>
  <c r="P24" i="42"/>
  <c r="X24" i="42" s="1"/>
  <c r="L24" i="42"/>
  <c r="N24" i="42" s="1"/>
  <c r="H24" i="42"/>
  <c r="D24" i="42"/>
  <c r="T22" i="42"/>
  <c r="P22" i="42"/>
  <c r="X22" i="42" s="1"/>
  <c r="H22" i="42"/>
  <c r="D22" i="42"/>
  <c r="L22" i="42" s="1"/>
  <c r="B22" i="42"/>
  <c r="T21" i="42"/>
  <c r="P21" i="42"/>
  <c r="H21" i="42"/>
  <c r="D21" i="42"/>
  <c r="L21" i="42" s="1"/>
  <c r="B21" i="42"/>
  <c r="X20" i="42"/>
  <c r="Z20" i="42" s="1"/>
  <c r="T20" i="42"/>
  <c r="P20" i="42"/>
  <c r="L20" i="42"/>
  <c r="N20" i="42" s="1"/>
  <c r="H20" i="42"/>
  <c r="D20" i="42"/>
  <c r="B20" i="42"/>
  <c r="T19" i="42"/>
  <c r="P19" i="42"/>
  <c r="X19" i="42" s="1"/>
  <c r="Z19" i="42" s="1"/>
  <c r="H19" i="42"/>
  <c r="D19" i="42"/>
  <c r="L19" i="42" s="1"/>
  <c r="N19" i="42" s="1"/>
  <c r="B19" i="42"/>
  <c r="T18" i="42"/>
  <c r="Z18" i="42" s="1"/>
  <c r="P18" i="42"/>
  <c r="X18" i="42" s="1"/>
  <c r="H18" i="42"/>
  <c r="D18" i="42"/>
  <c r="L18" i="42" s="1"/>
  <c r="B18" i="42"/>
  <c r="T17" i="42"/>
  <c r="P17" i="42"/>
  <c r="H17" i="42"/>
  <c r="N17" i="42" s="1"/>
  <c r="D17" i="42"/>
  <c r="L17" i="42" s="1"/>
  <c r="B17" i="42"/>
  <c r="X16" i="42"/>
  <c r="Z16" i="42" s="1"/>
  <c r="T16" i="42"/>
  <c r="P16" i="42"/>
  <c r="L16" i="42"/>
  <c r="N16" i="42" s="1"/>
  <c r="H16" i="42"/>
  <c r="D16" i="42"/>
  <c r="B16" i="42"/>
  <c r="T15" i="42"/>
  <c r="P15" i="42"/>
  <c r="X15" i="42" s="1"/>
  <c r="Z15" i="42" s="1"/>
  <c r="N15" i="42"/>
  <c r="H15" i="42"/>
  <c r="D15" i="42"/>
  <c r="L15" i="42" s="1"/>
  <c r="B15" i="42"/>
  <c r="T14" i="42"/>
  <c r="P14" i="42"/>
  <c r="P12" i="42" s="1"/>
  <c r="H14" i="42"/>
  <c r="D14" i="42"/>
  <c r="L14" i="42" s="1"/>
  <c r="B14" i="42"/>
  <c r="T13" i="42"/>
  <c r="P13" i="42"/>
  <c r="H13" i="42"/>
  <c r="H12" i="42" s="1"/>
  <c r="J99" i="42" s="1"/>
  <c r="D13" i="42"/>
  <c r="D12" i="42" s="1"/>
  <c r="B13" i="42"/>
  <c r="D4" i="42"/>
  <c r="Z133" i="39"/>
  <c r="X133" i="39"/>
  <c r="L133" i="39"/>
  <c r="N133" i="39" s="1"/>
  <c r="T129" i="39"/>
  <c r="P129" i="39"/>
  <c r="X129" i="39" s="1"/>
  <c r="N129" i="39"/>
  <c r="H129" i="39"/>
  <c r="L129" i="39" s="1"/>
  <c r="D129" i="39"/>
  <c r="B129" i="39"/>
  <c r="T128" i="39"/>
  <c r="P128" i="39"/>
  <c r="H128" i="39"/>
  <c r="L128" i="39" s="1"/>
  <c r="D128" i="39"/>
  <c r="B128" i="39"/>
  <c r="T127" i="39"/>
  <c r="X127" i="39" s="1"/>
  <c r="Z127" i="39" s="1"/>
  <c r="P127" i="39"/>
  <c r="L127" i="39"/>
  <c r="N127" i="39" s="1"/>
  <c r="H127" i="39"/>
  <c r="D127" i="39"/>
  <c r="B127" i="39"/>
  <c r="T126" i="39"/>
  <c r="D126" i="39"/>
  <c r="X124" i="39"/>
  <c r="Z124" i="39" s="1"/>
  <c r="L124" i="39"/>
  <c r="N124" i="39" s="1"/>
  <c r="B124" i="39"/>
  <c r="T123" i="39"/>
  <c r="P123" i="39"/>
  <c r="X123" i="39" s="1"/>
  <c r="H123" i="39"/>
  <c r="D123" i="39"/>
  <c r="L123" i="39" s="1"/>
  <c r="N123" i="39" s="1"/>
  <c r="B123" i="39"/>
  <c r="X122" i="39"/>
  <c r="Z122" i="39" s="1"/>
  <c r="L122" i="39"/>
  <c r="N122" i="39" s="1"/>
  <c r="B122" i="39"/>
  <c r="Z121" i="39"/>
  <c r="X121" i="39"/>
  <c r="N121" i="39"/>
  <c r="L121" i="39"/>
  <c r="B121" i="39"/>
  <c r="X120" i="39"/>
  <c r="Z120" i="39" s="1"/>
  <c r="L120" i="39"/>
  <c r="N120" i="39" s="1"/>
  <c r="B120" i="39"/>
  <c r="T119" i="39"/>
  <c r="P119" i="39"/>
  <c r="X119" i="39" s="1"/>
  <c r="Z119" i="39" s="1"/>
  <c r="H119" i="39"/>
  <c r="D119" i="39"/>
  <c r="L119" i="39" s="1"/>
  <c r="N119" i="39" s="1"/>
  <c r="B119" i="39"/>
  <c r="X118" i="39"/>
  <c r="Z118" i="39" s="1"/>
  <c r="L118" i="39"/>
  <c r="N118" i="39" s="1"/>
  <c r="B118" i="39"/>
  <c r="Z117" i="39"/>
  <c r="T117" i="39"/>
  <c r="X117" i="39" s="1"/>
  <c r="P117" i="39"/>
  <c r="L117" i="39"/>
  <c r="N117" i="39" s="1"/>
  <c r="H117" i="39"/>
  <c r="D117" i="39"/>
  <c r="B117" i="39"/>
  <c r="X116" i="39"/>
  <c r="Z116" i="39" s="1"/>
  <c r="L116" i="39"/>
  <c r="N116" i="39" s="1"/>
  <c r="B116" i="39"/>
  <c r="T115" i="39"/>
  <c r="P115" i="39"/>
  <c r="X115" i="39" s="1"/>
  <c r="N115" i="39"/>
  <c r="H115" i="39"/>
  <c r="D115" i="39"/>
  <c r="L115" i="39" s="1"/>
  <c r="B115" i="39"/>
  <c r="X114" i="39"/>
  <c r="Z114" i="39" s="1"/>
  <c r="L114" i="39"/>
  <c r="N114" i="39" s="1"/>
  <c r="B114" i="39"/>
  <c r="Z113" i="39"/>
  <c r="X113" i="39"/>
  <c r="N113" i="39"/>
  <c r="L113" i="39"/>
  <c r="B113" i="39"/>
  <c r="X112" i="39"/>
  <c r="Z112" i="39" s="1"/>
  <c r="L112" i="39"/>
  <c r="N112" i="39" s="1"/>
  <c r="B112" i="39"/>
  <c r="Z111" i="39"/>
  <c r="X111" i="39"/>
  <c r="N111" i="39"/>
  <c r="L111" i="39"/>
  <c r="B111" i="39"/>
  <c r="X110" i="39"/>
  <c r="Z110" i="39" s="1"/>
  <c r="L110" i="39"/>
  <c r="N110" i="39" s="1"/>
  <c r="B110" i="39"/>
  <c r="Z109" i="39"/>
  <c r="X109" i="39"/>
  <c r="N109" i="39"/>
  <c r="L109" i="39"/>
  <c r="B109" i="39"/>
  <c r="X108" i="39"/>
  <c r="Z108" i="39" s="1"/>
  <c r="L108" i="39"/>
  <c r="N108" i="39" s="1"/>
  <c r="B108" i="39"/>
  <c r="Z107" i="39"/>
  <c r="X107" i="39"/>
  <c r="L107" i="39"/>
  <c r="N107" i="39" s="1"/>
  <c r="B107" i="39"/>
  <c r="Z106" i="39"/>
  <c r="X106" i="39"/>
  <c r="N106" i="39"/>
  <c r="L106" i="39"/>
  <c r="B106" i="39"/>
  <c r="Z105" i="39"/>
  <c r="X105" i="39"/>
  <c r="N105" i="39"/>
  <c r="L105" i="39"/>
  <c r="B105" i="39"/>
  <c r="T104" i="39"/>
  <c r="X104" i="39" s="1"/>
  <c r="P104" i="39"/>
  <c r="H104" i="39"/>
  <c r="D104" i="39"/>
  <c r="L104" i="39" s="1"/>
  <c r="B104" i="39"/>
  <c r="X103" i="39"/>
  <c r="Z103" i="39" s="1"/>
  <c r="N103" i="39"/>
  <c r="L103" i="39"/>
  <c r="B103" i="39"/>
  <c r="X102" i="39"/>
  <c r="Z102" i="39" s="1"/>
  <c r="L102" i="39"/>
  <c r="N102" i="39" s="1"/>
  <c r="B102" i="39"/>
  <c r="T101" i="39"/>
  <c r="X101" i="39" s="1"/>
  <c r="Z101" i="39" s="1"/>
  <c r="P101" i="39"/>
  <c r="L101" i="39"/>
  <c r="N101" i="39" s="1"/>
  <c r="H101" i="39"/>
  <c r="D101" i="39"/>
  <c r="B101" i="39"/>
  <c r="X100" i="39"/>
  <c r="Z100" i="39" s="1"/>
  <c r="L100" i="39"/>
  <c r="N100" i="39" s="1"/>
  <c r="B100" i="39"/>
  <c r="Z99" i="39"/>
  <c r="X99" i="39"/>
  <c r="N99" i="39"/>
  <c r="L99" i="39"/>
  <c r="B99" i="39"/>
  <c r="X98" i="39"/>
  <c r="Z98" i="39" s="1"/>
  <c r="L98" i="39"/>
  <c r="N98" i="39" s="1"/>
  <c r="B98" i="39"/>
  <c r="Z97" i="39"/>
  <c r="X97" i="39"/>
  <c r="N97" i="39"/>
  <c r="L97" i="39"/>
  <c r="B97" i="39"/>
  <c r="X96" i="39"/>
  <c r="Z96" i="39" s="1"/>
  <c r="L96" i="39"/>
  <c r="N96" i="39" s="1"/>
  <c r="B96" i="39"/>
  <c r="T95" i="39"/>
  <c r="P95" i="39"/>
  <c r="X95" i="39" s="1"/>
  <c r="N95" i="39"/>
  <c r="H95" i="39"/>
  <c r="D95" i="39"/>
  <c r="L95" i="39" s="1"/>
  <c r="B95" i="39"/>
  <c r="X94" i="39"/>
  <c r="Z94" i="39" s="1"/>
  <c r="L94" i="39"/>
  <c r="N94" i="39" s="1"/>
  <c r="B94" i="39"/>
  <c r="Z93" i="39"/>
  <c r="X93" i="39"/>
  <c r="N93" i="39"/>
  <c r="L93" i="39"/>
  <c r="B93" i="39"/>
  <c r="T92" i="39"/>
  <c r="X92" i="39" s="1"/>
  <c r="P92" i="39"/>
  <c r="H92" i="39"/>
  <c r="D92" i="39"/>
  <c r="L92" i="39" s="1"/>
  <c r="B92" i="39"/>
  <c r="X91" i="39"/>
  <c r="Z91" i="39" s="1"/>
  <c r="N91" i="39"/>
  <c r="L91" i="39"/>
  <c r="B91" i="39"/>
  <c r="X90" i="39"/>
  <c r="Z90" i="39" s="1"/>
  <c r="L90" i="39"/>
  <c r="N90" i="39" s="1"/>
  <c r="B90" i="39"/>
  <c r="Z89" i="39"/>
  <c r="X89" i="39"/>
  <c r="N89" i="39"/>
  <c r="L89" i="39"/>
  <c r="B89" i="39"/>
  <c r="X88" i="39"/>
  <c r="Z88" i="39" s="1"/>
  <c r="N88" i="39"/>
  <c r="L88" i="39"/>
  <c r="B88" i="39"/>
  <c r="X87" i="39"/>
  <c r="Z87" i="39" s="1"/>
  <c r="T87" i="39"/>
  <c r="P87" i="39"/>
  <c r="H87" i="39"/>
  <c r="L87" i="39" s="1"/>
  <c r="N87" i="39" s="1"/>
  <c r="D87" i="39"/>
  <c r="B87" i="39"/>
  <c r="X86" i="39"/>
  <c r="Z86" i="39" s="1"/>
  <c r="L86" i="39"/>
  <c r="N86" i="39" s="1"/>
  <c r="B86" i="39"/>
  <c r="Z85" i="39"/>
  <c r="T85" i="39"/>
  <c r="X85" i="39" s="1"/>
  <c r="P85" i="39"/>
  <c r="H85" i="39"/>
  <c r="D85" i="39"/>
  <c r="L85" i="39" s="1"/>
  <c r="B85" i="39"/>
  <c r="X84" i="39"/>
  <c r="Z84" i="39" s="1"/>
  <c r="N84" i="39"/>
  <c r="L84" i="39"/>
  <c r="B84" i="39"/>
  <c r="T83" i="39"/>
  <c r="P83" i="39"/>
  <c r="X83" i="39" s="1"/>
  <c r="Z83" i="39" s="1"/>
  <c r="N83" i="39"/>
  <c r="H83" i="39"/>
  <c r="D83" i="39"/>
  <c r="L83" i="39" s="1"/>
  <c r="B83" i="39"/>
  <c r="X82" i="39"/>
  <c r="Z82" i="39" s="1"/>
  <c r="L82" i="39"/>
  <c r="N82" i="39" s="1"/>
  <c r="B82" i="39"/>
  <c r="Z81" i="39"/>
  <c r="T81" i="39"/>
  <c r="X81" i="39" s="1"/>
  <c r="P81" i="39"/>
  <c r="L81" i="39"/>
  <c r="N81" i="39" s="1"/>
  <c r="H81" i="39"/>
  <c r="D81" i="39"/>
  <c r="B81" i="39"/>
  <c r="X80" i="39"/>
  <c r="Z80" i="39" s="1"/>
  <c r="L80" i="39"/>
  <c r="N80" i="39" s="1"/>
  <c r="B80" i="39"/>
  <c r="T79" i="39"/>
  <c r="Z79" i="39" s="1"/>
  <c r="P79" i="39"/>
  <c r="X79" i="39" s="1"/>
  <c r="H79" i="39"/>
  <c r="L79" i="39" s="1"/>
  <c r="N79" i="39" s="1"/>
  <c r="D79" i="39"/>
  <c r="B79" i="39"/>
  <c r="X78" i="39"/>
  <c r="Z78" i="39" s="1"/>
  <c r="L78" i="39"/>
  <c r="N78" i="39" s="1"/>
  <c r="B78" i="39"/>
  <c r="Z77" i="39"/>
  <c r="X77" i="39"/>
  <c r="N77" i="39"/>
  <c r="L77" i="39"/>
  <c r="B77" i="39"/>
  <c r="T76" i="39"/>
  <c r="X76" i="39" s="1"/>
  <c r="P76" i="39"/>
  <c r="L76" i="39"/>
  <c r="H76" i="39"/>
  <c r="N76" i="39" s="1"/>
  <c r="D76" i="39"/>
  <c r="B76" i="39"/>
  <c r="Z75" i="39"/>
  <c r="X75" i="39"/>
  <c r="N75" i="39"/>
  <c r="L75" i="39"/>
  <c r="B75" i="39"/>
  <c r="X74" i="39"/>
  <c r="Z74" i="39" s="1"/>
  <c r="L74" i="39"/>
  <c r="N74" i="39" s="1"/>
  <c r="B74" i="39"/>
  <c r="Z73" i="39"/>
  <c r="T73" i="39"/>
  <c r="X73" i="39" s="1"/>
  <c r="P73" i="39"/>
  <c r="L73" i="39"/>
  <c r="N73" i="39" s="1"/>
  <c r="H73" i="39"/>
  <c r="D73" i="39"/>
  <c r="B73" i="39"/>
  <c r="X72" i="39"/>
  <c r="Z72" i="39" s="1"/>
  <c r="L72" i="39"/>
  <c r="N72" i="39" s="1"/>
  <c r="B72" i="39"/>
  <c r="T71" i="39"/>
  <c r="P71" i="39"/>
  <c r="X71" i="39" s="1"/>
  <c r="N71" i="39"/>
  <c r="H71" i="39"/>
  <c r="L71" i="39" s="1"/>
  <c r="D71" i="39"/>
  <c r="B71" i="39"/>
  <c r="X70" i="39"/>
  <c r="Z70" i="39" s="1"/>
  <c r="L70" i="39"/>
  <c r="N70" i="39" s="1"/>
  <c r="B70" i="39"/>
  <c r="T69" i="39"/>
  <c r="P69" i="39"/>
  <c r="X69" i="39" s="1"/>
  <c r="Z69" i="39" s="1"/>
  <c r="H69" i="39"/>
  <c r="D69" i="39"/>
  <c r="L69" i="39" s="1"/>
  <c r="N69" i="39" s="1"/>
  <c r="B69" i="39"/>
  <c r="X68" i="39"/>
  <c r="Z68" i="39" s="1"/>
  <c r="N68" i="39"/>
  <c r="L68" i="39"/>
  <c r="B68" i="39"/>
  <c r="X67" i="39"/>
  <c r="Z67" i="39" s="1"/>
  <c r="T67" i="39"/>
  <c r="P67" i="39"/>
  <c r="N67" i="39"/>
  <c r="H67" i="39"/>
  <c r="L67" i="39" s="1"/>
  <c r="D67" i="39"/>
  <c r="B67" i="39"/>
  <c r="X66" i="39"/>
  <c r="Z66" i="39" s="1"/>
  <c r="L66" i="39"/>
  <c r="N66" i="39" s="1"/>
  <c r="B66" i="39"/>
  <c r="T65" i="39"/>
  <c r="X65" i="39" s="1"/>
  <c r="Z65" i="39" s="1"/>
  <c r="P65" i="39"/>
  <c r="H65" i="39"/>
  <c r="D65" i="39"/>
  <c r="L65" i="39" s="1"/>
  <c r="B65" i="39"/>
  <c r="X64" i="39"/>
  <c r="Z64" i="39" s="1"/>
  <c r="L64" i="39"/>
  <c r="N64" i="39" s="1"/>
  <c r="B64" i="39"/>
  <c r="Z63" i="39"/>
  <c r="X63" i="39"/>
  <c r="L63" i="39"/>
  <c r="N63" i="39" s="1"/>
  <c r="B63" i="39"/>
  <c r="X62" i="39"/>
  <c r="Z62" i="39" s="1"/>
  <c r="L62" i="39"/>
  <c r="N62" i="39" s="1"/>
  <c r="B62" i="39"/>
  <c r="T61" i="39"/>
  <c r="P61" i="39"/>
  <c r="X61" i="39" s="1"/>
  <c r="Z61" i="39" s="1"/>
  <c r="H61" i="39"/>
  <c r="D61" i="39"/>
  <c r="L61" i="39" s="1"/>
  <c r="N61" i="39" s="1"/>
  <c r="B61" i="39"/>
  <c r="X60" i="39"/>
  <c r="Z60" i="39" s="1"/>
  <c r="L60" i="39"/>
  <c r="N60" i="39" s="1"/>
  <c r="B60" i="39"/>
  <c r="X59" i="39"/>
  <c r="Z59" i="39" s="1"/>
  <c r="T59" i="39"/>
  <c r="P59" i="39"/>
  <c r="N59" i="39"/>
  <c r="H59" i="39"/>
  <c r="L59" i="39" s="1"/>
  <c r="D59" i="39"/>
  <c r="B59" i="39"/>
  <c r="X58" i="39"/>
  <c r="Z58" i="39" s="1"/>
  <c r="L58" i="39"/>
  <c r="N58" i="39" s="1"/>
  <c r="B58" i="39"/>
  <c r="T57" i="39"/>
  <c r="X57" i="39" s="1"/>
  <c r="Z57" i="39" s="1"/>
  <c r="P57" i="39"/>
  <c r="H57" i="39"/>
  <c r="D57" i="39"/>
  <c r="L57" i="39" s="1"/>
  <c r="B57" i="39"/>
  <c r="X56" i="39"/>
  <c r="Z56" i="39" s="1"/>
  <c r="L56" i="39"/>
  <c r="N56" i="39" s="1"/>
  <c r="B56" i="39"/>
  <c r="T55" i="39"/>
  <c r="P55" i="39"/>
  <c r="X55" i="39" s="1"/>
  <c r="Z55" i="39" s="1"/>
  <c r="H55" i="39"/>
  <c r="D55" i="39"/>
  <c r="L55" i="39" s="1"/>
  <c r="N55" i="39" s="1"/>
  <c r="B55" i="39"/>
  <c r="X54" i="39"/>
  <c r="Z54" i="39" s="1"/>
  <c r="L54" i="39"/>
  <c r="N54" i="39" s="1"/>
  <c r="B54" i="39"/>
  <c r="Z53" i="39"/>
  <c r="X53" i="39"/>
  <c r="N53" i="39"/>
  <c r="L53" i="39"/>
  <c r="B53" i="39"/>
  <c r="X52" i="39"/>
  <c r="Z52" i="39" s="1"/>
  <c r="L52" i="39"/>
  <c r="N52" i="39" s="1"/>
  <c r="B52" i="39"/>
  <c r="X51" i="39"/>
  <c r="Z51" i="39" s="1"/>
  <c r="N51" i="39"/>
  <c r="L51" i="39"/>
  <c r="B51" i="39"/>
  <c r="X50" i="39"/>
  <c r="Z50" i="39" s="1"/>
  <c r="L50" i="39"/>
  <c r="N50" i="39" s="1"/>
  <c r="B50" i="39"/>
  <c r="Z49" i="39"/>
  <c r="X49" i="39"/>
  <c r="N49" i="39"/>
  <c r="L49" i="39"/>
  <c r="B49" i="39"/>
  <c r="X48" i="39"/>
  <c r="Z48" i="39" s="1"/>
  <c r="L48" i="39"/>
  <c r="N48" i="39" s="1"/>
  <c r="B48" i="39"/>
  <c r="X47" i="39"/>
  <c r="Z47" i="39" s="1"/>
  <c r="T47" i="39"/>
  <c r="P47" i="39"/>
  <c r="H47" i="39"/>
  <c r="L47" i="39" s="1"/>
  <c r="N47" i="39" s="1"/>
  <c r="D47" i="39"/>
  <c r="B47" i="39"/>
  <c r="X46" i="39"/>
  <c r="Z46" i="39" s="1"/>
  <c r="L46" i="39"/>
  <c r="N46" i="39" s="1"/>
  <c r="B46" i="39"/>
  <c r="Z45" i="39"/>
  <c r="X45" i="39"/>
  <c r="N45" i="39"/>
  <c r="L45" i="39"/>
  <c r="B45" i="39"/>
  <c r="X44" i="39"/>
  <c r="Z44" i="39" s="1"/>
  <c r="L44" i="39"/>
  <c r="N44" i="39" s="1"/>
  <c r="B44" i="39"/>
  <c r="X43" i="39"/>
  <c r="Z43" i="39" s="1"/>
  <c r="N43" i="39"/>
  <c r="L43" i="39"/>
  <c r="B43" i="39"/>
  <c r="X42" i="39"/>
  <c r="Z42" i="39" s="1"/>
  <c r="L42" i="39"/>
  <c r="N42" i="39" s="1"/>
  <c r="B42" i="39"/>
  <c r="Z41" i="39"/>
  <c r="X41" i="39"/>
  <c r="N41" i="39"/>
  <c r="L41" i="39"/>
  <c r="B41" i="39"/>
  <c r="X40" i="39"/>
  <c r="Z40" i="39" s="1"/>
  <c r="L40" i="39"/>
  <c r="N40" i="39" s="1"/>
  <c r="B40" i="39"/>
  <c r="X39" i="39"/>
  <c r="Z39" i="39" s="1"/>
  <c r="N39" i="39"/>
  <c r="L39" i="39"/>
  <c r="B39" i="39"/>
  <c r="X38" i="39"/>
  <c r="Z38" i="39" s="1"/>
  <c r="L38" i="39"/>
  <c r="N38" i="39" s="1"/>
  <c r="B38" i="39"/>
  <c r="Z37" i="39"/>
  <c r="T37" i="39"/>
  <c r="X37" i="39" s="1"/>
  <c r="P37" i="39"/>
  <c r="H37" i="39"/>
  <c r="D37" i="39"/>
  <c r="L37" i="39" s="1"/>
  <c r="B37" i="39"/>
  <c r="T36" i="39"/>
  <c r="P36" i="39"/>
  <c r="H36" i="39"/>
  <c r="D36" i="39"/>
  <c r="L36" i="39" s="1"/>
  <c r="X32" i="39"/>
  <c r="Z32" i="39" s="1"/>
  <c r="L32" i="39"/>
  <c r="N32" i="39" s="1"/>
  <c r="B32" i="39"/>
  <c r="Z31" i="39"/>
  <c r="X31" i="39"/>
  <c r="L31" i="39"/>
  <c r="N31" i="39" s="1"/>
  <c r="B31" i="39"/>
  <c r="X30" i="39"/>
  <c r="T30" i="39"/>
  <c r="P30" i="39"/>
  <c r="H30" i="39"/>
  <c r="D30" i="39"/>
  <c r="L30" i="39" s="1"/>
  <c r="X28" i="39"/>
  <c r="T28" i="39"/>
  <c r="P28" i="39"/>
  <c r="L28" i="39"/>
  <c r="N28" i="39" s="1"/>
  <c r="H28" i="39"/>
  <c r="D28" i="39"/>
  <c r="B28" i="39"/>
  <c r="Z27" i="39"/>
  <c r="T27" i="39"/>
  <c r="P27" i="39"/>
  <c r="X27" i="39" s="1"/>
  <c r="H27" i="39"/>
  <c r="D27" i="39"/>
  <c r="B27" i="39"/>
  <c r="T26" i="39"/>
  <c r="P26" i="39"/>
  <c r="X26" i="39" s="1"/>
  <c r="H26" i="39"/>
  <c r="N26" i="39" s="1"/>
  <c r="D26" i="39"/>
  <c r="L26" i="39" s="1"/>
  <c r="B26" i="39"/>
  <c r="Z25" i="39"/>
  <c r="T25" i="39"/>
  <c r="X25" i="39" s="1"/>
  <c r="P25" i="39"/>
  <c r="H25" i="39"/>
  <c r="D25" i="39"/>
  <c r="B25" i="39"/>
  <c r="T24" i="39"/>
  <c r="P24" i="39"/>
  <c r="X24" i="39" s="1"/>
  <c r="L24" i="39"/>
  <c r="N24" i="39" s="1"/>
  <c r="H24" i="39"/>
  <c r="D24" i="39"/>
  <c r="B24" i="39"/>
  <c r="T23" i="39"/>
  <c r="P23" i="39"/>
  <c r="X23" i="39" s="1"/>
  <c r="Z23" i="39" s="1"/>
  <c r="H23" i="39"/>
  <c r="D23" i="39"/>
  <c r="B23" i="39"/>
  <c r="T22" i="39"/>
  <c r="P22" i="39"/>
  <c r="H22" i="39"/>
  <c r="N22" i="39" s="1"/>
  <c r="D22" i="39"/>
  <c r="L22" i="39" s="1"/>
  <c r="B22" i="39"/>
  <c r="T21" i="39"/>
  <c r="X21" i="39" s="1"/>
  <c r="P21" i="39"/>
  <c r="L21" i="39"/>
  <c r="H21" i="39"/>
  <c r="N21" i="39" s="1"/>
  <c r="D21" i="39"/>
  <c r="B21" i="39"/>
  <c r="X20" i="39"/>
  <c r="T20" i="39"/>
  <c r="P20" i="39"/>
  <c r="L20" i="39"/>
  <c r="N20" i="39" s="1"/>
  <c r="H20" i="39"/>
  <c r="D20" i="39"/>
  <c r="B20" i="39"/>
  <c r="Z19" i="39"/>
  <c r="T19" i="39"/>
  <c r="P19" i="39"/>
  <c r="X19" i="39" s="1"/>
  <c r="H19" i="39"/>
  <c r="N19" i="39" s="1"/>
  <c r="D19" i="39"/>
  <c r="L19" i="39" s="1"/>
  <c r="B19" i="39"/>
  <c r="T18" i="39"/>
  <c r="P18" i="39"/>
  <c r="X18" i="39" s="1"/>
  <c r="H18" i="39"/>
  <c r="N18" i="39" s="1"/>
  <c r="D18" i="39"/>
  <c r="L18" i="39" s="1"/>
  <c r="B18" i="39"/>
  <c r="T17" i="39"/>
  <c r="X17" i="39" s="1"/>
  <c r="P17" i="39"/>
  <c r="H17" i="39"/>
  <c r="D17" i="39"/>
  <c r="B17" i="39"/>
  <c r="T16" i="39"/>
  <c r="P16" i="39"/>
  <c r="L16" i="39"/>
  <c r="N16" i="39" s="1"/>
  <c r="H16" i="39"/>
  <c r="D16" i="39"/>
  <c r="B16" i="39"/>
  <c r="Z15" i="39"/>
  <c r="T15" i="39"/>
  <c r="P15" i="39"/>
  <c r="X15" i="39" s="1"/>
  <c r="H15" i="39"/>
  <c r="D15" i="39"/>
  <c r="B15" i="39"/>
  <c r="T14" i="39"/>
  <c r="P14" i="39"/>
  <c r="H14" i="39"/>
  <c r="D14" i="39"/>
  <c r="B14" i="39"/>
  <c r="T13" i="39"/>
  <c r="P13" i="39"/>
  <c r="L13" i="39"/>
  <c r="H13" i="39"/>
  <c r="D13" i="39"/>
  <c r="B13" i="39"/>
  <c r="D4" i="39"/>
  <c r="Z128" i="36"/>
  <c r="X128" i="36"/>
  <c r="L128" i="36"/>
  <c r="N128" i="36" s="1"/>
  <c r="X124" i="36"/>
  <c r="Z124" i="36" s="1"/>
  <c r="T124" i="36"/>
  <c r="P124" i="36"/>
  <c r="H124" i="36"/>
  <c r="D124" i="36"/>
  <c r="B124" i="36"/>
  <c r="Z123" i="36"/>
  <c r="X123" i="36"/>
  <c r="T123" i="36"/>
  <c r="P123" i="36"/>
  <c r="H123" i="36"/>
  <c r="L123" i="36" s="1"/>
  <c r="N123" i="36" s="1"/>
  <c r="D123" i="36"/>
  <c r="B123" i="36"/>
  <c r="Z122" i="36"/>
  <c r="T122" i="36"/>
  <c r="P122" i="36"/>
  <c r="X122" i="36" s="1"/>
  <c r="H122" i="36"/>
  <c r="L122" i="36" s="1"/>
  <c r="N122" i="36" s="1"/>
  <c r="D122" i="36"/>
  <c r="B122" i="36"/>
  <c r="T121" i="36"/>
  <c r="P121" i="36"/>
  <c r="X121" i="36" s="1"/>
  <c r="Z121" i="36" s="1"/>
  <c r="D121" i="36"/>
  <c r="X119" i="36"/>
  <c r="Z119" i="36" s="1"/>
  <c r="L119" i="36"/>
  <c r="N119" i="36" s="1"/>
  <c r="B119" i="36"/>
  <c r="Z118" i="36"/>
  <c r="T118" i="36"/>
  <c r="P118" i="36"/>
  <c r="X118" i="36" s="1"/>
  <c r="H118" i="36"/>
  <c r="N118" i="36" s="1"/>
  <c r="D118" i="36"/>
  <c r="L118" i="36" s="1"/>
  <c r="B118" i="36"/>
  <c r="X117" i="36"/>
  <c r="Z117" i="36" s="1"/>
  <c r="N117" i="36"/>
  <c r="L117" i="36"/>
  <c r="B117" i="36"/>
  <c r="X116" i="36"/>
  <c r="Z116" i="36" s="1"/>
  <c r="N116" i="36"/>
  <c r="L116" i="36"/>
  <c r="B116" i="36"/>
  <c r="X115" i="36"/>
  <c r="Z115" i="36" s="1"/>
  <c r="L115" i="36"/>
  <c r="N115" i="36" s="1"/>
  <c r="B115" i="36"/>
  <c r="T114" i="36"/>
  <c r="P114" i="36"/>
  <c r="X114" i="36" s="1"/>
  <c r="Z114" i="36" s="1"/>
  <c r="H114" i="36"/>
  <c r="D114" i="36"/>
  <c r="L114" i="36" s="1"/>
  <c r="N114" i="36" s="1"/>
  <c r="B114" i="36"/>
  <c r="Z113" i="36"/>
  <c r="X113" i="36"/>
  <c r="N113" i="36"/>
  <c r="L113" i="36"/>
  <c r="B113" i="36"/>
  <c r="X112" i="36"/>
  <c r="T112" i="36"/>
  <c r="Z112" i="36" s="1"/>
  <c r="P112" i="36"/>
  <c r="H112" i="36"/>
  <c r="L112" i="36" s="1"/>
  <c r="N112" i="36" s="1"/>
  <c r="D112" i="36"/>
  <c r="B112" i="36"/>
  <c r="X111" i="36"/>
  <c r="Z111" i="36" s="1"/>
  <c r="L111" i="36"/>
  <c r="N111" i="36" s="1"/>
  <c r="B111" i="36"/>
  <c r="Z110" i="36"/>
  <c r="T110" i="36"/>
  <c r="P110" i="36"/>
  <c r="X110" i="36" s="1"/>
  <c r="H110" i="36"/>
  <c r="D110" i="36"/>
  <c r="L110" i="36" s="1"/>
  <c r="B110" i="36"/>
  <c r="X109" i="36"/>
  <c r="Z109" i="36" s="1"/>
  <c r="N109" i="36"/>
  <c r="L109" i="36"/>
  <c r="B109" i="36"/>
  <c r="X108" i="36"/>
  <c r="Z108" i="36" s="1"/>
  <c r="L108" i="36"/>
  <c r="N108" i="36" s="1"/>
  <c r="B108" i="36"/>
  <c r="X107" i="36"/>
  <c r="Z107" i="36" s="1"/>
  <c r="L107" i="36"/>
  <c r="N107" i="36" s="1"/>
  <c r="B107" i="36"/>
  <c r="Z106" i="36"/>
  <c r="X106" i="36"/>
  <c r="N106" i="36"/>
  <c r="L106" i="36"/>
  <c r="B106" i="36"/>
  <c r="X105" i="36"/>
  <c r="Z105" i="36" s="1"/>
  <c r="N105" i="36"/>
  <c r="L105" i="36"/>
  <c r="B105" i="36"/>
  <c r="X104" i="36"/>
  <c r="Z104" i="36" s="1"/>
  <c r="L104" i="36"/>
  <c r="N104" i="36" s="1"/>
  <c r="B104" i="36"/>
  <c r="X103" i="36"/>
  <c r="Z103" i="36" s="1"/>
  <c r="L103" i="36"/>
  <c r="N103" i="36" s="1"/>
  <c r="B103" i="36"/>
  <c r="Z102" i="36"/>
  <c r="X102" i="36"/>
  <c r="N102" i="36"/>
  <c r="L102" i="36"/>
  <c r="B102" i="36"/>
  <c r="Z101" i="36"/>
  <c r="X101" i="36"/>
  <c r="N101" i="36"/>
  <c r="L101" i="36"/>
  <c r="B101" i="36"/>
  <c r="X100" i="36"/>
  <c r="Z100" i="36" s="1"/>
  <c r="L100" i="36"/>
  <c r="N100" i="36" s="1"/>
  <c r="B100" i="36"/>
  <c r="T99" i="36"/>
  <c r="P99" i="36"/>
  <c r="X99" i="36" s="1"/>
  <c r="H99" i="36"/>
  <c r="L99" i="36" s="1"/>
  <c r="D99" i="36"/>
  <c r="B99" i="36"/>
  <c r="Z98" i="36"/>
  <c r="X98" i="36"/>
  <c r="N98" i="36"/>
  <c r="L98" i="36"/>
  <c r="B98" i="36"/>
  <c r="Z97" i="36"/>
  <c r="X97" i="36"/>
  <c r="N97" i="36"/>
  <c r="L97" i="36"/>
  <c r="B97" i="36"/>
  <c r="X96" i="36"/>
  <c r="T96" i="36"/>
  <c r="Z96" i="36" s="1"/>
  <c r="P96" i="36"/>
  <c r="H96" i="36"/>
  <c r="L96" i="36" s="1"/>
  <c r="N96" i="36" s="1"/>
  <c r="D96" i="36"/>
  <c r="B96" i="36"/>
  <c r="X95" i="36"/>
  <c r="Z95" i="36" s="1"/>
  <c r="L95" i="36"/>
  <c r="N95" i="36" s="1"/>
  <c r="B95" i="36"/>
  <c r="Z94" i="36"/>
  <c r="X94" i="36"/>
  <c r="N94" i="36"/>
  <c r="L94" i="36"/>
  <c r="B94" i="36"/>
  <c r="Z93" i="36"/>
  <c r="X93" i="36"/>
  <c r="L93" i="36"/>
  <c r="N93" i="36" s="1"/>
  <c r="B93" i="36"/>
  <c r="X92" i="36"/>
  <c r="Z92" i="36" s="1"/>
  <c r="L92" i="36"/>
  <c r="N92" i="36" s="1"/>
  <c r="B92" i="36"/>
  <c r="X91" i="36"/>
  <c r="Z91" i="36" s="1"/>
  <c r="L91" i="36"/>
  <c r="N91" i="36" s="1"/>
  <c r="B91" i="36"/>
  <c r="T90" i="36"/>
  <c r="P90" i="36"/>
  <c r="X90" i="36" s="1"/>
  <c r="Z90" i="36" s="1"/>
  <c r="H90" i="36"/>
  <c r="D90" i="36"/>
  <c r="L90" i="36" s="1"/>
  <c r="B90" i="36"/>
  <c r="X89" i="36"/>
  <c r="Z89" i="36" s="1"/>
  <c r="N89" i="36"/>
  <c r="L89" i="36"/>
  <c r="B89" i="36"/>
  <c r="X88" i="36"/>
  <c r="Z88" i="36" s="1"/>
  <c r="L88" i="36"/>
  <c r="N88" i="36" s="1"/>
  <c r="B88" i="36"/>
  <c r="T87" i="36"/>
  <c r="Z87" i="36" s="1"/>
  <c r="P87" i="36"/>
  <c r="X87" i="36" s="1"/>
  <c r="H87" i="36"/>
  <c r="L87" i="36" s="1"/>
  <c r="D87" i="36"/>
  <c r="B87" i="36"/>
  <c r="Z86" i="36"/>
  <c r="X86" i="36"/>
  <c r="N86" i="36"/>
  <c r="L86" i="36"/>
  <c r="B86" i="36"/>
  <c r="Z85" i="36"/>
  <c r="X85" i="36"/>
  <c r="N85" i="36"/>
  <c r="L85" i="36"/>
  <c r="B85" i="36"/>
  <c r="X84" i="36"/>
  <c r="Z84" i="36" s="1"/>
  <c r="N84" i="36"/>
  <c r="L84" i="36"/>
  <c r="B84" i="36"/>
  <c r="X83" i="36"/>
  <c r="Z83" i="36" s="1"/>
  <c r="L83" i="36"/>
  <c r="N83" i="36" s="1"/>
  <c r="B83" i="36"/>
  <c r="T82" i="36"/>
  <c r="X82" i="36" s="1"/>
  <c r="Z82" i="36" s="1"/>
  <c r="P82" i="36"/>
  <c r="L82" i="36"/>
  <c r="H82" i="36"/>
  <c r="N82" i="36" s="1"/>
  <c r="D82" i="36"/>
  <c r="B82" i="36"/>
  <c r="Z81" i="36"/>
  <c r="X81" i="36"/>
  <c r="L81" i="36"/>
  <c r="N81" i="36" s="1"/>
  <c r="B81" i="36"/>
  <c r="T80" i="36"/>
  <c r="P80" i="36"/>
  <c r="X80" i="36" s="1"/>
  <c r="H80" i="36"/>
  <c r="D80" i="36"/>
  <c r="L80" i="36" s="1"/>
  <c r="N80" i="36" s="1"/>
  <c r="B80" i="36"/>
  <c r="X79" i="36"/>
  <c r="Z79" i="36" s="1"/>
  <c r="L79" i="36"/>
  <c r="N79" i="36" s="1"/>
  <c r="B79" i="36"/>
  <c r="T78" i="36"/>
  <c r="P78" i="36"/>
  <c r="X78" i="36" s="1"/>
  <c r="Z78" i="36" s="1"/>
  <c r="H78" i="36"/>
  <c r="D78" i="36"/>
  <c r="L78" i="36" s="1"/>
  <c r="N78" i="36" s="1"/>
  <c r="B78" i="36"/>
  <c r="Z77" i="36"/>
  <c r="X77" i="36"/>
  <c r="N77" i="36"/>
  <c r="L77" i="36"/>
  <c r="B77" i="36"/>
  <c r="X76" i="36"/>
  <c r="T76" i="36"/>
  <c r="Z76" i="36" s="1"/>
  <c r="P76" i="36"/>
  <c r="N76" i="36"/>
  <c r="H76" i="36"/>
  <c r="L76" i="36" s="1"/>
  <c r="D76" i="36"/>
  <c r="B76" i="36"/>
  <c r="X75" i="36"/>
  <c r="Z75" i="36" s="1"/>
  <c r="L75" i="36"/>
  <c r="N75" i="36" s="1"/>
  <c r="B75" i="36"/>
  <c r="T74" i="36"/>
  <c r="P74" i="36"/>
  <c r="X74" i="36" s="1"/>
  <c r="Z74" i="36" s="1"/>
  <c r="H74" i="36"/>
  <c r="N74" i="36" s="1"/>
  <c r="D74" i="36"/>
  <c r="L74" i="36" s="1"/>
  <c r="B74" i="36"/>
  <c r="X73" i="36"/>
  <c r="Z73" i="36" s="1"/>
  <c r="N73" i="36"/>
  <c r="L73" i="36"/>
  <c r="B73" i="36"/>
  <c r="T72" i="36"/>
  <c r="P72" i="36"/>
  <c r="X72" i="36" s="1"/>
  <c r="Z72" i="36" s="1"/>
  <c r="H72" i="36"/>
  <c r="D72" i="36"/>
  <c r="L72" i="36" s="1"/>
  <c r="N72" i="36" s="1"/>
  <c r="B72" i="36"/>
  <c r="X71" i="36"/>
  <c r="Z71" i="36" s="1"/>
  <c r="L71" i="36"/>
  <c r="N71" i="36" s="1"/>
  <c r="B71" i="36"/>
  <c r="Z70" i="36"/>
  <c r="X70" i="36"/>
  <c r="N70" i="36"/>
  <c r="L70" i="36"/>
  <c r="B70" i="36"/>
  <c r="T69" i="36"/>
  <c r="P69" i="36"/>
  <c r="X69" i="36" s="1"/>
  <c r="L69" i="36"/>
  <c r="N69" i="36" s="1"/>
  <c r="H69" i="36"/>
  <c r="D69" i="36"/>
  <c r="B69" i="36"/>
  <c r="Z68" i="36"/>
  <c r="X68" i="36"/>
  <c r="N68" i="36"/>
  <c r="L68" i="36"/>
  <c r="J68" i="36"/>
  <c r="B68" i="36"/>
  <c r="Z67" i="36"/>
  <c r="T67" i="36"/>
  <c r="P67" i="36"/>
  <c r="X67" i="36" s="1"/>
  <c r="H67" i="36"/>
  <c r="D67" i="36"/>
  <c r="B67" i="36"/>
  <c r="Z66" i="36"/>
  <c r="X66" i="36"/>
  <c r="N66" i="36"/>
  <c r="L66" i="36"/>
  <c r="B66" i="36"/>
  <c r="T65" i="36"/>
  <c r="X65" i="36" s="1"/>
  <c r="P65" i="36"/>
  <c r="H65" i="36"/>
  <c r="N65" i="36" s="1"/>
  <c r="D65" i="36"/>
  <c r="L65" i="36" s="1"/>
  <c r="B65" i="36"/>
  <c r="X64" i="36"/>
  <c r="Z64" i="36" s="1"/>
  <c r="L64" i="36"/>
  <c r="N64" i="36" s="1"/>
  <c r="B64" i="36"/>
  <c r="X63" i="36"/>
  <c r="Z63" i="36" s="1"/>
  <c r="T63" i="36"/>
  <c r="P63" i="36"/>
  <c r="H63" i="36"/>
  <c r="N63" i="36" s="1"/>
  <c r="D63" i="36"/>
  <c r="L63" i="36" s="1"/>
  <c r="B63" i="36"/>
  <c r="Z62" i="36"/>
  <c r="X62" i="36"/>
  <c r="N62" i="36"/>
  <c r="L62" i="36"/>
  <c r="B62" i="36"/>
  <c r="T61" i="36"/>
  <c r="P61" i="36"/>
  <c r="H61" i="36"/>
  <c r="D61" i="36"/>
  <c r="L61" i="36" s="1"/>
  <c r="N61" i="36" s="1"/>
  <c r="B61" i="36"/>
  <c r="X60" i="36"/>
  <c r="Z60" i="36" s="1"/>
  <c r="N60" i="36"/>
  <c r="L60" i="36"/>
  <c r="B60" i="36"/>
  <c r="T59" i="36"/>
  <c r="P59" i="36"/>
  <c r="X59" i="36" s="1"/>
  <c r="H59" i="36"/>
  <c r="L59" i="36" s="1"/>
  <c r="D59" i="36"/>
  <c r="B59" i="36"/>
  <c r="Z58" i="36"/>
  <c r="X58" i="36"/>
  <c r="N58" i="36"/>
  <c r="L58" i="36"/>
  <c r="B58" i="36"/>
  <c r="Z57" i="36"/>
  <c r="X57" i="36"/>
  <c r="N57" i="36"/>
  <c r="L57" i="36"/>
  <c r="B57" i="36"/>
  <c r="X56" i="36"/>
  <c r="Z56" i="36" s="1"/>
  <c r="L56" i="36"/>
  <c r="N56" i="36" s="1"/>
  <c r="B56" i="36"/>
  <c r="X55" i="36"/>
  <c r="Z55" i="36" s="1"/>
  <c r="T55" i="36"/>
  <c r="P55" i="36"/>
  <c r="H55" i="36"/>
  <c r="D55" i="36"/>
  <c r="L55" i="36" s="1"/>
  <c r="B55" i="36"/>
  <c r="Z54" i="36"/>
  <c r="X54" i="36"/>
  <c r="N54" i="36"/>
  <c r="L54" i="36"/>
  <c r="B54" i="36"/>
  <c r="T53" i="36"/>
  <c r="P53" i="36"/>
  <c r="H53" i="36"/>
  <c r="D53" i="36"/>
  <c r="L53" i="36" s="1"/>
  <c r="N53" i="36" s="1"/>
  <c r="B53" i="36"/>
  <c r="X52" i="36"/>
  <c r="Z52" i="36" s="1"/>
  <c r="L52" i="36"/>
  <c r="N52" i="36" s="1"/>
  <c r="B52" i="36"/>
  <c r="T51" i="36"/>
  <c r="P51" i="36"/>
  <c r="X51" i="36" s="1"/>
  <c r="H51" i="36"/>
  <c r="L51" i="36" s="1"/>
  <c r="D51" i="36"/>
  <c r="B51" i="36"/>
  <c r="Z50" i="36"/>
  <c r="X50" i="36"/>
  <c r="N50" i="36"/>
  <c r="L50" i="36"/>
  <c r="B50" i="36"/>
  <c r="T49" i="36"/>
  <c r="Z49" i="36" s="1"/>
  <c r="P49" i="36"/>
  <c r="X49" i="36" s="1"/>
  <c r="L49" i="36"/>
  <c r="N49" i="36" s="1"/>
  <c r="H49" i="36"/>
  <c r="D49" i="36"/>
  <c r="B49" i="36"/>
  <c r="X48" i="36"/>
  <c r="Z48" i="36" s="1"/>
  <c r="L48" i="36"/>
  <c r="N48" i="36" s="1"/>
  <c r="J48" i="36"/>
  <c r="B48" i="36"/>
  <c r="X47" i="36"/>
  <c r="Z47" i="36" s="1"/>
  <c r="L47" i="36"/>
  <c r="N47" i="36" s="1"/>
  <c r="B47" i="36"/>
  <c r="Z46" i="36"/>
  <c r="X46" i="36"/>
  <c r="N46" i="36"/>
  <c r="L46" i="36"/>
  <c r="B46" i="36"/>
  <c r="Z45" i="36"/>
  <c r="X45" i="36"/>
  <c r="L45" i="36"/>
  <c r="N45" i="36" s="1"/>
  <c r="B45" i="36"/>
  <c r="X44" i="36"/>
  <c r="Z44" i="36" s="1"/>
  <c r="L44" i="36"/>
  <c r="N44" i="36" s="1"/>
  <c r="B44" i="36"/>
  <c r="X43" i="36"/>
  <c r="Z43" i="36" s="1"/>
  <c r="L43" i="36"/>
  <c r="N43" i="36" s="1"/>
  <c r="B43" i="36"/>
  <c r="Z42" i="36"/>
  <c r="X42" i="36"/>
  <c r="N42" i="36"/>
  <c r="L42" i="36"/>
  <c r="B42" i="36"/>
  <c r="T41" i="36"/>
  <c r="P41" i="36"/>
  <c r="H41" i="36"/>
  <c r="D41" i="36"/>
  <c r="L41" i="36" s="1"/>
  <c r="N41" i="36" s="1"/>
  <c r="B41" i="36"/>
  <c r="X40" i="36"/>
  <c r="Z40" i="36" s="1"/>
  <c r="L40" i="36"/>
  <c r="N40" i="36" s="1"/>
  <c r="B40" i="36"/>
  <c r="X39" i="36"/>
  <c r="Z39" i="36" s="1"/>
  <c r="L39" i="36"/>
  <c r="N39" i="36" s="1"/>
  <c r="B39" i="36"/>
  <c r="Z38" i="36"/>
  <c r="X38" i="36"/>
  <c r="N38" i="36"/>
  <c r="L38" i="36"/>
  <c r="B38" i="36"/>
  <c r="X37" i="36"/>
  <c r="Z37" i="36" s="1"/>
  <c r="N37" i="36"/>
  <c r="L37" i="36"/>
  <c r="B37" i="36"/>
  <c r="X36" i="36"/>
  <c r="Z36" i="36" s="1"/>
  <c r="L36" i="36"/>
  <c r="N36" i="36" s="1"/>
  <c r="B36" i="36"/>
  <c r="X35" i="36"/>
  <c r="Z35" i="36" s="1"/>
  <c r="L35" i="36"/>
  <c r="N35" i="36" s="1"/>
  <c r="B35" i="36"/>
  <c r="Z34" i="36"/>
  <c r="X34" i="36"/>
  <c r="N34" i="36"/>
  <c r="L34" i="36"/>
  <c r="B34" i="36"/>
  <c r="X33" i="36"/>
  <c r="Z33" i="36" s="1"/>
  <c r="N33" i="36"/>
  <c r="L33" i="36"/>
  <c r="B33" i="36"/>
  <c r="X32" i="36"/>
  <c r="Z32" i="36" s="1"/>
  <c r="L32" i="36"/>
  <c r="N32" i="36" s="1"/>
  <c r="B32" i="36"/>
  <c r="T31" i="36"/>
  <c r="P31" i="36"/>
  <c r="X31" i="36" s="1"/>
  <c r="H31" i="36"/>
  <c r="L31" i="36" s="1"/>
  <c r="D31" i="36"/>
  <c r="B31" i="36"/>
  <c r="T30" i="36"/>
  <c r="X30" i="36" s="1"/>
  <c r="Z30" i="36" s="1"/>
  <c r="P30" i="36"/>
  <c r="L30" i="36"/>
  <c r="H30" i="36"/>
  <c r="N30" i="36" s="1"/>
  <c r="D30" i="36"/>
  <c r="Z26" i="36"/>
  <c r="X26" i="36"/>
  <c r="N26" i="36"/>
  <c r="L26" i="36"/>
  <c r="B26" i="36"/>
  <c r="Z25" i="36"/>
  <c r="X25" i="36"/>
  <c r="N25" i="36"/>
  <c r="L25" i="36"/>
  <c r="B25" i="36"/>
  <c r="X24" i="36"/>
  <c r="T24" i="36"/>
  <c r="Z24" i="36" s="1"/>
  <c r="P24" i="36"/>
  <c r="H24" i="36"/>
  <c r="L24" i="36" s="1"/>
  <c r="N24" i="36" s="1"/>
  <c r="D24" i="36"/>
  <c r="T22" i="36"/>
  <c r="P22" i="36"/>
  <c r="H22" i="36"/>
  <c r="D22" i="36"/>
  <c r="L22" i="36" s="1"/>
  <c r="B22" i="36"/>
  <c r="X21" i="36"/>
  <c r="Z21" i="36" s="1"/>
  <c r="T21" i="36"/>
  <c r="P21" i="36"/>
  <c r="L21" i="36"/>
  <c r="N21" i="36" s="1"/>
  <c r="H21" i="36"/>
  <c r="D21" i="36"/>
  <c r="B21" i="36"/>
  <c r="T20" i="36"/>
  <c r="P20" i="36"/>
  <c r="X20" i="36" s="1"/>
  <c r="Z20" i="36" s="1"/>
  <c r="N20" i="36"/>
  <c r="H20" i="36"/>
  <c r="D20" i="36"/>
  <c r="L20" i="36" s="1"/>
  <c r="B20" i="36"/>
  <c r="T19" i="36"/>
  <c r="P19" i="36"/>
  <c r="X19" i="36" s="1"/>
  <c r="Z19" i="36" s="1"/>
  <c r="H19" i="36"/>
  <c r="N19" i="36" s="1"/>
  <c r="D19" i="36"/>
  <c r="L19" i="36" s="1"/>
  <c r="B19" i="36"/>
  <c r="T18" i="36"/>
  <c r="P18" i="36"/>
  <c r="H18" i="36"/>
  <c r="N18" i="36" s="1"/>
  <c r="D18" i="36"/>
  <c r="L18" i="36" s="1"/>
  <c r="B18" i="36"/>
  <c r="X17" i="36"/>
  <c r="Z17" i="36" s="1"/>
  <c r="T17" i="36"/>
  <c r="P17" i="36"/>
  <c r="L17" i="36"/>
  <c r="N17" i="36" s="1"/>
  <c r="H17" i="36"/>
  <c r="D17" i="36"/>
  <c r="B17" i="36"/>
  <c r="T16" i="36"/>
  <c r="P16" i="36"/>
  <c r="X16" i="36" s="1"/>
  <c r="Z16" i="36" s="1"/>
  <c r="H16" i="36"/>
  <c r="D16" i="36"/>
  <c r="L16" i="36" s="1"/>
  <c r="N16" i="36" s="1"/>
  <c r="B16" i="36"/>
  <c r="T15" i="36"/>
  <c r="P15" i="36"/>
  <c r="X15" i="36" s="1"/>
  <c r="Z15" i="36" s="1"/>
  <c r="H15" i="36"/>
  <c r="D15" i="36"/>
  <c r="B15" i="36"/>
  <c r="T14" i="36"/>
  <c r="P14" i="36"/>
  <c r="H14" i="36"/>
  <c r="D14" i="36"/>
  <c r="L14" i="36" s="1"/>
  <c r="B14" i="36"/>
  <c r="X13" i="36"/>
  <c r="Z13" i="36" s="1"/>
  <c r="T13" i="36"/>
  <c r="P13" i="36"/>
  <c r="L13" i="36"/>
  <c r="N13" i="36" s="1"/>
  <c r="H13" i="36"/>
  <c r="H12" i="36" s="1"/>
  <c r="J92" i="36" s="1"/>
  <c r="D13" i="36"/>
  <c r="B13" i="36"/>
  <c r="D4" i="36"/>
  <c r="X101" i="33"/>
  <c r="Z101" i="33" s="1"/>
  <c r="L101" i="33"/>
  <c r="N101" i="33" s="1"/>
  <c r="T97" i="33"/>
  <c r="P97" i="33"/>
  <c r="X97" i="33" s="1"/>
  <c r="Z97" i="33" s="1"/>
  <c r="H97" i="33"/>
  <c r="D97" i="33"/>
  <c r="B97" i="33"/>
  <c r="T96" i="33"/>
  <c r="X96" i="33" s="1"/>
  <c r="Z96" i="33" s="1"/>
  <c r="P96" i="33"/>
  <c r="N96" i="33"/>
  <c r="L96" i="33"/>
  <c r="H96" i="33"/>
  <c r="D96" i="33"/>
  <c r="B96" i="33"/>
  <c r="T95" i="33"/>
  <c r="P95" i="33"/>
  <c r="X95" i="33" s="1"/>
  <c r="L95" i="33"/>
  <c r="N95" i="33" s="1"/>
  <c r="H95" i="33"/>
  <c r="D95" i="33"/>
  <c r="B95" i="33"/>
  <c r="T94" i="33"/>
  <c r="Z94" i="33" s="1"/>
  <c r="P94" i="33"/>
  <c r="X94" i="33" s="1"/>
  <c r="N94" i="33"/>
  <c r="H94" i="33"/>
  <c r="D94" i="33"/>
  <c r="L94" i="33" s="1"/>
  <c r="B94" i="33"/>
  <c r="T93" i="33"/>
  <c r="P93" i="33"/>
  <c r="H93" i="33"/>
  <c r="L93" i="33" s="1"/>
  <c r="D93" i="33"/>
  <c r="B93" i="33"/>
  <c r="T92" i="33"/>
  <c r="X92" i="33" s="1"/>
  <c r="Z92" i="33" s="1"/>
  <c r="P92" i="33"/>
  <c r="L92" i="33"/>
  <c r="H92" i="33"/>
  <c r="N92" i="33" s="1"/>
  <c r="D92" i="33"/>
  <c r="B92" i="33"/>
  <c r="T91" i="33"/>
  <c r="D91" i="33"/>
  <c r="Z89" i="33"/>
  <c r="X89" i="33"/>
  <c r="N89" i="33"/>
  <c r="L89" i="33"/>
  <c r="B89" i="33"/>
  <c r="T88" i="33"/>
  <c r="Z88" i="33" s="1"/>
  <c r="P88" i="33"/>
  <c r="X88" i="33" s="1"/>
  <c r="N88" i="33"/>
  <c r="H88" i="33"/>
  <c r="D88" i="33"/>
  <c r="L88" i="33" s="1"/>
  <c r="B88" i="33"/>
  <c r="X87" i="33"/>
  <c r="Z87" i="33" s="1"/>
  <c r="N87" i="33"/>
  <c r="L87" i="33"/>
  <c r="B87" i="33"/>
  <c r="Z86" i="33"/>
  <c r="X86" i="33"/>
  <c r="T86" i="33"/>
  <c r="P86" i="33"/>
  <c r="N86" i="33"/>
  <c r="L86" i="33"/>
  <c r="H86" i="33"/>
  <c r="D86" i="33"/>
  <c r="B86" i="33"/>
  <c r="Z85" i="33"/>
  <c r="X85" i="33"/>
  <c r="N85" i="33"/>
  <c r="L85" i="33"/>
  <c r="B85" i="33"/>
  <c r="X84" i="33"/>
  <c r="T84" i="33"/>
  <c r="Z84" i="33" s="1"/>
  <c r="P84" i="33"/>
  <c r="H84" i="33"/>
  <c r="L84" i="33" s="1"/>
  <c r="N84" i="33" s="1"/>
  <c r="D84" i="33"/>
  <c r="B84" i="33"/>
  <c r="X83" i="33"/>
  <c r="Z83" i="33" s="1"/>
  <c r="L83" i="33"/>
  <c r="N83" i="33" s="1"/>
  <c r="B83" i="33"/>
  <c r="Z82" i="33"/>
  <c r="X82" i="33"/>
  <c r="N82" i="33"/>
  <c r="L82" i="33"/>
  <c r="B82" i="33"/>
  <c r="Z81" i="33"/>
  <c r="X81" i="33"/>
  <c r="L81" i="33"/>
  <c r="N81" i="33" s="1"/>
  <c r="B81" i="33"/>
  <c r="X80" i="33"/>
  <c r="Z80" i="33" s="1"/>
  <c r="L80" i="33"/>
  <c r="N80" i="33" s="1"/>
  <c r="B80" i="33"/>
  <c r="Z79" i="33"/>
  <c r="X79" i="33"/>
  <c r="N79" i="33"/>
  <c r="L79" i="33"/>
  <c r="B79" i="33"/>
  <c r="Z78" i="33"/>
  <c r="X78" i="33"/>
  <c r="N78" i="33"/>
  <c r="L78" i="33"/>
  <c r="B78" i="33"/>
  <c r="T77" i="33"/>
  <c r="P77" i="33"/>
  <c r="H77" i="33"/>
  <c r="D77" i="33"/>
  <c r="L77" i="33" s="1"/>
  <c r="N77" i="33" s="1"/>
  <c r="B77" i="33"/>
  <c r="X76" i="33"/>
  <c r="Z76" i="33" s="1"/>
  <c r="L76" i="33"/>
  <c r="N76" i="33" s="1"/>
  <c r="B76" i="33"/>
  <c r="T75" i="33"/>
  <c r="P75" i="33"/>
  <c r="X75" i="33" s="1"/>
  <c r="Z75" i="33" s="1"/>
  <c r="H75" i="33"/>
  <c r="L75" i="33" s="1"/>
  <c r="D75" i="33"/>
  <c r="B75" i="33"/>
  <c r="Z74" i="33"/>
  <c r="X74" i="33"/>
  <c r="N74" i="33"/>
  <c r="L74" i="33"/>
  <c r="B74" i="33"/>
  <c r="Z73" i="33"/>
  <c r="X73" i="33"/>
  <c r="N73" i="33"/>
  <c r="L73" i="33"/>
  <c r="B73" i="33"/>
  <c r="Z72" i="33"/>
  <c r="X72" i="33"/>
  <c r="N72" i="33"/>
  <c r="L72" i="33"/>
  <c r="B72" i="33"/>
  <c r="X71" i="33"/>
  <c r="Z71" i="33" s="1"/>
  <c r="T71" i="33"/>
  <c r="P71" i="33"/>
  <c r="H71" i="33"/>
  <c r="D71" i="33"/>
  <c r="L71" i="33" s="1"/>
  <c r="B71" i="33"/>
  <c r="Z70" i="33"/>
  <c r="X70" i="33"/>
  <c r="N70" i="33"/>
  <c r="L70" i="33"/>
  <c r="B70" i="33"/>
  <c r="T69" i="33"/>
  <c r="P69" i="33"/>
  <c r="H69" i="33"/>
  <c r="D69" i="33"/>
  <c r="L69" i="33" s="1"/>
  <c r="N69" i="33" s="1"/>
  <c r="B69" i="33"/>
  <c r="X68" i="33"/>
  <c r="Z68" i="33" s="1"/>
  <c r="N68" i="33"/>
  <c r="L68" i="33"/>
  <c r="B68" i="33"/>
  <c r="T67" i="33"/>
  <c r="P67" i="33"/>
  <c r="X67" i="33" s="1"/>
  <c r="Z67" i="33" s="1"/>
  <c r="H67" i="33"/>
  <c r="D67" i="33"/>
  <c r="B67" i="33"/>
  <c r="Z66" i="33"/>
  <c r="X66" i="33"/>
  <c r="N66" i="33"/>
  <c r="L66" i="33"/>
  <c r="B66" i="33"/>
  <c r="Z65" i="33"/>
  <c r="X65" i="33"/>
  <c r="N65" i="33"/>
  <c r="L65" i="33"/>
  <c r="B65" i="33"/>
  <c r="X64" i="33"/>
  <c r="T64" i="33"/>
  <c r="Z64" i="33" s="1"/>
  <c r="P64" i="33"/>
  <c r="N64" i="33"/>
  <c r="H64" i="33"/>
  <c r="L64" i="33" s="1"/>
  <c r="D64" i="33"/>
  <c r="B64" i="33"/>
  <c r="X63" i="33"/>
  <c r="Z63" i="33" s="1"/>
  <c r="L63" i="33"/>
  <c r="N63" i="33" s="1"/>
  <c r="B63" i="33"/>
  <c r="T62" i="33"/>
  <c r="P62" i="33"/>
  <c r="X62" i="33" s="1"/>
  <c r="Z62" i="33" s="1"/>
  <c r="H62" i="33"/>
  <c r="D62" i="33"/>
  <c r="L62" i="33" s="1"/>
  <c r="B62" i="33"/>
  <c r="X61" i="33"/>
  <c r="Z61" i="33" s="1"/>
  <c r="N61" i="33"/>
  <c r="L61" i="33"/>
  <c r="B61" i="33"/>
  <c r="X60" i="33"/>
  <c r="Z60" i="33" s="1"/>
  <c r="T60" i="33"/>
  <c r="P60" i="33"/>
  <c r="H60" i="33"/>
  <c r="L60" i="33" s="1"/>
  <c r="N60" i="33" s="1"/>
  <c r="D60" i="33"/>
  <c r="B60" i="33"/>
  <c r="X59" i="33"/>
  <c r="Z59" i="33" s="1"/>
  <c r="L59" i="33"/>
  <c r="N59" i="33" s="1"/>
  <c r="B59" i="33"/>
  <c r="T58" i="33"/>
  <c r="X58" i="33" s="1"/>
  <c r="Z58" i="33" s="1"/>
  <c r="P58" i="33"/>
  <c r="L58" i="33"/>
  <c r="H58" i="33"/>
  <c r="N58" i="33" s="1"/>
  <c r="D58" i="33"/>
  <c r="B58" i="33"/>
  <c r="Z57" i="33"/>
  <c r="X57" i="33"/>
  <c r="L57" i="33"/>
  <c r="N57" i="33" s="1"/>
  <c r="B57" i="33"/>
  <c r="T56" i="33"/>
  <c r="P56" i="33"/>
  <c r="X56" i="33" s="1"/>
  <c r="H56" i="33"/>
  <c r="D56" i="33"/>
  <c r="L56" i="33" s="1"/>
  <c r="N56" i="33" s="1"/>
  <c r="B56" i="33"/>
  <c r="X55" i="33"/>
  <c r="Z55" i="33" s="1"/>
  <c r="L55" i="33"/>
  <c r="N55" i="33" s="1"/>
  <c r="B55" i="33"/>
  <c r="Z54" i="33"/>
  <c r="X54" i="33"/>
  <c r="N54" i="33"/>
  <c r="L54" i="33"/>
  <c r="B54" i="33"/>
  <c r="X53" i="33"/>
  <c r="Z53" i="33" s="1"/>
  <c r="N53" i="33"/>
  <c r="L53" i="33"/>
  <c r="B53" i="33"/>
  <c r="X52" i="33"/>
  <c r="Z52" i="33" s="1"/>
  <c r="L52" i="33"/>
  <c r="N52" i="33" s="1"/>
  <c r="B52" i="33"/>
  <c r="X51" i="33"/>
  <c r="Z51" i="33" s="1"/>
  <c r="T51" i="33"/>
  <c r="P51" i="33"/>
  <c r="H51" i="33"/>
  <c r="D51" i="33"/>
  <c r="B51" i="33"/>
  <c r="Z50" i="33"/>
  <c r="X50" i="33"/>
  <c r="N50" i="33"/>
  <c r="L50" i="33"/>
  <c r="B50" i="33"/>
  <c r="Z49" i="33"/>
  <c r="X49" i="33"/>
  <c r="N49" i="33"/>
  <c r="L49" i="33"/>
  <c r="B49" i="33"/>
  <c r="X48" i="33"/>
  <c r="Z48" i="33" s="1"/>
  <c r="L48" i="33"/>
  <c r="N48" i="33" s="1"/>
  <c r="B48" i="33"/>
  <c r="X47" i="33"/>
  <c r="Z47" i="33" s="1"/>
  <c r="L47" i="33"/>
  <c r="N47" i="33" s="1"/>
  <c r="B47" i="33"/>
  <c r="Z46" i="33"/>
  <c r="X46" i="33"/>
  <c r="N46" i="33"/>
  <c r="L46" i="33"/>
  <c r="B46" i="33"/>
  <c r="Z45" i="33"/>
  <c r="X45" i="33"/>
  <c r="N45" i="33"/>
  <c r="L45" i="33"/>
  <c r="B45" i="33"/>
  <c r="X44" i="33"/>
  <c r="Z44" i="33" s="1"/>
  <c r="L44" i="33"/>
  <c r="N44" i="33" s="1"/>
  <c r="B44" i="33"/>
  <c r="X43" i="33"/>
  <c r="Z43" i="33" s="1"/>
  <c r="L43" i="33"/>
  <c r="N43" i="33" s="1"/>
  <c r="B43" i="33"/>
  <c r="T42" i="33"/>
  <c r="X42" i="33" s="1"/>
  <c r="Z42" i="33" s="1"/>
  <c r="P42" i="33"/>
  <c r="L42" i="33"/>
  <c r="H42" i="33"/>
  <c r="N42" i="33" s="1"/>
  <c r="D42" i="33"/>
  <c r="B42" i="33"/>
  <c r="T41" i="33"/>
  <c r="P41" i="33"/>
  <c r="H41" i="33"/>
  <c r="D41" i="33"/>
  <c r="L41" i="33" s="1"/>
  <c r="N41" i="33" s="1"/>
  <c r="Z37" i="33"/>
  <c r="X37" i="33"/>
  <c r="N37" i="33"/>
  <c r="L37" i="33"/>
  <c r="B37" i="33"/>
  <c r="X36" i="33"/>
  <c r="Z36" i="33" s="1"/>
  <c r="N36" i="33"/>
  <c r="L36" i="33"/>
  <c r="B36" i="33"/>
  <c r="X35" i="33"/>
  <c r="Z35" i="33" s="1"/>
  <c r="L35" i="33"/>
  <c r="N35" i="33" s="1"/>
  <c r="B35" i="33"/>
  <c r="Z34" i="33"/>
  <c r="X34" i="33"/>
  <c r="N34" i="33"/>
  <c r="L34" i="33"/>
  <c r="B34" i="33"/>
  <c r="Z33" i="33"/>
  <c r="X33" i="33"/>
  <c r="L33" i="33"/>
  <c r="N33" i="33" s="1"/>
  <c r="B33" i="33"/>
  <c r="T32" i="33"/>
  <c r="P32" i="33"/>
  <c r="X32" i="33" s="1"/>
  <c r="N32" i="33"/>
  <c r="H32" i="33"/>
  <c r="D32" i="33"/>
  <c r="L32" i="33" s="1"/>
  <c r="T30" i="33"/>
  <c r="P30" i="33"/>
  <c r="H30" i="33"/>
  <c r="N30" i="33" s="1"/>
  <c r="D30" i="33"/>
  <c r="B30" i="33"/>
  <c r="X29" i="33"/>
  <c r="Z29" i="33" s="1"/>
  <c r="T29" i="33"/>
  <c r="P29" i="33"/>
  <c r="N29" i="33"/>
  <c r="L29" i="33"/>
  <c r="H29" i="33"/>
  <c r="D29" i="33"/>
  <c r="B29" i="33"/>
  <c r="Z28" i="33"/>
  <c r="T28" i="33"/>
  <c r="P28" i="33"/>
  <c r="X28" i="33" s="1"/>
  <c r="N28" i="33"/>
  <c r="H28" i="33"/>
  <c r="D28" i="33"/>
  <c r="L28" i="33" s="1"/>
  <c r="B28" i="33"/>
  <c r="T27" i="33"/>
  <c r="P27" i="33"/>
  <c r="X27" i="33" s="1"/>
  <c r="H27" i="33"/>
  <c r="N27" i="33" s="1"/>
  <c r="D27" i="33"/>
  <c r="L27" i="33" s="1"/>
  <c r="B27" i="33"/>
  <c r="T26" i="33"/>
  <c r="P26" i="33"/>
  <c r="L26" i="33"/>
  <c r="H26" i="33"/>
  <c r="N26" i="33" s="1"/>
  <c r="D26" i="33"/>
  <c r="B26" i="33"/>
  <c r="X25" i="33"/>
  <c r="Z25" i="33" s="1"/>
  <c r="T25" i="33"/>
  <c r="P25" i="33"/>
  <c r="L25" i="33"/>
  <c r="N25" i="33" s="1"/>
  <c r="H25" i="33"/>
  <c r="D25" i="33"/>
  <c r="B25" i="33"/>
  <c r="T24" i="33"/>
  <c r="P24" i="33"/>
  <c r="X24" i="33" s="1"/>
  <c r="Z24" i="33" s="1"/>
  <c r="H24" i="33"/>
  <c r="D24" i="33"/>
  <c r="L24" i="33" s="1"/>
  <c r="N24" i="33" s="1"/>
  <c r="B24" i="33"/>
  <c r="T23" i="33"/>
  <c r="P23" i="33"/>
  <c r="H23" i="33"/>
  <c r="N23" i="33" s="1"/>
  <c r="D23" i="33"/>
  <c r="L23" i="33" s="1"/>
  <c r="B23" i="33"/>
  <c r="T22" i="33"/>
  <c r="P22" i="33"/>
  <c r="L22" i="33"/>
  <c r="H22" i="33"/>
  <c r="D22" i="33"/>
  <c r="B22" i="33"/>
  <c r="X21" i="33"/>
  <c r="Z21" i="33" s="1"/>
  <c r="T21" i="33"/>
  <c r="P21" i="33"/>
  <c r="L21" i="33"/>
  <c r="N21" i="33" s="1"/>
  <c r="H21" i="33"/>
  <c r="D21" i="33"/>
  <c r="B21" i="33"/>
  <c r="Z20" i="33"/>
  <c r="T20" i="33"/>
  <c r="P20" i="33"/>
  <c r="X20" i="33" s="1"/>
  <c r="N20" i="33"/>
  <c r="H20" i="33"/>
  <c r="D20" i="33"/>
  <c r="L20" i="33" s="1"/>
  <c r="B20" i="33"/>
  <c r="T19" i="33"/>
  <c r="P19" i="33"/>
  <c r="X19" i="33" s="1"/>
  <c r="H19" i="33"/>
  <c r="N19" i="33" s="1"/>
  <c r="D19" i="33"/>
  <c r="L19" i="33" s="1"/>
  <c r="B19" i="33"/>
  <c r="T18" i="33"/>
  <c r="P18" i="33"/>
  <c r="H18" i="33"/>
  <c r="D18" i="33"/>
  <c r="B18" i="33"/>
  <c r="X17" i="33"/>
  <c r="Z17" i="33" s="1"/>
  <c r="T17" i="33"/>
  <c r="P17" i="33"/>
  <c r="L17" i="33"/>
  <c r="N17" i="33" s="1"/>
  <c r="H17" i="33"/>
  <c r="D17" i="33"/>
  <c r="B17" i="33"/>
  <c r="Z16" i="33"/>
  <c r="T16" i="33"/>
  <c r="P16" i="33"/>
  <c r="X16" i="33" s="1"/>
  <c r="N16" i="33"/>
  <c r="H16" i="33"/>
  <c r="D16" i="33"/>
  <c r="L16" i="33" s="1"/>
  <c r="B16" i="33"/>
  <c r="T15" i="33"/>
  <c r="P15" i="33"/>
  <c r="H15" i="33"/>
  <c r="D15" i="33"/>
  <c r="B15" i="33"/>
  <c r="T14" i="33"/>
  <c r="P14" i="33"/>
  <c r="H14" i="33"/>
  <c r="D14" i="33"/>
  <c r="B14" i="33"/>
  <c r="Z13" i="33"/>
  <c r="X13" i="33"/>
  <c r="T13" i="33"/>
  <c r="P13" i="33"/>
  <c r="N13" i="33"/>
  <c r="L13" i="33"/>
  <c r="H13" i="33"/>
  <c r="D13" i="33"/>
  <c r="B13" i="33"/>
  <c r="D4" i="33"/>
  <c r="Z166" i="30"/>
  <c r="X166" i="30"/>
  <c r="N166" i="30"/>
  <c r="L166" i="30"/>
  <c r="J166" i="30"/>
  <c r="Z162" i="30"/>
  <c r="T162" i="30"/>
  <c r="P162" i="30"/>
  <c r="H162" i="30"/>
  <c r="D162" i="30"/>
  <c r="B162" i="30"/>
  <c r="T161" i="30"/>
  <c r="X161" i="30" s="1"/>
  <c r="P161" i="30"/>
  <c r="H161" i="30"/>
  <c r="D161" i="30"/>
  <c r="B161" i="30"/>
  <c r="T160" i="30"/>
  <c r="D160" i="30"/>
  <c r="Z158" i="30"/>
  <c r="X158" i="30"/>
  <c r="V158" i="30"/>
  <c r="L158" i="30"/>
  <c r="N158" i="30" s="1"/>
  <c r="B158" i="30"/>
  <c r="T157" i="30"/>
  <c r="P157" i="30"/>
  <c r="X157" i="30" s="1"/>
  <c r="H157" i="30"/>
  <c r="D157" i="30"/>
  <c r="B157" i="30"/>
  <c r="X156" i="30"/>
  <c r="Z156" i="30" s="1"/>
  <c r="N156" i="30"/>
  <c r="L156" i="30"/>
  <c r="B156" i="30"/>
  <c r="Z155" i="30"/>
  <c r="X155" i="30"/>
  <c r="N155" i="30"/>
  <c r="L155" i="30"/>
  <c r="B155" i="30"/>
  <c r="T154" i="30"/>
  <c r="P154" i="30"/>
  <c r="L154" i="30"/>
  <c r="N154" i="30" s="1"/>
  <c r="H154" i="30"/>
  <c r="D154" i="30"/>
  <c r="B154" i="30"/>
  <c r="X153" i="30"/>
  <c r="Z153" i="30" s="1"/>
  <c r="L153" i="30"/>
  <c r="N153" i="30" s="1"/>
  <c r="B153" i="30"/>
  <c r="T152" i="30"/>
  <c r="P152" i="30"/>
  <c r="X152" i="30" s="1"/>
  <c r="Z152" i="30" s="1"/>
  <c r="H152" i="30"/>
  <c r="L152" i="30" s="1"/>
  <c r="D152" i="30"/>
  <c r="B152" i="30"/>
  <c r="Z151" i="30"/>
  <c r="X151" i="30"/>
  <c r="L151" i="30"/>
  <c r="N151" i="30" s="1"/>
  <c r="B151" i="30"/>
  <c r="Z150" i="30"/>
  <c r="X150" i="30"/>
  <c r="T150" i="30"/>
  <c r="P150" i="30"/>
  <c r="H150" i="30"/>
  <c r="D150" i="30"/>
  <c r="B150" i="30"/>
  <c r="Z149" i="30"/>
  <c r="X149" i="30"/>
  <c r="L149" i="30"/>
  <c r="N149" i="30" s="1"/>
  <c r="B149" i="30"/>
  <c r="Z148" i="30"/>
  <c r="X148" i="30"/>
  <c r="N148" i="30"/>
  <c r="L148" i="30"/>
  <c r="B148" i="30"/>
  <c r="Z147" i="30"/>
  <c r="X147" i="30"/>
  <c r="N147" i="30"/>
  <c r="L147" i="30"/>
  <c r="B147" i="30"/>
  <c r="X146" i="30"/>
  <c r="Z146" i="30" s="1"/>
  <c r="N146" i="30"/>
  <c r="L146" i="30"/>
  <c r="B146" i="30"/>
  <c r="Z145" i="30"/>
  <c r="X145" i="30"/>
  <c r="N145" i="30"/>
  <c r="L145" i="30"/>
  <c r="B145" i="30"/>
  <c r="X144" i="30"/>
  <c r="Z144" i="30" s="1"/>
  <c r="N144" i="30"/>
  <c r="L144" i="30"/>
  <c r="B144" i="30"/>
  <c r="T143" i="30"/>
  <c r="P143" i="30"/>
  <c r="X143" i="30" s="1"/>
  <c r="L143" i="30"/>
  <c r="N143" i="30" s="1"/>
  <c r="H143" i="30"/>
  <c r="D143" i="30"/>
  <c r="B143" i="30"/>
  <c r="X142" i="30"/>
  <c r="Z142" i="30" s="1"/>
  <c r="N142" i="30"/>
  <c r="L142" i="30"/>
  <c r="J142" i="30"/>
  <c r="B142" i="30"/>
  <c r="X141" i="30"/>
  <c r="Z141" i="30" s="1"/>
  <c r="L141" i="30"/>
  <c r="N141" i="30" s="1"/>
  <c r="B141" i="30"/>
  <c r="Z140" i="30"/>
  <c r="T140" i="30"/>
  <c r="P140" i="30"/>
  <c r="X140" i="30" s="1"/>
  <c r="H140" i="30"/>
  <c r="D140" i="30"/>
  <c r="L140" i="30" s="1"/>
  <c r="B140" i="30"/>
  <c r="X139" i="30"/>
  <c r="Z139" i="30" s="1"/>
  <c r="N139" i="30"/>
  <c r="L139" i="30"/>
  <c r="B139" i="30"/>
  <c r="Z138" i="30"/>
  <c r="X138" i="30"/>
  <c r="V138" i="30"/>
  <c r="L138" i="30"/>
  <c r="N138" i="30" s="1"/>
  <c r="B138" i="30"/>
  <c r="X137" i="30"/>
  <c r="Z137" i="30" s="1"/>
  <c r="N137" i="30"/>
  <c r="L137" i="30"/>
  <c r="B137" i="30"/>
  <c r="Z136" i="30"/>
  <c r="X136" i="30"/>
  <c r="T136" i="30"/>
  <c r="P136" i="30"/>
  <c r="J136" i="30"/>
  <c r="H136" i="30"/>
  <c r="D136" i="30"/>
  <c r="L136" i="30" s="1"/>
  <c r="N136" i="30" s="1"/>
  <c r="B136" i="30"/>
  <c r="Z135" i="30"/>
  <c r="X135" i="30"/>
  <c r="L135" i="30"/>
  <c r="N135" i="30" s="1"/>
  <c r="B135" i="30"/>
  <c r="X134" i="30"/>
  <c r="Z134" i="30" s="1"/>
  <c r="L134" i="30"/>
  <c r="N134" i="30" s="1"/>
  <c r="B134" i="30"/>
  <c r="X133" i="30"/>
  <c r="Z133" i="30" s="1"/>
  <c r="T133" i="30"/>
  <c r="P133" i="30"/>
  <c r="H133" i="30"/>
  <c r="N133" i="30" s="1"/>
  <c r="D133" i="30"/>
  <c r="L133" i="30" s="1"/>
  <c r="B133" i="30"/>
  <c r="Z132" i="30"/>
  <c r="X132" i="30"/>
  <c r="N132" i="30"/>
  <c r="L132" i="30"/>
  <c r="B132" i="30"/>
  <c r="X131" i="30"/>
  <c r="Z131" i="30" s="1"/>
  <c r="N131" i="30"/>
  <c r="L131" i="30"/>
  <c r="B131" i="30"/>
  <c r="Z130" i="30"/>
  <c r="X130" i="30"/>
  <c r="N130" i="30"/>
  <c r="L130" i="30"/>
  <c r="J130" i="30"/>
  <c r="B130" i="30"/>
  <c r="T129" i="30"/>
  <c r="P129" i="30"/>
  <c r="X129" i="30" s="1"/>
  <c r="Z129" i="30" s="1"/>
  <c r="H129" i="30"/>
  <c r="D129" i="30"/>
  <c r="B129" i="30"/>
  <c r="Z128" i="30"/>
  <c r="X128" i="30"/>
  <c r="N128" i="30"/>
  <c r="L128" i="30"/>
  <c r="B128" i="30"/>
  <c r="T127" i="30"/>
  <c r="X127" i="30" s="1"/>
  <c r="P127" i="30"/>
  <c r="H127" i="30"/>
  <c r="N127" i="30" s="1"/>
  <c r="D127" i="30"/>
  <c r="L127" i="30" s="1"/>
  <c r="B127" i="30"/>
  <c r="X126" i="30"/>
  <c r="Z126" i="30" s="1"/>
  <c r="N126" i="30"/>
  <c r="L126" i="30"/>
  <c r="B126" i="30"/>
  <c r="X125" i="30"/>
  <c r="Z125" i="30" s="1"/>
  <c r="T125" i="30"/>
  <c r="P125" i="30"/>
  <c r="H125" i="30"/>
  <c r="N125" i="30" s="1"/>
  <c r="D125" i="30"/>
  <c r="L125" i="30" s="1"/>
  <c r="B125" i="30"/>
  <c r="Z124" i="30"/>
  <c r="X124" i="30"/>
  <c r="N124" i="30"/>
  <c r="L124" i="30"/>
  <c r="B124" i="30"/>
  <c r="T123" i="30"/>
  <c r="P123" i="30"/>
  <c r="H123" i="30"/>
  <c r="D123" i="30"/>
  <c r="L123" i="30" s="1"/>
  <c r="N123" i="30" s="1"/>
  <c r="B123" i="30"/>
  <c r="Z122" i="30"/>
  <c r="X122" i="30"/>
  <c r="V122" i="30"/>
  <c r="L122" i="30"/>
  <c r="N122" i="30" s="1"/>
  <c r="B122" i="30"/>
  <c r="T121" i="30"/>
  <c r="Z121" i="30" s="1"/>
  <c r="P121" i="30"/>
  <c r="X121" i="30" s="1"/>
  <c r="H121" i="30"/>
  <c r="L121" i="30" s="1"/>
  <c r="D121" i="30"/>
  <c r="B121" i="30"/>
  <c r="Z120" i="30"/>
  <c r="X120" i="30"/>
  <c r="N120" i="30"/>
  <c r="L120" i="30"/>
  <c r="B120" i="30"/>
  <c r="T119" i="30"/>
  <c r="P119" i="30"/>
  <c r="X119" i="30" s="1"/>
  <c r="N119" i="30"/>
  <c r="L119" i="30"/>
  <c r="H119" i="30"/>
  <c r="D119" i="30"/>
  <c r="B119" i="30"/>
  <c r="X118" i="30"/>
  <c r="Z118" i="30" s="1"/>
  <c r="N118" i="30"/>
  <c r="L118" i="30"/>
  <c r="J118" i="30"/>
  <c r="B118" i="30"/>
  <c r="X117" i="30"/>
  <c r="Z117" i="30" s="1"/>
  <c r="N117" i="30"/>
  <c r="L117" i="30"/>
  <c r="B117" i="30"/>
  <c r="T116" i="30"/>
  <c r="P116" i="30"/>
  <c r="X116" i="30" s="1"/>
  <c r="Z116" i="30" s="1"/>
  <c r="H116" i="30"/>
  <c r="N116" i="30" s="1"/>
  <c r="D116" i="30"/>
  <c r="L116" i="30" s="1"/>
  <c r="B116" i="30"/>
  <c r="X115" i="30"/>
  <c r="Z115" i="30" s="1"/>
  <c r="N115" i="30"/>
  <c r="L115" i="30"/>
  <c r="B115" i="30"/>
  <c r="Z114" i="30"/>
  <c r="X114" i="30"/>
  <c r="V114" i="30"/>
  <c r="T114" i="30"/>
  <c r="P114" i="30"/>
  <c r="N114" i="30"/>
  <c r="L114" i="30"/>
  <c r="H114" i="30"/>
  <c r="D114" i="30"/>
  <c r="B114" i="30"/>
  <c r="X113" i="30"/>
  <c r="Z113" i="30" s="1"/>
  <c r="N113" i="30"/>
  <c r="L113" i="30"/>
  <c r="B113" i="30"/>
  <c r="Z112" i="30"/>
  <c r="X112" i="30"/>
  <c r="N112" i="30"/>
  <c r="L112" i="30"/>
  <c r="B112" i="30"/>
  <c r="T111" i="30"/>
  <c r="P111" i="30"/>
  <c r="X111" i="30" s="1"/>
  <c r="L111" i="30"/>
  <c r="N111" i="30" s="1"/>
  <c r="H111" i="30"/>
  <c r="D111" i="30"/>
  <c r="B111" i="30"/>
  <c r="X110" i="30"/>
  <c r="Z110" i="30" s="1"/>
  <c r="N110" i="30"/>
  <c r="L110" i="30"/>
  <c r="J110" i="30"/>
  <c r="B110" i="30"/>
  <c r="T109" i="30"/>
  <c r="P109" i="30"/>
  <c r="X109" i="30" s="1"/>
  <c r="Z109" i="30" s="1"/>
  <c r="H109" i="30"/>
  <c r="D109" i="30"/>
  <c r="B109" i="30"/>
  <c r="Z108" i="30"/>
  <c r="X108" i="30"/>
  <c r="N108" i="30"/>
  <c r="L108" i="30"/>
  <c r="B108" i="30"/>
  <c r="T107" i="30"/>
  <c r="X107" i="30" s="1"/>
  <c r="P107" i="30"/>
  <c r="H107" i="30"/>
  <c r="D107" i="30"/>
  <c r="L107" i="30" s="1"/>
  <c r="B107" i="30"/>
  <c r="X106" i="30"/>
  <c r="Z106" i="30" s="1"/>
  <c r="L106" i="30"/>
  <c r="N106" i="30" s="1"/>
  <c r="B106" i="30"/>
  <c r="X105" i="30"/>
  <c r="Z105" i="30" s="1"/>
  <c r="T105" i="30"/>
  <c r="P105" i="30"/>
  <c r="H105" i="30"/>
  <c r="D105" i="30"/>
  <c r="L105" i="30" s="1"/>
  <c r="B105" i="30"/>
  <c r="Z104" i="30"/>
  <c r="X104" i="30"/>
  <c r="N104" i="30"/>
  <c r="L104" i="30"/>
  <c r="B104" i="30"/>
  <c r="X103" i="30"/>
  <c r="Z103" i="30" s="1"/>
  <c r="L103" i="30"/>
  <c r="N103" i="30" s="1"/>
  <c r="B103" i="30"/>
  <c r="X102" i="30"/>
  <c r="Z102" i="30" s="1"/>
  <c r="N102" i="30"/>
  <c r="L102" i="30"/>
  <c r="J102" i="30"/>
  <c r="B102" i="30"/>
  <c r="X101" i="30"/>
  <c r="Z101" i="30" s="1"/>
  <c r="L101" i="30"/>
  <c r="N101" i="30" s="1"/>
  <c r="B101" i="30"/>
  <c r="Z100" i="30"/>
  <c r="X100" i="30"/>
  <c r="N100" i="30"/>
  <c r="L100" i="30"/>
  <c r="B100" i="30"/>
  <c r="X99" i="30"/>
  <c r="Z99" i="30" s="1"/>
  <c r="L99" i="30"/>
  <c r="N99" i="30" s="1"/>
  <c r="B99" i="30"/>
  <c r="T98" i="30"/>
  <c r="Z98" i="30" s="1"/>
  <c r="P98" i="30"/>
  <c r="X98" i="30" s="1"/>
  <c r="H98" i="30"/>
  <c r="D98" i="30"/>
  <c r="L98" i="30" s="1"/>
  <c r="N98" i="30" s="1"/>
  <c r="B98" i="30"/>
  <c r="X97" i="30"/>
  <c r="Z97" i="30" s="1"/>
  <c r="L97" i="30"/>
  <c r="N97" i="30" s="1"/>
  <c r="B97" i="30"/>
  <c r="Z96" i="30"/>
  <c r="X96" i="30"/>
  <c r="N96" i="30"/>
  <c r="L96" i="30"/>
  <c r="B96" i="30"/>
  <c r="X95" i="30"/>
  <c r="Z95" i="30" s="1"/>
  <c r="N95" i="30"/>
  <c r="L95" i="30"/>
  <c r="B95" i="30"/>
  <c r="Z94" i="30"/>
  <c r="X94" i="30"/>
  <c r="V94" i="30"/>
  <c r="L94" i="30"/>
  <c r="N94" i="30" s="1"/>
  <c r="B94" i="30"/>
  <c r="X93" i="30"/>
  <c r="Z93" i="30" s="1"/>
  <c r="L93" i="30"/>
  <c r="N93" i="30" s="1"/>
  <c r="B93" i="30"/>
  <c r="Z92" i="30"/>
  <c r="X92" i="30"/>
  <c r="N92" i="30"/>
  <c r="L92" i="30"/>
  <c r="B92" i="30"/>
  <c r="X91" i="30"/>
  <c r="Z91" i="30" s="1"/>
  <c r="N91" i="30"/>
  <c r="L91" i="30"/>
  <c r="B91" i="30"/>
  <c r="Z90" i="30"/>
  <c r="X90" i="30"/>
  <c r="V90" i="30"/>
  <c r="L90" i="30"/>
  <c r="N90" i="30" s="1"/>
  <c r="B90" i="30"/>
  <c r="T89" i="30"/>
  <c r="Z89" i="30" s="1"/>
  <c r="P89" i="30"/>
  <c r="X89" i="30" s="1"/>
  <c r="H89" i="30"/>
  <c r="L89" i="30" s="1"/>
  <c r="D89" i="30"/>
  <c r="B89" i="30"/>
  <c r="T88" i="30"/>
  <c r="X88" i="30" s="1"/>
  <c r="Z88" i="30" s="1"/>
  <c r="P88" i="30"/>
  <c r="H88" i="30"/>
  <c r="N88" i="30" s="1"/>
  <c r="D88" i="30"/>
  <c r="L88" i="30" s="1"/>
  <c r="Z84" i="30"/>
  <c r="X84" i="30"/>
  <c r="N84" i="30"/>
  <c r="L84" i="30"/>
  <c r="B84" i="30"/>
  <c r="Z83" i="30"/>
  <c r="X83" i="30"/>
  <c r="L83" i="30"/>
  <c r="N83" i="30" s="1"/>
  <c r="B83" i="30"/>
  <c r="X82" i="30"/>
  <c r="Z82" i="30" s="1"/>
  <c r="L82" i="30"/>
  <c r="N82" i="30" s="1"/>
  <c r="B82" i="30"/>
  <c r="X81" i="30"/>
  <c r="Z81" i="30" s="1"/>
  <c r="L81" i="30"/>
  <c r="N81" i="30" s="1"/>
  <c r="B81" i="30"/>
  <c r="Z80" i="30"/>
  <c r="X80" i="30"/>
  <c r="N80" i="30"/>
  <c r="L80" i="30"/>
  <c r="B80" i="30"/>
  <c r="Z79" i="30"/>
  <c r="X79" i="30"/>
  <c r="L79" i="30"/>
  <c r="N79" i="30" s="1"/>
  <c r="B79" i="30"/>
  <c r="Z78" i="30"/>
  <c r="X78" i="30"/>
  <c r="N78" i="30"/>
  <c r="L78" i="30"/>
  <c r="B78" i="30"/>
  <c r="Z77" i="30"/>
  <c r="X77" i="30"/>
  <c r="N77" i="30"/>
  <c r="L77" i="30"/>
  <c r="B77" i="30"/>
  <c r="Z76" i="30"/>
  <c r="X76" i="30"/>
  <c r="N76" i="30"/>
  <c r="L76" i="30"/>
  <c r="B76" i="30"/>
  <c r="Z75" i="30"/>
  <c r="X75" i="30"/>
  <c r="N75" i="30"/>
  <c r="L75" i="30"/>
  <c r="B75" i="30"/>
  <c r="X74" i="30"/>
  <c r="Z74" i="30" s="1"/>
  <c r="L74" i="30"/>
  <c r="N74" i="30" s="1"/>
  <c r="B74" i="30"/>
  <c r="X73" i="30"/>
  <c r="Z73" i="30" s="1"/>
  <c r="L73" i="30"/>
  <c r="N73" i="30" s="1"/>
  <c r="B73" i="30"/>
  <c r="Z72" i="30"/>
  <c r="X72" i="30"/>
  <c r="N72" i="30"/>
  <c r="L72" i="30"/>
  <c r="B72" i="30"/>
  <c r="Z71" i="30"/>
  <c r="X71" i="30"/>
  <c r="N71" i="30"/>
  <c r="L71" i="30"/>
  <c r="B71" i="30"/>
  <c r="Z70" i="30"/>
  <c r="X70" i="30"/>
  <c r="N70" i="30"/>
  <c r="L70" i="30"/>
  <c r="B70" i="30"/>
  <c r="X69" i="30"/>
  <c r="Z69" i="30" s="1"/>
  <c r="N69" i="30"/>
  <c r="L69" i="30"/>
  <c r="B69" i="30"/>
  <c r="Z68" i="30"/>
  <c r="X68" i="30"/>
  <c r="N68" i="30"/>
  <c r="L68" i="30"/>
  <c r="B68" i="30"/>
  <c r="Z67" i="30"/>
  <c r="X67" i="30"/>
  <c r="L67" i="30"/>
  <c r="N67" i="30" s="1"/>
  <c r="B67" i="30"/>
  <c r="X66" i="30"/>
  <c r="Z66" i="30" s="1"/>
  <c r="L66" i="30"/>
  <c r="N66" i="30" s="1"/>
  <c r="B66" i="30"/>
  <c r="X65" i="30"/>
  <c r="Z65" i="30" s="1"/>
  <c r="L65" i="30"/>
  <c r="N65" i="30" s="1"/>
  <c r="B65" i="30"/>
  <c r="Z64" i="30"/>
  <c r="X64" i="30"/>
  <c r="N64" i="30"/>
  <c r="L64" i="30"/>
  <c r="B64" i="30"/>
  <c r="Z63" i="30"/>
  <c r="X63" i="30"/>
  <c r="L63" i="30"/>
  <c r="N63" i="30" s="1"/>
  <c r="B63" i="30"/>
  <c r="X62" i="30"/>
  <c r="Z62" i="30" s="1"/>
  <c r="N62" i="30"/>
  <c r="L62" i="30"/>
  <c r="B62" i="30"/>
  <c r="Z61" i="30"/>
  <c r="X61" i="30"/>
  <c r="N61" i="30"/>
  <c r="L61" i="30"/>
  <c r="B61" i="30"/>
  <c r="Z60" i="30"/>
  <c r="X60" i="30"/>
  <c r="N60" i="30"/>
  <c r="L60" i="30"/>
  <c r="B60" i="30"/>
  <c r="Z59" i="30"/>
  <c r="X59" i="30"/>
  <c r="L59" i="30"/>
  <c r="N59" i="30" s="1"/>
  <c r="B59" i="30"/>
  <c r="X58" i="30"/>
  <c r="Z58" i="30" s="1"/>
  <c r="L58" i="30"/>
  <c r="N58" i="30" s="1"/>
  <c r="B58" i="30"/>
  <c r="X57" i="30"/>
  <c r="Z57" i="30" s="1"/>
  <c r="N57" i="30"/>
  <c r="L57" i="30"/>
  <c r="B57" i="30"/>
  <c r="T56" i="30"/>
  <c r="X56" i="30" s="1"/>
  <c r="Z56" i="30" s="1"/>
  <c r="P56" i="30"/>
  <c r="H56" i="30"/>
  <c r="D56" i="30"/>
  <c r="L56" i="30" s="1"/>
  <c r="T54" i="30"/>
  <c r="P54" i="30"/>
  <c r="X54" i="30" s="1"/>
  <c r="Z54" i="30" s="1"/>
  <c r="N54" i="30"/>
  <c r="H54" i="30"/>
  <c r="D54" i="30"/>
  <c r="L54" i="30" s="1"/>
  <c r="B54" i="30"/>
  <c r="T53" i="30"/>
  <c r="P53" i="30"/>
  <c r="X53" i="30" s="1"/>
  <c r="Z53" i="30" s="1"/>
  <c r="H53" i="30"/>
  <c r="N53" i="30" s="1"/>
  <c r="D53" i="30"/>
  <c r="L53" i="30" s="1"/>
  <c r="B53" i="30"/>
  <c r="T52" i="30"/>
  <c r="Z52" i="30" s="1"/>
  <c r="P52" i="30"/>
  <c r="X52" i="30" s="1"/>
  <c r="H52" i="30"/>
  <c r="N52" i="30" s="1"/>
  <c r="D52" i="30"/>
  <c r="B52" i="30"/>
  <c r="X51" i="30"/>
  <c r="Z51" i="30" s="1"/>
  <c r="T51" i="30"/>
  <c r="P51" i="30"/>
  <c r="L51" i="30"/>
  <c r="H51" i="30"/>
  <c r="N51" i="30" s="1"/>
  <c r="D51" i="30"/>
  <c r="B51" i="30"/>
  <c r="T50" i="30"/>
  <c r="P50" i="30"/>
  <c r="X50" i="30" s="1"/>
  <c r="Z50" i="30" s="1"/>
  <c r="N50" i="30"/>
  <c r="H50" i="30"/>
  <c r="D50" i="30"/>
  <c r="L50" i="30" s="1"/>
  <c r="B50" i="30"/>
  <c r="T49" i="30"/>
  <c r="P49" i="30"/>
  <c r="X49" i="30" s="1"/>
  <c r="Z49" i="30" s="1"/>
  <c r="H49" i="30"/>
  <c r="N49" i="30" s="1"/>
  <c r="D49" i="30"/>
  <c r="L49" i="30" s="1"/>
  <c r="B49" i="30"/>
  <c r="T48" i="30"/>
  <c r="P48" i="30"/>
  <c r="X48" i="30" s="1"/>
  <c r="H48" i="30"/>
  <c r="D48" i="30"/>
  <c r="B48" i="30"/>
  <c r="X47" i="30"/>
  <c r="Z47" i="30" s="1"/>
  <c r="T47" i="30"/>
  <c r="P47" i="30"/>
  <c r="L47" i="30"/>
  <c r="H47" i="30"/>
  <c r="N47" i="30" s="1"/>
  <c r="D47" i="30"/>
  <c r="B47" i="30"/>
  <c r="T46" i="30"/>
  <c r="P46" i="30"/>
  <c r="X46" i="30" s="1"/>
  <c r="Z46" i="30" s="1"/>
  <c r="H46" i="30"/>
  <c r="D46" i="30"/>
  <c r="L46" i="30" s="1"/>
  <c r="N46" i="30" s="1"/>
  <c r="B46" i="30"/>
  <c r="T45" i="30"/>
  <c r="Z45" i="30" s="1"/>
  <c r="P45" i="30"/>
  <c r="X45" i="30" s="1"/>
  <c r="H45" i="30"/>
  <c r="D45" i="30"/>
  <c r="L45" i="30" s="1"/>
  <c r="B45" i="30"/>
  <c r="T44" i="30"/>
  <c r="Z44" i="30" s="1"/>
  <c r="P44" i="30"/>
  <c r="X44" i="30" s="1"/>
  <c r="H44" i="30"/>
  <c r="N44" i="30" s="1"/>
  <c r="D44" i="30"/>
  <c r="B44" i="30"/>
  <c r="Z43" i="30"/>
  <c r="X43" i="30"/>
  <c r="T43" i="30"/>
  <c r="P43" i="30"/>
  <c r="L43" i="30"/>
  <c r="H43" i="30"/>
  <c r="N43" i="30" s="1"/>
  <c r="D43" i="30"/>
  <c r="B43" i="30"/>
  <c r="T42" i="30"/>
  <c r="P42" i="30"/>
  <c r="X42" i="30" s="1"/>
  <c r="Z42" i="30" s="1"/>
  <c r="N42" i="30"/>
  <c r="H42" i="30"/>
  <c r="D42" i="30"/>
  <c r="L42" i="30" s="1"/>
  <c r="B42" i="30"/>
  <c r="T41" i="30"/>
  <c r="Z41" i="30" s="1"/>
  <c r="P41" i="30"/>
  <c r="X41" i="30" s="1"/>
  <c r="H41" i="30"/>
  <c r="N41" i="30" s="1"/>
  <c r="D41" i="30"/>
  <c r="L41" i="30" s="1"/>
  <c r="B41" i="30"/>
  <c r="T40" i="30"/>
  <c r="P40" i="30"/>
  <c r="X40" i="30" s="1"/>
  <c r="H40" i="30"/>
  <c r="D40" i="30"/>
  <c r="B40" i="30"/>
  <c r="X39" i="30"/>
  <c r="Z39" i="30" s="1"/>
  <c r="T39" i="30"/>
  <c r="P39" i="30"/>
  <c r="L39" i="30"/>
  <c r="H39" i="30"/>
  <c r="N39" i="30" s="1"/>
  <c r="D39" i="30"/>
  <c r="B39" i="30"/>
  <c r="T38" i="30"/>
  <c r="P38" i="30"/>
  <c r="X38" i="30" s="1"/>
  <c r="Z38" i="30" s="1"/>
  <c r="N38" i="30"/>
  <c r="H38" i="30"/>
  <c r="D38" i="30"/>
  <c r="L38" i="30" s="1"/>
  <c r="B38" i="30"/>
  <c r="T37" i="30"/>
  <c r="Z37" i="30" s="1"/>
  <c r="P37" i="30"/>
  <c r="X37" i="30" s="1"/>
  <c r="H37" i="30"/>
  <c r="D37" i="30"/>
  <c r="L37" i="30" s="1"/>
  <c r="B37" i="30"/>
  <c r="T36" i="30"/>
  <c r="Z36" i="30" s="1"/>
  <c r="P36" i="30"/>
  <c r="X36" i="30" s="1"/>
  <c r="H36" i="30"/>
  <c r="N36" i="30" s="1"/>
  <c r="D36" i="30"/>
  <c r="B36" i="30"/>
  <c r="X35" i="30"/>
  <c r="Z35" i="30" s="1"/>
  <c r="T35" i="30"/>
  <c r="P35" i="30"/>
  <c r="L35" i="30"/>
  <c r="H35" i="30"/>
  <c r="N35" i="30" s="1"/>
  <c r="D35" i="30"/>
  <c r="B35" i="30"/>
  <c r="Z34" i="30"/>
  <c r="T34" i="30"/>
  <c r="P34" i="30"/>
  <c r="X34" i="30" s="1"/>
  <c r="N34" i="30"/>
  <c r="H34" i="30"/>
  <c r="D34" i="30"/>
  <c r="L34" i="30" s="1"/>
  <c r="B34" i="30"/>
  <c r="T33" i="30"/>
  <c r="Z33" i="30" s="1"/>
  <c r="P33" i="30"/>
  <c r="X33" i="30" s="1"/>
  <c r="H33" i="30"/>
  <c r="N33" i="30" s="1"/>
  <c r="D33" i="30"/>
  <c r="L33" i="30" s="1"/>
  <c r="B33" i="30"/>
  <c r="T32" i="30"/>
  <c r="Z32" i="30" s="1"/>
  <c r="P32" i="30"/>
  <c r="X32" i="30" s="1"/>
  <c r="H32" i="30"/>
  <c r="N32" i="30" s="1"/>
  <c r="D32" i="30"/>
  <c r="B32" i="30"/>
  <c r="Z31" i="30"/>
  <c r="X31" i="30"/>
  <c r="T31" i="30"/>
  <c r="P31" i="30"/>
  <c r="L31" i="30"/>
  <c r="H31" i="30"/>
  <c r="N31" i="30" s="1"/>
  <c r="D31" i="30"/>
  <c r="B31" i="30"/>
  <c r="Z30" i="30"/>
  <c r="T30" i="30"/>
  <c r="P30" i="30"/>
  <c r="X30" i="30" s="1"/>
  <c r="N30" i="30"/>
  <c r="H30" i="30"/>
  <c r="D30" i="30"/>
  <c r="L30" i="30" s="1"/>
  <c r="B30" i="30"/>
  <c r="T29" i="30"/>
  <c r="Z29" i="30" s="1"/>
  <c r="P29" i="30"/>
  <c r="X29" i="30" s="1"/>
  <c r="H29" i="30"/>
  <c r="N29" i="30" s="1"/>
  <c r="D29" i="30"/>
  <c r="L29" i="30" s="1"/>
  <c r="B29" i="30"/>
  <c r="T28" i="30"/>
  <c r="Z28" i="30" s="1"/>
  <c r="P28" i="30"/>
  <c r="X28" i="30" s="1"/>
  <c r="H28" i="30"/>
  <c r="N28" i="30" s="1"/>
  <c r="D28" i="30"/>
  <c r="B28" i="30"/>
  <c r="X27" i="30"/>
  <c r="Z27" i="30" s="1"/>
  <c r="T27" i="30"/>
  <c r="P27" i="30"/>
  <c r="L27" i="30"/>
  <c r="H27" i="30"/>
  <c r="N27" i="30" s="1"/>
  <c r="D27" i="30"/>
  <c r="B27" i="30"/>
  <c r="T26" i="30"/>
  <c r="P26" i="30"/>
  <c r="X26" i="30" s="1"/>
  <c r="Z26" i="30" s="1"/>
  <c r="N26" i="30"/>
  <c r="H26" i="30"/>
  <c r="D26" i="30"/>
  <c r="L26" i="30" s="1"/>
  <c r="B26" i="30"/>
  <c r="T25" i="30"/>
  <c r="Z25" i="30" s="1"/>
  <c r="P25" i="30"/>
  <c r="X25" i="30" s="1"/>
  <c r="H25" i="30"/>
  <c r="D25" i="30"/>
  <c r="L25" i="30" s="1"/>
  <c r="B25" i="30"/>
  <c r="T24" i="30"/>
  <c r="Z24" i="30" s="1"/>
  <c r="P24" i="30"/>
  <c r="X24" i="30" s="1"/>
  <c r="H24" i="30"/>
  <c r="D24" i="30"/>
  <c r="B24" i="30"/>
  <c r="X23" i="30"/>
  <c r="Z23" i="30" s="1"/>
  <c r="T23" i="30"/>
  <c r="P23" i="30"/>
  <c r="L23" i="30"/>
  <c r="H23" i="30"/>
  <c r="N23" i="30" s="1"/>
  <c r="D23" i="30"/>
  <c r="B23" i="30"/>
  <c r="T22" i="30"/>
  <c r="P22" i="30"/>
  <c r="X22" i="30" s="1"/>
  <c r="Z22" i="30" s="1"/>
  <c r="N22" i="30"/>
  <c r="H22" i="30"/>
  <c r="D22" i="30"/>
  <c r="L22" i="30" s="1"/>
  <c r="B22" i="30"/>
  <c r="T21" i="30"/>
  <c r="Z21" i="30" s="1"/>
  <c r="P21" i="30"/>
  <c r="X21" i="30" s="1"/>
  <c r="H21" i="30"/>
  <c r="N21" i="30" s="1"/>
  <c r="D21" i="30"/>
  <c r="L21" i="30" s="1"/>
  <c r="B21" i="30"/>
  <c r="T20" i="30"/>
  <c r="Z20" i="30" s="1"/>
  <c r="P20" i="30"/>
  <c r="X20" i="30" s="1"/>
  <c r="H20" i="30"/>
  <c r="D20" i="30"/>
  <c r="B20" i="30"/>
  <c r="Z19" i="30"/>
  <c r="X19" i="30"/>
  <c r="T19" i="30"/>
  <c r="P19" i="30"/>
  <c r="L19" i="30"/>
  <c r="H19" i="30"/>
  <c r="N19" i="30" s="1"/>
  <c r="D19" i="30"/>
  <c r="B19" i="30"/>
  <c r="Z18" i="30"/>
  <c r="T18" i="30"/>
  <c r="P18" i="30"/>
  <c r="X18" i="30" s="1"/>
  <c r="N18" i="30"/>
  <c r="H18" i="30"/>
  <c r="D18" i="30"/>
  <c r="L18" i="30" s="1"/>
  <c r="B18" i="30"/>
  <c r="T17" i="30"/>
  <c r="Z17" i="30" s="1"/>
  <c r="P17" i="30"/>
  <c r="X17" i="30" s="1"/>
  <c r="H17" i="30"/>
  <c r="N17" i="30" s="1"/>
  <c r="D17" i="30"/>
  <c r="L17" i="30" s="1"/>
  <c r="B17" i="30"/>
  <c r="T16" i="30"/>
  <c r="Z16" i="30" s="1"/>
  <c r="P16" i="30"/>
  <c r="X16" i="30" s="1"/>
  <c r="H16" i="30"/>
  <c r="D16" i="30"/>
  <c r="B16" i="30"/>
  <c r="X15" i="30"/>
  <c r="Z15" i="30" s="1"/>
  <c r="T15" i="30"/>
  <c r="P15" i="30"/>
  <c r="L15" i="30"/>
  <c r="H15" i="30"/>
  <c r="N15" i="30" s="1"/>
  <c r="D15" i="30"/>
  <c r="B15" i="30"/>
  <c r="T14" i="30"/>
  <c r="P14" i="30"/>
  <c r="X14" i="30" s="1"/>
  <c r="Z14" i="30" s="1"/>
  <c r="N14" i="30"/>
  <c r="H14" i="30"/>
  <c r="D14" i="30"/>
  <c r="L14" i="30" s="1"/>
  <c r="B14" i="30"/>
  <c r="T13" i="30"/>
  <c r="Z13" i="30" s="1"/>
  <c r="P13" i="30"/>
  <c r="P12" i="30" s="1"/>
  <c r="R144" i="30" s="1"/>
  <c r="H13" i="30"/>
  <c r="N13" i="30" s="1"/>
  <c r="D13" i="30"/>
  <c r="B13" i="30"/>
  <c r="T12" i="30"/>
  <c r="V141" i="30" s="1"/>
  <c r="H12" i="30"/>
  <c r="J149" i="30" s="1"/>
  <c r="D4" i="30"/>
  <c r="Z123" i="27"/>
  <c r="X123" i="27"/>
  <c r="N123" i="27"/>
  <c r="L123" i="27"/>
  <c r="T119" i="27"/>
  <c r="P119" i="27"/>
  <c r="N119" i="27"/>
  <c r="H119" i="27"/>
  <c r="D119" i="27"/>
  <c r="L119" i="27" s="1"/>
  <c r="B119" i="27"/>
  <c r="Z118" i="27"/>
  <c r="X118" i="27"/>
  <c r="T118" i="27"/>
  <c r="P118" i="27"/>
  <c r="H118" i="27"/>
  <c r="L118" i="27" s="1"/>
  <c r="N118" i="27" s="1"/>
  <c r="D118" i="27"/>
  <c r="B118" i="27"/>
  <c r="X117" i="27"/>
  <c r="Z117" i="27" s="1"/>
  <c r="T117" i="27"/>
  <c r="P117" i="27"/>
  <c r="P116" i="27" s="1"/>
  <c r="H117" i="27"/>
  <c r="N117" i="27" s="1"/>
  <c r="D117" i="27"/>
  <c r="L117" i="27" s="1"/>
  <c r="B117" i="27"/>
  <c r="Z114" i="27"/>
  <c r="X114" i="27"/>
  <c r="N114" i="27"/>
  <c r="L114" i="27"/>
  <c r="B114" i="27"/>
  <c r="T113" i="27"/>
  <c r="P113" i="27"/>
  <c r="N113" i="27"/>
  <c r="H113" i="27"/>
  <c r="D113" i="27"/>
  <c r="L113" i="27" s="1"/>
  <c r="B113" i="27"/>
  <c r="Z112" i="27"/>
  <c r="X112" i="27"/>
  <c r="L112" i="27"/>
  <c r="N112" i="27" s="1"/>
  <c r="B112" i="27"/>
  <c r="T111" i="27"/>
  <c r="P111" i="27"/>
  <c r="X111" i="27" s="1"/>
  <c r="Z111" i="27" s="1"/>
  <c r="H111" i="27"/>
  <c r="D111" i="27"/>
  <c r="L111" i="27" s="1"/>
  <c r="B111" i="27"/>
  <c r="Z110" i="27"/>
  <c r="X110" i="27"/>
  <c r="N110" i="27"/>
  <c r="L110" i="27"/>
  <c r="B110" i="27"/>
  <c r="Z109" i="27"/>
  <c r="X109" i="27"/>
  <c r="L109" i="27"/>
  <c r="N109" i="27" s="1"/>
  <c r="B109" i="27"/>
  <c r="T108" i="27"/>
  <c r="P108" i="27"/>
  <c r="X108" i="27" s="1"/>
  <c r="H108" i="27"/>
  <c r="L108" i="27" s="1"/>
  <c r="N108" i="27" s="1"/>
  <c r="D108" i="27"/>
  <c r="B108" i="27"/>
  <c r="X107" i="27"/>
  <c r="Z107" i="27" s="1"/>
  <c r="L107" i="27"/>
  <c r="N107" i="27" s="1"/>
  <c r="B107" i="27"/>
  <c r="Z106" i="27"/>
  <c r="X106" i="27"/>
  <c r="N106" i="27"/>
  <c r="L106" i="27"/>
  <c r="B106" i="27"/>
  <c r="X105" i="27"/>
  <c r="Z105" i="27" s="1"/>
  <c r="N105" i="27"/>
  <c r="L105" i="27"/>
  <c r="B105" i="27"/>
  <c r="X104" i="27"/>
  <c r="T104" i="27"/>
  <c r="Z104" i="27" s="1"/>
  <c r="P104" i="27"/>
  <c r="N104" i="27"/>
  <c r="H104" i="27"/>
  <c r="D104" i="27"/>
  <c r="L104" i="27" s="1"/>
  <c r="B104" i="27"/>
  <c r="Z103" i="27"/>
  <c r="X103" i="27"/>
  <c r="N103" i="27"/>
  <c r="L103" i="27"/>
  <c r="B103" i="27"/>
  <c r="Z102" i="27"/>
  <c r="X102" i="27"/>
  <c r="N102" i="27"/>
  <c r="L102" i="27"/>
  <c r="B102" i="27"/>
  <c r="T101" i="27"/>
  <c r="P101" i="27"/>
  <c r="X101" i="27" s="1"/>
  <c r="H101" i="27"/>
  <c r="D101" i="27"/>
  <c r="L101" i="27" s="1"/>
  <c r="N101" i="27" s="1"/>
  <c r="B101" i="27"/>
  <c r="Z100" i="27"/>
  <c r="X100" i="27"/>
  <c r="N100" i="27"/>
  <c r="L100" i="27"/>
  <c r="B100" i="27"/>
  <c r="X99" i="27"/>
  <c r="Z99" i="27" s="1"/>
  <c r="L99" i="27"/>
  <c r="N99" i="27" s="1"/>
  <c r="B99" i="27"/>
  <c r="T98" i="27"/>
  <c r="X98" i="27" s="1"/>
  <c r="Z98" i="27" s="1"/>
  <c r="P98" i="27"/>
  <c r="H98" i="27"/>
  <c r="D98" i="27"/>
  <c r="L98" i="27" s="1"/>
  <c r="B98" i="27"/>
  <c r="X97" i="27"/>
  <c r="Z97" i="27" s="1"/>
  <c r="N97" i="27"/>
  <c r="L97" i="27"/>
  <c r="B97" i="27"/>
  <c r="X96" i="27"/>
  <c r="T96" i="27"/>
  <c r="Z96" i="27" s="1"/>
  <c r="P96" i="27"/>
  <c r="H96" i="27"/>
  <c r="D96" i="27"/>
  <c r="L96" i="27" s="1"/>
  <c r="N96" i="27" s="1"/>
  <c r="B96" i="27"/>
  <c r="X95" i="27"/>
  <c r="Z95" i="27" s="1"/>
  <c r="N95" i="27"/>
  <c r="L95" i="27"/>
  <c r="B95" i="27"/>
  <c r="T94" i="27"/>
  <c r="X94" i="27" s="1"/>
  <c r="Z94" i="27" s="1"/>
  <c r="P94" i="27"/>
  <c r="N94" i="27"/>
  <c r="L94" i="27"/>
  <c r="H94" i="27"/>
  <c r="D94" i="27"/>
  <c r="B94" i="27"/>
  <c r="Z93" i="27"/>
  <c r="X93" i="27"/>
  <c r="N93" i="27"/>
  <c r="L93" i="27"/>
  <c r="B93" i="27"/>
  <c r="X92" i="27"/>
  <c r="Z92" i="27" s="1"/>
  <c r="L92" i="27"/>
  <c r="N92" i="27" s="1"/>
  <c r="B92" i="27"/>
  <c r="X91" i="27"/>
  <c r="Z91" i="27" s="1"/>
  <c r="T91" i="27"/>
  <c r="P91" i="27"/>
  <c r="H91" i="27"/>
  <c r="D91" i="27"/>
  <c r="L91" i="27" s="1"/>
  <c r="B91" i="27"/>
  <c r="Z90" i="27"/>
  <c r="X90" i="27"/>
  <c r="N90" i="27"/>
  <c r="L90" i="27"/>
  <c r="B90" i="27"/>
  <c r="T89" i="27"/>
  <c r="P89" i="27"/>
  <c r="H89" i="27"/>
  <c r="D89" i="27"/>
  <c r="L89" i="27" s="1"/>
  <c r="N89" i="27" s="1"/>
  <c r="B89" i="27"/>
  <c r="Z88" i="27"/>
  <c r="X88" i="27"/>
  <c r="N88" i="27"/>
  <c r="L88" i="27"/>
  <c r="B88" i="27"/>
  <c r="T87" i="27"/>
  <c r="P87" i="27"/>
  <c r="X87" i="27" s="1"/>
  <c r="Z87" i="27" s="1"/>
  <c r="H87" i="27"/>
  <c r="N87" i="27" s="1"/>
  <c r="D87" i="27"/>
  <c r="L87" i="27" s="1"/>
  <c r="B87" i="27"/>
  <c r="Z86" i="27"/>
  <c r="X86" i="27"/>
  <c r="N86" i="27"/>
  <c r="L86" i="27"/>
  <c r="B86" i="27"/>
  <c r="Z85" i="27"/>
  <c r="X85" i="27"/>
  <c r="L85" i="27"/>
  <c r="N85" i="27" s="1"/>
  <c r="B85" i="27"/>
  <c r="T84" i="27"/>
  <c r="Z84" i="27" s="1"/>
  <c r="P84" i="27"/>
  <c r="X84" i="27" s="1"/>
  <c r="H84" i="27"/>
  <c r="L84" i="27" s="1"/>
  <c r="N84" i="27" s="1"/>
  <c r="D84" i="27"/>
  <c r="B84" i="27"/>
  <c r="X83" i="27"/>
  <c r="Z83" i="27" s="1"/>
  <c r="L83" i="27"/>
  <c r="N83" i="27" s="1"/>
  <c r="B83" i="27"/>
  <c r="T82" i="27"/>
  <c r="P82" i="27"/>
  <c r="X82" i="27" s="1"/>
  <c r="Z82" i="27" s="1"/>
  <c r="L82" i="27"/>
  <c r="H82" i="27"/>
  <c r="N82" i="27" s="1"/>
  <c r="D82" i="27"/>
  <c r="B82" i="27"/>
  <c r="Z81" i="27"/>
  <c r="X81" i="27"/>
  <c r="N81" i="27"/>
  <c r="L81" i="27"/>
  <c r="B81" i="27"/>
  <c r="Z80" i="27"/>
  <c r="X80" i="27"/>
  <c r="L80" i="27"/>
  <c r="N80" i="27" s="1"/>
  <c r="B80" i="27"/>
  <c r="X79" i="27"/>
  <c r="Z79" i="27" s="1"/>
  <c r="L79" i="27"/>
  <c r="N79" i="27" s="1"/>
  <c r="B79" i="27"/>
  <c r="Z78" i="27"/>
  <c r="X78" i="27"/>
  <c r="N78" i="27"/>
  <c r="L78" i="27"/>
  <c r="B78" i="27"/>
  <c r="Z77" i="27"/>
  <c r="X77" i="27"/>
  <c r="N77" i="27"/>
  <c r="L77" i="27"/>
  <c r="B77" i="27"/>
  <c r="Z76" i="27"/>
  <c r="X76" i="27"/>
  <c r="L76" i="27"/>
  <c r="N76" i="27" s="1"/>
  <c r="B76" i="27"/>
  <c r="Z75" i="27"/>
  <c r="X75" i="27"/>
  <c r="N75" i="27"/>
  <c r="L75" i="27"/>
  <c r="B75" i="27"/>
  <c r="T74" i="27"/>
  <c r="X74" i="27" s="1"/>
  <c r="Z74" i="27" s="1"/>
  <c r="P74" i="27"/>
  <c r="N74" i="27"/>
  <c r="L74" i="27"/>
  <c r="H74" i="27"/>
  <c r="D74" i="27"/>
  <c r="B74" i="27"/>
  <c r="Z73" i="27"/>
  <c r="X73" i="27"/>
  <c r="L73" i="27"/>
  <c r="N73" i="27" s="1"/>
  <c r="B73" i="27"/>
  <c r="X72" i="27"/>
  <c r="Z72" i="27" s="1"/>
  <c r="L72" i="27"/>
  <c r="N72" i="27" s="1"/>
  <c r="B72" i="27"/>
  <c r="X71" i="27"/>
  <c r="Z71" i="27" s="1"/>
  <c r="L71" i="27"/>
  <c r="N71" i="27" s="1"/>
  <c r="B71" i="27"/>
  <c r="Z70" i="27"/>
  <c r="X70" i="27"/>
  <c r="N70" i="27"/>
  <c r="L70" i="27"/>
  <c r="B70" i="27"/>
  <c r="Z69" i="27"/>
  <c r="X69" i="27"/>
  <c r="L69" i="27"/>
  <c r="N69" i="27" s="1"/>
  <c r="B69" i="27"/>
  <c r="X68" i="27"/>
  <c r="Z68" i="27" s="1"/>
  <c r="L68" i="27"/>
  <c r="N68" i="27" s="1"/>
  <c r="B68" i="27"/>
  <c r="X67" i="27"/>
  <c r="Z67" i="27" s="1"/>
  <c r="L67" i="27"/>
  <c r="N67" i="27" s="1"/>
  <c r="B67" i="27"/>
  <c r="Z66" i="27"/>
  <c r="X66" i="27"/>
  <c r="N66" i="27"/>
  <c r="L66" i="27"/>
  <c r="B66" i="27"/>
  <c r="Z65" i="27"/>
  <c r="X65" i="27"/>
  <c r="L65" i="27"/>
  <c r="N65" i="27" s="1"/>
  <c r="B65" i="27"/>
  <c r="T64" i="27"/>
  <c r="P64" i="27"/>
  <c r="X64" i="27" s="1"/>
  <c r="H64" i="27"/>
  <c r="L64" i="27" s="1"/>
  <c r="N64" i="27" s="1"/>
  <c r="D64" i="27"/>
  <c r="B64" i="27"/>
  <c r="T63" i="27"/>
  <c r="Z63" i="27" s="1"/>
  <c r="P63" i="27"/>
  <c r="X63" i="27" s="1"/>
  <c r="H63" i="27"/>
  <c r="D63" i="27"/>
  <c r="X59" i="27"/>
  <c r="Z59" i="27" s="1"/>
  <c r="N59" i="27"/>
  <c r="L59" i="27"/>
  <c r="B59" i="27"/>
  <c r="Z58" i="27"/>
  <c r="X58" i="27"/>
  <c r="N58" i="27"/>
  <c r="L58" i="27"/>
  <c r="B58" i="27"/>
  <c r="X57" i="27"/>
  <c r="Z57" i="27" s="1"/>
  <c r="N57" i="27"/>
  <c r="L57" i="27"/>
  <c r="B57" i="27"/>
  <c r="X56" i="27"/>
  <c r="Z56" i="27" s="1"/>
  <c r="N56" i="27"/>
  <c r="L56" i="27"/>
  <c r="B56" i="27"/>
  <c r="X55" i="27"/>
  <c r="Z55" i="27" s="1"/>
  <c r="L55" i="27"/>
  <c r="N55" i="27" s="1"/>
  <c r="B55" i="27"/>
  <c r="Z54" i="27"/>
  <c r="X54" i="27"/>
  <c r="N54" i="27"/>
  <c r="L54" i="27"/>
  <c r="B54" i="27"/>
  <c r="X53" i="27"/>
  <c r="Z53" i="27" s="1"/>
  <c r="L53" i="27"/>
  <c r="N53" i="27" s="1"/>
  <c r="B53" i="27"/>
  <c r="X52" i="27"/>
  <c r="Z52" i="27" s="1"/>
  <c r="N52" i="27"/>
  <c r="L52" i="27"/>
  <c r="B52" i="27"/>
  <c r="X51" i="27"/>
  <c r="Z51" i="27" s="1"/>
  <c r="L51" i="27"/>
  <c r="N51" i="27" s="1"/>
  <c r="B51" i="27"/>
  <c r="Z50" i="27"/>
  <c r="X50" i="27"/>
  <c r="N50" i="27"/>
  <c r="L50" i="27"/>
  <c r="B50" i="27"/>
  <c r="X49" i="27"/>
  <c r="Z49" i="27" s="1"/>
  <c r="L49" i="27"/>
  <c r="N49" i="27" s="1"/>
  <c r="B49" i="27"/>
  <c r="X48" i="27"/>
  <c r="Z48" i="27" s="1"/>
  <c r="N48" i="27"/>
  <c r="L48" i="27"/>
  <c r="B48" i="27"/>
  <c r="X47" i="27"/>
  <c r="Z47" i="27" s="1"/>
  <c r="L47" i="27"/>
  <c r="N47" i="27" s="1"/>
  <c r="B47" i="27"/>
  <c r="Z46" i="27"/>
  <c r="X46" i="27"/>
  <c r="N46" i="27"/>
  <c r="L46" i="27"/>
  <c r="B46" i="27"/>
  <c r="X45" i="27"/>
  <c r="Z45" i="27" s="1"/>
  <c r="L45" i="27"/>
  <c r="N45" i="27" s="1"/>
  <c r="B45" i="27"/>
  <c r="X44" i="27"/>
  <c r="Z44" i="27" s="1"/>
  <c r="L44" i="27"/>
  <c r="N44" i="27" s="1"/>
  <c r="B44" i="27"/>
  <c r="T43" i="27"/>
  <c r="Z43" i="27" s="1"/>
  <c r="P43" i="27"/>
  <c r="X43" i="27" s="1"/>
  <c r="H43" i="27"/>
  <c r="D43" i="27"/>
  <c r="X41" i="27"/>
  <c r="T41" i="27"/>
  <c r="Z41" i="27" s="1"/>
  <c r="P41" i="27"/>
  <c r="L41" i="27"/>
  <c r="N41" i="27" s="1"/>
  <c r="H41" i="27"/>
  <c r="D41" i="27"/>
  <c r="B41" i="27"/>
  <c r="T40" i="27"/>
  <c r="P40" i="27"/>
  <c r="X40" i="27" s="1"/>
  <c r="Z40" i="27" s="1"/>
  <c r="H40" i="27"/>
  <c r="D40" i="27"/>
  <c r="L40" i="27" s="1"/>
  <c r="N40" i="27" s="1"/>
  <c r="B40" i="27"/>
  <c r="T39" i="27"/>
  <c r="P39" i="27"/>
  <c r="X39" i="27" s="1"/>
  <c r="H39" i="27"/>
  <c r="N39" i="27" s="1"/>
  <c r="D39" i="27"/>
  <c r="L39" i="27" s="1"/>
  <c r="B39" i="27"/>
  <c r="T38" i="27"/>
  <c r="P38" i="27"/>
  <c r="H38" i="27"/>
  <c r="D38" i="27"/>
  <c r="B38" i="27"/>
  <c r="X37" i="27"/>
  <c r="T37" i="27"/>
  <c r="Z37" i="27" s="1"/>
  <c r="P37" i="27"/>
  <c r="N37" i="27"/>
  <c r="L37" i="27"/>
  <c r="H37" i="27"/>
  <c r="D37" i="27"/>
  <c r="B37" i="27"/>
  <c r="T36" i="27"/>
  <c r="P36" i="27"/>
  <c r="X36" i="27" s="1"/>
  <c r="Z36" i="27" s="1"/>
  <c r="N36" i="27"/>
  <c r="H36" i="27"/>
  <c r="D36" i="27"/>
  <c r="L36" i="27" s="1"/>
  <c r="B36" i="27"/>
  <c r="T35" i="27"/>
  <c r="P35" i="27"/>
  <c r="X35" i="27" s="1"/>
  <c r="H35" i="27"/>
  <c r="N35" i="27" s="1"/>
  <c r="D35" i="27"/>
  <c r="L35" i="27" s="1"/>
  <c r="B35" i="27"/>
  <c r="T34" i="27"/>
  <c r="P34" i="27"/>
  <c r="H34" i="27"/>
  <c r="D34" i="27"/>
  <c r="B34" i="27"/>
  <c r="X33" i="27"/>
  <c r="T33" i="27"/>
  <c r="Z33" i="27" s="1"/>
  <c r="P33" i="27"/>
  <c r="L33" i="27"/>
  <c r="N33" i="27" s="1"/>
  <c r="H33" i="27"/>
  <c r="D33" i="27"/>
  <c r="B33" i="27"/>
  <c r="T32" i="27"/>
  <c r="P32" i="27"/>
  <c r="X32" i="27" s="1"/>
  <c r="Z32" i="27" s="1"/>
  <c r="N32" i="27"/>
  <c r="H32" i="27"/>
  <c r="D32" i="27"/>
  <c r="L32" i="27" s="1"/>
  <c r="B32" i="27"/>
  <c r="T31" i="27"/>
  <c r="P31" i="27"/>
  <c r="X31" i="27" s="1"/>
  <c r="H31" i="27"/>
  <c r="N31" i="27" s="1"/>
  <c r="D31" i="27"/>
  <c r="L31" i="27" s="1"/>
  <c r="B31" i="27"/>
  <c r="T30" i="27"/>
  <c r="P30" i="27"/>
  <c r="H30" i="27"/>
  <c r="D30" i="27"/>
  <c r="B30" i="27"/>
  <c r="X29" i="27"/>
  <c r="T29" i="27"/>
  <c r="Z29" i="27" s="1"/>
  <c r="P29" i="27"/>
  <c r="L29" i="27"/>
  <c r="N29" i="27" s="1"/>
  <c r="H29" i="27"/>
  <c r="D29" i="27"/>
  <c r="B29" i="27"/>
  <c r="T28" i="27"/>
  <c r="P28" i="27"/>
  <c r="X28" i="27" s="1"/>
  <c r="Z28" i="27" s="1"/>
  <c r="H28" i="27"/>
  <c r="D28" i="27"/>
  <c r="L28" i="27" s="1"/>
  <c r="N28" i="27" s="1"/>
  <c r="B28" i="27"/>
  <c r="T27" i="27"/>
  <c r="P27" i="27"/>
  <c r="X27" i="27" s="1"/>
  <c r="H27" i="27"/>
  <c r="N27" i="27" s="1"/>
  <c r="D27" i="27"/>
  <c r="L27" i="27" s="1"/>
  <c r="B27" i="27"/>
  <c r="T26" i="27"/>
  <c r="P26" i="27"/>
  <c r="H26" i="27"/>
  <c r="D26" i="27"/>
  <c r="B26" i="27"/>
  <c r="X25" i="27"/>
  <c r="T25" i="27"/>
  <c r="Z25" i="27" s="1"/>
  <c r="P25" i="27"/>
  <c r="N25" i="27"/>
  <c r="L25" i="27"/>
  <c r="H25" i="27"/>
  <c r="D25" i="27"/>
  <c r="B25" i="27"/>
  <c r="T24" i="27"/>
  <c r="P24" i="27"/>
  <c r="X24" i="27" s="1"/>
  <c r="Z24" i="27" s="1"/>
  <c r="H24" i="27"/>
  <c r="D24" i="27"/>
  <c r="L24" i="27" s="1"/>
  <c r="N24" i="27" s="1"/>
  <c r="B24" i="27"/>
  <c r="T23" i="27"/>
  <c r="P23" i="27"/>
  <c r="X23" i="27" s="1"/>
  <c r="H23" i="27"/>
  <c r="N23" i="27" s="1"/>
  <c r="D23" i="27"/>
  <c r="L23" i="27" s="1"/>
  <c r="B23" i="27"/>
  <c r="T22" i="27"/>
  <c r="P22" i="27"/>
  <c r="H22" i="27"/>
  <c r="D22" i="27"/>
  <c r="B22" i="27"/>
  <c r="X21" i="27"/>
  <c r="T21" i="27"/>
  <c r="Z21" i="27" s="1"/>
  <c r="P21" i="27"/>
  <c r="L21" i="27"/>
  <c r="N21" i="27" s="1"/>
  <c r="H21" i="27"/>
  <c r="D21" i="27"/>
  <c r="B21" i="27"/>
  <c r="T20" i="27"/>
  <c r="P20" i="27"/>
  <c r="X20" i="27" s="1"/>
  <c r="Z20" i="27" s="1"/>
  <c r="H20" i="27"/>
  <c r="D20" i="27"/>
  <c r="L20" i="27" s="1"/>
  <c r="N20" i="27" s="1"/>
  <c r="B20" i="27"/>
  <c r="T19" i="27"/>
  <c r="Z19" i="27" s="1"/>
  <c r="P19" i="27"/>
  <c r="X19" i="27" s="1"/>
  <c r="H19" i="27"/>
  <c r="D19" i="27"/>
  <c r="L19" i="27" s="1"/>
  <c r="B19" i="27"/>
  <c r="T18" i="27"/>
  <c r="P18" i="27"/>
  <c r="H18" i="27"/>
  <c r="D18" i="27"/>
  <c r="B18" i="27"/>
  <c r="X17" i="27"/>
  <c r="T17" i="27"/>
  <c r="Z17" i="27" s="1"/>
  <c r="P17" i="27"/>
  <c r="L17" i="27"/>
  <c r="N17" i="27" s="1"/>
  <c r="H17" i="27"/>
  <c r="D17" i="27"/>
  <c r="B17" i="27"/>
  <c r="Z16" i="27"/>
  <c r="T16" i="27"/>
  <c r="P16" i="27"/>
  <c r="X16" i="27" s="1"/>
  <c r="H16" i="27"/>
  <c r="D16" i="27"/>
  <c r="L16" i="27" s="1"/>
  <c r="N16" i="27" s="1"/>
  <c r="B16" i="27"/>
  <c r="T15" i="27"/>
  <c r="P15" i="27"/>
  <c r="X15" i="27" s="1"/>
  <c r="H15" i="27"/>
  <c r="D15" i="27"/>
  <c r="L15" i="27" s="1"/>
  <c r="B15" i="27"/>
  <c r="T14" i="27"/>
  <c r="P14" i="27"/>
  <c r="H14" i="27"/>
  <c r="D14" i="27"/>
  <c r="B14" i="27"/>
  <c r="X13" i="27"/>
  <c r="T13" i="27"/>
  <c r="T12" i="27" s="1"/>
  <c r="V118" i="27" s="1"/>
  <c r="P13" i="27"/>
  <c r="N13" i="27"/>
  <c r="L13" i="27"/>
  <c r="H13" i="27"/>
  <c r="D13" i="27"/>
  <c r="B13" i="27"/>
  <c r="D4" i="27"/>
  <c r="X136" i="24"/>
  <c r="Z136" i="24" s="1"/>
  <c r="L136" i="24"/>
  <c r="N136" i="24" s="1"/>
  <c r="T132" i="24"/>
  <c r="P132" i="24"/>
  <c r="P131" i="24" s="1"/>
  <c r="X131" i="24" s="1"/>
  <c r="Z131" i="24" s="1"/>
  <c r="H132" i="24"/>
  <c r="D132" i="24"/>
  <c r="B132" i="24"/>
  <c r="T131" i="24"/>
  <c r="D131" i="24"/>
  <c r="Z129" i="24"/>
  <c r="X129" i="24"/>
  <c r="N129" i="24"/>
  <c r="L129" i="24"/>
  <c r="B129" i="24"/>
  <c r="T128" i="24"/>
  <c r="P128" i="24"/>
  <c r="X128" i="24" s="1"/>
  <c r="N128" i="24"/>
  <c r="H128" i="24"/>
  <c r="D128" i="24"/>
  <c r="L128" i="24" s="1"/>
  <c r="B128" i="24"/>
  <c r="X127" i="24"/>
  <c r="Z127" i="24" s="1"/>
  <c r="L127" i="24"/>
  <c r="N127" i="24" s="1"/>
  <c r="B127" i="24"/>
  <c r="X126" i="24"/>
  <c r="T126" i="24"/>
  <c r="Z126" i="24" s="1"/>
  <c r="P126" i="24"/>
  <c r="H126" i="24"/>
  <c r="D126" i="24"/>
  <c r="B126" i="24"/>
  <c r="Z125" i="24"/>
  <c r="X125" i="24"/>
  <c r="N125" i="24"/>
  <c r="L125" i="24"/>
  <c r="B125" i="24"/>
  <c r="T124" i="24"/>
  <c r="P124" i="24"/>
  <c r="L124" i="24"/>
  <c r="N124" i="24" s="1"/>
  <c r="H124" i="24"/>
  <c r="D124" i="24"/>
  <c r="B124" i="24"/>
  <c r="Z123" i="24"/>
  <c r="X123" i="24"/>
  <c r="N123" i="24"/>
  <c r="L123" i="24"/>
  <c r="B123" i="24"/>
  <c r="X122" i="24"/>
  <c r="Z122" i="24" s="1"/>
  <c r="N122" i="24"/>
  <c r="L122" i="24"/>
  <c r="B122" i="24"/>
  <c r="Z121" i="24"/>
  <c r="X121" i="24"/>
  <c r="N121" i="24"/>
  <c r="L121" i="24"/>
  <c r="B121" i="24"/>
  <c r="Z120" i="24"/>
  <c r="X120" i="24"/>
  <c r="N120" i="24"/>
  <c r="L120" i="24"/>
  <c r="B120" i="24"/>
  <c r="T119" i="24"/>
  <c r="Z119" i="24" s="1"/>
  <c r="P119" i="24"/>
  <c r="X119" i="24" s="1"/>
  <c r="H119" i="24"/>
  <c r="D119" i="24"/>
  <c r="L119" i="24" s="1"/>
  <c r="N119" i="24" s="1"/>
  <c r="B119" i="24"/>
  <c r="X118" i="24"/>
  <c r="Z118" i="24" s="1"/>
  <c r="N118" i="24"/>
  <c r="L118" i="24"/>
  <c r="B118" i="24"/>
  <c r="Z117" i="24"/>
  <c r="T117" i="24"/>
  <c r="P117" i="24"/>
  <c r="X117" i="24" s="1"/>
  <c r="N117" i="24"/>
  <c r="L117" i="24"/>
  <c r="H117" i="24"/>
  <c r="D117" i="24"/>
  <c r="B117" i="24"/>
  <c r="X116" i="24"/>
  <c r="Z116" i="24" s="1"/>
  <c r="N116" i="24"/>
  <c r="L116" i="24"/>
  <c r="B116" i="24"/>
  <c r="X115" i="24"/>
  <c r="Z115" i="24" s="1"/>
  <c r="N115" i="24"/>
  <c r="L115" i="24"/>
  <c r="B115" i="24"/>
  <c r="T114" i="24"/>
  <c r="P114" i="24"/>
  <c r="X114" i="24" s="1"/>
  <c r="Z114" i="24" s="1"/>
  <c r="H114" i="24"/>
  <c r="D114" i="24"/>
  <c r="B114" i="24"/>
  <c r="Z113" i="24"/>
  <c r="X113" i="24"/>
  <c r="N113" i="24"/>
  <c r="L113" i="24"/>
  <c r="B113" i="24"/>
  <c r="Z112" i="24"/>
  <c r="X112" i="24"/>
  <c r="N112" i="24"/>
  <c r="L112" i="24"/>
  <c r="B112" i="24"/>
  <c r="T111" i="24"/>
  <c r="Z111" i="24" s="1"/>
  <c r="P111" i="24"/>
  <c r="X111" i="24" s="1"/>
  <c r="N111" i="24"/>
  <c r="H111" i="24"/>
  <c r="D111" i="24"/>
  <c r="L111" i="24" s="1"/>
  <c r="B111" i="24"/>
  <c r="X110" i="24"/>
  <c r="Z110" i="24" s="1"/>
  <c r="N110" i="24"/>
  <c r="L110" i="24"/>
  <c r="B110" i="24"/>
  <c r="T109" i="24"/>
  <c r="P109" i="24"/>
  <c r="X109" i="24" s="1"/>
  <c r="Z109" i="24" s="1"/>
  <c r="N109" i="24"/>
  <c r="L109" i="24"/>
  <c r="H109" i="24"/>
  <c r="D109" i="24"/>
  <c r="B109" i="24"/>
  <c r="X108" i="24"/>
  <c r="Z108" i="24" s="1"/>
  <c r="N108" i="24"/>
  <c r="L108" i="24"/>
  <c r="B108" i="24"/>
  <c r="X107" i="24"/>
  <c r="Z107" i="24" s="1"/>
  <c r="T107" i="24"/>
  <c r="P107" i="24"/>
  <c r="N107" i="24"/>
  <c r="H107" i="24"/>
  <c r="L107" i="24" s="1"/>
  <c r="D107" i="24"/>
  <c r="B107" i="24"/>
  <c r="X106" i="24"/>
  <c r="Z106" i="24" s="1"/>
  <c r="N106" i="24"/>
  <c r="L106" i="24"/>
  <c r="B106" i="24"/>
  <c r="Z105" i="24"/>
  <c r="T105" i="24"/>
  <c r="P105" i="24"/>
  <c r="X105" i="24" s="1"/>
  <c r="H105" i="24"/>
  <c r="N105" i="24" s="1"/>
  <c r="D105" i="24"/>
  <c r="L105" i="24" s="1"/>
  <c r="B105" i="24"/>
  <c r="Z104" i="24"/>
  <c r="X104" i="24"/>
  <c r="L104" i="24"/>
  <c r="N104" i="24" s="1"/>
  <c r="B104" i="24"/>
  <c r="X103" i="24"/>
  <c r="Z103" i="24" s="1"/>
  <c r="L103" i="24"/>
  <c r="N103" i="24" s="1"/>
  <c r="B103" i="24"/>
  <c r="T102" i="24"/>
  <c r="P102" i="24"/>
  <c r="X102" i="24" s="1"/>
  <c r="H102" i="24"/>
  <c r="D102" i="24"/>
  <c r="L102" i="24" s="1"/>
  <c r="B102" i="24"/>
  <c r="Z101" i="24"/>
  <c r="X101" i="24"/>
  <c r="N101" i="24"/>
  <c r="L101" i="24"/>
  <c r="B101" i="24"/>
  <c r="T100" i="24"/>
  <c r="P100" i="24"/>
  <c r="L100" i="24"/>
  <c r="N100" i="24" s="1"/>
  <c r="H100" i="24"/>
  <c r="D100" i="24"/>
  <c r="B100" i="24"/>
  <c r="Z99" i="24"/>
  <c r="X99" i="24"/>
  <c r="L99" i="24"/>
  <c r="N99" i="24" s="1"/>
  <c r="B99" i="24"/>
  <c r="T98" i="24"/>
  <c r="P98" i="24"/>
  <c r="X98" i="24" s="1"/>
  <c r="Z98" i="24" s="1"/>
  <c r="H98" i="24"/>
  <c r="D98" i="24"/>
  <c r="L98" i="24" s="1"/>
  <c r="B98" i="24"/>
  <c r="Z97" i="24"/>
  <c r="X97" i="24"/>
  <c r="N97" i="24"/>
  <c r="L97" i="24"/>
  <c r="B97" i="24"/>
  <c r="X96" i="24"/>
  <c r="Z96" i="24" s="1"/>
  <c r="N96" i="24"/>
  <c r="L96" i="24"/>
  <c r="B96" i="24"/>
  <c r="X95" i="24"/>
  <c r="Z95" i="24" s="1"/>
  <c r="L95" i="24"/>
  <c r="N95" i="24" s="1"/>
  <c r="B95" i="24"/>
  <c r="X94" i="24"/>
  <c r="Z94" i="24" s="1"/>
  <c r="N94" i="24"/>
  <c r="L94" i="24"/>
  <c r="B94" i="24"/>
  <c r="Z93" i="24"/>
  <c r="X93" i="24"/>
  <c r="N93" i="24"/>
  <c r="L93" i="24"/>
  <c r="B93" i="24"/>
  <c r="T92" i="24"/>
  <c r="P92" i="24"/>
  <c r="X92" i="24" s="1"/>
  <c r="L92" i="24"/>
  <c r="H92" i="24"/>
  <c r="D92" i="24"/>
  <c r="B92" i="24"/>
  <c r="X91" i="24"/>
  <c r="Z91" i="24" s="1"/>
  <c r="N91" i="24"/>
  <c r="L91" i="24"/>
  <c r="B91" i="24"/>
  <c r="Z90" i="24"/>
  <c r="X90" i="24"/>
  <c r="L90" i="24"/>
  <c r="N90" i="24" s="1"/>
  <c r="B90" i="24"/>
  <c r="Z89" i="24"/>
  <c r="X89" i="24"/>
  <c r="N89" i="24"/>
  <c r="L89" i="24"/>
  <c r="B89" i="24"/>
  <c r="X88" i="24"/>
  <c r="Z88" i="24" s="1"/>
  <c r="N88" i="24"/>
  <c r="L88" i="24"/>
  <c r="B88" i="24"/>
  <c r="X87" i="24"/>
  <c r="Z87" i="24" s="1"/>
  <c r="N87" i="24"/>
  <c r="L87" i="24"/>
  <c r="B87" i="24"/>
  <c r="X86" i="24"/>
  <c r="Z86" i="24" s="1"/>
  <c r="L86" i="24"/>
  <c r="N86" i="24" s="1"/>
  <c r="B86" i="24"/>
  <c r="Z85" i="24"/>
  <c r="X85" i="24"/>
  <c r="N85" i="24"/>
  <c r="L85" i="24"/>
  <c r="B85" i="24"/>
  <c r="X84" i="24"/>
  <c r="Z84" i="24" s="1"/>
  <c r="N84" i="24"/>
  <c r="L84" i="24"/>
  <c r="B84" i="24"/>
  <c r="X83" i="24"/>
  <c r="Z83" i="24" s="1"/>
  <c r="T83" i="24"/>
  <c r="P83" i="24"/>
  <c r="H83" i="24"/>
  <c r="D83" i="24"/>
  <c r="B83" i="24"/>
  <c r="X82" i="24"/>
  <c r="Z82" i="24" s="1"/>
  <c r="T82" i="24"/>
  <c r="P82" i="24"/>
  <c r="H82" i="24"/>
  <c r="D82" i="24"/>
  <c r="Z78" i="24"/>
  <c r="X78" i="24"/>
  <c r="L78" i="24"/>
  <c r="N78" i="24" s="1"/>
  <c r="B78" i="24"/>
  <c r="Z77" i="24"/>
  <c r="X77" i="24"/>
  <c r="N77" i="24"/>
  <c r="L77" i="24"/>
  <c r="B77" i="24"/>
  <c r="Z76" i="24"/>
  <c r="X76" i="24"/>
  <c r="N76" i="24"/>
  <c r="L76" i="24"/>
  <c r="B76" i="24"/>
  <c r="Z75" i="24"/>
  <c r="X75" i="24"/>
  <c r="L75" i="24"/>
  <c r="N75" i="24" s="1"/>
  <c r="B75" i="24"/>
  <c r="Z74" i="24"/>
  <c r="X74" i="24"/>
  <c r="N74" i="24"/>
  <c r="L74" i="24"/>
  <c r="B74" i="24"/>
  <c r="Z73" i="24"/>
  <c r="X73" i="24"/>
  <c r="N73" i="24"/>
  <c r="L73" i="24"/>
  <c r="B73" i="24"/>
  <c r="Z72" i="24"/>
  <c r="X72" i="24"/>
  <c r="L72" i="24"/>
  <c r="N72" i="24" s="1"/>
  <c r="B72" i="24"/>
  <c r="Z71" i="24"/>
  <c r="X71" i="24"/>
  <c r="L71" i="24"/>
  <c r="N71" i="24" s="1"/>
  <c r="B71" i="24"/>
  <c r="Z70" i="24"/>
  <c r="X70" i="24"/>
  <c r="L70" i="24"/>
  <c r="N70" i="24" s="1"/>
  <c r="B70" i="24"/>
  <c r="Z69" i="24"/>
  <c r="X69" i="24"/>
  <c r="N69" i="24"/>
  <c r="L69" i="24"/>
  <c r="B69" i="24"/>
  <c r="X68" i="24"/>
  <c r="Z68" i="24" s="1"/>
  <c r="N68" i="24"/>
  <c r="L68" i="24"/>
  <c r="B68" i="24"/>
  <c r="Z67" i="24"/>
  <c r="X67" i="24"/>
  <c r="L67" i="24"/>
  <c r="N67" i="24" s="1"/>
  <c r="B67" i="24"/>
  <c r="X66" i="24"/>
  <c r="Z66" i="24" s="1"/>
  <c r="L66" i="24"/>
  <c r="N66" i="24" s="1"/>
  <c r="B66" i="24"/>
  <c r="Z65" i="24"/>
  <c r="X65" i="24"/>
  <c r="N65" i="24"/>
  <c r="L65" i="24"/>
  <c r="B65" i="24"/>
  <c r="X64" i="24"/>
  <c r="Z64" i="24" s="1"/>
  <c r="L64" i="24"/>
  <c r="N64" i="24" s="1"/>
  <c r="B64" i="24"/>
  <c r="Z63" i="24"/>
  <c r="X63" i="24"/>
  <c r="L63" i="24"/>
  <c r="N63" i="24" s="1"/>
  <c r="B63" i="24"/>
  <c r="X62" i="24"/>
  <c r="Z62" i="24" s="1"/>
  <c r="L62" i="24"/>
  <c r="N62" i="24" s="1"/>
  <c r="B62" i="24"/>
  <c r="Z61" i="24"/>
  <c r="X61" i="24"/>
  <c r="N61" i="24"/>
  <c r="L61" i="24"/>
  <c r="B61" i="24"/>
  <c r="X60" i="24"/>
  <c r="Z60" i="24" s="1"/>
  <c r="L60" i="24"/>
  <c r="N60" i="24" s="1"/>
  <c r="B60" i="24"/>
  <c r="Z59" i="24"/>
  <c r="X59" i="24"/>
  <c r="L59" i="24"/>
  <c r="N59" i="24" s="1"/>
  <c r="B59" i="24"/>
  <c r="X58" i="24"/>
  <c r="Z58" i="24" s="1"/>
  <c r="L58" i="24"/>
  <c r="N58" i="24" s="1"/>
  <c r="B58" i="24"/>
  <c r="Z57" i="24"/>
  <c r="X57" i="24"/>
  <c r="N57" i="24"/>
  <c r="L57" i="24"/>
  <c r="B57" i="24"/>
  <c r="X56" i="24"/>
  <c r="Z56" i="24" s="1"/>
  <c r="N56" i="24"/>
  <c r="L56" i="24"/>
  <c r="B56" i="24"/>
  <c r="Z55" i="24"/>
  <c r="T55" i="24"/>
  <c r="P55" i="24"/>
  <c r="X55" i="24" s="1"/>
  <c r="H55" i="24"/>
  <c r="N55" i="24" s="1"/>
  <c r="D55" i="24"/>
  <c r="L55" i="24" s="1"/>
  <c r="Z53" i="24"/>
  <c r="T53" i="24"/>
  <c r="P53" i="24"/>
  <c r="X53" i="24" s="1"/>
  <c r="L53" i="24"/>
  <c r="H53" i="24"/>
  <c r="D53" i="24"/>
  <c r="B53" i="24"/>
  <c r="X52" i="24"/>
  <c r="T52" i="24"/>
  <c r="Z52" i="24" s="1"/>
  <c r="P52" i="24"/>
  <c r="L52" i="24"/>
  <c r="H52" i="24"/>
  <c r="N52" i="24" s="1"/>
  <c r="D52" i="24"/>
  <c r="B52" i="24"/>
  <c r="T51" i="24"/>
  <c r="P51" i="24"/>
  <c r="H51" i="24"/>
  <c r="N51" i="24" s="1"/>
  <c r="D51" i="24"/>
  <c r="B51" i="24"/>
  <c r="X50" i="24"/>
  <c r="Z50" i="24" s="1"/>
  <c r="T50" i="24"/>
  <c r="P50" i="24"/>
  <c r="L50" i="24"/>
  <c r="H50" i="24"/>
  <c r="N50" i="24" s="1"/>
  <c r="D50" i="24"/>
  <c r="B50" i="24"/>
  <c r="T49" i="24"/>
  <c r="P49" i="24"/>
  <c r="H49" i="24"/>
  <c r="D49" i="24"/>
  <c r="B49" i="24"/>
  <c r="Z48" i="24"/>
  <c r="X48" i="24"/>
  <c r="T48" i="24"/>
  <c r="P48" i="24"/>
  <c r="L48" i="24"/>
  <c r="H48" i="24"/>
  <c r="N48" i="24" s="1"/>
  <c r="D48" i="24"/>
  <c r="B48" i="24"/>
  <c r="Z47" i="24"/>
  <c r="T47" i="24"/>
  <c r="P47" i="24"/>
  <c r="X47" i="24" s="1"/>
  <c r="N47" i="24"/>
  <c r="L47" i="24"/>
  <c r="H47" i="24"/>
  <c r="D47" i="24"/>
  <c r="B47" i="24"/>
  <c r="T46" i="24"/>
  <c r="P46" i="24"/>
  <c r="X46" i="24" s="1"/>
  <c r="Z46" i="24" s="1"/>
  <c r="L46" i="24"/>
  <c r="H46" i="24"/>
  <c r="D46" i="24"/>
  <c r="B46" i="24"/>
  <c r="Z45" i="24"/>
  <c r="X45" i="24"/>
  <c r="T45" i="24"/>
  <c r="P45" i="24"/>
  <c r="N45" i="24"/>
  <c r="L45" i="24"/>
  <c r="H45" i="24"/>
  <c r="D45" i="24"/>
  <c r="B45" i="24"/>
  <c r="T44" i="24"/>
  <c r="P44" i="24"/>
  <c r="X44" i="24" s="1"/>
  <c r="N44" i="24"/>
  <c r="H44" i="24"/>
  <c r="D44" i="24"/>
  <c r="L44" i="24" s="1"/>
  <c r="B44" i="24"/>
  <c r="T43" i="24"/>
  <c r="P43" i="24"/>
  <c r="X43" i="24" s="1"/>
  <c r="H43" i="24"/>
  <c r="N43" i="24" s="1"/>
  <c r="D43" i="24"/>
  <c r="L43" i="24" s="1"/>
  <c r="B43" i="24"/>
  <c r="T42" i="24"/>
  <c r="Z42" i="24" s="1"/>
  <c r="P42" i="24"/>
  <c r="X42" i="24" s="1"/>
  <c r="H42" i="24"/>
  <c r="D42" i="24"/>
  <c r="B42" i="24"/>
  <c r="X41" i="24"/>
  <c r="T41" i="24"/>
  <c r="Z41" i="24" s="1"/>
  <c r="P41" i="24"/>
  <c r="H41" i="24"/>
  <c r="D41" i="24"/>
  <c r="B41" i="24"/>
  <c r="X40" i="24"/>
  <c r="Z40" i="24" s="1"/>
  <c r="T40" i="24"/>
  <c r="P40" i="24"/>
  <c r="N40" i="24"/>
  <c r="L40" i="24"/>
  <c r="H40" i="24"/>
  <c r="D40" i="24"/>
  <c r="B40" i="24"/>
  <c r="T39" i="24"/>
  <c r="P39" i="24"/>
  <c r="L39" i="24"/>
  <c r="N39" i="24" s="1"/>
  <c r="H39" i="24"/>
  <c r="D39" i="24"/>
  <c r="B39" i="24"/>
  <c r="Z38" i="24"/>
  <c r="X38" i="24"/>
  <c r="T38" i="24"/>
  <c r="P38" i="24"/>
  <c r="L38" i="24"/>
  <c r="H38" i="24"/>
  <c r="D38" i="24"/>
  <c r="B38" i="24"/>
  <c r="Z37" i="24"/>
  <c r="T37" i="24"/>
  <c r="P37" i="24"/>
  <c r="X37" i="24" s="1"/>
  <c r="N37" i="24"/>
  <c r="L37" i="24"/>
  <c r="H37" i="24"/>
  <c r="D37" i="24"/>
  <c r="B37" i="24"/>
  <c r="T36" i="24"/>
  <c r="Z36" i="24" s="1"/>
  <c r="P36" i="24"/>
  <c r="X36" i="24" s="1"/>
  <c r="H36" i="24"/>
  <c r="D36" i="24"/>
  <c r="L36" i="24" s="1"/>
  <c r="B36" i="24"/>
  <c r="T35" i="24"/>
  <c r="Z35" i="24" s="1"/>
  <c r="P35" i="24"/>
  <c r="X35" i="24" s="1"/>
  <c r="H35" i="24"/>
  <c r="D35" i="24"/>
  <c r="B35" i="24"/>
  <c r="Z34" i="24"/>
  <c r="X34" i="24"/>
  <c r="T34" i="24"/>
  <c r="P34" i="24"/>
  <c r="L34" i="24"/>
  <c r="H34" i="24"/>
  <c r="N34" i="24" s="1"/>
  <c r="D34" i="24"/>
  <c r="B34" i="24"/>
  <c r="Z33" i="24"/>
  <c r="T33" i="24"/>
  <c r="P33" i="24"/>
  <c r="X33" i="24" s="1"/>
  <c r="N33" i="24"/>
  <c r="L33" i="24"/>
  <c r="H33" i="24"/>
  <c r="D33" i="24"/>
  <c r="B33" i="24"/>
  <c r="T32" i="24"/>
  <c r="P32" i="24"/>
  <c r="X32" i="24" s="1"/>
  <c r="H32" i="24"/>
  <c r="D32" i="24"/>
  <c r="L32" i="24" s="1"/>
  <c r="B32" i="24"/>
  <c r="T31" i="24"/>
  <c r="Z31" i="24" s="1"/>
  <c r="P31" i="24"/>
  <c r="X31" i="24" s="1"/>
  <c r="H31" i="24"/>
  <c r="D31" i="24"/>
  <c r="B31" i="24"/>
  <c r="Z30" i="24"/>
  <c r="X30" i="24"/>
  <c r="T30" i="24"/>
  <c r="P30" i="24"/>
  <c r="L30" i="24"/>
  <c r="H30" i="24"/>
  <c r="N30" i="24" s="1"/>
  <c r="D30" i="24"/>
  <c r="B30" i="24"/>
  <c r="T29" i="24"/>
  <c r="P29" i="24"/>
  <c r="X29" i="24" s="1"/>
  <c r="Z29" i="24" s="1"/>
  <c r="N29" i="24"/>
  <c r="L29" i="24"/>
  <c r="H29" i="24"/>
  <c r="D29" i="24"/>
  <c r="B29" i="24"/>
  <c r="T28" i="24"/>
  <c r="P28" i="24"/>
  <c r="X28" i="24" s="1"/>
  <c r="H28" i="24"/>
  <c r="D28" i="24"/>
  <c r="L28" i="24" s="1"/>
  <c r="B28" i="24"/>
  <c r="T27" i="24"/>
  <c r="Z27" i="24" s="1"/>
  <c r="P27" i="24"/>
  <c r="X27" i="24" s="1"/>
  <c r="H27" i="24"/>
  <c r="D27" i="24"/>
  <c r="B27" i="24"/>
  <c r="Z26" i="24"/>
  <c r="X26" i="24"/>
  <c r="T26" i="24"/>
  <c r="P26" i="24"/>
  <c r="L26" i="24"/>
  <c r="H26" i="24"/>
  <c r="N26" i="24" s="1"/>
  <c r="D26" i="24"/>
  <c r="B26" i="24"/>
  <c r="Z25" i="24"/>
  <c r="T25" i="24"/>
  <c r="P25" i="24"/>
  <c r="X25" i="24" s="1"/>
  <c r="N25" i="24"/>
  <c r="L25" i="24"/>
  <c r="H25" i="24"/>
  <c r="D25" i="24"/>
  <c r="B25" i="24"/>
  <c r="T24" i="24"/>
  <c r="P24" i="24"/>
  <c r="X24" i="24" s="1"/>
  <c r="H24" i="24"/>
  <c r="D24" i="24"/>
  <c r="L24" i="24" s="1"/>
  <c r="B24" i="24"/>
  <c r="T23" i="24"/>
  <c r="Z23" i="24" s="1"/>
  <c r="P23" i="24"/>
  <c r="X23" i="24" s="1"/>
  <c r="H23" i="24"/>
  <c r="D23" i="24"/>
  <c r="B23" i="24"/>
  <c r="Z22" i="24"/>
  <c r="X22" i="24"/>
  <c r="T22" i="24"/>
  <c r="P22" i="24"/>
  <c r="L22" i="24"/>
  <c r="H22" i="24"/>
  <c r="N22" i="24" s="1"/>
  <c r="D22" i="24"/>
  <c r="B22" i="24"/>
  <c r="T21" i="24"/>
  <c r="P21" i="24"/>
  <c r="X21" i="24" s="1"/>
  <c r="Z21" i="24" s="1"/>
  <c r="N21" i="24"/>
  <c r="L21" i="24"/>
  <c r="H21" i="24"/>
  <c r="D21" i="24"/>
  <c r="B21" i="24"/>
  <c r="T20" i="24"/>
  <c r="P20" i="24"/>
  <c r="X20" i="24" s="1"/>
  <c r="H20" i="24"/>
  <c r="D20" i="24"/>
  <c r="L20" i="24" s="1"/>
  <c r="B20" i="24"/>
  <c r="T19" i="24"/>
  <c r="P19" i="24"/>
  <c r="X19" i="24" s="1"/>
  <c r="H19" i="24"/>
  <c r="D19" i="24"/>
  <c r="B19" i="24"/>
  <c r="T18" i="24"/>
  <c r="X18" i="24" s="1"/>
  <c r="Z18" i="24" s="1"/>
  <c r="P18" i="24"/>
  <c r="L18" i="24"/>
  <c r="H18" i="24"/>
  <c r="N18" i="24" s="1"/>
  <c r="D18" i="24"/>
  <c r="B18" i="24"/>
  <c r="T17" i="24"/>
  <c r="P17" i="24"/>
  <c r="X17" i="24" s="1"/>
  <c r="Z17" i="24" s="1"/>
  <c r="L17" i="24"/>
  <c r="N17" i="24" s="1"/>
  <c r="H17" i="24"/>
  <c r="D17" i="24"/>
  <c r="B17" i="24"/>
  <c r="T16" i="24"/>
  <c r="Z16" i="24" s="1"/>
  <c r="P16" i="24"/>
  <c r="X16" i="24" s="1"/>
  <c r="H16" i="24"/>
  <c r="N16" i="24" s="1"/>
  <c r="D16" i="24"/>
  <c r="L16" i="24" s="1"/>
  <c r="B16" i="24"/>
  <c r="T15" i="24"/>
  <c r="Z15" i="24" s="1"/>
  <c r="P15" i="24"/>
  <c r="X15" i="24" s="1"/>
  <c r="H15" i="24"/>
  <c r="D15" i="24"/>
  <c r="B15" i="24"/>
  <c r="T14" i="24"/>
  <c r="X14" i="24" s="1"/>
  <c r="Z14" i="24" s="1"/>
  <c r="P14" i="24"/>
  <c r="L14" i="24"/>
  <c r="H14" i="24"/>
  <c r="N14" i="24" s="1"/>
  <c r="D14" i="24"/>
  <c r="B14" i="24"/>
  <c r="Z13" i="24"/>
  <c r="T13" i="24"/>
  <c r="P13" i="24"/>
  <c r="X13" i="24" s="1"/>
  <c r="N13" i="24"/>
  <c r="L13" i="24"/>
  <c r="H13" i="24"/>
  <c r="D13" i="24"/>
  <c r="B13" i="24"/>
  <c r="P12" i="24"/>
  <c r="D4" i="24"/>
  <c r="Z104" i="21"/>
  <c r="X104" i="21"/>
  <c r="N104" i="21"/>
  <c r="L104" i="21"/>
  <c r="Z100" i="21"/>
  <c r="X100" i="21"/>
  <c r="T100" i="21"/>
  <c r="P100" i="21"/>
  <c r="N100" i="21"/>
  <c r="J100" i="21"/>
  <c r="H100" i="21"/>
  <c r="D100" i="21"/>
  <c r="L100" i="21" s="1"/>
  <c r="X98" i="21"/>
  <c r="Z98" i="21" s="1"/>
  <c r="N98" i="21"/>
  <c r="L98" i="21"/>
  <c r="B98" i="21"/>
  <c r="T97" i="21"/>
  <c r="X97" i="21" s="1"/>
  <c r="P97" i="21"/>
  <c r="H97" i="21"/>
  <c r="D97" i="21"/>
  <c r="L97" i="21" s="1"/>
  <c r="B97" i="21"/>
  <c r="X96" i="21"/>
  <c r="Z96" i="21" s="1"/>
  <c r="L96" i="21"/>
  <c r="N96" i="21" s="1"/>
  <c r="B96" i="21"/>
  <c r="X95" i="21"/>
  <c r="Z95" i="21" s="1"/>
  <c r="T95" i="21"/>
  <c r="P95" i="21"/>
  <c r="H95" i="21"/>
  <c r="N95" i="21" s="1"/>
  <c r="D95" i="21"/>
  <c r="L95" i="21" s="1"/>
  <c r="B95" i="21"/>
  <c r="Z94" i="21"/>
  <c r="X94" i="21"/>
  <c r="L94" i="21"/>
  <c r="N94" i="21" s="1"/>
  <c r="B94" i="21"/>
  <c r="T93" i="21"/>
  <c r="P93" i="21"/>
  <c r="H93" i="21"/>
  <c r="D93" i="21"/>
  <c r="L93" i="21" s="1"/>
  <c r="N93" i="21" s="1"/>
  <c r="B93" i="21"/>
  <c r="X92" i="21"/>
  <c r="Z92" i="21" s="1"/>
  <c r="L92" i="21"/>
  <c r="N92" i="21" s="1"/>
  <c r="B92" i="21"/>
  <c r="X91" i="21"/>
  <c r="Z91" i="21" s="1"/>
  <c r="N91" i="21"/>
  <c r="L91" i="21"/>
  <c r="B91" i="21"/>
  <c r="X90" i="21"/>
  <c r="Z90" i="21" s="1"/>
  <c r="N90" i="21"/>
  <c r="L90" i="21"/>
  <c r="B90" i="21"/>
  <c r="X89" i="21"/>
  <c r="Z89" i="21" s="1"/>
  <c r="N89" i="21"/>
  <c r="L89" i="21"/>
  <c r="B89" i="21"/>
  <c r="X88" i="21"/>
  <c r="Z88" i="21" s="1"/>
  <c r="L88" i="21"/>
  <c r="N88" i="21" s="1"/>
  <c r="B88" i="21"/>
  <c r="X87" i="21"/>
  <c r="Z87" i="21" s="1"/>
  <c r="L87" i="21"/>
  <c r="N87" i="21" s="1"/>
  <c r="B87" i="21"/>
  <c r="Z86" i="21"/>
  <c r="X86" i="21"/>
  <c r="N86" i="21"/>
  <c r="L86" i="21"/>
  <c r="B86" i="21"/>
  <c r="X85" i="21"/>
  <c r="Z85" i="21" s="1"/>
  <c r="N85" i="21"/>
  <c r="L85" i="21"/>
  <c r="B85" i="21"/>
  <c r="T84" i="21"/>
  <c r="P84" i="21"/>
  <c r="X84" i="21" s="1"/>
  <c r="Z84" i="21" s="1"/>
  <c r="L84" i="21"/>
  <c r="N84" i="21" s="1"/>
  <c r="H84" i="21"/>
  <c r="D84" i="21"/>
  <c r="B84" i="21"/>
  <c r="X83" i="21"/>
  <c r="Z83" i="21" s="1"/>
  <c r="N83" i="21"/>
  <c r="L83" i="21"/>
  <c r="B83" i="21"/>
  <c r="T82" i="21"/>
  <c r="X82" i="21" s="1"/>
  <c r="Z82" i="21" s="1"/>
  <c r="P82" i="21"/>
  <c r="L82" i="21"/>
  <c r="H82" i="21"/>
  <c r="N82" i="21" s="1"/>
  <c r="D82" i="21"/>
  <c r="B82" i="21"/>
  <c r="Z81" i="21"/>
  <c r="X81" i="21"/>
  <c r="L81" i="21"/>
  <c r="N81" i="21" s="1"/>
  <c r="B81" i="21"/>
  <c r="X80" i="21"/>
  <c r="Z80" i="21" s="1"/>
  <c r="L80" i="21"/>
  <c r="N80" i="21" s="1"/>
  <c r="B80" i="21"/>
  <c r="Z79" i="21"/>
  <c r="X79" i="21"/>
  <c r="L79" i="21"/>
  <c r="N79" i="21" s="1"/>
  <c r="B79" i="21"/>
  <c r="Z78" i="21"/>
  <c r="X78" i="21"/>
  <c r="L78" i="21"/>
  <c r="N78" i="21" s="1"/>
  <c r="B78" i="21"/>
  <c r="T77" i="21"/>
  <c r="P77" i="21"/>
  <c r="H77" i="21"/>
  <c r="D77" i="21"/>
  <c r="L77" i="21" s="1"/>
  <c r="N77" i="21" s="1"/>
  <c r="B77" i="21"/>
  <c r="X76" i="21"/>
  <c r="Z76" i="21" s="1"/>
  <c r="N76" i="21"/>
  <c r="L76" i="21"/>
  <c r="B76" i="21"/>
  <c r="T75" i="21"/>
  <c r="P75" i="21"/>
  <c r="X75" i="21" s="1"/>
  <c r="H75" i="21"/>
  <c r="L75" i="21" s="1"/>
  <c r="D75" i="21"/>
  <c r="B75" i="21"/>
  <c r="Z74" i="21"/>
  <c r="X74" i="21"/>
  <c r="N74" i="21"/>
  <c r="L74" i="21"/>
  <c r="B74" i="21"/>
  <c r="Z73" i="21"/>
  <c r="X73" i="21"/>
  <c r="N73" i="21"/>
  <c r="L73" i="21"/>
  <c r="B73" i="21"/>
  <c r="X72" i="21"/>
  <c r="Z72" i="21" s="1"/>
  <c r="N72" i="21"/>
  <c r="L72" i="21"/>
  <c r="B72" i="21"/>
  <c r="X71" i="21"/>
  <c r="Z71" i="21" s="1"/>
  <c r="T71" i="21"/>
  <c r="P71" i="21"/>
  <c r="H71" i="21"/>
  <c r="N71" i="21" s="1"/>
  <c r="D71" i="21"/>
  <c r="L71" i="21" s="1"/>
  <c r="B71" i="21"/>
  <c r="Z70" i="21"/>
  <c r="X70" i="21"/>
  <c r="L70" i="21"/>
  <c r="N70" i="21" s="1"/>
  <c r="B70" i="21"/>
  <c r="T69" i="21"/>
  <c r="P69" i="21"/>
  <c r="H69" i="21"/>
  <c r="D69" i="21"/>
  <c r="L69" i="21" s="1"/>
  <c r="N69" i="21" s="1"/>
  <c r="B69" i="21"/>
  <c r="X68" i="21"/>
  <c r="Z68" i="21" s="1"/>
  <c r="L68" i="21"/>
  <c r="N68" i="21" s="1"/>
  <c r="B68" i="21"/>
  <c r="T67" i="21"/>
  <c r="Z67" i="21" s="1"/>
  <c r="P67" i="21"/>
  <c r="X67" i="21" s="1"/>
  <c r="H67" i="21"/>
  <c r="L67" i="21" s="1"/>
  <c r="D67" i="21"/>
  <c r="B67" i="21"/>
  <c r="Z66" i="21"/>
  <c r="X66" i="21"/>
  <c r="N66" i="21"/>
  <c r="L66" i="21"/>
  <c r="B66" i="21"/>
  <c r="T65" i="21"/>
  <c r="Z65" i="21" s="1"/>
  <c r="P65" i="21"/>
  <c r="X65" i="21" s="1"/>
  <c r="L65" i="21"/>
  <c r="N65" i="21" s="1"/>
  <c r="H65" i="21"/>
  <c r="D65" i="21"/>
  <c r="B65" i="21"/>
  <c r="X64" i="21"/>
  <c r="Z64" i="21" s="1"/>
  <c r="L64" i="21"/>
  <c r="N64" i="21" s="1"/>
  <c r="B64" i="21"/>
  <c r="T63" i="21"/>
  <c r="P63" i="21"/>
  <c r="X63" i="21" s="1"/>
  <c r="Z63" i="21" s="1"/>
  <c r="H63" i="21"/>
  <c r="D63" i="21"/>
  <c r="B63" i="21"/>
  <c r="X62" i="21"/>
  <c r="Z62" i="21" s="1"/>
  <c r="N62" i="21"/>
  <c r="L62" i="21"/>
  <c r="B62" i="21"/>
  <c r="T61" i="21"/>
  <c r="X61" i="21" s="1"/>
  <c r="P61" i="21"/>
  <c r="H61" i="21"/>
  <c r="D61" i="21"/>
  <c r="L61" i="21" s="1"/>
  <c r="B61" i="21"/>
  <c r="X60" i="21"/>
  <c r="Z60" i="21" s="1"/>
  <c r="L60" i="21"/>
  <c r="N60" i="21" s="1"/>
  <c r="B60" i="21"/>
  <c r="X59" i="21"/>
  <c r="Z59" i="21" s="1"/>
  <c r="T59" i="21"/>
  <c r="P59" i="21"/>
  <c r="H59" i="21"/>
  <c r="N59" i="21" s="1"/>
  <c r="D59" i="21"/>
  <c r="L59" i="21" s="1"/>
  <c r="B59" i="21"/>
  <c r="Z58" i="21"/>
  <c r="X58" i="21"/>
  <c r="N58" i="21"/>
  <c r="L58" i="21"/>
  <c r="B58" i="21"/>
  <c r="T57" i="21"/>
  <c r="P57" i="21"/>
  <c r="N57" i="21"/>
  <c r="H57" i="21"/>
  <c r="D57" i="21"/>
  <c r="L57" i="21" s="1"/>
  <c r="B57" i="21"/>
  <c r="X56" i="21"/>
  <c r="Z56" i="21" s="1"/>
  <c r="L56" i="21"/>
  <c r="N56" i="21" s="1"/>
  <c r="B56" i="21"/>
  <c r="T55" i="21"/>
  <c r="Z55" i="21" s="1"/>
  <c r="P55" i="21"/>
  <c r="X55" i="21" s="1"/>
  <c r="H55" i="21"/>
  <c r="L55" i="21" s="1"/>
  <c r="D55" i="21"/>
  <c r="B55" i="21"/>
  <c r="Z54" i="21"/>
  <c r="X54" i="21"/>
  <c r="N54" i="21"/>
  <c r="L54" i="21"/>
  <c r="B54" i="21"/>
  <c r="Z53" i="21"/>
  <c r="X53" i="21"/>
  <c r="N53" i="21"/>
  <c r="L53" i="21"/>
  <c r="B53" i="21"/>
  <c r="X52" i="21"/>
  <c r="T52" i="21"/>
  <c r="Z52" i="21" s="1"/>
  <c r="P52" i="21"/>
  <c r="H52" i="21"/>
  <c r="L52" i="21" s="1"/>
  <c r="N52" i="21" s="1"/>
  <c r="D52" i="21"/>
  <c r="B52" i="21"/>
  <c r="Z51" i="21"/>
  <c r="X51" i="21"/>
  <c r="L51" i="21"/>
  <c r="N51" i="21" s="1"/>
  <c r="B51" i="21"/>
  <c r="T50" i="21"/>
  <c r="P50" i="21"/>
  <c r="X50" i="21" s="1"/>
  <c r="Z50" i="21" s="1"/>
  <c r="H50" i="21"/>
  <c r="N50" i="21" s="1"/>
  <c r="D50" i="21"/>
  <c r="L50" i="21" s="1"/>
  <c r="B50" i="21"/>
  <c r="X49" i="21"/>
  <c r="Z49" i="21" s="1"/>
  <c r="N49" i="21"/>
  <c r="L49" i="21"/>
  <c r="B49" i="21"/>
  <c r="X48" i="21"/>
  <c r="Z48" i="21" s="1"/>
  <c r="T48" i="21"/>
  <c r="P48" i="21"/>
  <c r="L48" i="21"/>
  <c r="N48" i="21" s="1"/>
  <c r="H48" i="21"/>
  <c r="D48" i="21"/>
  <c r="B48" i="21"/>
  <c r="X47" i="21"/>
  <c r="Z47" i="21" s="1"/>
  <c r="N47" i="21"/>
  <c r="L47" i="21"/>
  <c r="B47" i="21"/>
  <c r="T46" i="21"/>
  <c r="X46" i="21" s="1"/>
  <c r="Z46" i="21" s="1"/>
  <c r="P46" i="21"/>
  <c r="L46" i="21"/>
  <c r="H46" i="21"/>
  <c r="N46" i="21" s="1"/>
  <c r="D46" i="21"/>
  <c r="B46" i="21"/>
  <c r="Z45" i="21"/>
  <c r="X45" i="21"/>
  <c r="L45" i="21"/>
  <c r="N45" i="21" s="1"/>
  <c r="B45" i="21"/>
  <c r="X44" i="21"/>
  <c r="Z44" i="21" s="1"/>
  <c r="L44" i="21"/>
  <c r="N44" i="21" s="1"/>
  <c r="B44" i="21"/>
  <c r="Z43" i="21"/>
  <c r="X43" i="21"/>
  <c r="L43" i="21"/>
  <c r="N43" i="21" s="1"/>
  <c r="B43" i="21"/>
  <c r="Z42" i="21"/>
  <c r="X42" i="21"/>
  <c r="L42" i="21"/>
  <c r="N42" i="21" s="1"/>
  <c r="B42" i="21"/>
  <c r="Z41" i="21"/>
  <c r="X41" i="21"/>
  <c r="N41" i="21"/>
  <c r="L41" i="21"/>
  <c r="B41" i="21"/>
  <c r="X40" i="21"/>
  <c r="Z40" i="21" s="1"/>
  <c r="L40" i="21"/>
  <c r="N40" i="21" s="1"/>
  <c r="J40" i="21"/>
  <c r="B40" i="21"/>
  <c r="T39" i="21"/>
  <c r="P39" i="21"/>
  <c r="X39" i="21" s="1"/>
  <c r="Z39" i="21" s="1"/>
  <c r="H39" i="21"/>
  <c r="D39" i="21"/>
  <c r="B39" i="21"/>
  <c r="X38" i="21"/>
  <c r="Z38" i="21" s="1"/>
  <c r="N38" i="21"/>
  <c r="L38" i="21"/>
  <c r="B38" i="21"/>
  <c r="X37" i="21"/>
  <c r="Z37" i="21" s="1"/>
  <c r="N37" i="21"/>
  <c r="L37" i="21"/>
  <c r="B37" i="21"/>
  <c r="X36" i="21"/>
  <c r="Z36" i="21" s="1"/>
  <c r="L36" i="21"/>
  <c r="N36" i="21" s="1"/>
  <c r="B36" i="21"/>
  <c r="X35" i="21"/>
  <c r="Z35" i="21" s="1"/>
  <c r="L35" i="21"/>
  <c r="N35" i="21" s="1"/>
  <c r="B35" i="21"/>
  <c r="X34" i="21"/>
  <c r="Z34" i="21" s="1"/>
  <c r="N34" i="21"/>
  <c r="L34" i="21"/>
  <c r="B34" i="21"/>
  <c r="X33" i="21"/>
  <c r="Z33" i="21" s="1"/>
  <c r="N33" i="21"/>
  <c r="L33" i="21"/>
  <c r="B33" i="21"/>
  <c r="X32" i="21"/>
  <c r="Z32" i="21" s="1"/>
  <c r="L32" i="21"/>
  <c r="N32" i="21" s="1"/>
  <c r="B32" i="21"/>
  <c r="X31" i="21"/>
  <c r="Z31" i="21" s="1"/>
  <c r="L31" i="21"/>
  <c r="N31" i="21" s="1"/>
  <c r="B31" i="21"/>
  <c r="X30" i="21"/>
  <c r="Z30" i="21" s="1"/>
  <c r="T30" i="21"/>
  <c r="P30" i="21"/>
  <c r="J30" i="21"/>
  <c r="H30" i="21"/>
  <c r="D30" i="21"/>
  <c r="L30" i="21" s="1"/>
  <c r="N30" i="21" s="1"/>
  <c r="B30" i="21"/>
  <c r="T29" i="21"/>
  <c r="P29" i="21"/>
  <c r="X29" i="21" s="1"/>
  <c r="L29" i="21"/>
  <c r="N29" i="21" s="1"/>
  <c r="H29" i="21"/>
  <c r="D29" i="21"/>
  <c r="Z25" i="21"/>
  <c r="X25" i="21"/>
  <c r="L25" i="21"/>
  <c r="N25" i="21" s="1"/>
  <c r="B25" i="21"/>
  <c r="X24" i="21"/>
  <c r="Z24" i="21" s="1"/>
  <c r="L24" i="21"/>
  <c r="N24" i="21" s="1"/>
  <c r="B24" i="21"/>
  <c r="X23" i="21"/>
  <c r="Z23" i="21" s="1"/>
  <c r="T23" i="21"/>
  <c r="P23" i="21"/>
  <c r="H23" i="21"/>
  <c r="N23" i="21" s="1"/>
  <c r="D23" i="21"/>
  <c r="L23" i="21" s="1"/>
  <c r="X21" i="21"/>
  <c r="Z21" i="21" s="1"/>
  <c r="T21" i="21"/>
  <c r="P21" i="21"/>
  <c r="L21" i="21"/>
  <c r="N21" i="21" s="1"/>
  <c r="H21" i="21"/>
  <c r="D21" i="21"/>
  <c r="B21" i="21"/>
  <c r="T20" i="21"/>
  <c r="P20" i="21"/>
  <c r="X20" i="21" s="1"/>
  <c r="Z20" i="21" s="1"/>
  <c r="H20" i="21"/>
  <c r="D20" i="21"/>
  <c r="L20" i="21" s="1"/>
  <c r="N20" i="21" s="1"/>
  <c r="B20" i="21"/>
  <c r="T19" i="21"/>
  <c r="P19" i="21"/>
  <c r="X19" i="21" s="1"/>
  <c r="Z19" i="21" s="1"/>
  <c r="H19" i="21"/>
  <c r="D19" i="21"/>
  <c r="L19" i="21" s="1"/>
  <c r="B19" i="21"/>
  <c r="T18" i="21"/>
  <c r="P18" i="21"/>
  <c r="H18" i="21"/>
  <c r="N18" i="21" s="1"/>
  <c r="D18" i="21"/>
  <c r="L18" i="21" s="1"/>
  <c r="B18" i="21"/>
  <c r="X17" i="21"/>
  <c r="Z17" i="21" s="1"/>
  <c r="T17" i="21"/>
  <c r="P17" i="21"/>
  <c r="N17" i="21"/>
  <c r="L17" i="21"/>
  <c r="H17" i="21"/>
  <c r="D17" i="21"/>
  <c r="B17" i="21"/>
  <c r="T16" i="21"/>
  <c r="P16" i="21"/>
  <c r="X16" i="21" s="1"/>
  <c r="Z16" i="21" s="1"/>
  <c r="H16" i="21"/>
  <c r="D16" i="21"/>
  <c r="L16" i="21" s="1"/>
  <c r="N16" i="21" s="1"/>
  <c r="B16" i="21"/>
  <c r="T15" i="21"/>
  <c r="P15" i="21"/>
  <c r="X15" i="21" s="1"/>
  <c r="Z15" i="21" s="1"/>
  <c r="H15" i="21"/>
  <c r="D15" i="21"/>
  <c r="B15" i="21"/>
  <c r="T14" i="21"/>
  <c r="P14" i="21"/>
  <c r="H14" i="21"/>
  <c r="D14" i="21"/>
  <c r="L14" i="21" s="1"/>
  <c r="B14" i="21"/>
  <c r="X13" i="21"/>
  <c r="Z13" i="21" s="1"/>
  <c r="T13" i="21"/>
  <c r="P13" i="21"/>
  <c r="L13" i="21"/>
  <c r="N13" i="21" s="1"/>
  <c r="H13" i="21"/>
  <c r="H12" i="21" s="1"/>
  <c r="D13" i="21"/>
  <c r="B13" i="21"/>
  <c r="D4" i="21"/>
  <c r="X293" i="18"/>
  <c r="Z293" i="18" s="1"/>
  <c r="L293" i="18"/>
  <c r="N293" i="18" s="1"/>
  <c r="T289" i="18"/>
  <c r="P289" i="18"/>
  <c r="X289" i="18" s="1"/>
  <c r="Z289" i="18" s="1"/>
  <c r="H289" i="18"/>
  <c r="D289" i="18"/>
  <c r="B289" i="18"/>
  <c r="Z288" i="18"/>
  <c r="X288" i="18"/>
  <c r="T288" i="18"/>
  <c r="P288" i="18"/>
  <c r="N288" i="18"/>
  <c r="H288" i="18"/>
  <c r="D288" i="18"/>
  <c r="L288" i="18" s="1"/>
  <c r="B288" i="18"/>
  <c r="T287" i="18"/>
  <c r="P287" i="18"/>
  <c r="X287" i="18" s="1"/>
  <c r="N287" i="18"/>
  <c r="L287" i="18"/>
  <c r="H287" i="18"/>
  <c r="D287" i="18"/>
  <c r="B287" i="18"/>
  <c r="T286" i="18"/>
  <c r="Z286" i="18" s="1"/>
  <c r="P286" i="18"/>
  <c r="X286" i="18" s="1"/>
  <c r="N286" i="18"/>
  <c r="H286" i="18"/>
  <c r="D286" i="18"/>
  <c r="L286" i="18" s="1"/>
  <c r="B286" i="18"/>
  <c r="T285" i="18"/>
  <c r="P285" i="18"/>
  <c r="H285" i="18"/>
  <c r="L285" i="18" s="1"/>
  <c r="D285" i="18"/>
  <c r="B285" i="18"/>
  <c r="T284" i="18"/>
  <c r="X284" i="18" s="1"/>
  <c r="Z284" i="18" s="1"/>
  <c r="P284" i="18"/>
  <c r="L284" i="18"/>
  <c r="H284" i="18"/>
  <c r="N284" i="18" s="1"/>
  <c r="D284" i="18"/>
  <c r="B284" i="18"/>
  <c r="T283" i="18"/>
  <c r="P283" i="18"/>
  <c r="N283" i="18"/>
  <c r="H283" i="18"/>
  <c r="D283" i="18"/>
  <c r="L283" i="18" s="1"/>
  <c r="B283" i="18"/>
  <c r="T282" i="18"/>
  <c r="P282" i="18"/>
  <c r="X282" i="18" s="1"/>
  <c r="Z282" i="18" s="1"/>
  <c r="N282" i="18"/>
  <c r="L282" i="18"/>
  <c r="H282" i="18"/>
  <c r="D282" i="18"/>
  <c r="B282" i="18"/>
  <c r="X281" i="18"/>
  <c r="Z281" i="18" s="1"/>
  <c r="T281" i="18"/>
  <c r="P281" i="18"/>
  <c r="H281" i="18"/>
  <c r="N281" i="18" s="1"/>
  <c r="D281" i="18"/>
  <c r="L281" i="18" s="1"/>
  <c r="B281" i="18"/>
  <c r="T280" i="18"/>
  <c r="P280" i="18"/>
  <c r="X280" i="18" s="1"/>
  <c r="Z280" i="18" s="1"/>
  <c r="H280" i="18"/>
  <c r="N280" i="18" s="1"/>
  <c r="D280" i="18"/>
  <c r="L280" i="18" s="1"/>
  <c r="B280" i="18"/>
  <c r="T279" i="18"/>
  <c r="X279" i="18" s="1"/>
  <c r="P279" i="18"/>
  <c r="H279" i="18"/>
  <c r="D279" i="18"/>
  <c r="B279" i="18"/>
  <c r="X278" i="18"/>
  <c r="T278" i="18"/>
  <c r="Z278" i="18" s="1"/>
  <c r="P278" i="18"/>
  <c r="H278" i="18"/>
  <c r="L278" i="18" s="1"/>
  <c r="N278" i="18" s="1"/>
  <c r="D278" i="18"/>
  <c r="B278" i="18"/>
  <c r="H277" i="18"/>
  <c r="X275" i="18"/>
  <c r="Z275" i="18" s="1"/>
  <c r="L275" i="18"/>
  <c r="N275" i="18" s="1"/>
  <c r="B275" i="18"/>
  <c r="Z274" i="18"/>
  <c r="T274" i="18"/>
  <c r="P274" i="18"/>
  <c r="X274" i="18" s="1"/>
  <c r="H274" i="18"/>
  <c r="D274" i="18"/>
  <c r="L274" i="18" s="1"/>
  <c r="B274" i="18"/>
  <c r="X273" i="18"/>
  <c r="Z273" i="18" s="1"/>
  <c r="N273" i="18"/>
  <c r="L273" i="18"/>
  <c r="B273" i="18"/>
  <c r="X272" i="18"/>
  <c r="Z272" i="18" s="1"/>
  <c r="L272" i="18"/>
  <c r="N272" i="18" s="1"/>
  <c r="B272" i="18"/>
  <c r="X271" i="18"/>
  <c r="Z271" i="18" s="1"/>
  <c r="L271" i="18"/>
  <c r="N271" i="18" s="1"/>
  <c r="B271" i="18"/>
  <c r="Z270" i="18"/>
  <c r="X270" i="18"/>
  <c r="T270" i="18"/>
  <c r="P270" i="18"/>
  <c r="H270" i="18"/>
  <c r="D270" i="18"/>
  <c r="L270" i="18" s="1"/>
  <c r="N270" i="18" s="1"/>
  <c r="B270" i="18"/>
  <c r="Z269" i="18"/>
  <c r="X269" i="18"/>
  <c r="L269" i="18"/>
  <c r="N269" i="18" s="1"/>
  <c r="B269" i="18"/>
  <c r="X268" i="18"/>
  <c r="T268" i="18"/>
  <c r="Z268" i="18" s="1"/>
  <c r="P268" i="18"/>
  <c r="H268" i="18"/>
  <c r="L268" i="18" s="1"/>
  <c r="N268" i="18" s="1"/>
  <c r="D268" i="18"/>
  <c r="B268" i="18"/>
  <c r="X267" i="18"/>
  <c r="Z267" i="18" s="1"/>
  <c r="L267" i="18"/>
  <c r="N267" i="18" s="1"/>
  <c r="B267" i="18"/>
  <c r="Z266" i="18"/>
  <c r="X266" i="18"/>
  <c r="N266" i="18"/>
  <c r="L266" i="18"/>
  <c r="B266" i="18"/>
  <c r="T265" i="18"/>
  <c r="P265" i="18"/>
  <c r="H265" i="18"/>
  <c r="D265" i="18"/>
  <c r="L265" i="18" s="1"/>
  <c r="N265" i="18" s="1"/>
  <c r="B265" i="18"/>
  <c r="X264" i="18"/>
  <c r="Z264" i="18" s="1"/>
  <c r="L264" i="18"/>
  <c r="N264" i="18" s="1"/>
  <c r="B264" i="18"/>
  <c r="X263" i="18"/>
  <c r="Z263" i="18" s="1"/>
  <c r="L263" i="18"/>
  <c r="N263" i="18" s="1"/>
  <c r="B263" i="18"/>
  <c r="Z262" i="18"/>
  <c r="X262" i="18"/>
  <c r="N262" i="18"/>
  <c r="L262" i="18"/>
  <c r="B262" i="18"/>
  <c r="X261" i="18"/>
  <c r="Z261" i="18" s="1"/>
  <c r="N261" i="18"/>
  <c r="L261" i="18"/>
  <c r="B261" i="18"/>
  <c r="X260" i="18"/>
  <c r="Z260" i="18" s="1"/>
  <c r="L260" i="18"/>
  <c r="N260" i="18" s="1"/>
  <c r="B260" i="18"/>
  <c r="Z259" i="18"/>
  <c r="X259" i="18"/>
  <c r="N259" i="18"/>
  <c r="L259" i="18"/>
  <c r="B259" i="18"/>
  <c r="Z258" i="18"/>
  <c r="X258" i="18"/>
  <c r="N258" i="18"/>
  <c r="L258" i="18"/>
  <c r="B258" i="18"/>
  <c r="T257" i="18"/>
  <c r="X257" i="18" s="1"/>
  <c r="P257" i="18"/>
  <c r="H257" i="18"/>
  <c r="D257" i="18"/>
  <c r="L257" i="18" s="1"/>
  <c r="B257" i="18"/>
  <c r="X256" i="18"/>
  <c r="Z256" i="18" s="1"/>
  <c r="N256" i="18"/>
  <c r="L256" i="18"/>
  <c r="B256" i="18"/>
  <c r="X255" i="18"/>
  <c r="Z255" i="18" s="1"/>
  <c r="L255" i="18"/>
  <c r="N255" i="18" s="1"/>
  <c r="B255" i="18"/>
  <c r="T254" i="18"/>
  <c r="X254" i="18" s="1"/>
  <c r="Z254" i="18" s="1"/>
  <c r="P254" i="18"/>
  <c r="L254" i="18"/>
  <c r="H254" i="18"/>
  <c r="N254" i="18" s="1"/>
  <c r="D254" i="18"/>
  <c r="B254" i="18"/>
  <c r="X253" i="18"/>
  <c r="Z253" i="18" s="1"/>
  <c r="L253" i="18"/>
  <c r="N253" i="18" s="1"/>
  <c r="B253" i="18"/>
  <c r="X252" i="18"/>
  <c r="Z252" i="18" s="1"/>
  <c r="L252" i="18"/>
  <c r="N252" i="18" s="1"/>
  <c r="B252" i="18"/>
  <c r="X251" i="18"/>
  <c r="Z251" i="18" s="1"/>
  <c r="N251" i="18"/>
  <c r="L251" i="18"/>
  <c r="B251" i="18"/>
  <c r="Z250" i="18"/>
  <c r="X250" i="18"/>
  <c r="N250" i="18"/>
  <c r="L250" i="18"/>
  <c r="B250" i="18"/>
  <c r="T249" i="18"/>
  <c r="P249" i="18"/>
  <c r="H249" i="18"/>
  <c r="D249" i="18"/>
  <c r="L249" i="18" s="1"/>
  <c r="N249" i="18" s="1"/>
  <c r="B249" i="18"/>
  <c r="X248" i="18"/>
  <c r="Z248" i="18" s="1"/>
  <c r="L248" i="18"/>
  <c r="N248" i="18" s="1"/>
  <c r="B248" i="18"/>
  <c r="X247" i="18"/>
  <c r="Z247" i="18" s="1"/>
  <c r="L247" i="18"/>
  <c r="N247" i="18" s="1"/>
  <c r="B247" i="18"/>
  <c r="Z246" i="18"/>
  <c r="X246" i="18"/>
  <c r="N246" i="18"/>
  <c r="L246" i="18"/>
  <c r="B246" i="18"/>
  <c r="T245" i="18"/>
  <c r="X245" i="18" s="1"/>
  <c r="P245" i="18"/>
  <c r="H245" i="18"/>
  <c r="D245" i="18"/>
  <c r="L245" i="18" s="1"/>
  <c r="B245" i="18"/>
  <c r="X244" i="18"/>
  <c r="Z244" i="18" s="1"/>
  <c r="L244" i="18"/>
  <c r="N244" i="18" s="1"/>
  <c r="B244" i="18"/>
  <c r="X243" i="18"/>
  <c r="Z243" i="18" s="1"/>
  <c r="L243" i="18"/>
  <c r="N243" i="18" s="1"/>
  <c r="B243" i="18"/>
  <c r="Z242" i="18"/>
  <c r="X242" i="18"/>
  <c r="N242" i="18"/>
  <c r="L242" i="18"/>
  <c r="B242" i="18"/>
  <c r="Z241" i="18"/>
  <c r="X241" i="18"/>
  <c r="L241" i="18"/>
  <c r="N241" i="18" s="1"/>
  <c r="B241" i="18"/>
  <c r="X240" i="18"/>
  <c r="T240" i="18"/>
  <c r="Z240" i="18" s="1"/>
  <c r="P240" i="18"/>
  <c r="H240" i="18"/>
  <c r="L240" i="18" s="1"/>
  <c r="N240" i="18" s="1"/>
  <c r="D240" i="18"/>
  <c r="B240" i="18"/>
  <c r="X239" i="18"/>
  <c r="Z239" i="18" s="1"/>
  <c r="L239" i="18"/>
  <c r="N239" i="18" s="1"/>
  <c r="B239" i="18"/>
  <c r="Z238" i="18"/>
  <c r="T238" i="18"/>
  <c r="P238" i="18"/>
  <c r="X238" i="18" s="1"/>
  <c r="H238" i="18"/>
  <c r="D238" i="18"/>
  <c r="L238" i="18" s="1"/>
  <c r="B238" i="18"/>
  <c r="X237" i="18"/>
  <c r="Z237" i="18" s="1"/>
  <c r="N237" i="18"/>
  <c r="L237" i="18"/>
  <c r="B237" i="18"/>
  <c r="T236" i="18"/>
  <c r="P236" i="18"/>
  <c r="X236" i="18" s="1"/>
  <c r="Z236" i="18" s="1"/>
  <c r="N236" i="18"/>
  <c r="L236" i="18"/>
  <c r="H236" i="18"/>
  <c r="D236" i="18"/>
  <c r="B236" i="18"/>
  <c r="X235" i="18"/>
  <c r="Z235" i="18" s="1"/>
  <c r="L235" i="18"/>
  <c r="N235" i="18" s="1"/>
  <c r="B235" i="18"/>
  <c r="T234" i="18"/>
  <c r="X234" i="18" s="1"/>
  <c r="Z234" i="18" s="1"/>
  <c r="P234" i="18"/>
  <c r="L234" i="18"/>
  <c r="H234" i="18"/>
  <c r="N234" i="18" s="1"/>
  <c r="D234" i="18"/>
  <c r="B234" i="18"/>
  <c r="X233" i="18"/>
  <c r="Z233" i="18" s="1"/>
  <c r="L233" i="18"/>
  <c r="N233" i="18" s="1"/>
  <c r="B233" i="18"/>
  <c r="T232" i="18"/>
  <c r="P232" i="18"/>
  <c r="X232" i="18" s="1"/>
  <c r="N232" i="18"/>
  <c r="H232" i="18"/>
  <c r="D232" i="18"/>
  <c r="L232" i="18" s="1"/>
  <c r="B232" i="18"/>
  <c r="X231" i="18"/>
  <c r="Z231" i="18" s="1"/>
  <c r="N231" i="18"/>
  <c r="L231" i="18"/>
  <c r="B231" i="18"/>
  <c r="Z230" i="18"/>
  <c r="X230" i="18"/>
  <c r="T230" i="18"/>
  <c r="P230" i="18"/>
  <c r="N230" i="18"/>
  <c r="H230" i="18"/>
  <c r="D230" i="18"/>
  <c r="L230" i="18" s="1"/>
  <c r="B230" i="18"/>
  <c r="Z229" i="18"/>
  <c r="X229" i="18"/>
  <c r="L229" i="18"/>
  <c r="N229" i="18" s="1"/>
  <c r="B229" i="18"/>
  <c r="X228" i="18"/>
  <c r="Z228" i="18" s="1"/>
  <c r="L228" i="18"/>
  <c r="N228" i="18" s="1"/>
  <c r="B228" i="18"/>
  <c r="X227" i="18"/>
  <c r="Z227" i="18" s="1"/>
  <c r="T227" i="18"/>
  <c r="P227" i="18"/>
  <c r="H227" i="18"/>
  <c r="D227" i="18"/>
  <c r="L227" i="18" s="1"/>
  <c r="B227" i="18"/>
  <c r="Z226" i="18"/>
  <c r="X226" i="18"/>
  <c r="N226" i="18"/>
  <c r="L226" i="18"/>
  <c r="B226" i="18"/>
  <c r="T225" i="18"/>
  <c r="P225" i="18"/>
  <c r="H225" i="18"/>
  <c r="D225" i="18"/>
  <c r="L225" i="18" s="1"/>
  <c r="N225" i="18" s="1"/>
  <c r="B225" i="18"/>
  <c r="X224" i="18"/>
  <c r="Z224" i="18" s="1"/>
  <c r="L224" i="18"/>
  <c r="N224" i="18" s="1"/>
  <c r="B224" i="18"/>
  <c r="X223" i="18"/>
  <c r="T223" i="18"/>
  <c r="Z223" i="18" s="1"/>
  <c r="P223" i="18"/>
  <c r="H223" i="18"/>
  <c r="D223" i="18"/>
  <c r="L223" i="18" s="1"/>
  <c r="B223" i="18"/>
  <c r="Z222" i="18"/>
  <c r="X222" i="18"/>
  <c r="N222" i="18"/>
  <c r="L222" i="18"/>
  <c r="B222" i="18"/>
  <c r="T221" i="18"/>
  <c r="P221" i="18"/>
  <c r="L221" i="18"/>
  <c r="N221" i="18" s="1"/>
  <c r="H221" i="18"/>
  <c r="D221" i="18"/>
  <c r="B221" i="18"/>
  <c r="X220" i="18"/>
  <c r="Z220" i="18" s="1"/>
  <c r="L220" i="18"/>
  <c r="N220" i="18" s="1"/>
  <c r="B220" i="18"/>
  <c r="X219" i="18"/>
  <c r="Z219" i="18" s="1"/>
  <c r="L219" i="18"/>
  <c r="N219" i="18" s="1"/>
  <c r="B219" i="18"/>
  <c r="Z218" i="18"/>
  <c r="T218" i="18"/>
  <c r="P218" i="18"/>
  <c r="X218" i="18" s="1"/>
  <c r="H218" i="18"/>
  <c r="N218" i="18" s="1"/>
  <c r="D218" i="18"/>
  <c r="L218" i="18" s="1"/>
  <c r="B218" i="18"/>
  <c r="X217" i="18"/>
  <c r="Z217" i="18" s="1"/>
  <c r="N217" i="18"/>
  <c r="L217" i="18"/>
  <c r="B217" i="18"/>
  <c r="X216" i="18"/>
  <c r="Z216" i="18" s="1"/>
  <c r="L216" i="18"/>
  <c r="N216" i="18" s="1"/>
  <c r="B216" i="18"/>
  <c r="X215" i="18"/>
  <c r="T215" i="18"/>
  <c r="P215" i="18"/>
  <c r="H215" i="18"/>
  <c r="D215" i="18"/>
  <c r="L215" i="18" s="1"/>
  <c r="B215" i="18"/>
  <c r="Z214" i="18"/>
  <c r="X214" i="18"/>
  <c r="N214" i="18"/>
  <c r="L214" i="18"/>
  <c r="B214" i="18"/>
  <c r="T213" i="18"/>
  <c r="P213" i="18"/>
  <c r="X213" i="18" s="1"/>
  <c r="L213" i="18"/>
  <c r="N213" i="18" s="1"/>
  <c r="H213" i="18"/>
  <c r="D213" i="18"/>
  <c r="B213" i="18"/>
  <c r="X212" i="18"/>
  <c r="Z212" i="18" s="1"/>
  <c r="N212" i="18"/>
  <c r="L212" i="18"/>
  <c r="B212" i="18"/>
  <c r="X211" i="18"/>
  <c r="Z211" i="18" s="1"/>
  <c r="L211" i="18"/>
  <c r="N211" i="18" s="1"/>
  <c r="B211" i="18"/>
  <c r="T210" i="18"/>
  <c r="P210" i="18"/>
  <c r="X210" i="18" s="1"/>
  <c r="Z210" i="18" s="1"/>
  <c r="H210" i="18"/>
  <c r="N210" i="18" s="1"/>
  <c r="D210" i="18"/>
  <c r="L210" i="18" s="1"/>
  <c r="B210" i="18"/>
  <c r="X209" i="18"/>
  <c r="Z209" i="18" s="1"/>
  <c r="N209" i="18"/>
  <c r="L209" i="18"/>
  <c r="B209" i="18"/>
  <c r="X208" i="18"/>
  <c r="Z208" i="18" s="1"/>
  <c r="T208" i="18"/>
  <c r="P208" i="18"/>
  <c r="N208" i="18"/>
  <c r="L208" i="18"/>
  <c r="H208" i="18"/>
  <c r="D208" i="18"/>
  <c r="B208" i="18"/>
  <c r="X207" i="18"/>
  <c r="Z207" i="18" s="1"/>
  <c r="L207" i="18"/>
  <c r="N207" i="18" s="1"/>
  <c r="B207" i="18"/>
  <c r="Z206" i="18"/>
  <c r="X206" i="18"/>
  <c r="N206" i="18"/>
  <c r="L206" i="18"/>
  <c r="B206" i="18"/>
  <c r="Z205" i="18"/>
  <c r="X205" i="18"/>
  <c r="L205" i="18"/>
  <c r="N205" i="18" s="1"/>
  <c r="B205" i="18"/>
  <c r="X204" i="18"/>
  <c r="Z204" i="18" s="1"/>
  <c r="L204" i="18"/>
  <c r="N204" i="18" s="1"/>
  <c r="B204" i="18"/>
  <c r="X203" i="18"/>
  <c r="Z203" i="18" s="1"/>
  <c r="L203" i="18"/>
  <c r="N203" i="18" s="1"/>
  <c r="B203" i="18"/>
  <c r="Z202" i="18"/>
  <c r="X202" i="18"/>
  <c r="N202" i="18"/>
  <c r="L202" i="18"/>
  <c r="B202" i="18"/>
  <c r="Z201" i="18"/>
  <c r="X201" i="18"/>
  <c r="L201" i="18"/>
  <c r="N201" i="18" s="1"/>
  <c r="B201" i="18"/>
  <c r="X200" i="18"/>
  <c r="T200" i="18"/>
  <c r="Z200" i="18" s="1"/>
  <c r="P200" i="18"/>
  <c r="H200" i="18"/>
  <c r="L200" i="18" s="1"/>
  <c r="N200" i="18" s="1"/>
  <c r="D200" i="18"/>
  <c r="B200" i="18"/>
  <c r="X199" i="18"/>
  <c r="Z199" i="18" s="1"/>
  <c r="L199" i="18"/>
  <c r="N199" i="18" s="1"/>
  <c r="B199" i="18"/>
  <c r="Z198" i="18"/>
  <c r="X198" i="18"/>
  <c r="N198" i="18"/>
  <c r="L198" i="18"/>
  <c r="B198" i="18"/>
  <c r="X197" i="18"/>
  <c r="Z197" i="18" s="1"/>
  <c r="L197" i="18"/>
  <c r="N197" i="18" s="1"/>
  <c r="B197" i="18"/>
  <c r="X196" i="18"/>
  <c r="Z196" i="18" s="1"/>
  <c r="L196" i="18"/>
  <c r="N196" i="18" s="1"/>
  <c r="B196" i="18"/>
  <c r="Z195" i="18"/>
  <c r="X195" i="18"/>
  <c r="N195" i="18"/>
  <c r="L195" i="18"/>
  <c r="B195" i="18"/>
  <c r="Z194" i="18"/>
  <c r="X194" i="18"/>
  <c r="N194" i="18"/>
  <c r="L194" i="18"/>
  <c r="B194" i="18"/>
  <c r="X193" i="18"/>
  <c r="Z193" i="18" s="1"/>
  <c r="R193" i="18"/>
  <c r="L193" i="18"/>
  <c r="N193" i="18" s="1"/>
  <c r="B193" i="18"/>
  <c r="X192" i="18"/>
  <c r="Z192" i="18" s="1"/>
  <c r="L192" i="18"/>
  <c r="N192" i="18" s="1"/>
  <c r="B192" i="18"/>
  <c r="X191" i="18"/>
  <c r="Z191" i="18" s="1"/>
  <c r="L191" i="18"/>
  <c r="N191" i="18" s="1"/>
  <c r="B191" i="18"/>
  <c r="Z190" i="18"/>
  <c r="X190" i="18"/>
  <c r="N190" i="18"/>
  <c r="L190" i="18"/>
  <c r="B190" i="18"/>
  <c r="T189" i="18"/>
  <c r="P189" i="18"/>
  <c r="H189" i="18"/>
  <c r="D189" i="18"/>
  <c r="L189" i="18" s="1"/>
  <c r="N189" i="18" s="1"/>
  <c r="B189" i="18"/>
  <c r="T188" i="18"/>
  <c r="Z188" i="18" s="1"/>
  <c r="P188" i="18"/>
  <c r="X188" i="18" s="1"/>
  <c r="H188" i="18"/>
  <c r="D188" i="18"/>
  <c r="L188" i="18" s="1"/>
  <c r="N188" i="18" s="1"/>
  <c r="X184" i="18"/>
  <c r="Z184" i="18" s="1"/>
  <c r="N184" i="18"/>
  <c r="L184" i="18"/>
  <c r="B184" i="18"/>
  <c r="X183" i="18"/>
  <c r="Z183" i="18" s="1"/>
  <c r="L183" i="18"/>
  <c r="N183" i="18" s="1"/>
  <c r="B183" i="18"/>
  <c r="Z182" i="18"/>
  <c r="X182" i="18"/>
  <c r="N182" i="18"/>
  <c r="L182" i="18"/>
  <c r="B182" i="18"/>
  <c r="Z181" i="18"/>
  <c r="X181" i="18"/>
  <c r="N181" i="18"/>
  <c r="L181" i="18"/>
  <c r="B181" i="18"/>
  <c r="X180" i="18"/>
  <c r="Z180" i="18" s="1"/>
  <c r="N180" i="18"/>
  <c r="L180" i="18"/>
  <c r="B180" i="18"/>
  <c r="X179" i="18"/>
  <c r="Z179" i="18" s="1"/>
  <c r="L179" i="18"/>
  <c r="N179" i="18" s="1"/>
  <c r="B179" i="18"/>
  <c r="Z178" i="18"/>
  <c r="X178" i="18"/>
  <c r="N178" i="18"/>
  <c r="L178" i="18"/>
  <c r="B178" i="18"/>
  <c r="Z177" i="18"/>
  <c r="X177" i="18"/>
  <c r="N177" i="18"/>
  <c r="L177" i="18"/>
  <c r="B177" i="18"/>
  <c r="X176" i="18"/>
  <c r="Z176" i="18" s="1"/>
  <c r="L176" i="18"/>
  <c r="N176" i="18" s="1"/>
  <c r="B176" i="18"/>
  <c r="X175" i="18"/>
  <c r="Z175" i="18" s="1"/>
  <c r="L175" i="18"/>
  <c r="N175" i="18" s="1"/>
  <c r="B175" i="18"/>
  <c r="Z174" i="18"/>
  <c r="X174" i="18"/>
  <c r="N174" i="18"/>
  <c r="L174" i="18"/>
  <c r="B174" i="18"/>
  <c r="Z173" i="18"/>
  <c r="X173" i="18"/>
  <c r="N173" i="18"/>
  <c r="L173" i="18"/>
  <c r="B173" i="18"/>
  <c r="X172" i="18"/>
  <c r="Z172" i="18" s="1"/>
  <c r="L172" i="18"/>
  <c r="N172" i="18" s="1"/>
  <c r="B172" i="18"/>
  <c r="X171" i="18"/>
  <c r="Z171" i="18" s="1"/>
  <c r="N171" i="18"/>
  <c r="L171" i="18"/>
  <c r="B171" i="18"/>
  <c r="Z170" i="18"/>
  <c r="X170" i="18"/>
  <c r="N170" i="18"/>
  <c r="L170" i="18"/>
  <c r="B170" i="18"/>
  <c r="Z169" i="18"/>
  <c r="X169" i="18"/>
  <c r="N169" i="18"/>
  <c r="L169" i="18"/>
  <c r="B169" i="18"/>
  <c r="X168" i="18"/>
  <c r="Z168" i="18" s="1"/>
  <c r="N168" i="18"/>
  <c r="L168" i="18"/>
  <c r="B168" i="18"/>
  <c r="X167" i="18"/>
  <c r="Z167" i="18" s="1"/>
  <c r="N167" i="18"/>
  <c r="L167" i="18"/>
  <c r="B167" i="18"/>
  <c r="Z166" i="18"/>
  <c r="X166" i="18"/>
  <c r="N166" i="18"/>
  <c r="L166" i="18"/>
  <c r="B166" i="18"/>
  <c r="Z165" i="18"/>
  <c r="X165" i="18"/>
  <c r="L165" i="18"/>
  <c r="N165" i="18" s="1"/>
  <c r="B165" i="18"/>
  <c r="X164" i="18"/>
  <c r="Z164" i="18" s="1"/>
  <c r="L164" i="18"/>
  <c r="N164" i="18" s="1"/>
  <c r="B164" i="18"/>
  <c r="X163" i="18"/>
  <c r="Z163" i="18" s="1"/>
  <c r="L163" i="18"/>
  <c r="N163" i="18" s="1"/>
  <c r="B163" i="18"/>
  <c r="Z162" i="18"/>
  <c r="X162" i="18"/>
  <c r="N162" i="18"/>
  <c r="L162" i="18"/>
  <c r="B162" i="18"/>
  <c r="Z161" i="18"/>
  <c r="X161" i="18"/>
  <c r="N161" i="18"/>
  <c r="L161" i="18"/>
  <c r="B161" i="18"/>
  <c r="X160" i="18"/>
  <c r="Z160" i="18" s="1"/>
  <c r="L160" i="18"/>
  <c r="N160" i="18" s="1"/>
  <c r="B160" i="18"/>
  <c r="X159" i="18"/>
  <c r="Z159" i="18" s="1"/>
  <c r="L159" i="18"/>
  <c r="N159" i="18" s="1"/>
  <c r="B159" i="18"/>
  <c r="Z158" i="18"/>
  <c r="X158" i="18"/>
  <c r="N158" i="18"/>
  <c r="L158" i="18"/>
  <c r="B158" i="18"/>
  <c r="Z157" i="18"/>
  <c r="X157" i="18"/>
  <c r="L157" i="18"/>
  <c r="N157" i="18" s="1"/>
  <c r="B157" i="18"/>
  <c r="X156" i="18"/>
  <c r="Z156" i="18" s="1"/>
  <c r="N156" i="18"/>
  <c r="L156" i="18"/>
  <c r="B156" i="18"/>
  <c r="X155" i="18"/>
  <c r="Z155" i="18" s="1"/>
  <c r="L155" i="18"/>
  <c r="N155" i="18" s="1"/>
  <c r="B155" i="18"/>
  <c r="Z154" i="18"/>
  <c r="X154" i="18"/>
  <c r="N154" i="18"/>
  <c r="L154" i="18"/>
  <c r="B154" i="18"/>
  <c r="Z153" i="18"/>
  <c r="X153" i="18"/>
  <c r="L153" i="18"/>
  <c r="N153" i="18" s="1"/>
  <c r="B153" i="18"/>
  <c r="X152" i="18"/>
  <c r="Z152" i="18" s="1"/>
  <c r="L152" i="18"/>
  <c r="N152" i="18" s="1"/>
  <c r="B152" i="18"/>
  <c r="X151" i="18"/>
  <c r="Z151" i="18" s="1"/>
  <c r="L151" i="18"/>
  <c r="N151" i="18" s="1"/>
  <c r="B151" i="18"/>
  <c r="Z150" i="18"/>
  <c r="X150" i="18"/>
  <c r="N150" i="18"/>
  <c r="L150" i="18"/>
  <c r="B150" i="18"/>
  <c r="Z149" i="18"/>
  <c r="X149" i="18"/>
  <c r="L149" i="18"/>
  <c r="N149" i="18" s="1"/>
  <c r="B149" i="18"/>
  <c r="X148" i="18"/>
  <c r="Z148" i="18" s="1"/>
  <c r="L148" i="18"/>
  <c r="N148" i="18" s="1"/>
  <c r="B148" i="18"/>
  <c r="X147" i="18"/>
  <c r="Z147" i="18" s="1"/>
  <c r="L147" i="18"/>
  <c r="N147" i="18" s="1"/>
  <c r="B147" i="18"/>
  <c r="Z146" i="18"/>
  <c r="X146" i="18"/>
  <c r="N146" i="18"/>
  <c r="L146" i="18"/>
  <c r="B146" i="18"/>
  <c r="Z145" i="18"/>
  <c r="X145" i="18"/>
  <c r="L145" i="18"/>
  <c r="N145" i="18" s="1"/>
  <c r="B145" i="18"/>
  <c r="X144" i="18"/>
  <c r="Z144" i="18" s="1"/>
  <c r="L144" i="18"/>
  <c r="N144" i="18" s="1"/>
  <c r="B144" i="18"/>
  <c r="X143" i="18"/>
  <c r="Z143" i="18" s="1"/>
  <c r="L143" i="18"/>
  <c r="N143" i="18" s="1"/>
  <c r="B143" i="18"/>
  <c r="Z142" i="18"/>
  <c r="X142" i="18"/>
  <c r="N142" i="18"/>
  <c r="L142" i="18"/>
  <c r="B142" i="18"/>
  <c r="Z141" i="18"/>
  <c r="X141" i="18"/>
  <c r="L141" i="18"/>
  <c r="N141" i="18" s="1"/>
  <c r="B141" i="18"/>
  <c r="X140" i="18"/>
  <c r="Z140" i="18" s="1"/>
  <c r="L140" i="18"/>
  <c r="N140" i="18" s="1"/>
  <c r="B140" i="18"/>
  <c r="X139" i="18"/>
  <c r="Z139" i="18" s="1"/>
  <c r="L139" i="18"/>
  <c r="N139" i="18" s="1"/>
  <c r="B139" i="18"/>
  <c r="Z138" i="18"/>
  <c r="X138" i="18"/>
  <c r="N138" i="18"/>
  <c r="L138" i="18"/>
  <c r="B138" i="18"/>
  <c r="Z137" i="18"/>
  <c r="X137" i="18"/>
  <c r="L137" i="18"/>
  <c r="N137" i="18" s="1"/>
  <c r="B137" i="18"/>
  <c r="X136" i="18"/>
  <c r="Z136" i="18" s="1"/>
  <c r="L136" i="18"/>
  <c r="N136" i="18" s="1"/>
  <c r="B136" i="18"/>
  <c r="Z135" i="18"/>
  <c r="X135" i="18"/>
  <c r="N135" i="18"/>
  <c r="L135" i="18"/>
  <c r="B135" i="18"/>
  <c r="Z134" i="18"/>
  <c r="X134" i="18"/>
  <c r="N134" i="18"/>
  <c r="L134" i="18"/>
  <c r="B134" i="18"/>
  <c r="Z133" i="18"/>
  <c r="X133" i="18"/>
  <c r="L133" i="18"/>
  <c r="N133" i="18" s="1"/>
  <c r="B133" i="18"/>
  <c r="X132" i="18"/>
  <c r="Z132" i="18" s="1"/>
  <c r="L132" i="18"/>
  <c r="N132" i="18" s="1"/>
  <c r="B132" i="18"/>
  <c r="X131" i="18"/>
  <c r="Z131" i="18" s="1"/>
  <c r="L131" i="18"/>
  <c r="N131" i="18" s="1"/>
  <c r="B131" i="18"/>
  <c r="Z130" i="18"/>
  <c r="X130" i="18"/>
  <c r="N130" i="18"/>
  <c r="L130" i="18"/>
  <c r="B130" i="18"/>
  <c r="Z129" i="18"/>
  <c r="X129" i="18"/>
  <c r="L129" i="18"/>
  <c r="N129" i="18" s="1"/>
  <c r="B129" i="18"/>
  <c r="X128" i="18"/>
  <c r="Z128" i="18" s="1"/>
  <c r="L128" i="18"/>
  <c r="N128" i="18" s="1"/>
  <c r="B128" i="18"/>
  <c r="X127" i="18"/>
  <c r="Z127" i="18" s="1"/>
  <c r="T127" i="18"/>
  <c r="P127" i="18"/>
  <c r="H127" i="18"/>
  <c r="D127" i="18"/>
  <c r="L127" i="18" s="1"/>
  <c r="X125" i="18"/>
  <c r="T125" i="18"/>
  <c r="Z125" i="18" s="1"/>
  <c r="P125" i="18"/>
  <c r="N125" i="18"/>
  <c r="L125" i="18"/>
  <c r="H125" i="18"/>
  <c r="D125" i="18"/>
  <c r="B125" i="18"/>
  <c r="T124" i="18"/>
  <c r="P124" i="18"/>
  <c r="X124" i="18" s="1"/>
  <c r="Z124" i="18" s="1"/>
  <c r="N124" i="18"/>
  <c r="L124" i="18"/>
  <c r="H124" i="18"/>
  <c r="D124" i="18"/>
  <c r="B124" i="18"/>
  <c r="T123" i="18"/>
  <c r="Z123" i="18" s="1"/>
  <c r="P123" i="18"/>
  <c r="X123" i="18" s="1"/>
  <c r="H123" i="18"/>
  <c r="N123" i="18" s="1"/>
  <c r="D123" i="18"/>
  <c r="L123" i="18" s="1"/>
  <c r="B123" i="18"/>
  <c r="T122" i="18"/>
  <c r="P122" i="18"/>
  <c r="L122" i="18"/>
  <c r="H122" i="18"/>
  <c r="N122" i="18" s="1"/>
  <c r="D122" i="18"/>
  <c r="B122" i="18"/>
  <c r="X121" i="18"/>
  <c r="T121" i="18"/>
  <c r="P121" i="18"/>
  <c r="N121" i="18"/>
  <c r="L121" i="18"/>
  <c r="H121" i="18"/>
  <c r="D121" i="18"/>
  <c r="B121" i="18"/>
  <c r="T120" i="18"/>
  <c r="P120" i="18"/>
  <c r="X120" i="18" s="1"/>
  <c r="Z120" i="18" s="1"/>
  <c r="N120" i="18"/>
  <c r="L120" i="18"/>
  <c r="H120" i="18"/>
  <c r="D120" i="18"/>
  <c r="B120" i="18"/>
  <c r="T119" i="18"/>
  <c r="P119" i="18"/>
  <c r="X119" i="18" s="1"/>
  <c r="H119" i="18"/>
  <c r="N119" i="18" s="1"/>
  <c r="D119" i="18"/>
  <c r="L119" i="18" s="1"/>
  <c r="B119" i="18"/>
  <c r="T118" i="18"/>
  <c r="P118" i="18"/>
  <c r="L118" i="18"/>
  <c r="H118" i="18"/>
  <c r="N118" i="18" s="1"/>
  <c r="D118" i="18"/>
  <c r="B118" i="18"/>
  <c r="X117" i="18"/>
  <c r="T117" i="18"/>
  <c r="P117" i="18"/>
  <c r="L117" i="18"/>
  <c r="N117" i="18" s="1"/>
  <c r="H117" i="18"/>
  <c r="D117" i="18"/>
  <c r="B117" i="18"/>
  <c r="T116" i="18"/>
  <c r="P116" i="18"/>
  <c r="X116" i="18" s="1"/>
  <c r="Z116" i="18" s="1"/>
  <c r="N116" i="18"/>
  <c r="L116" i="18"/>
  <c r="H116" i="18"/>
  <c r="D116" i="18"/>
  <c r="B116" i="18"/>
  <c r="T115" i="18"/>
  <c r="P115" i="18"/>
  <c r="X115" i="18" s="1"/>
  <c r="H115" i="18"/>
  <c r="D115" i="18"/>
  <c r="L115" i="18" s="1"/>
  <c r="B115" i="18"/>
  <c r="T114" i="18"/>
  <c r="P114" i="18"/>
  <c r="L114" i="18"/>
  <c r="H114" i="18"/>
  <c r="N114" i="18" s="1"/>
  <c r="D114" i="18"/>
  <c r="B114" i="18"/>
  <c r="X113" i="18"/>
  <c r="T113" i="18"/>
  <c r="Z113" i="18" s="1"/>
  <c r="P113" i="18"/>
  <c r="N113" i="18"/>
  <c r="L113" i="18"/>
  <c r="H113" i="18"/>
  <c r="D113" i="18"/>
  <c r="B113" i="18"/>
  <c r="T112" i="18"/>
  <c r="P112" i="18"/>
  <c r="X112" i="18" s="1"/>
  <c r="Z112" i="18" s="1"/>
  <c r="N112" i="18"/>
  <c r="L112" i="18"/>
  <c r="H112" i="18"/>
  <c r="D112" i="18"/>
  <c r="B112" i="18"/>
  <c r="T111" i="18"/>
  <c r="P111" i="18"/>
  <c r="X111" i="18" s="1"/>
  <c r="H111" i="18"/>
  <c r="N111" i="18" s="1"/>
  <c r="D111" i="18"/>
  <c r="L111" i="18" s="1"/>
  <c r="B111" i="18"/>
  <c r="T110" i="18"/>
  <c r="P110" i="18"/>
  <c r="L110" i="18"/>
  <c r="H110" i="18"/>
  <c r="N110" i="18" s="1"/>
  <c r="D110" i="18"/>
  <c r="B110" i="18"/>
  <c r="X109" i="18"/>
  <c r="T109" i="18"/>
  <c r="P109" i="18"/>
  <c r="N109" i="18"/>
  <c r="L109" i="18"/>
  <c r="H109" i="18"/>
  <c r="D109" i="18"/>
  <c r="B109" i="18"/>
  <c r="T108" i="18"/>
  <c r="P108" i="18"/>
  <c r="X108" i="18" s="1"/>
  <c r="Z108" i="18" s="1"/>
  <c r="N108" i="18"/>
  <c r="L108" i="18"/>
  <c r="H108" i="18"/>
  <c r="D108" i="18"/>
  <c r="B108" i="18"/>
  <c r="T107" i="18"/>
  <c r="P107" i="18"/>
  <c r="X107" i="18" s="1"/>
  <c r="H107" i="18"/>
  <c r="D107" i="18"/>
  <c r="L107" i="18" s="1"/>
  <c r="B107" i="18"/>
  <c r="T106" i="18"/>
  <c r="P106" i="18"/>
  <c r="L106" i="18"/>
  <c r="H106" i="18"/>
  <c r="N106" i="18" s="1"/>
  <c r="D106" i="18"/>
  <c r="B106" i="18"/>
  <c r="X105" i="18"/>
  <c r="T105" i="18"/>
  <c r="P105" i="18"/>
  <c r="N105" i="18"/>
  <c r="L105" i="18"/>
  <c r="H105" i="18"/>
  <c r="D105" i="18"/>
  <c r="B105" i="18"/>
  <c r="T104" i="18"/>
  <c r="P104" i="18"/>
  <c r="X104" i="18" s="1"/>
  <c r="Z104" i="18" s="1"/>
  <c r="N104" i="18"/>
  <c r="L104" i="18"/>
  <c r="H104" i="18"/>
  <c r="D104" i="18"/>
  <c r="B104" i="18"/>
  <c r="T103" i="18"/>
  <c r="P103" i="18"/>
  <c r="X103" i="18" s="1"/>
  <c r="H103" i="18"/>
  <c r="N103" i="18" s="1"/>
  <c r="D103" i="18"/>
  <c r="L103" i="18" s="1"/>
  <c r="B103" i="18"/>
  <c r="T102" i="18"/>
  <c r="P102" i="18"/>
  <c r="L102" i="18"/>
  <c r="H102" i="18"/>
  <c r="D102" i="18"/>
  <c r="B102" i="18"/>
  <c r="X101" i="18"/>
  <c r="T101" i="18"/>
  <c r="P101" i="18"/>
  <c r="N101" i="18"/>
  <c r="L101" i="18"/>
  <c r="H101" i="18"/>
  <c r="D101" i="18"/>
  <c r="B101" i="18"/>
  <c r="T100" i="18"/>
  <c r="P100" i="18"/>
  <c r="X100" i="18" s="1"/>
  <c r="Z100" i="18" s="1"/>
  <c r="N100" i="18"/>
  <c r="L100" i="18"/>
  <c r="H100" i="18"/>
  <c r="D100" i="18"/>
  <c r="B100" i="18"/>
  <c r="T99" i="18"/>
  <c r="P99" i="18"/>
  <c r="H99" i="18"/>
  <c r="N99" i="18" s="1"/>
  <c r="D99" i="18"/>
  <c r="L99" i="18" s="1"/>
  <c r="B99" i="18"/>
  <c r="T98" i="18"/>
  <c r="P98" i="18"/>
  <c r="L98" i="18"/>
  <c r="H98" i="18"/>
  <c r="D98" i="18"/>
  <c r="B98" i="18"/>
  <c r="X97" i="18"/>
  <c r="T97" i="18"/>
  <c r="Z97" i="18" s="1"/>
  <c r="P97" i="18"/>
  <c r="L97" i="18"/>
  <c r="N97" i="18" s="1"/>
  <c r="H97" i="18"/>
  <c r="D97" i="18"/>
  <c r="B97" i="18"/>
  <c r="T96" i="18"/>
  <c r="P96" i="18"/>
  <c r="X96" i="18" s="1"/>
  <c r="Z96" i="18" s="1"/>
  <c r="N96" i="18"/>
  <c r="L96" i="18"/>
  <c r="H96" i="18"/>
  <c r="D96" i="18"/>
  <c r="B96" i="18"/>
  <c r="T95" i="18"/>
  <c r="P95" i="18"/>
  <c r="H95" i="18"/>
  <c r="N95" i="18" s="1"/>
  <c r="D95" i="18"/>
  <c r="L95" i="18" s="1"/>
  <c r="B95" i="18"/>
  <c r="T94" i="18"/>
  <c r="P94" i="18"/>
  <c r="L94" i="18"/>
  <c r="H94" i="18"/>
  <c r="N94" i="18" s="1"/>
  <c r="D94" i="18"/>
  <c r="B94" i="18"/>
  <c r="X93" i="18"/>
  <c r="T93" i="18"/>
  <c r="P93" i="18"/>
  <c r="L93" i="18"/>
  <c r="N93" i="18" s="1"/>
  <c r="H93" i="18"/>
  <c r="D93" i="18"/>
  <c r="B93" i="18"/>
  <c r="T92" i="18"/>
  <c r="P92" i="18"/>
  <c r="X92" i="18" s="1"/>
  <c r="Z92" i="18" s="1"/>
  <c r="N92" i="18"/>
  <c r="L92" i="18"/>
  <c r="H92" i="18"/>
  <c r="D92" i="18"/>
  <c r="B92" i="18"/>
  <c r="T91" i="18"/>
  <c r="P91" i="18"/>
  <c r="H91" i="18"/>
  <c r="D91" i="18"/>
  <c r="L91" i="18" s="1"/>
  <c r="B91" i="18"/>
  <c r="T90" i="18"/>
  <c r="P90" i="18"/>
  <c r="L90" i="18"/>
  <c r="H90" i="18"/>
  <c r="N90" i="18" s="1"/>
  <c r="D90" i="18"/>
  <c r="B90" i="18"/>
  <c r="X89" i="18"/>
  <c r="T89" i="18"/>
  <c r="P89" i="18"/>
  <c r="N89" i="18"/>
  <c r="L89" i="18"/>
  <c r="H89" i="18"/>
  <c r="D89" i="18"/>
  <c r="B89" i="18"/>
  <c r="T88" i="18"/>
  <c r="P88" i="18"/>
  <c r="X88" i="18" s="1"/>
  <c r="Z88" i="18" s="1"/>
  <c r="N88" i="18"/>
  <c r="L88" i="18"/>
  <c r="H88" i="18"/>
  <c r="D88" i="18"/>
  <c r="B88" i="18"/>
  <c r="T87" i="18"/>
  <c r="P87" i="18"/>
  <c r="X87" i="18" s="1"/>
  <c r="H87" i="18"/>
  <c r="D87" i="18"/>
  <c r="L87" i="18" s="1"/>
  <c r="B87" i="18"/>
  <c r="T86" i="18"/>
  <c r="P86" i="18"/>
  <c r="L86" i="18"/>
  <c r="H86" i="18"/>
  <c r="N86" i="18" s="1"/>
  <c r="D86" i="18"/>
  <c r="B86" i="18"/>
  <c r="X85" i="18"/>
  <c r="T85" i="18"/>
  <c r="Z85" i="18" s="1"/>
  <c r="P85" i="18"/>
  <c r="N85" i="18"/>
  <c r="L85" i="18"/>
  <c r="H85" i="18"/>
  <c r="D85" i="18"/>
  <c r="B85" i="18"/>
  <c r="T84" i="18"/>
  <c r="P84" i="18"/>
  <c r="X84" i="18" s="1"/>
  <c r="N84" i="18"/>
  <c r="L84" i="18"/>
  <c r="H84" i="18"/>
  <c r="D84" i="18"/>
  <c r="B84" i="18"/>
  <c r="T83" i="18"/>
  <c r="P83" i="18"/>
  <c r="X83" i="18" s="1"/>
  <c r="H83" i="18"/>
  <c r="D83" i="18"/>
  <c r="L83" i="18" s="1"/>
  <c r="B83" i="18"/>
  <c r="T82" i="18"/>
  <c r="P82" i="18"/>
  <c r="L82" i="18"/>
  <c r="H82" i="18"/>
  <c r="N82" i="18" s="1"/>
  <c r="D82" i="18"/>
  <c r="B82" i="18"/>
  <c r="X81" i="18"/>
  <c r="T81" i="18"/>
  <c r="P81" i="18"/>
  <c r="L81" i="18"/>
  <c r="N81" i="18" s="1"/>
  <c r="H81" i="18"/>
  <c r="D81" i="18"/>
  <c r="B81" i="18"/>
  <c r="T80" i="18"/>
  <c r="P80" i="18"/>
  <c r="X80" i="18" s="1"/>
  <c r="N80" i="18"/>
  <c r="L80" i="18"/>
  <c r="H80" i="18"/>
  <c r="D80" i="18"/>
  <c r="B80" i="18"/>
  <c r="T79" i="18"/>
  <c r="P79" i="18"/>
  <c r="H79" i="18"/>
  <c r="N79" i="18" s="1"/>
  <c r="D79" i="18"/>
  <c r="L79" i="18" s="1"/>
  <c r="B79" i="18"/>
  <c r="T78" i="18"/>
  <c r="P78" i="18"/>
  <c r="L78" i="18"/>
  <c r="H78" i="18"/>
  <c r="D78" i="18"/>
  <c r="B78" i="18"/>
  <c r="X77" i="18"/>
  <c r="T77" i="18"/>
  <c r="Z77" i="18" s="1"/>
  <c r="P77" i="18"/>
  <c r="L77" i="18"/>
  <c r="N77" i="18" s="1"/>
  <c r="H77" i="18"/>
  <c r="D77" i="18"/>
  <c r="B77" i="18"/>
  <c r="T76" i="18"/>
  <c r="Z76" i="18" s="1"/>
  <c r="P76" i="18"/>
  <c r="X76" i="18" s="1"/>
  <c r="N76" i="18"/>
  <c r="L76" i="18"/>
  <c r="H76" i="18"/>
  <c r="D76" i="18"/>
  <c r="B76" i="18"/>
  <c r="T75" i="18"/>
  <c r="P75" i="18"/>
  <c r="X75" i="18" s="1"/>
  <c r="H75" i="18"/>
  <c r="D75" i="18"/>
  <c r="L75" i="18" s="1"/>
  <c r="B75" i="18"/>
  <c r="T74" i="18"/>
  <c r="P74" i="18"/>
  <c r="L74" i="18"/>
  <c r="H74" i="18"/>
  <c r="N74" i="18" s="1"/>
  <c r="D74" i="18"/>
  <c r="B74" i="18"/>
  <c r="X73" i="18"/>
  <c r="T73" i="18"/>
  <c r="P73" i="18"/>
  <c r="N73" i="18"/>
  <c r="L73" i="18"/>
  <c r="H73" i="18"/>
  <c r="D73" i="18"/>
  <c r="B73" i="18"/>
  <c r="T72" i="18"/>
  <c r="P72" i="18"/>
  <c r="X72" i="18" s="1"/>
  <c r="N72" i="18"/>
  <c r="L72" i="18"/>
  <c r="H72" i="18"/>
  <c r="D72" i="18"/>
  <c r="B72" i="18"/>
  <c r="T71" i="18"/>
  <c r="P71" i="18"/>
  <c r="X71" i="18" s="1"/>
  <c r="H71" i="18"/>
  <c r="N71" i="18" s="1"/>
  <c r="D71" i="18"/>
  <c r="L71" i="18" s="1"/>
  <c r="B71" i="18"/>
  <c r="T70" i="18"/>
  <c r="P70" i="18"/>
  <c r="L70" i="18"/>
  <c r="H70" i="18"/>
  <c r="D70" i="18"/>
  <c r="B70" i="18"/>
  <c r="X69" i="18"/>
  <c r="T69" i="18"/>
  <c r="P69" i="18"/>
  <c r="L69" i="18"/>
  <c r="N69" i="18" s="1"/>
  <c r="H69" i="18"/>
  <c r="D69" i="18"/>
  <c r="B69" i="18"/>
  <c r="T68" i="18"/>
  <c r="P68" i="18"/>
  <c r="X68" i="18" s="1"/>
  <c r="N68" i="18"/>
  <c r="L68" i="18"/>
  <c r="H68" i="18"/>
  <c r="D68" i="18"/>
  <c r="B68" i="18"/>
  <c r="T67" i="18"/>
  <c r="P67" i="18"/>
  <c r="X67" i="18" s="1"/>
  <c r="L67" i="18"/>
  <c r="H67" i="18"/>
  <c r="D67" i="18"/>
  <c r="B67" i="18"/>
  <c r="T66" i="18"/>
  <c r="P66" i="18"/>
  <c r="L66" i="18"/>
  <c r="H66" i="18"/>
  <c r="D66" i="18"/>
  <c r="B66" i="18"/>
  <c r="T65" i="18"/>
  <c r="P65" i="18"/>
  <c r="L65" i="18"/>
  <c r="N65" i="18" s="1"/>
  <c r="H65" i="18"/>
  <c r="D65" i="18"/>
  <c r="B65" i="18"/>
  <c r="T64" i="18"/>
  <c r="P64" i="18"/>
  <c r="X64" i="18" s="1"/>
  <c r="L64" i="18"/>
  <c r="N64" i="18" s="1"/>
  <c r="H64" i="18"/>
  <c r="D64" i="18"/>
  <c r="B64" i="18"/>
  <c r="T63" i="18"/>
  <c r="P63" i="18"/>
  <c r="H63" i="18"/>
  <c r="D63" i="18"/>
  <c r="L63" i="18" s="1"/>
  <c r="B63" i="18"/>
  <c r="T62" i="18"/>
  <c r="P62" i="18"/>
  <c r="L62" i="18"/>
  <c r="H62" i="18"/>
  <c r="D62" i="18"/>
  <c r="B62" i="18"/>
  <c r="X61" i="18"/>
  <c r="T61" i="18"/>
  <c r="P61" i="18"/>
  <c r="L61" i="18"/>
  <c r="N61" i="18" s="1"/>
  <c r="H61" i="18"/>
  <c r="D61" i="18"/>
  <c r="B61" i="18"/>
  <c r="T60" i="18"/>
  <c r="P60" i="18"/>
  <c r="X60" i="18" s="1"/>
  <c r="L60" i="18"/>
  <c r="N60" i="18" s="1"/>
  <c r="H60" i="18"/>
  <c r="D60" i="18"/>
  <c r="B60" i="18"/>
  <c r="T59" i="18"/>
  <c r="P59" i="18"/>
  <c r="X59" i="18" s="1"/>
  <c r="L59" i="18"/>
  <c r="H59" i="18"/>
  <c r="D59" i="18"/>
  <c r="B59" i="18"/>
  <c r="T58" i="18"/>
  <c r="P58" i="18"/>
  <c r="L58" i="18"/>
  <c r="H58" i="18"/>
  <c r="N58" i="18" s="1"/>
  <c r="D58" i="18"/>
  <c r="B58" i="18"/>
  <c r="T57" i="18"/>
  <c r="P57" i="18"/>
  <c r="L57" i="18"/>
  <c r="N57" i="18" s="1"/>
  <c r="H57" i="18"/>
  <c r="D57" i="18"/>
  <c r="B57" i="18"/>
  <c r="T56" i="18"/>
  <c r="P56" i="18"/>
  <c r="X56" i="18" s="1"/>
  <c r="N56" i="18"/>
  <c r="L56" i="18"/>
  <c r="H56" i="18"/>
  <c r="D56" i="18"/>
  <c r="B56" i="18"/>
  <c r="T55" i="18"/>
  <c r="P55" i="18"/>
  <c r="H55" i="18"/>
  <c r="D55" i="18"/>
  <c r="L55" i="18" s="1"/>
  <c r="B55" i="18"/>
  <c r="T54" i="18"/>
  <c r="P54" i="18"/>
  <c r="L54" i="18"/>
  <c r="H54" i="18"/>
  <c r="D54" i="18"/>
  <c r="B54" i="18"/>
  <c r="X53" i="18"/>
  <c r="T53" i="18"/>
  <c r="P53" i="18"/>
  <c r="N53" i="18"/>
  <c r="L53" i="18"/>
  <c r="H53" i="18"/>
  <c r="D53" i="18"/>
  <c r="B53" i="18"/>
  <c r="T52" i="18"/>
  <c r="P52" i="18"/>
  <c r="L52" i="18"/>
  <c r="N52" i="18" s="1"/>
  <c r="H52" i="18"/>
  <c r="D52" i="18"/>
  <c r="B52" i="18"/>
  <c r="T51" i="18"/>
  <c r="P51" i="18"/>
  <c r="X51" i="18" s="1"/>
  <c r="H51" i="18"/>
  <c r="D51" i="18"/>
  <c r="L51" i="18" s="1"/>
  <c r="B51" i="18"/>
  <c r="T50" i="18"/>
  <c r="P50" i="18"/>
  <c r="L50" i="18"/>
  <c r="H50" i="18"/>
  <c r="N50" i="18" s="1"/>
  <c r="D50" i="18"/>
  <c r="B50" i="18"/>
  <c r="T49" i="18"/>
  <c r="P49" i="18"/>
  <c r="N49" i="18"/>
  <c r="L49" i="18"/>
  <c r="H49" i="18"/>
  <c r="D49" i="18"/>
  <c r="B49" i="18"/>
  <c r="T48" i="18"/>
  <c r="P48" i="18"/>
  <c r="N48" i="18"/>
  <c r="L48" i="18"/>
  <c r="H48" i="18"/>
  <c r="D48" i="18"/>
  <c r="B48" i="18"/>
  <c r="T47" i="18"/>
  <c r="P47" i="18"/>
  <c r="H47" i="18"/>
  <c r="D47" i="18"/>
  <c r="L47" i="18" s="1"/>
  <c r="B47" i="18"/>
  <c r="T46" i="18"/>
  <c r="P46" i="18"/>
  <c r="H46" i="18"/>
  <c r="D46" i="18"/>
  <c r="B46" i="18"/>
  <c r="X45" i="18"/>
  <c r="T45" i="18"/>
  <c r="P45" i="18"/>
  <c r="L45" i="18"/>
  <c r="N45" i="18" s="1"/>
  <c r="H45" i="18"/>
  <c r="D45" i="18"/>
  <c r="B45" i="18"/>
  <c r="T44" i="18"/>
  <c r="P44" i="18"/>
  <c r="X44" i="18" s="1"/>
  <c r="Z44" i="18" s="1"/>
  <c r="N44" i="18"/>
  <c r="L44" i="18"/>
  <c r="H44" i="18"/>
  <c r="D44" i="18"/>
  <c r="B44" i="18"/>
  <c r="T43" i="18"/>
  <c r="P43" i="18"/>
  <c r="X43" i="18" s="1"/>
  <c r="L43" i="18"/>
  <c r="H43" i="18"/>
  <c r="D43" i="18"/>
  <c r="B43" i="18"/>
  <c r="T42" i="18"/>
  <c r="P42" i="18"/>
  <c r="H42" i="18"/>
  <c r="D42" i="18"/>
  <c r="B42" i="18"/>
  <c r="T41" i="18"/>
  <c r="P41" i="18"/>
  <c r="L41" i="18"/>
  <c r="N41" i="18" s="1"/>
  <c r="H41" i="18"/>
  <c r="D41" i="18"/>
  <c r="B41" i="18"/>
  <c r="T40" i="18"/>
  <c r="Z40" i="18" s="1"/>
  <c r="P40" i="18"/>
  <c r="X40" i="18" s="1"/>
  <c r="N40" i="18"/>
  <c r="L40" i="18"/>
  <c r="H40" i="18"/>
  <c r="D40" i="18"/>
  <c r="B40" i="18"/>
  <c r="T39" i="18"/>
  <c r="P39" i="18"/>
  <c r="X39" i="18" s="1"/>
  <c r="L39" i="18"/>
  <c r="H39" i="18"/>
  <c r="N39" i="18" s="1"/>
  <c r="D39" i="18"/>
  <c r="B39" i="18"/>
  <c r="T38" i="18"/>
  <c r="P38" i="18"/>
  <c r="L38" i="18"/>
  <c r="H38" i="18"/>
  <c r="D38" i="18"/>
  <c r="B38" i="18"/>
  <c r="T37" i="18"/>
  <c r="P37" i="18"/>
  <c r="L37" i="18"/>
  <c r="N37" i="18" s="1"/>
  <c r="H37" i="18"/>
  <c r="D37" i="18"/>
  <c r="B37" i="18"/>
  <c r="T36" i="18"/>
  <c r="P36" i="18"/>
  <c r="L36" i="18"/>
  <c r="N36" i="18" s="1"/>
  <c r="H36" i="18"/>
  <c r="D36" i="18"/>
  <c r="B36" i="18"/>
  <c r="T35" i="18"/>
  <c r="P35" i="18"/>
  <c r="H35" i="18"/>
  <c r="D35" i="18"/>
  <c r="L35" i="18" s="1"/>
  <c r="B35" i="18"/>
  <c r="T34" i="18"/>
  <c r="P34" i="18"/>
  <c r="L34" i="18"/>
  <c r="H34" i="18"/>
  <c r="D34" i="18"/>
  <c r="B34" i="18"/>
  <c r="X33" i="18"/>
  <c r="T33" i="18"/>
  <c r="P33" i="18"/>
  <c r="L33" i="18"/>
  <c r="N33" i="18" s="1"/>
  <c r="H33" i="18"/>
  <c r="D33" i="18"/>
  <c r="B33" i="18"/>
  <c r="T32" i="18"/>
  <c r="P32" i="18"/>
  <c r="N32" i="18"/>
  <c r="L32" i="18"/>
  <c r="H32" i="18"/>
  <c r="D32" i="18"/>
  <c r="B32" i="18"/>
  <c r="T31" i="18"/>
  <c r="P31" i="18"/>
  <c r="L31" i="18"/>
  <c r="H31" i="18"/>
  <c r="D31" i="18"/>
  <c r="B31" i="18"/>
  <c r="T30" i="18"/>
  <c r="P30" i="18"/>
  <c r="H30" i="18"/>
  <c r="D30" i="18"/>
  <c r="B30" i="18"/>
  <c r="X29" i="18"/>
  <c r="T29" i="18"/>
  <c r="P29" i="18"/>
  <c r="L29" i="18"/>
  <c r="N29" i="18" s="1"/>
  <c r="H29" i="18"/>
  <c r="D29" i="18"/>
  <c r="B29" i="18"/>
  <c r="T28" i="18"/>
  <c r="P28" i="18"/>
  <c r="X28" i="18" s="1"/>
  <c r="Z28" i="18" s="1"/>
  <c r="L28" i="18"/>
  <c r="N28" i="18" s="1"/>
  <c r="H28" i="18"/>
  <c r="D28" i="18"/>
  <c r="B28" i="18"/>
  <c r="T27" i="18"/>
  <c r="P27" i="18"/>
  <c r="X27" i="18" s="1"/>
  <c r="L27" i="18"/>
  <c r="H27" i="18"/>
  <c r="D27" i="18"/>
  <c r="B27" i="18"/>
  <c r="T26" i="18"/>
  <c r="T12" i="18" s="1"/>
  <c r="P26" i="18"/>
  <c r="H26" i="18"/>
  <c r="D26" i="18"/>
  <c r="B26" i="18"/>
  <c r="T25" i="18"/>
  <c r="P25" i="18"/>
  <c r="L25" i="18"/>
  <c r="N25" i="18" s="1"/>
  <c r="H25" i="18"/>
  <c r="D25" i="18"/>
  <c r="B25" i="18"/>
  <c r="T24" i="18"/>
  <c r="Z24" i="18" s="1"/>
  <c r="P24" i="18"/>
  <c r="X24" i="18" s="1"/>
  <c r="N24" i="18"/>
  <c r="L24" i="18"/>
  <c r="H24" i="18"/>
  <c r="D24" i="18"/>
  <c r="B24" i="18"/>
  <c r="T23" i="18"/>
  <c r="P23" i="18"/>
  <c r="X23" i="18" s="1"/>
  <c r="L23" i="18"/>
  <c r="H23" i="18"/>
  <c r="N23" i="18" s="1"/>
  <c r="D23" i="18"/>
  <c r="B23" i="18"/>
  <c r="T22" i="18"/>
  <c r="P22" i="18"/>
  <c r="L22" i="18"/>
  <c r="H22" i="18"/>
  <c r="D22" i="18"/>
  <c r="B22" i="18"/>
  <c r="T21" i="18"/>
  <c r="P21" i="18"/>
  <c r="L21" i="18"/>
  <c r="N21" i="18" s="1"/>
  <c r="H21" i="18"/>
  <c r="D21" i="18"/>
  <c r="B21" i="18"/>
  <c r="T20" i="18"/>
  <c r="P20" i="18"/>
  <c r="L20" i="18"/>
  <c r="N20" i="18" s="1"/>
  <c r="H20" i="18"/>
  <c r="D20" i="18"/>
  <c r="B20" i="18"/>
  <c r="T19" i="18"/>
  <c r="P19" i="18"/>
  <c r="H19" i="18"/>
  <c r="D19" i="18"/>
  <c r="L19" i="18" s="1"/>
  <c r="B19" i="18"/>
  <c r="T18" i="18"/>
  <c r="P18" i="18"/>
  <c r="L18" i="18"/>
  <c r="H18" i="18"/>
  <c r="D18" i="18"/>
  <c r="B18" i="18"/>
  <c r="X17" i="18"/>
  <c r="T17" i="18"/>
  <c r="P17" i="18"/>
  <c r="L17" i="18"/>
  <c r="N17" i="18" s="1"/>
  <c r="H17" i="18"/>
  <c r="D17" i="18"/>
  <c r="B17" i="18"/>
  <c r="T16" i="18"/>
  <c r="P16" i="18"/>
  <c r="N16" i="18"/>
  <c r="L16" i="18"/>
  <c r="H16" i="18"/>
  <c r="D16" i="18"/>
  <c r="B16" i="18"/>
  <c r="T15" i="18"/>
  <c r="P15" i="18"/>
  <c r="L15" i="18"/>
  <c r="H15" i="18"/>
  <c r="D15" i="18"/>
  <c r="B15" i="18"/>
  <c r="T14" i="18"/>
  <c r="P14" i="18"/>
  <c r="P12" i="18" s="1"/>
  <c r="R254" i="18" s="1"/>
  <c r="H14" i="18"/>
  <c r="D14" i="18"/>
  <c r="B14" i="18"/>
  <c r="X13" i="18"/>
  <c r="T13" i="18"/>
  <c r="Z13" i="18" s="1"/>
  <c r="P13" i="18"/>
  <c r="N13" i="18"/>
  <c r="L13" i="18"/>
  <c r="H13" i="18"/>
  <c r="D13" i="18"/>
  <c r="B13" i="18"/>
  <c r="D4" i="18"/>
  <c r="X265" i="15"/>
  <c r="Z265" i="15" s="1"/>
  <c r="L265" i="15"/>
  <c r="N265" i="15" s="1"/>
  <c r="X261" i="15"/>
  <c r="Z261" i="15" s="1"/>
  <c r="T261" i="15"/>
  <c r="P261" i="15"/>
  <c r="P252" i="15" s="1"/>
  <c r="L261" i="15"/>
  <c r="H261" i="15"/>
  <c r="D261" i="15"/>
  <c r="B261" i="15"/>
  <c r="T260" i="15"/>
  <c r="X260" i="15" s="1"/>
  <c r="P260" i="15"/>
  <c r="H260" i="15"/>
  <c r="N260" i="15" s="1"/>
  <c r="D260" i="15"/>
  <c r="B260" i="15"/>
  <c r="T259" i="15"/>
  <c r="P259" i="15"/>
  <c r="N259" i="15"/>
  <c r="H259" i="15"/>
  <c r="D259" i="15"/>
  <c r="L259" i="15" s="1"/>
  <c r="B259" i="15"/>
  <c r="X258" i="15"/>
  <c r="Z258" i="15" s="1"/>
  <c r="T258" i="15"/>
  <c r="P258" i="15"/>
  <c r="H258" i="15"/>
  <c r="D258" i="15"/>
  <c r="B258" i="15"/>
  <c r="Z257" i="15"/>
  <c r="X257" i="15"/>
  <c r="T257" i="15"/>
  <c r="P257" i="15"/>
  <c r="H257" i="15"/>
  <c r="D257" i="15"/>
  <c r="L257" i="15" s="1"/>
  <c r="N257" i="15" s="1"/>
  <c r="B257" i="15"/>
  <c r="Z256" i="15"/>
  <c r="T256" i="15"/>
  <c r="P256" i="15"/>
  <c r="X256" i="15" s="1"/>
  <c r="H256" i="15"/>
  <c r="D256" i="15"/>
  <c r="L256" i="15" s="1"/>
  <c r="B256" i="15"/>
  <c r="X255" i="15"/>
  <c r="T255" i="15"/>
  <c r="P255" i="15"/>
  <c r="N255" i="15"/>
  <c r="H255" i="15"/>
  <c r="D255" i="15"/>
  <c r="L255" i="15" s="1"/>
  <c r="B255" i="15"/>
  <c r="Z254" i="15"/>
  <c r="T254" i="15"/>
  <c r="P254" i="15"/>
  <c r="X254" i="15" s="1"/>
  <c r="N254" i="15"/>
  <c r="L254" i="15"/>
  <c r="H254" i="15"/>
  <c r="D254" i="15"/>
  <c r="B254" i="15"/>
  <c r="X253" i="15"/>
  <c r="Z253" i="15" s="1"/>
  <c r="T253" i="15"/>
  <c r="R253" i="15"/>
  <c r="P253" i="15"/>
  <c r="H253" i="15"/>
  <c r="D253" i="15"/>
  <c r="B253" i="15"/>
  <c r="Z250" i="15"/>
  <c r="X250" i="15"/>
  <c r="L250" i="15"/>
  <c r="N250" i="15" s="1"/>
  <c r="B250" i="15"/>
  <c r="X249" i="15"/>
  <c r="T249" i="15"/>
  <c r="R249" i="15"/>
  <c r="P249" i="15"/>
  <c r="L249" i="15"/>
  <c r="N249" i="15" s="1"/>
  <c r="H249" i="15"/>
  <c r="D249" i="15"/>
  <c r="B249" i="15"/>
  <c r="Z248" i="15"/>
  <c r="X248" i="15"/>
  <c r="R248" i="15"/>
  <c r="L248" i="15"/>
  <c r="N248" i="15" s="1"/>
  <c r="B248" i="15"/>
  <c r="Z247" i="15"/>
  <c r="X247" i="15"/>
  <c r="N247" i="15"/>
  <c r="L247" i="15"/>
  <c r="B247" i="15"/>
  <c r="Z246" i="15"/>
  <c r="X246" i="15"/>
  <c r="N246" i="15"/>
  <c r="L246" i="15"/>
  <c r="B246" i="15"/>
  <c r="T245" i="15"/>
  <c r="P245" i="15"/>
  <c r="X245" i="15" s="1"/>
  <c r="Z245" i="15" s="1"/>
  <c r="H245" i="15"/>
  <c r="L245" i="15" s="1"/>
  <c r="D245" i="15"/>
  <c r="B245" i="15"/>
  <c r="X244" i="15"/>
  <c r="Z244" i="15" s="1"/>
  <c r="L244" i="15"/>
  <c r="N244" i="15" s="1"/>
  <c r="B244" i="15"/>
  <c r="X243" i="15"/>
  <c r="Z243" i="15" s="1"/>
  <c r="T243" i="15"/>
  <c r="P243" i="15"/>
  <c r="H243" i="15"/>
  <c r="N243" i="15" s="1"/>
  <c r="D243" i="15"/>
  <c r="L243" i="15" s="1"/>
  <c r="B243" i="15"/>
  <c r="Z242" i="15"/>
  <c r="X242" i="15"/>
  <c r="N242" i="15"/>
  <c r="L242" i="15"/>
  <c r="B242" i="15"/>
  <c r="X241" i="15"/>
  <c r="Z241" i="15" s="1"/>
  <c r="N241" i="15"/>
  <c r="L241" i="15"/>
  <c r="B241" i="15"/>
  <c r="X240" i="15"/>
  <c r="Z240" i="15" s="1"/>
  <c r="T240" i="15"/>
  <c r="P240" i="15"/>
  <c r="H240" i="15"/>
  <c r="D240" i="15"/>
  <c r="L240" i="15" s="1"/>
  <c r="N240" i="15" s="1"/>
  <c r="B240" i="15"/>
  <c r="X239" i="15"/>
  <c r="Z239" i="15" s="1"/>
  <c r="N239" i="15"/>
  <c r="L239" i="15"/>
  <c r="B239" i="15"/>
  <c r="X238" i="15"/>
  <c r="Z238" i="15" s="1"/>
  <c r="R238" i="15"/>
  <c r="N238" i="15"/>
  <c r="L238" i="15"/>
  <c r="B238" i="15"/>
  <c r="Z237" i="15"/>
  <c r="X237" i="15"/>
  <c r="L237" i="15"/>
  <c r="N237" i="15" s="1"/>
  <c r="B237" i="15"/>
  <c r="Z236" i="15"/>
  <c r="X236" i="15"/>
  <c r="L236" i="15"/>
  <c r="N236" i="15" s="1"/>
  <c r="B236" i="15"/>
  <c r="X235" i="15"/>
  <c r="Z235" i="15" s="1"/>
  <c r="N235" i="15"/>
  <c r="L235" i="15"/>
  <c r="B235" i="15"/>
  <c r="Z234" i="15"/>
  <c r="X234" i="15"/>
  <c r="N234" i="15"/>
  <c r="L234" i="15"/>
  <c r="B234" i="15"/>
  <c r="Z233" i="15"/>
  <c r="X233" i="15"/>
  <c r="N233" i="15"/>
  <c r="L233" i="15"/>
  <c r="B233" i="15"/>
  <c r="T232" i="15"/>
  <c r="X232" i="15" s="1"/>
  <c r="P232" i="15"/>
  <c r="H232" i="15"/>
  <c r="D232" i="15"/>
  <c r="L232" i="15" s="1"/>
  <c r="B232" i="15"/>
  <c r="X231" i="15"/>
  <c r="Z231" i="15" s="1"/>
  <c r="N231" i="15"/>
  <c r="L231" i="15"/>
  <c r="B231" i="15"/>
  <c r="X230" i="15"/>
  <c r="Z230" i="15" s="1"/>
  <c r="R230" i="15"/>
  <c r="L230" i="15"/>
  <c r="N230" i="15" s="1"/>
  <c r="B230" i="15"/>
  <c r="T229" i="15"/>
  <c r="Z229" i="15" s="1"/>
  <c r="P229" i="15"/>
  <c r="X229" i="15" s="1"/>
  <c r="H229" i="15"/>
  <c r="D229" i="15"/>
  <c r="L229" i="15" s="1"/>
  <c r="N229" i="15" s="1"/>
  <c r="B229" i="15"/>
  <c r="X228" i="15"/>
  <c r="Z228" i="15" s="1"/>
  <c r="L228" i="15"/>
  <c r="N228" i="15" s="1"/>
  <c r="B228" i="15"/>
  <c r="Z227" i="15"/>
  <c r="X227" i="15"/>
  <c r="N227" i="15"/>
  <c r="L227" i="15"/>
  <c r="B227" i="15"/>
  <c r="X226" i="15"/>
  <c r="Z226" i="15" s="1"/>
  <c r="N226" i="15"/>
  <c r="L226" i="15"/>
  <c r="B226" i="15"/>
  <c r="X225" i="15"/>
  <c r="Z225" i="15" s="1"/>
  <c r="L225" i="15"/>
  <c r="N225" i="15" s="1"/>
  <c r="B225" i="15"/>
  <c r="T224" i="15"/>
  <c r="P224" i="15"/>
  <c r="X224" i="15" s="1"/>
  <c r="H224" i="15"/>
  <c r="L224" i="15" s="1"/>
  <c r="D224" i="15"/>
  <c r="B224" i="15"/>
  <c r="Z223" i="15"/>
  <c r="X223" i="15"/>
  <c r="N223" i="15"/>
  <c r="L223" i="15"/>
  <c r="B223" i="15"/>
  <c r="Z222" i="15"/>
  <c r="X222" i="15"/>
  <c r="L222" i="15"/>
  <c r="N222" i="15" s="1"/>
  <c r="B222" i="15"/>
  <c r="X221" i="15"/>
  <c r="Z221" i="15" s="1"/>
  <c r="L221" i="15"/>
  <c r="N221" i="15" s="1"/>
  <c r="B221" i="15"/>
  <c r="X220" i="15"/>
  <c r="Z220" i="15" s="1"/>
  <c r="T220" i="15"/>
  <c r="P220" i="15"/>
  <c r="H220" i="15"/>
  <c r="N220" i="15" s="1"/>
  <c r="D220" i="15"/>
  <c r="L220" i="15" s="1"/>
  <c r="B220" i="15"/>
  <c r="Z219" i="15"/>
  <c r="X219" i="15"/>
  <c r="N219" i="15"/>
  <c r="L219" i="15"/>
  <c r="B219" i="15"/>
  <c r="X218" i="15"/>
  <c r="Z218" i="15" s="1"/>
  <c r="R218" i="15"/>
  <c r="L218" i="15"/>
  <c r="N218" i="15" s="1"/>
  <c r="B218" i="15"/>
  <c r="X217" i="15"/>
  <c r="Z217" i="15" s="1"/>
  <c r="N217" i="15"/>
  <c r="L217" i="15"/>
  <c r="B217" i="15"/>
  <c r="Z216" i="15"/>
  <c r="X216" i="15"/>
  <c r="L216" i="15"/>
  <c r="N216" i="15" s="1"/>
  <c r="B216" i="15"/>
  <c r="Z215" i="15"/>
  <c r="T215" i="15"/>
  <c r="P215" i="15"/>
  <c r="X215" i="15" s="1"/>
  <c r="H215" i="15"/>
  <c r="N215" i="15" s="1"/>
  <c r="D215" i="15"/>
  <c r="L215" i="15" s="1"/>
  <c r="B215" i="15"/>
  <c r="X214" i="15"/>
  <c r="Z214" i="15" s="1"/>
  <c r="N214" i="15"/>
  <c r="L214" i="15"/>
  <c r="B214" i="15"/>
  <c r="T213" i="15"/>
  <c r="P213" i="15"/>
  <c r="X213" i="15" s="1"/>
  <c r="Z213" i="15" s="1"/>
  <c r="H213" i="15"/>
  <c r="D213" i="15"/>
  <c r="L213" i="15" s="1"/>
  <c r="N213" i="15" s="1"/>
  <c r="B213" i="15"/>
  <c r="X212" i="15"/>
  <c r="Z212" i="15" s="1"/>
  <c r="N212" i="15"/>
  <c r="L212" i="15"/>
  <c r="B212" i="15"/>
  <c r="T211" i="15"/>
  <c r="X211" i="15" s="1"/>
  <c r="Z211" i="15" s="1"/>
  <c r="R211" i="15"/>
  <c r="P211" i="15"/>
  <c r="N211" i="15"/>
  <c r="L211" i="15"/>
  <c r="H211" i="15"/>
  <c r="D211" i="15"/>
  <c r="B211" i="15"/>
  <c r="X210" i="15"/>
  <c r="Z210" i="15" s="1"/>
  <c r="R210" i="15"/>
  <c r="L210" i="15"/>
  <c r="N210" i="15" s="1"/>
  <c r="B210" i="15"/>
  <c r="T209" i="15"/>
  <c r="Z209" i="15" s="1"/>
  <c r="P209" i="15"/>
  <c r="X209" i="15" s="1"/>
  <c r="H209" i="15"/>
  <c r="D209" i="15"/>
  <c r="L209" i="15" s="1"/>
  <c r="N209" i="15" s="1"/>
  <c r="B209" i="15"/>
  <c r="X208" i="15"/>
  <c r="Z208" i="15" s="1"/>
  <c r="L208" i="15"/>
  <c r="N208" i="15" s="1"/>
  <c r="B208" i="15"/>
  <c r="T207" i="15"/>
  <c r="P207" i="15"/>
  <c r="X207" i="15" s="1"/>
  <c r="Z207" i="15" s="1"/>
  <c r="H207" i="15"/>
  <c r="D207" i="15"/>
  <c r="L207" i="15" s="1"/>
  <c r="N207" i="15" s="1"/>
  <c r="B207" i="15"/>
  <c r="Z206" i="15"/>
  <c r="X206" i="15"/>
  <c r="N206" i="15"/>
  <c r="L206" i="15"/>
  <c r="B206" i="15"/>
  <c r="X205" i="15"/>
  <c r="Z205" i="15" s="1"/>
  <c r="T205" i="15"/>
  <c r="P205" i="15"/>
  <c r="N205" i="15"/>
  <c r="H205" i="15"/>
  <c r="L205" i="15" s="1"/>
  <c r="D205" i="15"/>
  <c r="B205" i="15"/>
  <c r="Z204" i="15"/>
  <c r="X204" i="15"/>
  <c r="L204" i="15"/>
  <c r="N204" i="15" s="1"/>
  <c r="B204" i="15"/>
  <c r="Z203" i="15"/>
  <c r="X203" i="15"/>
  <c r="N203" i="15"/>
  <c r="L203" i="15"/>
  <c r="B203" i="15"/>
  <c r="T202" i="15"/>
  <c r="P202" i="15"/>
  <c r="H202" i="15"/>
  <c r="D202" i="15"/>
  <c r="L202" i="15" s="1"/>
  <c r="N202" i="15" s="1"/>
  <c r="B202" i="15"/>
  <c r="X201" i="15"/>
  <c r="Z201" i="15" s="1"/>
  <c r="L201" i="15"/>
  <c r="N201" i="15" s="1"/>
  <c r="B201" i="15"/>
  <c r="T200" i="15"/>
  <c r="Z200" i="15" s="1"/>
  <c r="P200" i="15"/>
  <c r="X200" i="15" s="1"/>
  <c r="H200" i="15"/>
  <c r="L200" i="15" s="1"/>
  <c r="D200" i="15"/>
  <c r="B200" i="15"/>
  <c r="Z199" i="15"/>
  <c r="X199" i="15"/>
  <c r="N199" i="15"/>
  <c r="L199" i="15"/>
  <c r="B199" i="15"/>
  <c r="T198" i="15"/>
  <c r="P198" i="15"/>
  <c r="X198" i="15" s="1"/>
  <c r="L198" i="15"/>
  <c r="N198" i="15" s="1"/>
  <c r="H198" i="15"/>
  <c r="D198" i="15"/>
  <c r="B198" i="15"/>
  <c r="X197" i="15"/>
  <c r="Z197" i="15" s="1"/>
  <c r="L197" i="15"/>
  <c r="N197" i="15" s="1"/>
  <c r="B197" i="15"/>
  <c r="T196" i="15"/>
  <c r="P196" i="15"/>
  <c r="X196" i="15" s="1"/>
  <c r="Z196" i="15" s="1"/>
  <c r="H196" i="15"/>
  <c r="D196" i="15"/>
  <c r="B196" i="15"/>
  <c r="Z195" i="15"/>
  <c r="X195" i="15"/>
  <c r="N195" i="15"/>
  <c r="L195" i="15"/>
  <c r="B195" i="15"/>
  <c r="X194" i="15"/>
  <c r="Z194" i="15" s="1"/>
  <c r="N194" i="15"/>
  <c r="L194" i="15"/>
  <c r="B194" i="15"/>
  <c r="T193" i="15"/>
  <c r="P193" i="15"/>
  <c r="X193" i="15" s="1"/>
  <c r="Z193" i="15" s="1"/>
  <c r="H193" i="15"/>
  <c r="D193" i="15"/>
  <c r="L193" i="15" s="1"/>
  <c r="N193" i="15" s="1"/>
  <c r="B193" i="15"/>
  <c r="X192" i="15"/>
  <c r="Z192" i="15" s="1"/>
  <c r="N192" i="15"/>
  <c r="L192" i="15"/>
  <c r="B192" i="15"/>
  <c r="Z191" i="15"/>
  <c r="X191" i="15"/>
  <c r="N191" i="15"/>
  <c r="L191" i="15"/>
  <c r="B191" i="15"/>
  <c r="T190" i="15"/>
  <c r="Z190" i="15" s="1"/>
  <c r="P190" i="15"/>
  <c r="X190" i="15" s="1"/>
  <c r="L190" i="15"/>
  <c r="N190" i="15" s="1"/>
  <c r="H190" i="15"/>
  <c r="D190" i="15"/>
  <c r="B190" i="15"/>
  <c r="X189" i="15"/>
  <c r="Z189" i="15" s="1"/>
  <c r="L189" i="15"/>
  <c r="N189" i="15" s="1"/>
  <c r="B189" i="15"/>
  <c r="T188" i="15"/>
  <c r="P188" i="15"/>
  <c r="X188" i="15" s="1"/>
  <c r="Z188" i="15" s="1"/>
  <c r="H188" i="15"/>
  <c r="D188" i="15"/>
  <c r="B188" i="15"/>
  <c r="Z187" i="15"/>
  <c r="X187" i="15"/>
  <c r="N187" i="15"/>
  <c r="L187" i="15"/>
  <c r="B187" i="15"/>
  <c r="X186" i="15"/>
  <c r="Z186" i="15" s="1"/>
  <c r="N186" i="15"/>
  <c r="L186" i="15"/>
  <c r="B186" i="15"/>
  <c r="T185" i="15"/>
  <c r="P185" i="15"/>
  <c r="X185" i="15" s="1"/>
  <c r="Z185" i="15" s="1"/>
  <c r="H185" i="15"/>
  <c r="D185" i="15"/>
  <c r="L185" i="15" s="1"/>
  <c r="N185" i="15" s="1"/>
  <c r="B185" i="15"/>
  <c r="X184" i="15"/>
  <c r="Z184" i="15" s="1"/>
  <c r="N184" i="15"/>
  <c r="L184" i="15"/>
  <c r="B184" i="15"/>
  <c r="T183" i="15"/>
  <c r="X183" i="15" s="1"/>
  <c r="Z183" i="15" s="1"/>
  <c r="R183" i="15"/>
  <c r="P183" i="15"/>
  <c r="L183" i="15"/>
  <c r="N183" i="15" s="1"/>
  <c r="H183" i="15"/>
  <c r="D183" i="15"/>
  <c r="B183" i="15"/>
  <c r="X182" i="15"/>
  <c r="Z182" i="15" s="1"/>
  <c r="R182" i="15"/>
  <c r="L182" i="15"/>
  <c r="N182" i="15" s="1"/>
  <c r="B182" i="15"/>
  <c r="X181" i="15"/>
  <c r="Z181" i="15" s="1"/>
  <c r="L181" i="15"/>
  <c r="N181" i="15" s="1"/>
  <c r="B181" i="15"/>
  <c r="Z180" i="15"/>
  <c r="X180" i="15"/>
  <c r="L180" i="15"/>
  <c r="N180" i="15" s="1"/>
  <c r="B180" i="15"/>
  <c r="Z179" i="15"/>
  <c r="X179" i="15"/>
  <c r="N179" i="15"/>
  <c r="L179" i="15"/>
  <c r="B179" i="15"/>
  <c r="X178" i="15"/>
  <c r="Z178" i="15" s="1"/>
  <c r="R178" i="15"/>
  <c r="L178" i="15"/>
  <c r="N178" i="15" s="1"/>
  <c r="B178" i="15"/>
  <c r="X177" i="15"/>
  <c r="Z177" i="15" s="1"/>
  <c r="L177" i="15"/>
  <c r="N177" i="15" s="1"/>
  <c r="B177" i="15"/>
  <c r="Z176" i="15"/>
  <c r="X176" i="15"/>
  <c r="L176" i="15"/>
  <c r="N176" i="15" s="1"/>
  <c r="B176" i="15"/>
  <c r="Z175" i="15"/>
  <c r="T175" i="15"/>
  <c r="P175" i="15"/>
  <c r="X175" i="15" s="1"/>
  <c r="H175" i="15"/>
  <c r="D175" i="15"/>
  <c r="L175" i="15" s="1"/>
  <c r="B175" i="15"/>
  <c r="X174" i="15"/>
  <c r="Z174" i="15" s="1"/>
  <c r="N174" i="15"/>
  <c r="L174" i="15"/>
  <c r="B174" i="15"/>
  <c r="X173" i="15"/>
  <c r="Z173" i="15" s="1"/>
  <c r="L173" i="15"/>
  <c r="N173" i="15" s="1"/>
  <c r="B173" i="15"/>
  <c r="X172" i="15"/>
  <c r="Z172" i="15" s="1"/>
  <c r="L172" i="15"/>
  <c r="N172" i="15" s="1"/>
  <c r="B172" i="15"/>
  <c r="Z171" i="15"/>
  <c r="X171" i="15"/>
  <c r="N171" i="15"/>
  <c r="L171" i="15"/>
  <c r="B171" i="15"/>
  <c r="Z170" i="15"/>
  <c r="X170" i="15"/>
  <c r="N170" i="15"/>
  <c r="L170" i="15"/>
  <c r="B170" i="15"/>
  <c r="X169" i="15"/>
  <c r="Z169" i="15" s="1"/>
  <c r="L169" i="15"/>
  <c r="N169" i="15" s="1"/>
  <c r="B169" i="15"/>
  <c r="X168" i="15"/>
  <c r="Z168" i="15" s="1"/>
  <c r="L168" i="15"/>
  <c r="N168" i="15" s="1"/>
  <c r="B168" i="15"/>
  <c r="Z167" i="15"/>
  <c r="X167" i="15"/>
  <c r="N167" i="15"/>
  <c r="L167" i="15"/>
  <c r="B167" i="15"/>
  <c r="X166" i="15"/>
  <c r="Z166" i="15" s="1"/>
  <c r="N166" i="15"/>
  <c r="L166" i="15"/>
  <c r="B166" i="15"/>
  <c r="X165" i="15"/>
  <c r="Z165" i="15" s="1"/>
  <c r="L165" i="15"/>
  <c r="N165" i="15" s="1"/>
  <c r="B165" i="15"/>
  <c r="T164" i="15"/>
  <c r="P164" i="15"/>
  <c r="X164" i="15" s="1"/>
  <c r="H164" i="15"/>
  <c r="L164" i="15" s="1"/>
  <c r="D164" i="15"/>
  <c r="B164" i="15"/>
  <c r="T163" i="15"/>
  <c r="X163" i="15" s="1"/>
  <c r="Z163" i="15" s="1"/>
  <c r="R163" i="15"/>
  <c r="P163" i="15"/>
  <c r="L163" i="15"/>
  <c r="H163" i="15"/>
  <c r="N163" i="15" s="1"/>
  <c r="D163" i="15"/>
  <c r="Z159" i="15"/>
  <c r="X159" i="15"/>
  <c r="N159" i="15"/>
  <c r="L159" i="15"/>
  <c r="B159" i="15"/>
  <c r="Z158" i="15"/>
  <c r="X158" i="15"/>
  <c r="L158" i="15"/>
  <c r="N158" i="15" s="1"/>
  <c r="B158" i="15"/>
  <c r="X157" i="15"/>
  <c r="Z157" i="15" s="1"/>
  <c r="L157" i="15"/>
  <c r="N157" i="15" s="1"/>
  <c r="B157" i="15"/>
  <c r="X156" i="15"/>
  <c r="Z156" i="15" s="1"/>
  <c r="N156" i="15"/>
  <c r="L156" i="15"/>
  <c r="B156" i="15"/>
  <c r="Z155" i="15"/>
  <c r="X155" i="15"/>
  <c r="N155" i="15"/>
  <c r="L155" i="15"/>
  <c r="B155" i="15"/>
  <c r="Z154" i="15"/>
  <c r="X154" i="15"/>
  <c r="L154" i="15"/>
  <c r="N154" i="15" s="1"/>
  <c r="B154" i="15"/>
  <c r="X153" i="15"/>
  <c r="Z153" i="15" s="1"/>
  <c r="L153" i="15"/>
  <c r="N153" i="15" s="1"/>
  <c r="B153" i="15"/>
  <c r="X152" i="15"/>
  <c r="Z152" i="15" s="1"/>
  <c r="N152" i="15"/>
  <c r="L152" i="15"/>
  <c r="B152" i="15"/>
  <c r="Z151" i="15"/>
  <c r="X151" i="15"/>
  <c r="N151" i="15"/>
  <c r="L151" i="15"/>
  <c r="B151" i="15"/>
  <c r="Z150" i="15"/>
  <c r="X150" i="15"/>
  <c r="N150" i="15"/>
  <c r="L150" i="15"/>
  <c r="B150" i="15"/>
  <c r="X149" i="15"/>
  <c r="Z149" i="15" s="1"/>
  <c r="L149" i="15"/>
  <c r="N149" i="15" s="1"/>
  <c r="B149" i="15"/>
  <c r="X148" i="15"/>
  <c r="Z148" i="15" s="1"/>
  <c r="N148" i="15"/>
  <c r="L148" i="15"/>
  <c r="B148" i="15"/>
  <c r="Z147" i="15"/>
  <c r="X147" i="15"/>
  <c r="N147" i="15"/>
  <c r="L147" i="15"/>
  <c r="B147" i="15"/>
  <c r="Z146" i="15"/>
  <c r="X146" i="15"/>
  <c r="N146" i="15"/>
  <c r="L146" i="15"/>
  <c r="B146" i="15"/>
  <c r="X145" i="15"/>
  <c r="Z145" i="15" s="1"/>
  <c r="L145" i="15"/>
  <c r="N145" i="15" s="1"/>
  <c r="B145" i="15"/>
  <c r="X144" i="15"/>
  <c r="Z144" i="15" s="1"/>
  <c r="N144" i="15"/>
  <c r="L144" i="15"/>
  <c r="B144" i="15"/>
  <c r="Z143" i="15"/>
  <c r="X143" i="15"/>
  <c r="N143" i="15"/>
  <c r="L143" i="15"/>
  <c r="B143" i="15"/>
  <c r="Z142" i="15"/>
  <c r="X142" i="15"/>
  <c r="L142" i="15"/>
  <c r="N142" i="15" s="1"/>
  <c r="B142" i="15"/>
  <c r="X141" i="15"/>
  <c r="Z141" i="15" s="1"/>
  <c r="L141" i="15"/>
  <c r="N141" i="15" s="1"/>
  <c r="B141" i="15"/>
  <c r="Z140" i="15"/>
  <c r="X140" i="15"/>
  <c r="N140" i="15"/>
  <c r="L140" i="15"/>
  <c r="B140" i="15"/>
  <c r="Z139" i="15"/>
  <c r="X139" i="15"/>
  <c r="N139" i="15"/>
  <c r="L139" i="15"/>
  <c r="B139" i="15"/>
  <c r="Z138" i="15"/>
  <c r="X138" i="15"/>
  <c r="L138" i="15"/>
  <c r="N138" i="15" s="1"/>
  <c r="B138" i="15"/>
  <c r="X137" i="15"/>
  <c r="Z137" i="15" s="1"/>
  <c r="L137" i="15"/>
  <c r="N137" i="15" s="1"/>
  <c r="B137" i="15"/>
  <c r="X136" i="15"/>
  <c r="Z136" i="15" s="1"/>
  <c r="N136" i="15"/>
  <c r="L136" i="15"/>
  <c r="B136" i="15"/>
  <c r="Z135" i="15"/>
  <c r="X135" i="15"/>
  <c r="N135" i="15"/>
  <c r="L135" i="15"/>
  <c r="B135" i="15"/>
  <c r="Z134" i="15"/>
  <c r="X134" i="15"/>
  <c r="L134" i="15"/>
  <c r="N134" i="15" s="1"/>
  <c r="B134" i="15"/>
  <c r="X133" i="15"/>
  <c r="Z133" i="15" s="1"/>
  <c r="L133" i="15"/>
  <c r="N133" i="15" s="1"/>
  <c r="B133" i="15"/>
  <c r="X132" i="15"/>
  <c r="Z132" i="15" s="1"/>
  <c r="N132" i="15"/>
  <c r="L132" i="15"/>
  <c r="B132" i="15"/>
  <c r="Z131" i="15"/>
  <c r="X131" i="15"/>
  <c r="N131" i="15"/>
  <c r="L131" i="15"/>
  <c r="B131" i="15"/>
  <c r="Z130" i="15"/>
  <c r="X130" i="15"/>
  <c r="L130" i="15"/>
  <c r="N130" i="15" s="1"/>
  <c r="B130" i="15"/>
  <c r="X129" i="15"/>
  <c r="Z129" i="15" s="1"/>
  <c r="L129" i="15"/>
  <c r="N129" i="15" s="1"/>
  <c r="B129" i="15"/>
  <c r="X128" i="15"/>
  <c r="Z128" i="15" s="1"/>
  <c r="N128" i="15"/>
  <c r="L128" i="15"/>
  <c r="B128" i="15"/>
  <c r="Z127" i="15"/>
  <c r="X127" i="15"/>
  <c r="N127" i="15"/>
  <c r="L127" i="15"/>
  <c r="B127" i="15"/>
  <c r="Z126" i="15"/>
  <c r="X126" i="15"/>
  <c r="L126" i="15"/>
  <c r="N126" i="15" s="1"/>
  <c r="B126" i="15"/>
  <c r="X125" i="15"/>
  <c r="Z125" i="15" s="1"/>
  <c r="L125" i="15"/>
  <c r="N125" i="15" s="1"/>
  <c r="B125" i="15"/>
  <c r="X124" i="15"/>
  <c r="Z124" i="15" s="1"/>
  <c r="N124" i="15"/>
  <c r="L124" i="15"/>
  <c r="B124" i="15"/>
  <c r="Z123" i="15"/>
  <c r="X123" i="15"/>
  <c r="N123" i="15"/>
  <c r="L123" i="15"/>
  <c r="B123" i="15"/>
  <c r="Z122" i="15"/>
  <c r="X122" i="15"/>
  <c r="L122" i="15"/>
  <c r="N122" i="15" s="1"/>
  <c r="B122" i="15"/>
  <c r="X121" i="15"/>
  <c r="Z121" i="15" s="1"/>
  <c r="L121" i="15"/>
  <c r="N121" i="15" s="1"/>
  <c r="B121" i="15"/>
  <c r="X120" i="15"/>
  <c r="Z120" i="15" s="1"/>
  <c r="L120" i="15"/>
  <c r="N120" i="15" s="1"/>
  <c r="B120" i="15"/>
  <c r="Z119" i="15"/>
  <c r="X119" i="15"/>
  <c r="N119" i="15"/>
  <c r="L119" i="15"/>
  <c r="B119" i="15"/>
  <c r="Z118" i="15"/>
  <c r="X118" i="15"/>
  <c r="L118" i="15"/>
  <c r="N118" i="15" s="1"/>
  <c r="B118" i="15"/>
  <c r="Z117" i="15"/>
  <c r="X117" i="15"/>
  <c r="N117" i="15"/>
  <c r="L117" i="15"/>
  <c r="B117" i="15"/>
  <c r="X116" i="15"/>
  <c r="Z116" i="15" s="1"/>
  <c r="L116" i="15"/>
  <c r="N116" i="15" s="1"/>
  <c r="B116" i="15"/>
  <c r="Z115" i="15"/>
  <c r="X115" i="15"/>
  <c r="N115" i="15"/>
  <c r="L115" i="15"/>
  <c r="B115" i="15"/>
  <c r="Z114" i="15"/>
  <c r="X114" i="15"/>
  <c r="L114" i="15"/>
  <c r="N114" i="15" s="1"/>
  <c r="B114" i="15"/>
  <c r="X113" i="15"/>
  <c r="Z113" i="15" s="1"/>
  <c r="L113" i="15"/>
  <c r="N113" i="15" s="1"/>
  <c r="B113" i="15"/>
  <c r="X112" i="15"/>
  <c r="Z112" i="15" s="1"/>
  <c r="N112" i="15"/>
  <c r="L112" i="15"/>
  <c r="B112" i="15"/>
  <c r="Z111" i="15"/>
  <c r="X111" i="15"/>
  <c r="N111" i="15"/>
  <c r="L111" i="15"/>
  <c r="B111" i="15"/>
  <c r="Z110" i="15"/>
  <c r="X110" i="15"/>
  <c r="L110" i="15"/>
  <c r="N110" i="15" s="1"/>
  <c r="B110" i="15"/>
  <c r="X109" i="15"/>
  <c r="T109" i="15"/>
  <c r="Z109" i="15" s="1"/>
  <c r="P109" i="15"/>
  <c r="H109" i="15"/>
  <c r="D109" i="15"/>
  <c r="L109" i="15" s="1"/>
  <c r="N109" i="15" s="1"/>
  <c r="T107" i="15"/>
  <c r="P107" i="15"/>
  <c r="H107" i="15"/>
  <c r="N107" i="15" s="1"/>
  <c r="D107" i="15"/>
  <c r="B107" i="15"/>
  <c r="X106" i="15"/>
  <c r="Z106" i="15" s="1"/>
  <c r="T106" i="15"/>
  <c r="P106" i="15"/>
  <c r="N106" i="15"/>
  <c r="L106" i="15"/>
  <c r="H106" i="15"/>
  <c r="D106" i="15"/>
  <c r="B106" i="15"/>
  <c r="T105" i="15"/>
  <c r="P105" i="15"/>
  <c r="X105" i="15" s="1"/>
  <c r="Z105" i="15" s="1"/>
  <c r="N105" i="15"/>
  <c r="H105" i="15"/>
  <c r="D105" i="15"/>
  <c r="L105" i="15" s="1"/>
  <c r="B105" i="15"/>
  <c r="T104" i="15"/>
  <c r="Z104" i="15" s="1"/>
  <c r="P104" i="15"/>
  <c r="X104" i="15" s="1"/>
  <c r="H104" i="15"/>
  <c r="N104" i="15" s="1"/>
  <c r="D104" i="15"/>
  <c r="L104" i="15" s="1"/>
  <c r="B104" i="15"/>
  <c r="T103" i="15"/>
  <c r="P103" i="15"/>
  <c r="H103" i="15"/>
  <c r="D103" i="15"/>
  <c r="B103" i="15"/>
  <c r="X102" i="15"/>
  <c r="Z102" i="15" s="1"/>
  <c r="T102" i="15"/>
  <c r="P102" i="15"/>
  <c r="L102" i="15"/>
  <c r="N102" i="15" s="1"/>
  <c r="H102" i="15"/>
  <c r="D102" i="15"/>
  <c r="B102" i="15"/>
  <c r="T101" i="15"/>
  <c r="P101" i="15"/>
  <c r="X101" i="15" s="1"/>
  <c r="Z101" i="15" s="1"/>
  <c r="N101" i="15"/>
  <c r="H101" i="15"/>
  <c r="D101" i="15"/>
  <c r="L101" i="15" s="1"/>
  <c r="B101" i="15"/>
  <c r="T100" i="15"/>
  <c r="P100" i="15"/>
  <c r="X100" i="15" s="1"/>
  <c r="H100" i="15"/>
  <c r="N100" i="15" s="1"/>
  <c r="D100" i="15"/>
  <c r="L100" i="15" s="1"/>
  <c r="B100" i="15"/>
  <c r="T99" i="15"/>
  <c r="P99" i="15"/>
  <c r="H99" i="15"/>
  <c r="D99" i="15"/>
  <c r="B99" i="15"/>
  <c r="X98" i="15"/>
  <c r="Z98" i="15" s="1"/>
  <c r="T98" i="15"/>
  <c r="P98" i="15"/>
  <c r="N98" i="15"/>
  <c r="L98" i="15"/>
  <c r="H98" i="15"/>
  <c r="D98" i="15"/>
  <c r="B98" i="15"/>
  <c r="T97" i="15"/>
  <c r="P97" i="15"/>
  <c r="X97" i="15" s="1"/>
  <c r="Z97" i="15" s="1"/>
  <c r="N97" i="15"/>
  <c r="H97" i="15"/>
  <c r="D97" i="15"/>
  <c r="L97" i="15" s="1"/>
  <c r="B97" i="15"/>
  <c r="T96" i="15"/>
  <c r="P96" i="15"/>
  <c r="X96" i="15" s="1"/>
  <c r="H96" i="15"/>
  <c r="N96" i="15" s="1"/>
  <c r="D96" i="15"/>
  <c r="L96" i="15" s="1"/>
  <c r="B96" i="15"/>
  <c r="T95" i="15"/>
  <c r="P95" i="15"/>
  <c r="H95" i="15"/>
  <c r="N95" i="15" s="1"/>
  <c r="D95" i="15"/>
  <c r="B95" i="15"/>
  <c r="X94" i="15"/>
  <c r="Z94" i="15" s="1"/>
  <c r="T94" i="15"/>
  <c r="P94" i="15"/>
  <c r="N94" i="15"/>
  <c r="L94" i="15"/>
  <c r="H94" i="15"/>
  <c r="D94" i="15"/>
  <c r="B94" i="15"/>
  <c r="T93" i="15"/>
  <c r="P93" i="15"/>
  <c r="X93" i="15" s="1"/>
  <c r="Z93" i="15" s="1"/>
  <c r="N93" i="15"/>
  <c r="H93" i="15"/>
  <c r="D93" i="15"/>
  <c r="L93" i="15" s="1"/>
  <c r="B93" i="15"/>
  <c r="T92" i="15"/>
  <c r="P92" i="15"/>
  <c r="X92" i="15" s="1"/>
  <c r="H92" i="15"/>
  <c r="N92" i="15" s="1"/>
  <c r="D92" i="15"/>
  <c r="L92" i="15" s="1"/>
  <c r="B92" i="15"/>
  <c r="T91" i="15"/>
  <c r="P91" i="15"/>
  <c r="H91" i="15"/>
  <c r="D91" i="15"/>
  <c r="B91" i="15"/>
  <c r="X90" i="15"/>
  <c r="Z90" i="15" s="1"/>
  <c r="T90" i="15"/>
  <c r="P90" i="15"/>
  <c r="L90" i="15"/>
  <c r="N90" i="15" s="1"/>
  <c r="H90" i="15"/>
  <c r="D90" i="15"/>
  <c r="B90" i="15"/>
  <c r="T89" i="15"/>
  <c r="P89" i="15"/>
  <c r="X89" i="15" s="1"/>
  <c r="Z89" i="15" s="1"/>
  <c r="H89" i="15"/>
  <c r="D89" i="15"/>
  <c r="L89" i="15" s="1"/>
  <c r="N89" i="15" s="1"/>
  <c r="B89" i="15"/>
  <c r="T88" i="15"/>
  <c r="P88" i="15"/>
  <c r="X88" i="15" s="1"/>
  <c r="H88" i="15"/>
  <c r="N88" i="15" s="1"/>
  <c r="D88" i="15"/>
  <c r="L88" i="15" s="1"/>
  <c r="B88" i="15"/>
  <c r="T87" i="15"/>
  <c r="P87" i="15"/>
  <c r="H87" i="15"/>
  <c r="D87" i="15"/>
  <c r="B87" i="15"/>
  <c r="X86" i="15"/>
  <c r="Z86" i="15" s="1"/>
  <c r="T86" i="15"/>
  <c r="P86" i="15"/>
  <c r="N86" i="15"/>
  <c r="L86" i="15"/>
  <c r="H86" i="15"/>
  <c r="D86" i="15"/>
  <c r="B86" i="15"/>
  <c r="T85" i="15"/>
  <c r="P85" i="15"/>
  <c r="X85" i="15" s="1"/>
  <c r="Z85" i="15" s="1"/>
  <c r="H85" i="15"/>
  <c r="D85" i="15"/>
  <c r="L85" i="15" s="1"/>
  <c r="N85" i="15" s="1"/>
  <c r="B85" i="15"/>
  <c r="T84" i="15"/>
  <c r="P84" i="15"/>
  <c r="X84" i="15" s="1"/>
  <c r="H84" i="15"/>
  <c r="N84" i="15" s="1"/>
  <c r="D84" i="15"/>
  <c r="L84" i="15" s="1"/>
  <c r="B84" i="15"/>
  <c r="T83" i="15"/>
  <c r="P83" i="15"/>
  <c r="H83" i="15"/>
  <c r="D83" i="15"/>
  <c r="B83" i="15"/>
  <c r="X82" i="15"/>
  <c r="Z82" i="15" s="1"/>
  <c r="T82" i="15"/>
  <c r="P82" i="15"/>
  <c r="L82" i="15"/>
  <c r="N82" i="15" s="1"/>
  <c r="H82" i="15"/>
  <c r="D82" i="15"/>
  <c r="B82" i="15"/>
  <c r="T81" i="15"/>
  <c r="P81" i="15"/>
  <c r="X81" i="15" s="1"/>
  <c r="Z81" i="15" s="1"/>
  <c r="N81" i="15"/>
  <c r="H81" i="15"/>
  <c r="D81" i="15"/>
  <c r="L81" i="15" s="1"/>
  <c r="B81" i="15"/>
  <c r="T80" i="15"/>
  <c r="P80" i="15"/>
  <c r="X80" i="15" s="1"/>
  <c r="H80" i="15"/>
  <c r="N80" i="15" s="1"/>
  <c r="D80" i="15"/>
  <c r="L80" i="15" s="1"/>
  <c r="B80" i="15"/>
  <c r="T79" i="15"/>
  <c r="P79" i="15"/>
  <c r="H79" i="15"/>
  <c r="N79" i="15" s="1"/>
  <c r="D79" i="15"/>
  <c r="B79" i="15"/>
  <c r="X78" i="15"/>
  <c r="Z78" i="15" s="1"/>
  <c r="T78" i="15"/>
  <c r="P78" i="15"/>
  <c r="L78" i="15"/>
  <c r="N78" i="15" s="1"/>
  <c r="H78" i="15"/>
  <c r="D78" i="15"/>
  <c r="B78" i="15"/>
  <c r="T77" i="15"/>
  <c r="P77" i="15"/>
  <c r="X77" i="15" s="1"/>
  <c r="Z77" i="15" s="1"/>
  <c r="N77" i="15"/>
  <c r="H77" i="15"/>
  <c r="D77" i="15"/>
  <c r="L77" i="15" s="1"/>
  <c r="B77" i="15"/>
  <c r="T76" i="15"/>
  <c r="Z76" i="15" s="1"/>
  <c r="P76" i="15"/>
  <c r="X76" i="15" s="1"/>
  <c r="H76" i="15"/>
  <c r="N76" i="15" s="1"/>
  <c r="D76" i="15"/>
  <c r="L76" i="15" s="1"/>
  <c r="B76" i="15"/>
  <c r="T75" i="15"/>
  <c r="P75" i="15"/>
  <c r="H75" i="15"/>
  <c r="D75" i="15"/>
  <c r="B75" i="15"/>
  <c r="X74" i="15"/>
  <c r="Z74" i="15" s="1"/>
  <c r="T74" i="15"/>
  <c r="P74" i="15"/>
  <c r="L74" i="15"/>
  <c r="N74" i="15" s="1"/>
  <c r="H74" i="15"/>
  <c r="D74" i="15"/>
  <c r="B74" i="15"/>
  <c r="T73" i="15"/>
  <c r="P73" i="15"/>
  <c r="X73" i="15" s="1"/>
  <c r="Z73" i="15" s="1"/>
  <c r="N73" i="15"/>
  <c r="H73" i="15"/>
  <c r="D73" i="15"/>
  <c r="L73" i="15" s="1"/>
  <c r="B73" i="15"/>
  <c r="T72" i="15"/>
  <c r="P72" i="15"/>
  <c r="X72" i="15" s="1"/>
  <c r="H72" i="15"/>
  <c r="D72" i="15"/>
  <c r="L72" i="15" s="1"/>
  <c r="B72" i="15"/>
  <c r="T71" i="15"/>
  <c r="P71" i="15"/>
  <c r="H71" i="15"/>
  <c r="D71" i="15"/>
  <c r="B71" i="15"/>
  <c r="X70" i="15"/>
  <c r="Z70" i="15" s="1"/>
  <c r="T70" i="15"/>
  <c r="P70" i="15"/>
  <c r="N70" i="15"/>
  <c r="L70" i="15"/>
  <c r="H70" i="15"/>
  <c r="D70" i="15"/>
  <c r="B70" i="15"/>
  <c r="T69" i="15"/>
  <c r="P69" i="15"/>
  <c r="X69" i="15" s="1"/>
  <c r="Z69" i="15" s="1"/>
  <c r="H69" i="15"/>
  <c r="D69" i="15"/>
  <c r="L69" i="15" s="1"/>
  <c r="N69" i="15" s="1"/>
  <c r="B69" i="15"/>
  <c r="T68" i="15"/>
  <c r="P68" i="15"/>
  <c r="X68" i="15" s="1"/>
  <c r="H68" i="15"/>
  <c r="D68" i="15"/>
  <c r="L68" i="15" s="1"/>
  <c r="B68" i="15"/>
  <c r="T67" i="15"/>
  <c r="P67" i="15"/>
  <c r="H67" i="15"/>
  <c r="D67" i="15"/>
  <c r="B67" i="15"/>
  <c r="X66" i="15"/>
  <c r="Z66" i="15" s="1"/>
  <c r="T66" i="15"/>
  <c r="P66" i="15"/>
  <c r="L66" i="15"/>
  <c r="N66" i="15" s="1"/>
  <c r="H66" i="15"/>
  <c r="D66" i="15"/>
  <c r="B66" i="15"/>
  <c r="T65" i="15"/>
  <c r="P65" i="15"/>
  <c r="X65" i="15" s="1"/>
  <c r="Z65" i="15" s="1"/>
  <c r="N65" i="15"/>
  <c r="H65" i="15"/>
  <c r="D65" i="15"/>
  <c r="L65" i="15" s="1"/>
  <c r="B65" i="15"/>
  <c r="T64" i="15"/>
  <c r="Z64" i="15" s="1"/>
  <c r="P64" i="15"/>
  <c r="X64" i="15" s="1"/>
  <c r="H64" i="15"/>
  <c r="N64" i="15" s="1"/>
  <c r="D64" i="15"/>
  <c r="L64" i="15" s="1"/>
  <c r="B64" i="15"/>
  <c r="T63" i="15"/>
  <c r="P63" i="15"/>
  <c r="H63" i="15"/>
  <c r="D63" i="15"/>
  <c r="B63" i="15"/>
  <c r="X62" i="15"/>
  <c r="Z62" i="15" s="1"/>
  <c r="T62" i="15"/>
  <c r="P62" i="15"/>
  <c r="L62" i="15"/>
  <c r="N62" i="15" s="1"/>
  <c r="H62" i="15"/>
  <c r="D62" i="15"/>
  <c r="B62" i="15"/>
  <c r="T61" i="15"/>
  <c r="P61" i="15"/>
  <c r="X61" i="15" s="1"/>
  <c r="Z61" i="15" s="1"/>
  <c r="N61" i="15"/>
  <c r="H61" i="15"/>
  <c r="D61" i="15"/>
  <c r="L61" i="15" s="1"/>
  <c r="B61" i="15"/>
  <c r="T60" i="15"/>
  <c r="P60" i="15"/>
  <c r="X60" i="15" s="1"/>
  <c r="H60" i="15"/>
  <c r="D60" i="15"/>
  <c r="L60" i="15" s="1"/>
  <c r="B60" i="15"/>
  <c r="T59" i="15"/>
  <c r="P59" i="15"/>
  <c r="H59" i="15"/>
  <c r="D59" i="15"/>
  <c r="B59" i="15"/>
  <c r="X58" i="15"/>
  <c r="Z58" i="15" s="1"/>
  <c r="T58" i="15"/>
  <c r="P58" i="15"/>
  <c r="L58" i="15"/>
  <c r="N58" i="15" s="1"/>
  <c r="H58" i="15"/>
  <c r="D58" i="15"/>
  <c r="B58" i="15"/>
  <c r="T57" i="15"/>
  <c r="P57" i="15"/>
  <c r="X57" i="15" s="1"/>
  <c r="Z57" i="15" s="1"/>
  <c r="N57" i="15"/>
  <c r="H57" i="15"/>
  <c r="D57" i="15"/>
  <c r="L57" i="15" s="1"/>
  <c r="B57" i="15"/>
  <c r="T56" i="15"/>
  <c r="Z56" i="15" s="1"/>
  <c r="P56" i="15"/>
  <c r="X56" i="15" s="1"/>
  <c r="H56" i="15"/>
  <c r="N56" i="15" s="1"/>
  <c r="D56" i="15"/>
  <c r="L56" i="15" s="1"/>
  <c r="B56" i="15"/>
  <c r="T55" i="15"/>
  <c r="P55" i="15"/>
  <c r="H55" i="15"/>
  <c r="D55" i="15"/>
  <c r="B55" i="15"/>
  <c r="X54" i="15"/>
  <c r="Z54" i="15" s="1"/>
  <c r="T54" i="15"/>
  <c r="P54" i="15"/>
  <c r="L54" i="15"/>
  <c r="N54" i="15" s="1"/>
  <c r="H54" i="15"/>
  <c r="D54" i="15"/>
  <c r="B54" i="15"/>
  <c r="T53" i="15"/>
  <c r="P53" i="15"/>
  <c r="X53" i="15" s="1"/>
  <c r="Z53" i="15" s="1"/>
  <c r="N53" i="15"/>
  <c r="H53" i="15"/>
  <c r="D53" i="15"/>
  <c r="L53" i="15" s="1"/>
  <c r="B53" i="15"/>
  <c r="T52" i="15"/>
  <c r="P52" i="15"/>
  <c r="X52" i="15" s="1"/>
  <c r="H52" i="15"/>
  <c r="D52" i="15"/>
  <c r="L52" i="15" s="1"/>
  <c r="B52" i="15"/>
  <c r="T51" i="15"/>
  <c r="P51" i="15"/>
  <c r="H51" i="15"/>
  <c r="D51" i="15"/>
  <c r="B51" i="15"/>
  <c r="X50" i="15"/>
  <c r="Z50" i="15" s="1"/>
  <c r="T50" i="15"/>
  <c r="P50" i="15"/>
  <c r="N50" i="15"/>
  <c r="L50" i="15"/>
  <c r="H50" i="15"/>
  <c r="D50" i="15"/>
  <c r="B50" i="15"/>
  <c r="T49" i="15"/>
  <c r="P49" i="15"/>
  <c r="X49" i="15" s="1"/>
  <c r="Z49" i="15" s="1"/>
  <c r="N49" i="15"/>
  <c r="H49" i="15"/>
  <c r="D49" i="15"/>
  <c r="L49" i="15" s="1"/>
  <c r="B49" i="15"/>
  <c r="T48" i="15"/>
  <c r="P48" i="15"/>
  <c r="X48" i="15" s="1"/>
  <c r="H48" i="15"/>
  <c r="D48" i="15"/>
  <c r="L48" i="15" s="1"/>
  <c r="B48" i="15"/>
  <c r="T47" i="15"/>
  <c r="P47" i="15"/>
  <c r="H47" i="15"/>
  <c r="D47" i="15"/>
  <c r="B47" i="15"/>
  <c r="X46" i="15"/>
  <c r="Z46" i="15" s="1"/>
  <c r="T46" i="15"/>
  <c r="P46" i="15"/>
  <c r="N46" i="15"/>
  <c r="L46" i="15"/>
  <c r="H46" i="15"/>
  <c r="D46" i="15"/>
  <c r="B46" i="15"/>
  <c r="T45" i="15"/>
  <c r="P45" i="15"/>
  <c r="X45" i="15" s="1"/>
  <c r="Z45" i="15" s="1"/>
  <c r="N45" i="15"/>
  <c r="H45" i="15"/>
  <c r="D45" i="15"/>
  <c r="L45" i="15" s="1"/>
  <c r="B45" i="15"/>
  <c r="T44" i="15"/>
  <c r="P44" i="15"/>
  <c r="X44" i="15" s="1"/>
  <c r="H44" i="15"/>
  <c r="D44" i="15"/>
  <c r="L44" i="15" s="1"/>
  <c r="B44" i="15"/>
  <c r="T43" i="15"/>
  <c r="P43" i="15"/>
  <c r="H43" i="15"/>
  <c r="D43" i="15"/>
  <c r="B43" i="15"/>
  <c r="X42" i="15"/>
  <c r="Z42" i="15" s="1"/>
  <c r="T42" i="15"/>
  <c r="P42" i="15"/>
  <c r="L42" i="15"/>
  <c r="N42" i="15" s="1"/>
  <c r="H42" i="15"/>
  <c r="D42" i="15"/>
  <c r="B42" i="15"/>
  <c r="T41" i="15"/>
  <c r="P41" i="15"/>
  <c r="X41" i="15" s="1"/>
  <c r="Z41" i="15" s="1"/>
  <c r="H41" i="15"/>
  <c r="D41" i="15"/>
  <c r="L41" i="15" s="1"/>
  <c r="N41" i="15" s="1"/>
  <c r="B41" i="15"/>
  <c r="T40" i="15"/>
  <c r="P40" i="15"/>
  <c r="X40" i="15" s="1"/>
  <c r="H40" i="15"/>
  <c r="N40" i="15" s="1"/>
  <c r="D40" i="15"/>
  <c r="L40" i="15" s="1"/>
  <c r="B40" i="15"/>
  <c r="T39" i="15"/>
  <c r="P39" i="15"/>
  <c r="H39" i="15"/>
  <c r="D39" i="15"/>
  <c r="B39" i="15"/>
  <c r="X38" i="15"/>
  <c r="Z38" i="15" s="1"/>
  <c r="T38" i="15"/>
  <c r="P38" i="15"/>
  <c r="L38" i="15"/>
  <c r="N38" i="15" s="1"/>
  <c r="H38" i="15"/>
  <c r="D38" i="15"/>
  <c r="B38" i="15"/>
  <c r="T37" i="15"/>
  <c r="P37" i="15"/>
  <c r="X37" i="15" s="1"/>
  <c r="Z37" i="15" s="1"/>
  <c r="H37" i="15"/>
  <c r="D37" i="15"/>
  <c r="L37" i="15" s="1"/>
  <c r="N37" i="15" s="1"/>
  <c r="B37" i="15"/>
  <c r="T36" i="15"/>
  <c r="Z36" i="15" s="1"/>
  <c r="P36" i="15"/>
  <c r="X36" i="15" s="1"/>
  <c r="H36" i="15"/>
  <c r="D36" i="15"/>
  <c r="L36" i="15" s="1"/>
  <c r="B36" i="15"/>
  <c r="T35" i="15"/>
  <c r="P35" i="15"/>
  <c r="H35" i="15"/>
  <c r="D35" i="15"/>
  <c r="B35" i="15"/>
  <c r="X34" i="15"/>
  <c r="Z34" i="15" s="1"/>
  <c r="T34" i="15"/>
  <c r="P34" i="15"/>
  <c r="L34" i="15"/>
  <c r="N34" i="15" s="1"/>
  <c r="H34" i="15"/>
  <c r="D34" i="15"/>
  <c r="B34" i="15"/>
  <c r="T33" i="15"/>
  <c r="P33" i="15"/>
  <c r="X33" i="15" s="1"/>
  <c r="Z33" i="15" s="1"/>
  <c r="N33" i="15"/>
  <c r="H33" i="15"/>
  <c r="D33" i="15"/>
  <c r="L33" i="15" s="1"/>
  <c r="B33" i="15"/>
  <c r="T32" i="15"/>
  <c r="Z32" i="15" s="1"/>
  <c r="P32" i="15"/>
  <c r="X32" i="15" s="1"/>
  <c r="H32" i="15"/>
  <c r="D32" i="15"/>
  <c r="L32" i="15" s="1"/>
  <c r="B32" i="15"/>
  <c r="T31" i="15"/>
  <c r="P31" i="15"/>
  <c r="H31" i="15"/>
  <c r="D31" i="15"/>
  <c r="B31" i="15"/>
  <c r="X30" i="15"/>
  <c r="Z30" i="15" s="1"/>
  <c r="T30" i="15"/>
  <c r="P30" i="15"/>
  <c r="L30" i="15"/>
  <c r="N30" i="15" s="1"/>
  <c r="H30" i="15"/>
  <c r="D30" i="15"/>
  <c r="B30" i="15"/>
  <c r="T29" i="15"/>
  <c r="P29" i="15"/>
  <c r="X29" i="15" s="1"/>
  <c r="Z29" i="15" s="1"/>
  <c r="N29" i="15"/>
  <c r="H29" i="15"/>
  <c r="D29" i="15"/>
  <c r="L29" i="15" s="1"/>
  <c r="B29" i="15"/>
  <c r="T28" i="15"/>
  <c r="P28" i="15"/>
  <c r="X28" i="15" s="1"/>
  <c r="H28" i="15"/>
  <c r="N28" i="15" s="1"/>
  <c r="D28" i="15"/>
  <c r="L28" i="15" s="1"/>
  <c r="B28" i="15"/>
  <c r="T27" i="15"/>
  <c r="P27" i="15"/>
  <c r="H27" i="15"/>
  <c r="D27" i="15"/>
  <c r="B27" i="15"/>
  <c r="X26" i="15"/>
  <c r="Z26" i="15" s="1"/>
  <c r="T26" i="15"/>
  <c r="P26" i="15"/>
  <c r="L26" i="15"/>
  <c r="N26" i="15" s="1"/>
  <c r="H26" i="15"/>
  <c r="D26" i="15"/>
  <c r="B26" i="15"/>
  <c r="T25" i="15"/>
  <c r="P25" i="15"/>
  <c r="X25" i="15" s="1"/>
  <c r="Z25" i="15" s="1"/>
  <c r="H25" i="15"/>
  <c r="D25" i="15"/>
  <c r="L25" i="15" s="1"/>
  <c r="N25" i="15" s="1"/>
  <c r="B25" i="15"/>
  <c r="T24" i="15"/>
  <c r="P24" i="15"/>
  <c r="X24" i="15" s="1"/>
  <c r="H24" i="15"/>
  <c r="N24" i="15" s="1"/>
  <c r="D24" i="15"/>
  <c r="L24" i="15" s="1"/>
  <c r="B24" i="15"/>
  <c r="T23" i="15"/>
  <c r="P23" i="15"/>
  <c r="H23" i="15"/>
  <c r="D23" i="15"/>
  <c r="B23" i="15"/>
  <c r="X22" i="15"/>
  <c r="Z22" i="15" s="1"/>
  <c r="T22" i="15"/>
  <c r="P22" i="15"/>
  <c r="L22" i="15"/>
  <c r="N22" i="15" s="1"/>
  <c r="H22" i="15"/>
  <c r="D22" i="15"/>
  <c r="B22" i="15"/>
  <c r="T21" i="15"/>
  <c r="P21" i="15"/>
  <c r="X21" i="15" s="1"/>
  <c r="Z21" i="15" s="1"/>
  <c r="N21" i="15"/>
  <c r="H21" i="15"/>
  <c r="D21" i="15"/>
  <c r="L21" i="15" s="1"/>
  <c r="B21" i="15"/>
  <c r="T20" i="15"/>
  <c r="P20" i="15"/>
  <c r="X20" i="15" s="1"/>
  <c r="H20" i="15"/>
  <c r="D20" i="15"/>
  <c r="L20" i="15" s="1"/>
  <c r="B20" i="15"/>
  <c r="T19" i="15"/>
  <c r="P19" i="15"/>
  <c r="H19" i="15"/>
  <c r="D19" i="15"/>
  <c r="B19" i="15"/>
  <c r="X18" i="15"/>
  <c r="Z18" i="15" s="1"/>
  <c r="T18" i="15"/>
  <c r="P18" i="15"/>
  <c r="L18" i="15"/>
  <c r="N18" i="15" s="1"/>
  <c r="H18" i="15"/>
  <c r="D18" i="15"/>
  <c r="B18" i="15"/>
  <c r="T17" i="15"/>
  <c r="P17" i="15"/>
  <c r="X17" i="15" s="1"/>
  <c r="Z17" i="15" s="1"/>
  <c r="N17" i="15"/>
  <c r="H17" i="15"/>
  <c r="D17" i="15"/>
  <c r="L17" i="15" s="1"/>
  <c r="B17" i="15"/>
  <c r="T16" i="15"/>
  <c r="Z16" i="15" s="1"/>
  <c r="P16" i="15"/>
  <c r="X16" i="15" s="1"/>
  <c r="H16" i="15"/>
  <c r="D16" i="15"/>
  <c r="L16" i="15" s="1"/>
  <c r="B16" i="15"/>
  <c r="T15" i="15"/>
  <c r="P15" i="15"/>
  <c r="H15" i="15"/>
  <c r="D15" i="15"/>
  <c r="B15" i="15"/>
  <c r="X14" i="15"/>
  <c r="Z14" i="15" s="1"/>
  <c r="T14" i="15"/>
  <c r="P14" i="15"/>
  <c r="L14" i="15"/>
  <c r="N14" i="15" s="1"/>
  <c r="H14" i="15"/>
  <c r="D14" i="15"/>
  <c r="B14" i="15"/>
  <c r="Z13" i="15"/>
  <c r="T13" i="15"/>
  <c r="P13" i="15"/>
  <c r="X13" i="15" s="1"/>
  <c r="N13" i="15"/>
  <c r="H13" i="15"/>
  <c r="D13" i="15"/>
  <c r="L13" i="15" s="1"/>
  <c r="B13" i="15"/>
  <c r="P12" i="15"/>
  <c r="R244" i="15" s="1"/>
  <c r="D4" i="15"/>
  <c r="Z274" i="12"/>
  <c r="X274" i="12"/>
  <c r="N274" i="12"/>
  <c r="L274" i="12"/>
  <c r="T270" i="12"/>
  <c r="X270" i="12" s="1"/>
  <c r="Z270" i="12" s="1"/>
  <c r="P270" i="12"/>
  <c r="L270" i="12"/>
  <c r="N270" i="12" s="1"/>
  <c r="H270" i="12"/>
  <c r="D270" i="12"/>
  <c r="B270" i="12"/>
  <c r="T269" i="12"/>
  <c r="P269" i="12"/>
  <c r="X269" i="12" s="1"/>
  <c r="N269" i="12"/>
  <c r="L269" i="12"/>
  <c r="H269" i="12"/>
  <c r="D269" i="12"/>
  <c r="B269" i="12"/>
  <c r="T268" i="12"/>
  <c r="Z268" i="12" s="1"/>
  <c r="P268" i="12"/>
  <c r="X268" i="12" s="1"/>
  <c r="N268" i="12"/>
  <c r="H268" i="12"/>
  <c r="D268" i="12"/>
  <c r="L268" i="12" s="1"/>
  <c r="B268" i="12"/>
  <c r="T267" i="12"/>
  <c r="P267" i="12"/>
  <c r="X267" i="12" s="1"/>
  <c r="Z267" i="12" s="1"/>
  <c r="H267" i="12"/>
  <c r="D267" i="12"/>
  <c r="B267" i="12"/>
  <c r="T266" i="12"/>
  <c r="X266" i="12" s="1"/>
  <c r="Z266" i="12" s="1"/>
  <c r="P266" i="12"/>
  <c r="H266" i="12"/>
  <c r="D266" i="12"/>
  <c r="L266" i="12" s="1"/>
  <c r="N266" i="12" s="1"/>
  <c r="B266" i="12"/>
  <c r="T265" i="12"/>
  <c r="P265" i="12"/>
  <c r="X265" i="12" s="1"/>
  <c r="L265" i="12"/>
  <c r="N265" i="12" s="1"/>
  <c r="H265" i="12"/>
  <c r="D265" i="12"/>
  <c r="B265" i="12"/>
  <c r="X264" i="12"/>
  <c r="Z264" i="12" s="1"/>
  <c r="T264" i="12"/>
  <c r="P264" i="12"/>
  <c r="N264" i="12"/>
  <c r="H264" i="12"/>
  <c r="L264" i="12" s="1"/>
  <c r="D264" i="12"/>
  <c r="B264" i="12"/>
  <c r="T263" i="12"/>
  <c r="P263" i="12"/>
  <c r="X263" i="12" s="1"/>
  <c r="Z263" i="12" s="1"/>
  <c r="H263" i="12"/>
  <c r="H261" i="12" s="1"/>
  <c r="D263" i="12"/>
  <c r="L263" i="12" s="1"/>
  <c r="B263" i="12"/>
  <c r="T262" i="12"/>
  <c r="P262" i="12"/>
  <c r="H262" i="12"/>
  <c r="D262" i="12"/>
  <c r="L262" i="12" s="1"/>
  <c r="B262" i="12"/>
  <c r="T261" i="12"/>
  <c r="D261" i="12"/>
  <c r="X259" i="12"/>
  <c r="Z259" i="12" s="1"/>
  <c r="N259" i="12"/>
  <c r="L259" i="12"/>
  <c r="B259" i="12"/>
  <c r="X258" i="12"/>
  <c r="Z258" i="12" s="1"/>
  <c r="T258" i="12"/>
  <c r="P258" i="12"/>
  <c r="H258" i="12"/>
  <c r="L258" i="12" s="1"/>
  <c r="N258" i="12" s="1"/>
  <c r="D258" i="12"/>
  <c r="B258" i="12"/>
  <c r="X257" i="12"/>
  <c r="Z257" i="12" s="1"/>
  <c r="L257" i="12"/>
  <c r="N257" i="12" s="1"/>
  <c r="B257" i="12"/>
  <c r="Z256" i="12"/>
  <c r="X256" i="12"/>
  <c r="N256" i="12"/>
  <c r="L256" i="12"/>
  <c r="B256" i="12"/>
  <c r="Z255" i="12"/>
  <c r="X255" i="12"/>
  <c r="L255" i="12"/>
  <c r="N255" i="12" s="1"/>
  <c r="B255" i="12"/>
  <c r="T254" i="12"/>
  <c r="P254" i="12"/>
  <c r="X254" i="12" s="1"/>
  <c r="Z254" i="12" s="1"/>
  <c r="H254" i="12"/>
  <c r="L254" i="12" s="1"/>
  <c r="N254" i="12" s="1"/>
  <c r="D254" i="12"/>
  <c r="B254" i="12"/>
  <c r="X253" i="12"/>
  <c r="Z253" i="12" s="1"/>
  <c r="L253" i="12"/>
  <c r="N253" i="12" s="1"/>
  <c r="B253" i="12"/>
  <c r="Z252" i="12"/>
  <c r="T252" i="12"/>
  <c r="P252" i="12"/>
  <c r="X252" i="12" s="1"/>
  <c r="H252" i="12"/>
  <c r="N252" i="12" s="1"/>
  <c r="D252" i="12"/>
  <c r="L252" i="12" s="1"/>
  <c r="B252" i="12"/>
  <c r="X251" i="12"/>
  <c r="Z251" i="12" s="1"/>
  <c r="N251" i="12"/>
  <c r="L251" i="12"/>
  <c r="B251" i="12"/>
  <c r="X250" i="12"/>
  <c r="Z250" i="12" s="1"/>
  <c r="N250" i="12"/>
  <c r="L250" i="12"/>
  <c r="B250" i="12"/>
  <c r="T249" i="12"/>
  <c r="P249" i="12"/>
  <c r="X249" i="12" s="1"/>
  <c r="Z249" i="12" s="1"/>
  <c r="H249" i="12"/>
  <c r="D249" i="12"/>
  <c r="B249" i="12"/>
  <c r="Z248" i="12"/>
  <c r="X248" i="12"/>
  <c r="N248" i="12"/>
  <c r="L248" i="12"/>
  <c r="B248" i="12"/>
  <c r="Z247" i="12"/>
  <c r="X247" i="12"/>
  <c r="L247" i="12"/>
  <c r="N247" i="12" s="1"/>
  <c r="B247" i="12"/>
  <c r="Z246" i="12"/>
  <c r="X246" i="12"/>
  <c r="L246" i="12"/>
  <c r="N246" i="12" s="1"/>
  <c r="B246" i="12"/>
  <c r="X245" i="12"/>
  <c r="Z245" i="12" s="1"/>
  <c r="L245" i="12"/>
  <c r="N245" i="12" s="1"/>
  <c r="B245" i="12"/>
  <c r="Z244" i="12"/>
  <c r="X244" i="12"/>
  <c r="N244" i="12"/>
  <c r="L244" i="12"/>
  <c r="B244" i="12"/>
  <c r="Z243" i="12"/>
  <c r="X243" i="12"/>
  <c r="L243" i="12"/>
  <c r="N243" i="12" s="1"/>
  <c r="B243" i="12"/>
  <c r="Z242" i="12"/>
  <c r="X242" i="12"/>
  <c r="N242" i="12"/>
  <c r="L242" i="12"/>
  <c r="B242" i="12"/>
  <c r="X241" i="12"/>
  <c r="Z241" i="12" s="1"/>
  <c r="N241" i="12"/>
  <c r="L241" i="12"/>
  <c r="B241" i="12"/>
  <c r="T240" i="12"/>
  <c r="X240" i="12" s="1"/>
  <c r="Z240" i="12" s="1"/>
  <c r="P240" i="12"/>
  <c r="H240" i="12"/>
  <c r="D240" i="12"/>
  <c r="L240" i="12" s="1"/>
  <c r="N240" i="12" s="1"/>
  <c r="B240" i="12"/>
  <c r="X239" i="12"/>
  <c r="Z239" i="12" s="1"/>
  <c r="L239" i="12"/>
  <c r="N239" i="12" s="1"/>
  <c r="B239" i="12"/>
  <c r="X238" i="12"/>
  <c r="Z238" i="12" s="1"/>
  <c r="L238" i="12"/>
  <c r="N238" i="12" s="1"/>
  <c r="B238" i="12"/>
  <c r="X237" i="12"/>
  <c r="Z237" i="12" s="1"/>
  <c r="T237" i="12"/>
  <c r="P237" i="12"/>
  <c r="H237" i="12"/>
  <c r="D237" i="12"/>
  <c r="B237" i="12"/>
  <c r="Z236" i="12"/>
  <c r="X236" i="12"/>
  <c r="N236" i="12"/>
  <c r="L236" i="12"/>
  <c r="B236" i="12"/>
  <c r="X235" i="12"/>
  <c r="Z235" i="12" s="1"/>
  <c r="N235" i="12"/>
  <c r="L235" i="12"/>
  <c r="B235" i="12"/>
  <c r="X234" i="12"/>
  <c r="Z234" i="12" s="1"/>
  <c r="N234" i="12"/>
  <c r="L234" i="12"/>
  <c r="B234" i="12"/>
  <c r="X233" i="12"/>
  <c r="Z233" i="12" s="1"/>
  <c r="N233" i="12"/>
  <c r="L233" i="12"/>
  <c r="B233" i="12"/>
  <c r="Z232" i="12"/>
  <c r="X232" i="12"/>
  <c r="N232" i="12"/>
  <c r="L232" i="12"/>
  <c r="B232" i="12"/>
  <c r="T231" i="12"/>
  <c r="P231" i="12"/>
  <c r="H231" i="12"/>
  <c r="D231" i="12"/>
  <c r="L231" i="12" s="1"/>
  <c r="N231" i="12" s="1"/>
  <c r="B231" i="12"/>
  <c r="Z230" i="12"/>
  <c r="X230" i="12"/>
  <c r="L230" i="12"/>
  <c r="N230" i="12" s="1"/>
  <c r="B230" i="12"/>
  <c r="X229" i="12"/>
  <c r="Z229" i="12" s="1"/>
  <c r="L229" i="12"/>
  <c r="N229" i="12" s="1"/>
  <c r="B229" i="12"/>
  <c r="Z228" i="12"/>
  <c r="X228" i="12"/>
  <c r="N228" i="12"/>
  <c r="L228" i="12"/>
  <c r="B228" i="12"/>
  <c r="T227" i="12"/>
  <c r="P227" i="12"/>
  <c r="L227" i="12"/>
  <c r="N227" i="12" s="1"/>
  <c r="H227" i="12"/>
  <c r="D227" i="12"/>
  <c r="B227" i="12"/>
  <c r="X226" i="12"/>
  <c r="Z226" i="12" s="1"/>
  <c r="L226" i="12"/>
  <c r="N226" i="12" s="1"/>
  <c r="B226" i="12"/>
  <c r="X225" i="12"/>
  <c r="Z225" i="12" s="1"/>
  <c r="L225" i="12"/>
  <c r="N225" i="12" s="1"/>
  <c r="B225" i="12"/>
  <c r="Z224" i="12"/>
  <c r="X224" i="12"/>
  <c r="N224" i="12"/>
  <c r="L224" i="12"/>
  <c r="B224" i="12"/>
  <c r="X223" i="12"/>
  <c r="Z223" i="12" s="1"/>
  <c r="L223" i="12"/>
  <c r="N223" i="12" s="1"/>
  <c r="B223" i="12"/>
  <c r="T222" i="12"/>
  <c r="P222" i="12"/>
  <c r="X222" i="12" s="1"/>
  <c r="H222" i="12"/>
  <c r="D222" i="12"/>
  <c r="L222" i="12" s="1"/>
  <c r="N222" i="12" s="1"/>
  <c r="B222" i="12"/>
  <c r="X221" i="12"/>
  <c r="Z221" i="12" s="1"/>
  <c r="L221" i="12"/>
  <c r="N221" i="12" s="1"/>
  <c r="B221" i="12"/>
  <c r="T220" i="12"/>
  <c r="X220" i="12" s="1"/>
  <c r="Z220" i="12" s="1"/>
  <c r="P220" i="12"/>
  <c r="L220" i="12"/>
  <c r="N220" i="12" s="1"/>
  <c r="H220" i="12"/>
  <c r="D220" i="12"/>
  <c r="B220" i="12"/>
  <c r="Z219" i="12"/>
  <c r="X219" i="12"/>
  <c r="N219" i="12"/>
  <c r="L219" i="12"/>
  <c r="B219" i="12"/>
  <c r="Z218" i="12"/>
  <c r="X218" i="12"/>
  <c r="T218" i="12"/>
  <c r="P218" i="12"/>
  <c r="N218" i="12"/>
  <c r="H218" i="12"/>
  <c r="L218" i="12" s="1"/>
  <c r="D218" i="12"/>
  <c r="B218" i="12"/>
  <c r="X217" i="12"/>
  <c r="Z217" i="12" s="1"/>
  <c r="L217" i="12"/>
  <c r="N217" i="12" s="1"/>
  <c r="B217" i="12"/>
  <c r="Z216" i="12"/>
  <c r="T216" i="12"/>
  <c r="P216" i="12"/>
  <c r="X216" i="12" s="1"/>
  <c r="H216" i="12"/>
  <c r="D216" i="12"/>
  <c r="L216" i="12" s="1"/>
  <c r="B216" i="12"/>
  <c r="X215" i="12"/>
  <c r="Z215" i="12" s="1"/>
  <c r="N215" i="12"/>
  <c r="L215" i="12"/>
  <c r="B215" i="12"/>
  <c r="X214" i="12"/>
  <c r="Z214" i="12" s="1"/>
  <c r="T214" i="12"/>
  <c r="P214" i="12"/>
  <c r="N214" i="12"/>
  <c r="H214" i="12"/>
  <c r="L214" i="12" s="1"/>
  <c r="D214" i="12"/>
  <c r="B214" i="12"/>
  <c r="X213" i="12"/>
  <c r="Z213" i="12" s="1"/>
  <c r="L213" i="12"/>
  <c r="N213" i="12" s="1"/>
  <c r="B213" i="12"/>
  <c r="Z212" i="12"/>
  <c r="T212" i="12"/>
  <c r="X212" i="12" s="1"/>
  <c r="P212" i="12"/>
  <c r="H212" i="12"/>
  <c r="D212" i="12"/>
  <c r="L212" i="12" s="1"/>
  <c r="N212" i="12" s="1"/>
  <c r="B212" i="12"/>
  <c r="X211" i="12"/>
  <c r="Z211" i="12" s="1"/>
  <c r="L211" i="12"/>
  <c r="N211" i="12" s="1"/>
  <c r="B211" i="12"/>
  <c r="T210" i="12"/>
  <c r="P210" i="12"/>
  <c r="X210" i="12" s="1"/>
  <c r="N210" i="12"/>
  <c r="H210" i="12"/>
  <c r="D210" i="12"/>
  <c r="L210" i="12" s="1"/>
  <c r="B210" i="12"/>
  <c r="X209" i="12"/>
  <c r="Z209" i="12" s="1"/>
  <c r="L209" i="12"/>
  <c r="N209" i="12" s="1"/>
  <c r="B209" i="12"/>
  <c r="Z208" i="12"/>
  <c r="X208" i="12"/>
  <c r="N208" i="12"/>
  <c r="L208" i="12"/>
  <c r="B208" i="12"/>
  <c r="T207" i="12"/>
  <c r="P207" i="12"/>
  <c r="L207" i="12"/>
  <c r="N207" i="12" s="1"/>
  <c r="H207" i="12"/>
  <c r="D207" i="12"/>
  <c r="B207" i="12"/>
  <c r="Z206" i="12"/>
  <c r="X206" i="12"/>
  <c r="L206" i="12"/>
  <c r="N206" i="12" s="1"/>
  <c r="B206" i="12"/>
  <c r="T205" i="12"/>
  <c r="P205" i="12"/>
  <c r="X205" i="12" s="1"/>
  <c r="Z205" i="12" s="1"/>
  <c r="H205" i="12"/>
  <c r="D205" i="12"/>
  <c r="B205" i="12"/>
  <c r="Z204" i="12"/>
  <c r="X204" i="12"/>
  <c r="N204" i="12"/>
  <c r="L204" i="12"/>
  <c r="B204" i="12"/>
  <c r="T203" i="12"/>
  <c r="P203" i="12"/>
  <c r="H203" i="12"/>
  <c r="D203" i="12"/>
  <c r="L203" i="12" s="1"/>
  <c r="N203" i="12" s="1"/>
  <c r="B203" i="12"/>
  <c r="X202" i="12"/>
  <c r="Z202" i="12" s="1"/>
  <c r="N202" i="12"/>
  <c r="L202" i="12"/>
  <c r="B202" i="12"/>
  <c r="X201" i="12"/>
  <c r="Z201" i="12" s="1"/>
  <c r="T201" i="12"/>
  <c r="P201" i="12"/>
  <c r="H201" i="12"/>
  <c r="D201" i="12"/>
  <c r="B201" i="12"/>
  <c r="Z200" i="12"/>
  <c r="X200" i="12"/>
  <c r="N200" i="12"/>
  <c r="L200" i="12"/>
  <c r="B200" i="12"/>
  <c r="Z199" i="12"/>
  <c r="X199" i="12"/>
  <c r="L199" i="12"/>
  <c r="N199" i="12" s="1"/>
  <c r="B199" i="12"/>
  <c r="T198" i="12"/>
  <c r="P198" i="12"/>
  <c r="X198" i="12" s="1"/>
  <c r="Z198" i="12" s="1"/>
  <c r="N198" i="12"/>
  <c r="H198" i="12"/>
  <c r="L198" i="12" s="1"/>
  <c r="D198" i="12"/>
  <c r="B198" i="12"/>
  <c r="X197" i="12"/>
  <c r="Z197" i="12" s="1"/>
  <c r="L197" i="12"/>
  <c r="N197" i="12" s="1"/>
  <c r="B197" i="12"/>
  <c r="Z196" i="12"/>
  <c r="X196" i="12"/>
  <c r="N196" i="12"/>
  <c r="L196" i="12"/>
  <c r="B196" i="12"/>
  <c r="T195" i="12"/>
  <c r="P195" i="12"/>
  <c r="H195" i="12"/>
  <c r="D195" i="12"/>
  <c r="L195" i="12" s="1"/>
  <c r="N195" i="12" s="1"/>
  <c r="B195" i="12"/>
  <c r="X194" i="12"/>
  <c r="Z194" i="12" s="1"/>
  <c r="N194" i="12"/>
  <c r="L194" i="12"/>
  <c r="B194" i="12"/>
  <c r="T193" i="12"/>
  <c r="P193" i="12"/>
  <c r="X193" i="12" s="1"/>
  <c r="Z193" i="12" s="1"/>
  <c r="H193" i="12"/>
  <c r="D193" i="12"/>
  <c r="B193" i="12"/>
  <c r="Z192" i="12"/>
  <c r="X192" i="12"/>
  <c r="N192" i="12"/>
  <c r="L192" i="12"/>
  <c r="B192" i="12"/>
  <c r="Z191" i="12"/>
  <c r="X191" i="12"/>
  <c r="L191" i="12"/>
  <c r="N191" i="12" s="1"/>
  <c r="B191" i="12"/>
  <c r="T190" i="12"/>
  <c r="P190" i="12"/>
  <c r="X190" i="12" s="1"/>
  <c r="Z190" i="12" s="1"/>
  <c r="H190" i="12"/>
  <c r="L190" i="12" s="1"/>
  <c r="N190" i="12" s="1"/>
  <c r="D190" i="12"/>
  <c r="B190" i="12"/>
  <c r="X189" i="12"/>
  <c r="Z189" i="12" s="1"/>
  <c r="L189" i="12"/>
  <c r="N189" i="12" s="1"/>
  <c r="B189" i="12"/>
  <c r="T188" i="12"/>
  <c r="P188" i="12"/>
  <c r="X188" i="12" s="1"/>
  <c r="Z188" i="12" s="1"/>
  <c r="H188" i="12"/>
  <c r="D188" i="12"/>
  <c r="L188" i="12" s="1"/>
  <c r="B188" i="12"/>
  <c r="X187" i="12"/>
  <c r="Z187" i="12" s="1"/>
  <c r="N187" i="12"/>
  <c r="L187" i="12"/>
  <c r="B187" i="12"/>
  <c r="X186" i="12"/>
  <c r="Z186" i="12" s="1"/>
  <c r="N186" i="12"/>
  <c r="L186" i="12"/>
  <c r="B186" i="12"/>
  <c r="X185" i="12"/>
  <c r="Z185" i="12" s="1"/>
  <c r="L185" i="12"/>
  <c r="N185" i="12" s="1"/>
  <c r="B185" i="12"/>
  <c r="Z184" i="12"/>
  <c r="X184" i="12"/>
  <c r="N184" i="12"/>
  <c r="L184" i="12"/>
  <c r="B184" i="12"/>
  <c r="X183" i="12"/>
  <c r="Z183" i="12" s="1"/>
  <c r="N183" i="12"/>
  <c r="L183" i="12"/>
  <c r="B183" i="12"/>
  <c r="X182" i="12"/>
  <c r="Z182" i="12" s="1"/>
  <c r="L182" i="12"/>
  <c r="N182" i="12" s="1"/>
  <c r="B182" i="12"/>
  <c r="X181" i="12"/>
  <c r="Z181" i="12" s="1"/>
  <c r="L181" i="12"/>
  <c r="N181" i="12" s="1"/>
  <c r="B181" i="12"/>
  <c r="T180" i="12"/>
  <c r="X180" i="12" s="1"/>
  <c r="Z180" i="12" s="1"/>
  <c r="P180" i="12"/>
  <c r="L180" i="12"/>
  <c r="N180" i="12" s="1"/>
  <c r="H180" i="12"/>
  <c r="D180" i="12"/>
  <c r="B180" i="12"/>
  <c r="Z179" i="12"/>
  <c r="X179" i="12"/>
  <c r="L179" i="12"/>
  <c r="N179" i="12" s="1"/>
  <c r="B179" i="12"/>
  <c r="X178" i="12"/>
  <c r="Z178" i="12" s="1"/>
  <c r="L178" i="12"/>
  <c r="N178" i="12" s="1"/>
  <c r="B178" i="12"/>
  <c r="X177" i="12"/>
  <c r="Z177" i="12" s="1"/>
  <c r="L177" i="12"/>
  <c r="N177" i="12" s="1"/>
  <c r="B177" i="12"/>
  <c r="Z176" i="12"/>
  <c r="X176" i="12"/>
  <c r="N176" i="12"/>
  <c r="L176" i="12"/>
  <c r="B176" i="12"/>
  <c r="Z175" i="12"/>
  <c r="X175" i="12"/>
  <c r="N175" i="12"/>
  <c r="L175" i="12"/>
  <c r="B175" i="12"/>
  <c r="X174" i="12"/>
  <c r="Z174" i="12" s="1"/>
  <c r="L174" i="12"/>
  <c r="N174" i="12" s="1"/>
  <c r="B174" i="12"/>
  <c r="X173" i="12"/>
  <c r="Z173" i="12" s="1"/>
  <c r="L173" i="12"/>
  <c r="N173" i="12" s="1"/>
  <c r="B173" i="12"/>
  <c r="Z172" i="12"/>
  <c r="X172" i="12"/>
  <c r="N172" i="12"/>
  <c r="L172" i="12"/>
  <c r="B172" i="12"/>
  <c r="Z171" i="12"/>
  <c r="X171" i="12"/>
  <c r="L171" i="12"/>
  <c r="N171" i="12" s="1"/>
  <c r="B171" i="12"/>
  <c r="X170" i="12"/>
  <c r="Z170" i="12" s="1"/>
  <c r="L170" i="12"/>
  <c r="N170" i="12" s="1"/>
  <c r="B170" i="12"/>
  <c r="Z169" i="12"/>
  <c r="T169" i="12"/>
  <c r="P169" i="12"/>
  <c r="X169" i="12" s="1"/>
  <c r="H169" i="12"/>
  <c r="D169" i="12"/>
  <c r="B169" i="12"/>
  <c r="T168" i="12"/>
  <c r="P168" i="12"/>
  <c r="X168" i="12" s="1"/>
  <c r="Z168" i="12" s="1"/>
  <c r="H168" i="12"/>
  <c r="N168" i="12" s="1"/>
  <c r="D168" i="12"/>
  <c r="L168" i="12" s="1"/>
  <c r="Z164" i="12"/>
  <c r="X164" i="12"/>
  <c r="N164" i="12"/>
  <c r="L164" i="12"/>
  <c r="B164" i="12"/>
  <c r="X163" i="12"/>
  <c r="Z163" i="12" s="1"/>
  <c r="L163" i="12"/>
  <c r="N163" i="12" s="1"/>
  <c r="B163" i="12"/>
  <c r="X162" i="12"/>
  <c r="Z162" i="12" s="1"/>
  <c r="L162" i="12"/>
  <c r="N162" i="12" s="1"/>
  <c r="B162" i="12"/>
  <c r="X161" i="12"/>
  <c r="Z161" i="12" s="1"/>
  <c r="N161" i="12"/>
  <c r="L161" i="12"/>
  <c r="B161" i="12"/>
  <c r="Z160" i="12"/>
  <c r="X160" i="12"/>
  <c r="N160" i="12"/>
  <c r="L160" i="12"/>
  <c r="B160" i="12"/>
  <c r="X159" i="12"/>
  <c r="Z159" i="12" s="1"/>
  <c r="L159" i="12"/>
  <c r="N159" i="12" s="1"/>
  <c r="B159" i="12"/>
  <c r="X158" i="12"/>
  <c r="Z158" i="12" s="1"/>
  <c r="L158" i="12"/>
  <c r="N158" i="12" s="1"/>
  <c r="B158" i="12"/>
  <c r="X157" i="12"/>
  <c r="Z157" i="12" s="1"/>
  <c r="N157" i="12"/>
  <c r="L157" i="12"/>
  <c r="B157" i="12"/>
  <c r="Z156" i="12"/>
  <c r="X156" i="12"/>
  <c r="N156" i="12"/>
  <c r="L156" i="12"/>
  <c r="B156" i="12"/>
  <c r="X155" i="12"/>
  <c r="Z155" i="12" s="1"/>
  <c r="N155" i="12"/>
  <c r="L155" i="12"/>
  <c r="B155" i="12"/>
  <c r="X154" i="12"/>
  <c r="Z154" i="12" s="1"/>
  <c r="L154" i="12"/>
  <c r="N154" i="12" s="1"/>
  <c r="B154" i="12"/>
  <c r="Z153" i="12"/>
  <c r="X153" i="12"/>
  <c r="N153" i="12"/>
  <c r="L153" i="12"/>
  <c r="B153" i="12"/>
  <c r="Z152" i="12"/>
  <c r="X152" i="12"/>
  <c r="N152" i="12"/>
  <c r="L152" i="12"/>
  <c r="B152" i="12"/>
  <c r="X151" i="12"/>
  <c r="Z151" i="12" s="1"/>
  <c r="N151" i="12"/>
  <c r="L151" i="12"/>
  <c r="B151" i="12"/>
  <c r="X150" i="12"/>
  <c r="Z150" i="12" s="1"/>
  <c r="L150" i="12"/>
  <c r="N150" i="12" s="1"/>
  <c r="B150" i="12"/>
  <c r="Z149" i="12"/>
  <c r="X149" i="12"/>
  <c r="L149" i="12"/>
  <c r="N149" i="12" s="1"/>
  <c r="B149" i="12"/>
  <c r="Z148" i="12"/>
  <c r="X148" i="12"/>
  <c r="L148" i="12"/>
  <c r="N148" i="12" s="1"/>
  <c r="B148" i="12"/>
  <c r="X147" i="12"/>
  <c r="Z147" i="12" s="1"/>
  <c r="L147" i="12"/>
  <c r="N147" i="12" s="1"/>
  <c r="B147" i="12"/>
  <c r="X146" i="12"/>
  <c r="Z146" i="12" s="1"/>
  <c r="L146" i="12"/>
  <c r="N146" i="12" s="1"/>
  <c r="B146" i="12"/>
  <c r="Z145" i="12"/>
  <c r="X145" i="12"/>
  <c r="N145" i="12"/>
  <c r="L145" i="12"/>
  <c r="B145" i="12"/>
  <c r="Z144" i="12"/>
  <c r="X144" i="12"/>
  <c r="N144" i="12"/>
  <c r="L144" i="12"/>
  <c r="B144" i="12"/>
  <c r="X143" i="12"/>
  <c r="Z143" i="12" s="1"/>
  <c r="L143" i="12"/>
  <c r="N143" i="12" s="1"/>
  <c r="B143" i="12"/>
  <c r="X142" i="12"/>
  <c r="Z142" i="12" s="1"/>
  <c r="L142" i="12"/>
  <c r="N142" i="12" s="1"/>
  <c r="B142" i="12"/>
  <c r="Z141" i="12"/>
  <c r="X141" i="12"/>
  <c r="N141" i="12"/>
  <c r="L141" i="12"/>
  <c r="B141" i="12"/>
  <c r="Z140" i="12"/>
  <c r="X140" i="12"/>
  <c r="N140" i="12"/>
  <c r="L140" i="12"/>
  <c r="B140" i="12"/>
  <c r="X139" i="12"/>
  <c r="Z139" i="12" s="1"/>
  <c r="L139" i="12"/>
  <c r="N139" i="12" s="1"/>
  <c r="B139" i="12"/>
  <c r="X138" i="12"/>
  <c r="Z138" i="12" s="1"/>
  <c r="L138" i="12"/>
  <c r="N138" i="12" s="1"/>
  <c r="B138" i="12"/>
  <c r="X137" i="12"/>
  <c r="Z137" i="12" s="1"/>
  <c r="N137" i="12"/>
  <c r="L137" i="12"/>
  <c r="B137" i="12"/>
  <c r="Z136" i="12"/>
  <c r="X136" i="12"/>
  <c r="N136" i="12"/>
  <c r="L136" i="12"/>
  <c r="B136" i="12"/>
  <c r="X135" i="12"/>
  <c r="Z135" i="12" s="1"/>
  <c r="L135" i="12"/>
  <c r="N135" i="12" s="1"/>
  <c r="B135" i="12"/>
  <c r="X134" i="12"/>
  <c r="Z134" i="12" s="1"/>
  <c r="L134" i="12"/>
  <c r="N134" i="12" s="1"/>
  <c r="B134" i="12"/>
  <c r="Z133" i="12"/>
  <c r="X133" i="12"/>
  <c r="L133" i="12"/>
  <c r="N133" i="12" s="1"/>
  <c r="B133" i="12"/>
  <c r="Z132" i="12"/>
  <c r="X132" i="12"/>
  <c r="L132" i="12"/>
  <c r="N132" i="12" s="1"/>
  <c r="B132" i="12"/>
  <c r="X131" i="12"/>
  <c r="Z131" i="12" s="1"/>
  <c r="L131" i="12"/>
  <c r="N131" i="12" s="1"/>
  <c r="B131" i="12"/>
  <c r="X130" i="12"/>
  <c r="Z130" i="12" s="1"/>
  <c r="L130" i="12"/>
  <c r="N130" i="12" s="1"/>
  <c r="B130" i="12"/>
  <c r="X129" i="12"/>
  <c r="Z129" i="12" s="1"/>
  <c r="L129" i="12"/>
  <c r="N129" i="12" s="1"/>
  <c r="B129" i="12"/>
  <c r="Z128" i="12"/>
  <c r="X128" i="12"/>
  <c r="N128" i="12"/>
  <c r="L128" i="12"/>
  <c r="B128" i="12"/>
  <c r="X127" i="12"/>
  <c r="Z127" i="12" s="1"/>
  <c r="L127" i="12"/>
  <c r="N127" i="12" s="1"/>
  <c r="B127" i="12"/>
  <c r="X126" i="12"/>
  <c r="Z126" i="12" s="1"/>
  <c r="L126" i="12"/>
  <c r="N126" i="12" s="1"/>
  <c r="B126" i="12"/>
  <c r="Z125" i="12"/>
  <c r="X125" i="12"/>
  <c r="L125" i="12"/>
  <c r="N125" i="12" s="1"/>
  <c r="B125" i="12"/>
  <c r="Z124" i="12"/>
  <c r="X124" i="12"/>
  <c r="L124" i="12"/>
  <c r="N124" i="12" s="1"/>
  <c r="B124" i="12"/>
  <c r="X123" i="12"/>
  <c r="Z123" i="12" s="1"/>
  <c r="L123" i="12"/>
  <c r="N123" i="12" s="1"/>
  <c r="B123" i="12"/>
  <c r="X122" i="12"/>
  <c r="Z122" i="12" s="1"/>
  <c r="N122" i="12"/>
  <c r="L122" i="12"/>
  <c r="B122" i="12"/>
  <c r="Z121" i="12"/>
  <c r="X121" i="12"/>
  <c r="N121" i="12"/>
  <c r="L121" i="12"/>
  <c r="B121" i="12"/>
  <c r="Z120" i="12"/>
  <c r="X120" i="12"/>
  <c r="N120" i="12"/>
  <c r="L120" i="12"/>
  <c r="B120" i="12"/>
  <c r="X119" i="12"/>
  <c r="Z119" i="12" s="1"/>
  <c r="L119" i="12"/>
  <c r="N119" i="12" s="1"/>
  <c r="B119" i="12"/>
  <c r="X118" i="12"/>
  <c r="Z118" i="12" s="1"/>
  <c r="N118" i="12"/>
  <c r="L118" i="12"/>
  <c r="B118" i="12"/>
  <c r="Z117" i="12"/>
  <c r="X117" i="12"/>
  <c r="L117" i="12"/>
  <c r="N117" i="12" s="1"/>
  <c r="B117" i="12"/>
  <c r="Z116" i="12"/>
  <c r="X116" i="12"/>
  <c r="N116" i="12"/>
  <c r="L116" i="12"/>
  <c r="B116" i="12"/>
  <c r="X115" i="12"/>
  <c r="Z115" i="12" s="1"/>
  <c r="N115" i="12"/>
  <c r="L115" i="12"/>
  <c r="B115" i="12"/>
  <c r="X114" i="12"/>
  <c r="Z114" i="12" s="1"/>
  <c r="N114" i="12"/>
  <c r="L114" i="12"/>
  <c r="B114" i="12"/>
  <c r="X113" i="12"/>
  <c r="Z113" i="12" s="1"/>
  <c r="N113" i="12"/>
  <c r="L113" i="12"/>
  <c r="B113" i="12"/>
  <c r="T112" i="12"/>
  <c r="P112" i="12"/>
  <c r="X112" i="12" s="1"/>
  <c r="Z112" i="12" s="1"/>
  <c r="L112" i="12"/>
  <c r="H112" i="12"/>
  <c r="N112" i="12" s="1"/>
  <c r="D112" i="12"/>
  <c r="T110" i="12"/>
  <c r="P110" i="12"/>
  <c r="N110" i="12"/>
  <c r="H110" i="12"/>
  <c r="D110" i="12"/>
  <c r="L110" i="12" s="1"/>
  <c r="B110" i="12"/>
  <c r="T109" i="12"/>
  <c r="P109" i="12"/>
  <c r="X109" i="12" s="1"/>
  <c r="H109" i="12"/>
  <c r="N109" i="12" s="1"/>
  <c r="D109" i="12"/>
  <c r="L109" i="12" s="1"/>
  <c r="B109" i="12"/>
  <c r="X108" i="12"/>
  <c r="T108" i="12"/>
  <c r="P108" i="12"/>
  <c r="H108" i="12"/>
  <c r="L108" i="12" s="1"/>
  <c r="N108" i="12" s="1"/>
  <c r="D108" i="12"/>
  <c r="B108" i="12"/>
  <c r="T107" i="12"/>
  <c r="X107" i="12" s="1"/>
  <c r="P107" i="12"/>
  <c r="H107" i="12"/>
  <c r="N107" i="12" s="1"/>
  <c r="D107" i="12"/>
  <c r="L107" i="12" s="1"/>
  <c r="B107" i="12"/>
  <c r="T106" i="12"/>
  <c r="Z106" i="12" s="1"/>
  <c r="P106" i="12"/>
  <c r="X106" i="12" s="1"/>
  <c r="H106" i="12"/>
  <c r="D106" i="12"/>
  <c r="L106" i="12" s="1"/>
  <c r="N106" i="12" s="1"/>
  <c r="B106" i="12"/>
  <c r="T105" i="12"/>
  <c r="P105" i="12"/>
  <c r="X105" i="12" s="1"/>
  <c r="H105" i="12"/>
  <c r="D105" i="12"/>
  <c r="L105" i="12" s="1"/>
  <c r="B105" i="12"/>
  <c r="T104" i="12"/>
  <c r="P104" i="12"/>
  <c r="X104" i="12" s="1"/>
  <c r="H104" i="12"/>
  <c r="N104" i="12" s="1"/>
  <c r="D104" i="12"/>
  <c r="B104" i="12"/>
  <c r="T103" i="12"/>
  <c r="P103" i="12"/>
  <c r="L103" i="12"/>
  <c r="H103" i="12"/>
  <c r="N103" i="12" s="1"/>
  <c r="D103" i="12"/>
  <c r="B103" i="12"/>
  <c r="T102" i="12"/>
  <c r="P102" i="12"/>
  <c r="L102" i="12"/>
  <c r="N102" i="12" s="1"/>
  <c r="H102" i="12"/>
  <c r="D102" i="12"/>
  <c r="B102" i="12"/>
  <c r="Z101" i="12"/>
  <c r="X101" i="12"/>
  <c r="T101" i="12"/>
  <c r="P101" i="12"/>
  <c r="H101" i="12"/>
  <c r="N101" i="12" s="1"/>
  <c r="D101" i="12"/>
  <c r="L101" i="12" s="1"/>
  <c r="B101" i="12"/>
  <c r="T100" i="12"/>
  <c r="P100" i="12"/>
  <c r="L100" i="12"/>
  <c r="H100" i="12"/>
  <c r="N100" i="12" s="1"/>
  <c r="D100" i="12"/>
  <c r="B100" i="12"/>
  <c r="X99" i="12"/>
  <c r="T99" i="12"/>
  <c r="Z99" i="12" s="1"/>
  <c r="P99" i="12"/>
  <c r="N99" i="12"/>
  <c r="L99" i="12"/>
  <c r="H99" i="12"/>
  <c r="D99" i="12"/>
  <c r="B99" i="12"/>
  <c r="Z98" i="12"/>
  <c r="T98" i="12"/>
  <c r="P98" i="12"/>
  <c r="X98" i="12" s="1"/>
  <c r="N98" i="12"/>
  <c r="L98" i="12"/>
  <c r="H98" i="12"/>
  <c r="D98" i="12"/>
  <c r="B98" i="12"/>
  <c r="Z97" i="12"/>
  <c r="T97" i="12"/>
  <c r="P97" i="12"/>
  <c r="X97" i="12" s="1"/>
  <c r="L97" i="12"/>
  <c r="H97" i="12"/>
  <c r="N97" i="12" s="1"/>
  <c r="D97" i="12"/>
  <c r="B97" i="12"/>
  <c r="X96" i="12"/>
  <c r="T96" i="12"/>
  <c r="P96" i="12"/>
  <c r="N96" i="12"/>
  <c r="L96" i="12"/>
  <c r="H96" i="12"/>
  <c r="D96" i="12"/>
  <c r="B96" i="12"/>
  <c r="T95" i="12"/>
  <c r="X95" i="12" s="1"/>
  <c r="Z95" i="12" s="1"/>
  <c r="P95" i="12"/>
  <c r="N95" i="12"/>
  <c r="H95" i="12"/>
  <c r="D95" i="12"/>
  <c r="L95" i="12" s="1"/>
  <c r="B95" i="12"/>
  <c r="T94" i="12"/>
  <c r="Z94" i="12" s="1"/>
  <c r="P94" i="12"/>
  <c r="X94" i="12" s="1"/>
  <c r="H94" i="12"/>
  <c r="D94" i="12"/>
  <c r="L94" i="12" s="1"/>
  <c r="N94" i="12" s="1"/>
  <c r="B94" i="12"/>
  <c r="T93" i="12"/>
  <c r="P93" i="12"/>
  <c r="X93" i="12" s="1"/>
  <c r="H93" i="12"/>
  <c r="D93" i="12"/>
  <c r="L93" i="12" s="1"/>
  <c r="B93" i="12"/>
  <c r="T92" i="12"/>
  <c r="P92" i="12"/>
  <c r="X92" i="12" s="1"/>
  <c r="H92" i="12"/>
  <c r="L92" i="12" s="1"/>
  <c r="N92" i="12" s="1"/>
  <c r="D92" i="12"/>
  <c r="B92" i="12"/>
  <c r="T91" i="12"/>
  <c r="X91" i="12" s="1"/>
  <c r="P91" i="12"/>
  <c r="H91" i="12"/>
  <c r="D91" i="12"/>
  <c r="L91" i="12" s="1"/>
  <c r="B91" i="12"/>
  <c r="T90" i="12"/>
  <c r="Z90" i="12" s="1"/>
  <c r="P90" i="12"/>
  <c r="X90" i="12" s="1"/>
  <c r="H90" i="12"/>
  <c r="D90" i="12"/>
  <c r="L90" i="12" s="1"/>
  <c r="N90" i="12" s="1"/>
  <c r="B90" i="12"/>
  <c r="T89" i="12"/>
  <c r="P89" i="12"/>
  <c r="X89" i="12" s="1"/>
  <c r="H89" i="12"/>
  <c r="N89" i="12" s="1"/>
  <c r="D89" i="12"/>
  <c r="L89" i="12" s="1"/>
  <c r="B89" i="12"/>
  <c r="T88" i="12"/>
  <c r="P88" i="12"/>
  <c r="X88" i="12" s="1"/>
  <c r="H88" i="12"/>
  <c r="D88" i="12"/>
  <c r="B88" i="12"/>
  <c r="T87" i="12"/>
  <c r="P87" i="12"/>
  <c r="L87" i="12"/>
  <c r="H87" i="12"/>
  <c r="N87" i="12" s="1"/>
  <c r="D87" i="12"/>
  <c r="B87" i="12"/>
  <c r="T86" i="12"/>
  <c r="P86" i="12"/>
  <c r="L86" i="12"/>
  <c r="N86" i="12" s="1"/>
  <c r="H86" i="12"/>
  <c r="D86" i="12"/>
  <c r="B86" i="12"/>
  <c r="Z85" i="12"/>
  <c r="X85" i="12"/>
  <c r="T85" i="12"/>
  <c r="P85" i="12"/>
  <c r="H85" i="12"/>
  <c r="D85" i="12"/>
  <c r="L85" i="12" s="1"/>
  <c r="B85" i="12"/>
  <c r="T84" i="12"/>
  <c r="P84" i="12"/>
  <c r="L84" i="12"/>
  <c r="H84" i="12"/>
  <c r="N84" i="12" s="1"/>
  <c r="D84" i="12"/>
  <c r="B84" i="12"/>
  <c r="X83" i="12"/>
  <c r="T83" i="12"/>
  <c r="Z83" i="12" s="1"/>
  <c r="P83" i="12"/>
  <c r="N83" i="12"/>
  <c r="L83" i="12"/>
  <c r="H83" i="12"/>
  <c r="D83" i="12"/>
  <c r="B83" i="12"/>
  <c r="Z82" i="12"/>
  <c r="T82" i="12"/>
  <c r="P82" i="12"/>
  <c r="X82" i="12" s="1"/>
  <c r="N82" i="12"/>
  <c r="L82" i="12"/>
  <c r="H82" i="12"/>
  <c r="D82" i="12"/>
  <c r="B82" i="12"/>
  <c r="Z81" i="12"/>
  <c r="T81" i="12"/>
  <c r="P81" i="12"/>
  <c r="X81" i="12" s="1"/>
  <c r="L81" i="12"/>
  <c r="H81" i="12"/>
  <c r="D81" i="12"/>
  <c r="B81" i="12"/>
  <c r="X80" i="12"/>
  <c r="T80" i="12"/>
  <c r="P80" i="12"/>
  <c r="L80" i="12"/>
  <c r="N80" i="12" s="1"/>
  <c r="H80" i="12"/>
  <c r="D80" i="12"/>
  <c r="B80" i="12"/>
  <c r="T79" i="12"/>
  <c r="X79" i="12" s="1"/>
  <c r="Z79" i="12" s="1"/>
  <c r="P79" i="12"/>
  <c r="N79" i="12"/>
  <c r="H79" i="12"/>
  <c r="D79" i="12"/>
  <c r="L79" i="12" s="1"/>
  <c r="B79" i="12"/>
  <c r="T78" i="12"/>
  <c r="Z78" i="12" s="1"/>
  <c r="P78" i="12"/>
  <c r="X78" i="12" s="1"/>
  <c r="H78" i="12"/>
  <c r="D78" i="12"/>
  <c r="L78" i="12" s="1"/>
  <c r="N78" i="12" s="1"/>
  <c r="B78" i="12"/>
  <c r="T77" i="12"/>
  <c r="P77" i="12"/>
  <c r="X77" i="12" s="1"/>
  <c r="H77" i="12"/>
  <c r="D77" i="12"/>
  <c r="L77" i="12" s="1"/>
  <c r="B77" i="12"/>
  <c r="T76" i="12"/>
  <c r="P76" i="12"/>
  <c r="X76" i="12" s="1"/>
  <c r="N76" i="12"/>
  <c r="H76" i="12"/>
  <c r="L76" i="12" s="1"/>
  <c r="D76" i="12"/>
  <c r="B76" i="12"/>
  <c r="T75" i="12"/>
  <c r="X75" i="12" s="1"/>
  <c r="P75" i="12"/>
  <c r="H75" i="12"/>
  <c r="D75" i="12"/>
  <c r="L75" i="12" s="1"/>
  <c r="B75" i="12"/>
  <c r="T74" i="12"/>
  <c r="P74" i="12"/>
  <c r="X74" i="12" s="1"/>
  <c r="H74" i="12"/>
  <c r="D74" i="12"/>
  <c r="L74" i="12" s="1"/>
  <c r="N74" i="12" s="1"/>
  <c r="B74" i="12"/>
  <c r="T73" i="12"/>
  <c r="P73" i="12"/>
  <c r="X73" i="12" s="1"/>
  <c r="H73" i="12"/>
  <c r="D73" i="12"/>
  <c r="L73" i="12" s="1"/>
  <c r="B73" i="12"/>
  <c r="T72" i="12"/>
  <c r="P72" i="12"/>
  <c r="X72" i="12" s="1"/>
  <c r="L72" i="12"/>
  <c r="H72" i="12"/>
  <c r="N72" i="12" s="1"/>
  <c r="D72" i="12"/>
  <c r="B72" i="12"/>
  <c r="T71" i="12"/>
  <c r="P71" i="12"/>
  <c r="L71" i="12"/>
  <c r="H71" i="12"/>
  <c r="N71" i="12" s="1"/>
  <c r="D71" i="12"/>
  <c r="B71" i="12"/>
  <c r="T70" i="12"/>
  <c r="P70" i="12"/>
  <c r="L70" i="12"/>
  <c r="N70" i="12" s="1"/>
  <c r="H70" i="12"/>
  <c r="D70" i="12"/>
  <c r="B70" i="12"/>
  <c r="Z69" i="12"/>
  <c r="X69" i="12"/>
  <c r="T69" i="12"/>
  <c r="P69" i="12"/>
  <c r="H69" i="12"/>
  <c r="D69" i="12"/>
  <c r="L69" i="12" s="1"/>
  <c r="B69" i="12"/>
  <c r="T68" i="12"/>
  <c r="P68" i="12"/>
  <c r="L68" i="12"/>
  <c r="H68" i="12"/>
  <c r="N68" i="12" s="1"/>
  <c r="D68" i="12"/>
  <c r="B68" i="12"/>
  <c r="X67" i="12"/>
  <c r="T67" i="12"/>
  <c r="Z67" i="12" s="1"/>
  <c r="P67" i="12"/>
  <c r="L67" i="12"/>
  <c r="N67" i="12" s="1"/>
  <c r="H67" i="12"/>
  <c r="D67" i="12"/>
  <c r="B67" i="12"/>
  <c r="Z66" i="12"/>
  <c r="T66" i="12"/>
  <c r="P66" i="12"/>
  <c r="X66" i="12" s="1"/>
  <c r="N66" i="12"/>
  <c r="L66" i="12"/>
  <c r="H66" i="12"/>
  <c r="D66" i="12"/>
  <c r="B66" i="12"/>
  <c r="T65" i="12"/>
  <c r="P65" i="12"/>
  <c r="X65" i="12" s="1"/>
  <c r="Z65" i="12" s="1"/>
  <c r="L65" i="12"/>
  <c r="H65" i="12"/>
  <c r="D65" i="12"/>
  <c r="B65" i="12"/>
  <c r="X64" i="12"/>
  <c r="T64" i="12"/>
  <c r="P64" i="12"/>
  <c r="L64" i="12"/>
  <c r="N64" i="12" s="1"/>
  <c r="H64" i="12"/>
  <c r="D64" i="12"/>
  <c r="B64" i="12"/>
  <c r="T63" i="12"/>
  <c r="X63" i="12" s="1"/>
  <c r="Z63" i="12" s="1"/>
  <c r="P63" i="12"/>
  <c r="H63" i="12"/>
  <c r="D63" i="12"/>
  <c r="L63" i="12" s="1"/>
  <c r="N63" i="12" s="1"/>
  <c r="B63" i="12"/>
  <c r="T62" i="12"/>
  <c r="Z62" i="12" s="1"/>
  <c r="P62" i="12"/>
  <c r="X62" i="12" s="1"/>
  <c r="H62" i="12"/>
  <c r="D62" i="12"/>
  <c r="L62" i="12" s="1"/>
  <c r="N62" i="12" s="1"/>
  <c r="B62" i="12"/>
  <c r="T61" i="12"/>
  <c r="P61" i="12"/>
  <c r="X61" i="12" s="1"/>
  <c r="H61" i="12"/>
  <c r="D61" i="12"/>
  <c r="L61" i="12" s="1"/>
  <c r="B61" i="12"/>
  <c r="T60" i="12"/>
  <c r="P60" i="12"/>
  <c r="X60" i="12" s="1"/>
  <c r="H60" i="12"/>
  <c r="L60" i="12" s="1"/>
  <c r="N60" i="12" s="1"/>
  <c r="D60" i="12"/>
  <c r="B60" i="12"/>
  <c r="T59" i="12"/>
  <c r="X59" i="12" s="1"/>
  <c r="P59" i="12"/>
  <c r="H59" i="12"/>
  <c r="D59" i="12"/>
  <c r="L59" i="12" s="1"/>
  <c r="B59" i="12"/>
  <c r="T58" i="12"/>
  <c r="Z58" i="12" s="1"/>
  <c r="P58" i="12"/>
  <c r="X58" i="12" s="1"/>
  <c r="H58" i="12"/>
  <c r="D58" i="12"/>
  <c r="L58" i="12" s="1"/>
  <c r="N58" i="12" s="1"/>
  <c r="B58" i="12"/>
  <c r="T57" i="12"/>
  <c r="P57" i="12"/>
  <c r="X57" i="12" s="1"/>
  <c r="H57" i="12"/>
  <c r="D57" i="12"/>
  <c r="L57" i="12" s="1"/>
  <c r="B57" i="12"/>
  <c r="T56" i="12"/>
  <c r="P56" i="12"/>
  <c r="X56" i="12" s="1"/>
  <c r="L56" i="12"/>
  <c r="H56" i="12"/>
  <c r="N56" i="12" s="1"/>
  <c r="D56" i="12"/>
  <c r="B56" i="12"/>
  <c r="T55" i="12"/>
  <c r="P55" i="12"/>
  <c r="L55" i="12"/>
  <c r="H55" i="12"/>
  <c r="N55" i="12" s="1"/>
  <c r="D55" i="12"/>
  <c r="B55" i="12"/>
  <c r="T54" i="12"/>
  <c r="P54" i="12"/>
  <c r="L54" i="12"/>
  <c r="N54" i="12" s="1"/>
  <c r="H54" i="12"/>
  <c r="D54" i="12"/>
  <c r="B54" i="12"/>
  <c r="Z53" i="12"/>
  <c r="X53" i="12"/>
  <c r="T53" i="12"/>
  <c r="P53" i="12"/>
  <c r="H53" i="12"/>
  <c r="D53" i="12"/>
  <c r="L53" i="12" s="1"/>
  <c r="B53" i="12"/>
  <c r="T52" i="12"/>
  <c r="P52" i="12"/>
  <c r="L52" i="12"/>
  <c r="H52" i="12"/>
  <c r="N52" i="12" s="1"/>
  <c r="D52" i="12"/>
  <c r="B52" i="12"/>
  <c r="X51" i="12"/>
  <c r="T51" i="12"/>
  <c r="Z51" i="12" s="1"/>
  <c r="P51" i="12"/>
  <c r="N51" i="12"/>
  <c r="L51" i="12"/>
  <c r="H51" i="12"/>
  <c r="D51" i="12"/>
  <c r="B51" i="12"/>
  <c r="Z50" i="12"/>
  <c r="T50" i="12"/>
  <c r="P50" i="12"/>
  <c r="X50" i="12" s="1"/>
  <c r="L50" i="12"/>
  <c r="N50" i="12" s="1"/>
  <c r="H50" i="12"/>
  <c r="D50" i="12"/>
  <c r="B50" i="12"/>
  <c r="T49" i="12"/>
  <c r="P49" i="12"/>
  <c r="X49" i="12" s="1"/>
  <c r="Z49" i="12" s="1"/>
  <c r="L49" i="12"/>
  <c r="H49" i="12"/>
  <c r="D49" i="12"/>
  <c r="B49" i="12"/>
  <c r="X48" i="12"/>
  <c r="T48" i="12"/>
  <c r="P48" i="12"/>
  <c r="L48" i="12"/>
  <c r="N48" i="12" s="1"/>
  <c r="H48" i="12"/>
  <c r="D48" i="12"/>
  <c r="B48" i="12"/>
  <c r="T47" i="12"/>
  <c r="X47" i="12" s="1"/>
  <c r="Z47" i="12" s="1"/>
  <c r="P47" i="12"/>
  <c r="N47" i="12"/>
  <c r="H47" i="12"/>
  <c r="D47" i="12"/>
  <c r="L47" i="12" s="1"/>
  <c r="B47" i="12"/>
  <c r="T46" i="12"/>
  <c r="Z46" i="12" s="1"/>
  <c r="P46" i="12"/>
  <c r="X46" i="12" s="1"/>
  <c r="N46" i="12"/>
  <c r="H46" i="12"/>
  <c r="D46" i="12"/>
  <c r="L46" i="12" s="1"/>
  <c r="B46" i="12"/>
  <c r="T45" i="12"/>
  <c r="P45" i="12"/>
  <c r="X45" i="12" s="1"/>
  <c r="H45" i="12"/>
  <c r="D45" i="12"/>
  <c r="L45" i="12" s="1"/>
  <c r="B45" i="12"/>
  <c r="T44" i="12"/>
  <c r="P44" i="12"/>
  <c r="X44" i="12" s="1"/>
  <c r="H44" i="12"/>
  <c r="L44" i="12" s="1"/>
  <c r="N44" i="12" s="1"/>
  <c r="D44" i="12"/>
  <c r="B44" i="12"/>
  <c r="T43" i="12"/>
  <c r="X43" i="12" s="1"/>
  <c r="P43" i="12"/>
  <c r="H43" i="12"/>
  <c r="D43" i="12"/>
  <c r="L43" i="12" s="1"/>
  <c r="B43" i="12"/>
  <c r="T42" i="12"/>
  <c r="P42" i="12"/>
  <c r="X42" i="12" s="1"/>
  <c r="H42" i="12"/>
  <c r="D42" i="12"/>
  <c r="L42" i="12" s="1"/>
  <c r="N42" i="12" s="1"/>
  <c r="B42" i="12"/>
  <c r="T41" i="12"/>
  <c r="P41" i="12"/>
  <c r="X41" i="12" s="1"/>
  <c r="H41" i="12"/>
  <c r="D41" i="12"/>
  <c r="L41" i="12" s="1"/>
  <c r="B41" i="12"/>
  <c r="T40" i="12"/>
  <c r="P40" i="12"/>
  <c r="X40" i="12" s="1"/>
  <c r="L40" i="12"/>
  <c r="N40" i="12" s="1"/>
  <c r="H40" i="12"/>
  <c r="D40" i="12"/>
  <c r="B40" i="12"/>
  <c r="T39" i="12"/>
  <c r="P39" i="12"/>
  <c r="L39" i="12"/>
  <c r="H39" i="12"/>
  <c r="N39" i="12" s="1"/>
  <c r="D39" i="12"/>
  <c r="B39" i="12"/>
  <c r="T38" i="12"/>
  <c r="P38" i="12"/>
  <c r="L38" i="12"/>
  <c r="N38" i="12" s="1"/>
  <c r="H38" i="12"/>
  <c r="D38" i="12"/>
  <c r="B38" i="12"/>
  <c r="Z37" i="12"/>
  <c r="X37" i="12"/>
  <c r="T37" i="12"/>
  <c r="P37" i="12"/>
  <c r="H37" i="12"/>
  <c r="D37" i="12"/>
  <c r="L37" i="12" s="1"/>
  <c r="B37" i="12"/>
  <c r="T36" i="12"/>
  <c r="P36" i="12"/>
  <c r="L36" i="12"/>
  <c r="H36" i="12"/>
  <c r="N36" i="12" s="1"/>
  <c r="D36" i="12"/>
  <c r="B36" i="12"/>
  <c r="X35" i="12"/>
  <c r="T35" i="12"/>
  <c r="Z35" i="12" s="1"/>
  <c r="P35" i="12"/>
  <c r="L35" i="12"/>
  <c r="N35" i="12" s="1"/>
  <c r="H35" i="12"/>
  <c r="D35" i="12"/>
  <c r="B35" i="12"/>
  <c r="Z34" i="12"/>
  <c r="T34" i="12"/>
  <c r="P34" i="12"/>
  <c r="X34" i="12" s="1"/>
  <c r="L34" i="12"/>
  <c r="N34" i="12" s="1"/>
  <c r="H34" i="12"/>
  <c r="D34" i="12"/>
  <c r="B34" i="12"/>
  <c r="T33" i="12"/>
  <c r="P33" i="12"/>
  <c r="X33" i="12" s="1"/>
  <c r="Z33" i="12" s="1"/>
  <c r="L33" i="12"/>
  <c r="H33" i="12"/>
  <c r="D33" i="12"/>
  <c r="B33" i="12"/>
  <c r="X32" i="12"/>
  <c r="T32" i="12"/>
  <c r="P32" i="12"/>
  <c r="L32" i="12"/>
  <c r="N32" i="12" s="1"/>
  <c r="H32" i="12"/>
  <c r="D32" i="12"/>
  <c r="B32" i="12"/>
  <c r="T31" i="12"/>
  <c r="X31" i="12" s="1"/>
  <c r="Z31" i="12" s="1"/>
  <c r="P31" i="12"/>
  <c r="H31" i="12"/>
  <c r="D31" i="12"/>
  <c r="L31" i="12" s="1"/>
  <c r="N31" i="12" s="1"/>
  <c r="B31" i="12"/>
  <c r="T30" i="12"/>
  <c r="Z30" i="12" s="1"/>
  <c r="P30" i="12"/>
  <c r="X30" i="12" s="1"/>
  <c r="H30" i="12"/>
  <c r="D30" i="12"/>
  <c r="L30" i="12" s="1"/>
  <c r="N30" i="12" s="1"/>
  <c r="B30" i="12"/>
  <c r="T29" i="12"/>
  <c r="Z29" i="12" s="1"/>
  <c r="P29" i="12"/>
  <c r="X29" i="12" s="1"/>
  <c r="H29" i="12"/>
  <c r="D29" i="12"/>
  <c r="L29" i="12" s="1"/>
  <c r="B29" i="12"/>
  <c r="T28" i="12"/>
  <c r="P28" i="12"/>
  <c r="X28" i="12" s="1"/>
  <c r="H28" i="12"/>
  <c r="D28" i="12"/>
  <c r="L28" i="12" s="1"/>
  <c r="N28" i="12" s="1"/>
  <c r="B28" i="12"/>
  <c r="T27" i="12"/>
  <c r="P27" i="12"/>
  <c r="X27" i="12" s="1"/>
  <c r="H27" i="12"/>
  <c r="N27" i="12" s="1"/>
  <c r="D27" i="12"/>
  <c r="L27" i="12" s="1"/>
  <c r="B27" i="12"/>
  <c r="T26" i="12"/>
  <c r="P26" i="12"/>
  <c r="L26" i="12"/>
  <c r="H26" i="12"/>
  <c r="N26" i="12" s="1"/>
  <c r="D26" i="12"/>
  <c r="B26" i="12"/>
  <c r="X25" i="12"/>
  <c r="T25" i="12"/>
  <c r="Z25" i="12" s="1"/>
  <c r="P25" i="12"/>
  <c r="L25" i="12"/>
  <c r="N25" i="12" s="1"/>
  <c r="H25" i="12"/>
  <c r="D25" i="12"/>
  <c r="B25" i="12"/>
  <c r="T24" i="12"/>
  <c r="P24" i="12"/>
  <c r="X24" i="12" s="1"/>
  <c r="Z24" i="12" s="1"/>
  <c r="H24" i="12"/>
  <c r="D24" i="12"/>
  <c r="L24" i="12" s="1"/>
  <c r="N24" i="12" s="1"/>
  <c r="B24" i="12"/>
  <c r="T23" i="12"/>
  <c r="P23" i="12"/>
  <c r="X23" i="12" s="1"/>
  <c r="H23" i="12"/>
  <c r="N23" i="12" s="1"/>
  <c r="D23" i="12"/>
  <c r="L23" i="12" s="1"/>
  <c r="B23" i="12"/>
  <c r="T22" i="12"/>
  <c r="P22" i="12"/>
  <c r="L22" i="12"/>
  <c r="H22" i="12"/>
  <c r="N22" i="12" s="1"/>
  <c r="D22" i="12"/>
  <c r="B22" i="12"/>
  <c r="X21" i="12"/>
  <c r="T21" i="12"/>
  <c r="Z21" i="12" s="1"/>
  <c r="P21" i="12"/>
  <c r="L21" i="12"/>
  <c r="N21" i="12" s="1"/>
  <c r="H21" i="12"/>
  <c r="D21" i="12"/>
  <c r="B21" i="12"/>
  <c r="T20" i="12"/>
  <c r="P20" i="12"/>
  <c r="X20" i="12" s="1"/>
  <c r="Z20" i="12" s="1"/>
  <c r="H20" i="12"/>
  <c r="D20" i="12"/>
  <c r="L20" i="12" s="1"/>
  <c r="N20" i="12" s="1"/>
  <c r="B20" i="12"/>
  <c r="T19" i="12"/>
  <c r="P19" i="12"/>
  <c r="X19" i="12" s="1"/>
  <c r="H19" i="12"/>
  <c r="D19" i="12"/>
  <c r="L19" i="12" s="1"/>
  <c r="N19" i="12" s="1"/>
  <c r="B19" i="12"/>
  <c r="T18" i="12"/>
  <c r="P18" i="12"/>
  <c r="L18" i="12"/>
  <c r="H18" i="12"/>
  <c r="N18" i="12" s="1"/>
  <c r="D18" i="12"/>
  <c r="B18" i="12"/>
  <c r="X17" i="12"/>
  <c r="T17" i="12"/>
  <c r="Z17" i="12" s="1"/>
  <c r="P17" i="12"/>
  <c r="L17" i="12"/>
  <c r="N17" i="12" s="1"/>
  <c r="H17" i="12"/>
  <c r="D17" i="12"/>
  <c r="B17" i="12"/>
  <c r="T16" i="12"/>
  <c r="X16" i="12" s="1"/>
  <c r="Z16" i="12" s="1"/>
  <c r="P16" i="12"/>
  <c r="H16" i="12"/>
  <c r="D16" i="12"/>
  <c r="L16" i="12" s="1"/>
  <c r="N16" i="12" s="1"/>
  <c r="B16" i="12"/>
  <c r="T15" i="12"/>
  <c r="Z15" i="12" s="1"/>
  <c r="P15" i="12"/>
  <c r="X15" i="12" s="1"/>
  <c r="H15" i="12"/>
  <c r="D15" i="12"/>
  <c r="L15" i="12" s="1"/>
  <c r="N15" i="12" s="1"/>
  <c r="B15" i="12"/>
  <c r="T14" i="12"/>
  <c r="P14" i="12"/>
  <c r="L14" i="12"/>
  <c r="H14" i="12"/>
  <c r="N14" i="12" s="1"/>
  <c r="D14" i="12"/>
  <c r="B14" i="12"/>
  <c r="X13" i="12"/>
  <c r="T13" i="12"/>
  <c r="T12" i="12" s="1"/>
  <c r="V132" i="12" s="1"/>
  <c r="P13" i="12"/>
  <c r="N13" i="12"/>
  <c r="L13" i="12"/>
  <c r="H13" i="12"/>
  <c r="D13" i="12"/>
  <c r="B13" i="12"/>
  <c r="D4" i="12"/>
  <c r="Z93" i="9"/>
  <c r="X93" i="9"/>
  <c r="N93" i="9"/>
  <c r="L93" i="9"/>
  <c r="Z89" i="9"/>
  <c r="X89" i="9"/>
  <c r="T89" i="9"/>
  <c r="P89" i="9"/>
  <c r="H89" i="9"/>
  <c r="N89" i="9" s="1"/>
  <c r="D89" i="9"/>
  <c r="X87" i="9"/>
  <c r="Z87" i="9" s="1"/>
  <c r="N87" i="9"/>
  <c r="L87" i="9"/>
  <c r="B87" i="9"/>
  <c r="Z86" i="9"/>
  <c r="X86" i="9"/>
  <c r="N86" i="9"/>
  <c r="L86" i="9"/>
  <c r="B86" i="9"/>
  <c r="T85" i="9"/>
  <c r="P85" i="9"/>
  <c r="L85" i="9"/>
  <c r="N85" i="9" s="1"/>
  <c r="H85" i="9"/>
  <c r="D85" i="9"/>
  <c r="B85" i="9"/>
  <c r="Z84" i="9"/>
  <c r="X84" i="9"/>
  <c r="V84" i="9"/>
  <c r="L84" i="9"/>
  <c r="N84" i="9" s="1"/>
  <c r="J84" i="9"/>
  <c r="B84" i="9"/>
  <c r="T83" i="9"/>
  <c r="P83" i="9"/>
  <c r="X83" i="9" s="1"/>
  <c r="Z83" i="9" s="1"/>
  <c r="H83" i="9"/>
  <c r="D83" i="9"/>
  <c r="B83" i="9"/>
  <c r="Z82" i="9"/>
  <c r="X82" i="9"/>
  <c r="N82" i="9"/>
  <c r="L82" i="9"/>
  <c r="B82" i="9"/>
  <c r="X81" i="9"/>
  <c r="Z81" i="9" s="1"/>
  <c r="L81" i="9"/>
  <c r="N81" i="9" s="1"/>
  <c r="F81" i="9"/>
  <c r="B81" i="9"/>
  <c r="V80" i="9"/>
  <c r="T80" i="9"/>
  <c r="Z80" i="9" s="1"/>
  <c r="P80" i="9"/>
  <c r="X80" i="9" s="1"/>
  <c r="H80" i="9"/>
  <c r="F80" i="9"/>
  <c r="D80" i="9"/>
  <c r="L80" i="9" s="1"/>
  <c r="N80" i="9" s="1"/>
  <c r="B80" i="9"/>
  <c r="X79" i="9"/>
  <c r="Z79" i="9" s="1"/>
  <c r="N79" i="9"/>
  <c r="L79" i="9"/>
  <c r="B79" i="9"/>
  <c r="Z78" i="9"/>
  <c r="X78" i="9"/>
  <c r="N78" i="9"/>
  <c r="L78" i="9"/>
  <c r="B78" i="9"/>
  <c r="X77" i="9"/>
  <c r="Z77" i="9" s="1"/>
  <c r="R77" i="9"/>
  <c r="N77" i="9"/>
  <c r="L77" i="9"/>
  <c r="F77" i="9"/>
  <c r="B77" i="9"/>
  <c r="Z76" i="9"/>
  <c r="X76" i="9"/>
  <c r="N76" i="9"/>
  <c r="L76" i="9"/>
  <c r="J76" i="9"/>
  <c r="B76" i="9"/>
  <c r="X75" i="9"/>
  <c r="Z75" i="9" s="1"/>
  <c r="N75" i="9"/>
  <c r="L75" i="9"/>
  <c r="B75" i="9"/>
  <c r="T74" i="9"/>
  <c r="X74" i="9" s="1"/>
  <c r="Z74" i="9" s="1"/>
  <c r="R74" i="9"/>
  <c r="P74" i="9"/>
  <c r="L74" i="9"/>
  <c r="N74" i="9" s="1"/>
  <c r="H74" i="9"/>
  <c r="D74" i="9"/>
  <c r="B74" i="9"/>
  <c r="Z73" i="9"/>
  <c r="X73" i="9"/>
  <c r="R73" i="9"/>
  <c r="N73" i="9"/>
  <c r="L73" i="9"/>
  <c r="B73" i="9"/>
  <c r="V72" i="9"/>
  <c r="T72" i="9"/>
  <c r="P72" i="9"/>
  <c r="X72" i="9" s="1"/>
  <c r="N72" i="9"/>
  <c r="H72" i="9"/>
  <c r="L72" i="9" s="1"/>
  <c r="D72" i="9"/>
  <c r="B72" i="9"/>
  <c r="X71" i="9"/>
  <c r="Z71" i="9" s="1"/>
  <c r="L71" i="9"/>
  <c r="N71" i="9" s="1"/>
  <c r="B71" i="9"/>
  <c r="Z70" i="9"/>
  <c r="X70" i="9"/>
  <c r="N70" i="9"/>
  <c r="L70" i="9"/>
  <c r="B70" i="9"/>
  <c r="T69" i="9"/>
  <c r="Z69" i="9" s="1"/>
  <c r="P69" i="9"/>
  <c r="X69" i="9" s="1"/>
  <c r="H69" i="9"/>
  <c r="D69" i="9"/>
  <c r="L69" i="9" s="1"/>
  <c r="N69" i="9" s="1"/>
  <c r="B69" i="9"/>
  <c r="X68" i="9"/>
  <c r="Z68" i="9" s="1"/>
  <c r="N68" i="9"/>
  <c r="L68" i="9"/>
  <c r="J68" i="9"/>
  <c r="B68" i="9"/>
  <c r="X67" i="9"/>
  <c r="Z67" i="9" s="1"/>
  <c r="N67" i="9"/>
  <c r="L67" i="9"/>
  <c r="B67" i="9"/>
  <c r="Z66" i="9"/>
  <c r="X66" i="9"/>
  <c r="N66" i="9"/>
  <c r="L66" i="9"/>
  <c r="B66" i="9"/>
  <c r="T65" i="9"/>
  <c r="P65" i="9"/>
  <c r="L65" i="9"/>
  <c r="N65" i="9" s="1"/>
  <c r="H65" i="9"/>
  <c r="D65" i="9"/>
  <c r="B65" i="9"/>
  <c r="X64" i="9"/>
  <c r="Z64" i="9" s="1"/>
  <c r="V64" i="9"/>
  <c r="L64" i="9"/>
  <c r="N64" i="9" s="1"/>
  <c r="J64" i="9"/>
  <c r="B64" i="9"/>
  <c r="Z63" i="9"/>
  <c r="X63" i="9"/>
  <c r="L63" i="9"/>
  <c r="N63" i="9" s="1"/>
  <c r="B63" i="9"/>
  <c r="Z62" i="9"/>
  <c r="X62" i="9"/>
  <c r="N62" i="9"/>
  <c r="L62" i="9"/>
  <c r="B62" i="9"/>
  <c r="X61" i="9"/>
  <c r="Z61" i="9" s="1"/>
  <c r="R61" i="9"/>
  <c r="N61" i="9"/>
  <c r="L61" i="9"/>
  <c r="B61" i="9"/>
  <c r="V60" i="9"/>
  <c r="T60" i="9"/>
  <c r="P60" i="9"/>
  <c r="X60" i="9" s="1"/>
  <c r="Z60" i="9" s="1"/>
  <c r="N60" i="9"/>
  <c r="H60" i="9"/>
  <c r="D60" i="9"/>
  <c r="L60" i="9" s="1"/>
  <c r="B60" i="9"/>
  <c r="X59" i="9"/>
  <c r="Z59" i="9" s="1"/>
  <c r="L59" i="9"/>
  <c r="N59" i="9" s="1"/>
  <c r="B59" i="9"/>
  <c r="T58" i="9"/>
  <c r="R58" i="9"/>
  <c r="P58" i="9"/>
  <c r="X58" i="9" s="1"/>
  <c r="Z58" i="9" s="1"/>
  <c r="J58" i="9"/>
  <c r="H58" i="9"/>
  <c r="D58" i="9"/>
  <c r="L58" i="9" s="1"/>
  <c r="B58" i="9"/>
  <c r="X57" i="9"/>
  <c r="Z57" i="9" s="1"/>
  <c r="R57" i="9"/>
  <c r="N57" i="9"/>
  <c r="L57" i="9"/>
  <c r="F57" i="9"/>
  <c r="B57" i="9"/>
  <c r="X56" i="9"/>
  <c r="T56" i="9"/>
  <c r="Z56" i="9" s="1"/>
  <c r="P56" i="9"/>
  <c r="H56" i="9"/>
  <c r="F56" i="9"/>
  <c r="D56" i="9"/>
  <c r="L56" i="9" s="1"/>
  <c r="N56" i="9" s="1"/>
  <c r="B56" i="9"/>
  <c r="Z55" i="9"/>
  <c r="X55" i="9"/>
  <c r="L55" i="9"/>
  <c r="N55" i="9" s="1"/>
  <c r="B55" i="9"/>
  <c r="Z54" i="9"/>
  <c r="X54" i="9"/>
  <c r="N54" i="9"/>
  <c r="L54" i="9"/>
  <c r="B54" i="9"/>
  <c r="T53" i="9"/>
  <c r="P53" i="9"/>
  <c r="X53" i="9" s="1"/>
  <c r="H53" i="9"/>
  <c r="D53" i="9"/>
  <c r="L53" i="9" s="1"/>
  <c r="N53" i="9" s="1"/>
  <c r="B53" i="9"/>
  <c r="X52" i="9"/>
  <c r="Z52" i="9" s="1"/>
  <c r="V52" i="9"/>
  <c r="L52" i="9"/>
  <c r="N52" i="9" s="1"/>
  <c r="B52" i="9"/>
  <c r="T51" i="9"/>
  <c r="P51" i="9"/>
  <c r="X51" i="9" s="1"/>
  <c r="Z51" i="9" s="1"/>
  <c r="H51" i="9"/>
  <c r="D51" i="9"/>
  <c r="L51" i="9" s="1"/>
  <c r="B51" i="9"/>
  <c r="Z50" i="9"/>
  <c r="X50" i="9"/>
  <c r="N50" i="9"/>
  <c r="L50" i="9"/>
  <c r="B50" i="9"/>
  <c r="T49" i="9"/>
  <c r="P49" i="9"/>
  <c r="L49" i="9"/>
  <c r="N49" i="9" s="1"/>
  <c r="H49" i="9"/>
  <c r="D49" i="9"/>
  <c r="B49" i="9"/>
  <c r="Z48" i="9"/>
  <c r="X48" i="9"/>
  <c r="V48" i="9"/>
  <c r="L48" i="9"/>
  <c r="N48" i="9" s="1"/>
  <c r="J48" i="9"/>
  <c r="B48" i="9"/>
  <c r="T47" i="9"/>
  <c r="P47" i="9"/>
  <c r="X47" i="9" s="1"/>
  <c r="Z47" i="9" s="1"/>
  <c r="H47" i="9"/>
  <c r="D47" i="9"/>
  <c r="B47" i="9"/>
  <c r="Z46" i="9"/>
  <c r="X46" i="9"/>
  <c r="N46" i="9"/>
  <c r="L46" i="9"/>
  <c r="B46" i="9"/>
  <c r="T45" i="9"/>
  <c r="Z45" i="9" s="1"/>
  <c r="P45" i="9"/>
  <c r="X45" i="9" s="1"/>
  <c r="H45" i="9"/>
  <c r="D45" i="9"/>
  <c r="L45" i="9" s="1"/>
  <c r="N45" i="9" s="1"/>
  <c r="B45" i="9"/>
  <c r="X44" i="9"/>
  <c r="Z44" i="9" s="1"/>
  <c r="N44" i="9"/>
  <c r="L44" i="9"/>
  <c r="J44" i="9"/>
  <c r="B44" i="9"/>
  <c r="X43" i="9"/>
  <c r="Z43" i="9" s="1"/>
  <c r="T43" i="9"/>
  <c r="P43" i="9"/>
  <c r="H43" i="9"/>
  <c r="D43" i="9"/>
  <c r="B43" i="9"/>
  <c r="Z42" i="9"/>
  <c r="X42" i="9"/>
  <c r="N42" i="9"/>
  <c r="L42" i="9"/>
  <c r="B42" i="9"/>
  <c r="T41" i="9"/>
  <c r="P41" i="9"/>
  <c r="H41" i="9"/>
  <c r="D41" i="9"/>
  <c r="L41" i="9" s="1"/>
  <c r="N41" i="9" s="1"/>
  <c r="B41" i="9"/>
  <c r="X40" i="9"/>
  <c r="Z40" i="9" s="1"/>
  <c r="V40" i="9"/>
  <c r="L40" i="9"/>
  <c r="N40" i="9" s="1"/>
  <c r="B40" i="9"/>
  <c r="T39" i="9"/>
  <c r="P39" i="9"/>
  <c r="X39" i="9" s="1"/>
  <c r="Z39" i="9" s="1"/>
  <c r="H39" i="9"/>
  <c r="N39" i="9" s="1"/>
  <c r="D39" i="9"/>
  <c r="L39" i="9" s="1"/>
  <c r="B39" i="9"/>
  <c r="Z38" i="9"/>
  <c r="X38" i="9"/>
  <c r="N38" i="9"/>
  <c r="L38" i="9"/>
  <c r="B38" i="9"/>
  <c r="X37" i="9"/>
  <c r="Z37" i="9" s="1"/>
  <c r="R37" i="9"/>
  <c r="N37" i="9"/>
  <c r="L37" i="9"/>
  <c r="F37" i="9"/>
  <c r="B37" i="9"/>
  <c r="X36" i="9"/>
  <c r="Z36" i="9" s="1"/>
  <c r="N36" i="9"/>
  <c r="L36" i="9"/>
  <c r="J36" i="9"/>
  <c r="B36" i="9"/>
  <c r="X35" i="9"/>
  <c r="Z35" i="9" s="1"/>
  <c r="N35" i="9"/>
  <c r="L35" i="9"/>
  <c r="B35" i="9"/>
  <c r="Z34" i="9"/>
  <c r="X34" i="9"/>
  <c r="N34" i="9"/>
  <c r="L34" i="9"/>
  <c r="B34" i="9"/>
  <c r="X33" i="9"/>
  <c r="Z33" i="9" s="1"/>
  <c r="R33" i="9"/>
  <c r="N33" i="9"/>
  <c r="L33" i="9"/>
  <c r="F33" i="9"/>
  <c r="B33" i="9"/>
  <c r="X32" i="9"/>
  <c r="Z32" i="9" s="1"/>
  <c r="N32" i="9"/>
  <c r="L32" i="9"/>
  <c r="J32" i="9"/>
  <c r="B32" i="9"/>
  <c r="X31" i="9"/>
  <c r="Z31" i="9" s="1"/>
  <c r="T31" i="9"/>
  <c r="P31" i="9"/>
  <c r="H31" i="9"/>
  <c r="D31" i="9"/>
  <c r="B31" i="9"/>
  <c r="Z30" i="9"/>
  <c r="X30" i="9"/>
  <c r="N30" i="9"/>
  <c r="L30" i="9"/>
  <c r="B30" i="9"/>
  <c r="X29" i="9"/>
  <c r="Z29" i="9" s="1"/>
  <c r="R29" i="9"/>
  <c r="N29" i="9"/>
  <c r="L29" i="9"/>
  <c r="J29" i="9"/>
  <c r="B29" i="9"/>
  <c r="Z28" i="9"/>
  <c r="X28" i="9"/>
  <c r="V28" i="9"/>
  <c r="L28" i="9"/>
  <c r="N28" i="9" s="1"/>
  <c r="J28" i="9"/>
  <c r="B28" i="9"/>
  <c r="Z27" i="9"/>
  <c r="X27" i="9"/>
  <c r="L27" i="9"/>
  <c r="N27" i="9" s="1"/>
  <c r="B27" i="9"/>
  <c r="Z26" i="9"/>
  <c r="X26" i="9"/>
  <c r="N26" i="9"/>
  <c r="L26" i="9"/>
  <c r="B26" i="9"/>
  <c r="X25" i="9"/>
  <c r="Z25" i="9" s="1"/>
  <c r="R25" i="9"/>
  <c r="N25" i="9"/>
  <c r="L25" i="9"/>
  <c r="J25" i="9"/>
  <c r="B25" i="9"/>
  <c r="Z24" i="9"/>
  <c r="X24" i="9"/>
  <c r="V24" i="9"/>
  <c r="L24" i="9"/>
  <c r="N24" i="9" s="1"/>
  <c r="J24" i="9"/>
  <c r="B24" i="9"/>
  <c r="Z23" i="9"/>
  <c r="X23" i="9"/>
  <c r="L23" i="9"/>
  <c r="N23" i="9" s="1"/>
  <c r="B23" i="9"/>
  <c r="Z22" i="9"/>
  <c r="X22" i="9"/>
  <c r="N22" i="9"/>
  <c r="L22" i="9"/>
  <c r="B22" i="9"/>
  <c r="X21" i="9"/>
  <c r="Z21" i="9" s="1"/>
  <c r="R21" i="9"/>
  <c r="N21" i="9"/>
  <c r="L21" i="9"/>
  <c r="J21" i="9"/>
  <c r="B21" i="9"/>
  <c r="Z20" i="9"/>
  <c r="X20" i="9"/>
  <c r="V20" i="9"/>
  <c r="L20" i="9"/>
  <c r="N20" i="9" s="1"/>
  <c r="J20" i="9"/>
  <c r="B20" i="9"/>
  <c r="T19" i="9"/>
  <c r="P19" i="9"/>
  <c r="X19" i="9" s="1"/>
  <c r="Z19" i="9" s="1"/>
  <c r="J19" i="9"/>
  <c r="H19" i="9"/>
  <c r="D19" i="9"/>
  <c r="L19" i="9" s="1"/>
  <c r="B19" i="9"/>
  <c r="T18" i="9"/>
  <c r="R18" i="9"/>
  <c r="P18" i="9"/>
  <c r="X18" i="9" s="1"/>
  <c r="J18" i="9"/>
  <c r="H18" i="9"/>
  <c r="D18" i="9"/>
  <c r="L18" i="9" s="1"/>
  <c r="R16" i="9"/>
  <c r="J16" i="9"/>
  <c r="T14" i="9"/>
  <c r="Z14" i="9" s="1"/>
  <c r="R14" i="9"/>
  <c r="P14" i="9"/>
  <c r="X14" i="9" s="1"/>
  <c r="J14" i="9"/>
  <c r="H14" i="9"/>
  <c r="N14" i="9" s="1"/>
  <c r="D14" i="9"/>
  <c r="D16" i="9" s="1"/>
  <c r="Z12" i="9"/>
  <c r="T12" i="9"/>
  <c r="V62" i="9" s="1"/>
  <c r="P12" i="9"/>
  <c r="R87" i="9" s="1"/>
  <c r="N12" i="9"/>
  <c r="L12" i="9"/>
  <c r="H12" i="9"/>
  <c r="J86" i="9" s="1"/>
  <c r="D12" i="9"/>
  <c r="F71" i="9" s="1"/>
  <c r="D4" i="9"/>
  <c r="R31" i="6"/>
  <c r="T29" i="6"/>
  <c r="R29" i="6"/>
  <c r="P29" i="6"/>
  <c r="X29" i="6" s="1"/>
  <c r="Z29" i="6" s="1"/>
  <c r="H29" i="6"/>
  <c r="D29" i="6"/>
  <c r="T28" i="6"/>
  <c r="R28" i="6"/>
  <c r="P28" i="6"/>
  <c r="X28" i="6" s="1"/>
  <c r="Z28" i="6" s="1"/>
  <c r="H28" i="6"/>
  <c r="D28" i="6"/>
  <c r="L28" i="6" s="1"/>
  <c r="R26" i="6"/>
  <c r="F26" i="6"/>
  <c r="Z24" i="6"/>
  <c r="X24" i="6"/>
  <c r="R24" i="6"/>
  <c r="N24" i="6"/>
  <c r="L24" i="6"/>
  <c r="R22" i="6"/>
  <c r="J22" i="6"/>
  <c r="Z20" i="6"/>
  <c r="X20" i="6"/>
  <c r="T20" i="6"/>
  <c r="R20" i="6"/>
  <c r="P20" i="6"/>
  <c r="J20" i="6"/>
  <c r="H20" i="6"/>
  <c r="N20" i="6" s="1"/>
  <c r="D20" i="6"/>
  <c r="Z18" i="6"/>
  <c r="X18" i="6"/>
  <c r="T18" i="6"/>
  <c r="R18" i="6"/>
  <c r="P18" i="6"/>
  <c r="J18" i="6"/>
  <c r="H18" i="6"/>
  <c r="N18" i="6" s="1"/>
  <c r="D18" i="6"/>
  <c r="R16" i="6"/>
  <c r="J16" i="6"/>
  <c r="Z14" i="6"/>
  <c r="X14" i="6"/>
  <c r="T14" i="6"/>
  <c r="R14" i="6"/>
  <c r="P14" i="6"/>
  <c r="P16" i="6" s="1"/>
  <c r="P22" i="6" s="1"/>
  <c r="P26" i="6" s="1"/>
  <c r="J14" i="6"/>
  <c r="H14" i="6"/>
  <c r="N14" i="6" s="1"/>
  <c r="D14" i="6"/>
  <c r="X12" i="6"/>
  <c r="T12" i="6"/>
  <c r="T16" i="6" s="1"/>
  <c r="P12" i="6"/>
  <c r="N12" i="6"/>
  <c r="H12" i="6"/>
  <c r="J24" i="6" s="1"/>
  <c r="D12" i="6"/>
  <c r="L12" i="6" s="1"/>
  <c r="D4" i="6"/>
  <c r="T321" i="3"/>
  <c r="P321" i="3"/>
  <c r="X321" i="3" s="1"/>
  <c r="H321" i="3"/>
  <c r="D321" i="3"/>
  <c r="T320" i="3"/>
  <c r="Z320" i="3" s="1"/>
  <c r="P320" i="3"/>
  <c r="X320" i="3" s="1"/>
  <c r="H320" i="3"/>
  <c r="D320" i="3"/>
  <c r="X316" i="3"/>
  <c r="Z316" i="3" s="1"/>
  <c r="L316" i="3"/>
  <c r="N316" i="3" s="1"/>
  <c r="X312" i="3"/>
  <c r="Z312" i="3" s="1"/>
  <c r="T312" i="3"/>
  <c r="P312" i="3"/>
  <c r="N312" i="3"/>
  <c r="H312" i="3"/>
  <c r="L312" i="3" s="1"/>
  <c r="D312" i="3"/>
  <c r="B312" i="3"/>
  <c r="T311" i="3"/>
  <c r="P311" i="3"/>
  <c r="X311" i="3" s="1"/>
  <c r="Z311" i="3" s="1"/>
  <c r="H311" i="3"/>
  <c r="D311" i="3"/>
  <c r="L311" i="3" s="1"/>
  <c r="N311" i="3" s="1"/>
  <c r="B311" i="3"/>
  <c r="Z310" i="3"/>
  <c r="T310" i="3"/>
  <c r="P310" i="3"/>
  <c r="X310" i="3" s="1"/>
  <c r="L310" i="3"/>
  <c r="H310" i="3"/>
  <c r="N310" i="3" s="1"/>
  <c r="D310" i="3"/>
  <c r="B310" i="3"/>
  <c r="T309" i="3"/>
  <c r="P309" i="3"/>
  <c r="X309" i="3" s="1"/>
  <c r="N309" i="3"/>
  <c r="H309" i="3"/>
  <c r="D309" i="3"/>
  <c r="L309" i="3" s="1"/>
  <c r="B309" i="3"/>
  <c r="T308" i="3"/>
  <c r="P308" i="3"/>
  <c r="X308" i="3" s="1"/>
  <c r="H308" i="3"/>
  <c r="N308" i="3" s="1"/>
  <c r="D308" i="3"/>
  <c r="L308" i="3" s="1"/>
  <c r="B308" i="3"/>
  <c r="X307" i="3"/>
  <c r="Z307" i="3" s="1"/>
  <c r="T307" i="3"/>
  <c r="P307" i="3"/>
  <c r="H307" i="3"/>
  <c r="D307" i="3"/>
  <c r="B307" i="3"/>
  <c r="T306" i="3"/>
  <c r="X306" i="3" s="1"/>
  <c r="Z306" i="3" s="1"/>
  <c r="P306" i="3"/>
  <c r="L306" i="3"/>
  <c r="N306" i="3" s="1"/>
  <c r="H306" i="3"/>
  <c r="D306" i="3"/>
  <c r="B306" i="3"/>
  <c r="T305" i="3"/>
  <c r="P305" i="3"/>
  <c r="X305" i="3" s="1"/>
  <c r="Z305" i="3" s="1"/>
  <c r="N305" i="3"/>
  <c r="H305" i="3"/>
  <c r="D305" i="3"/>
  <c r="L305" i="3" s="1"/>
  <c r="B305" i="3"/>
  <c r="X304" i="3"/>
  <c r="T304" i="3"/>
  <c r="Z304" i="3" s="1"/>
  <c r="P304" i="3"/>
  <c r="N304" i="3"/>
  <c r="H304" i="3"/>
  <c r="D304" i="3"/>
  <c r="L304" i="3" s="1"/>
  <c r="B304" i="3"/>
  <c r="T303" i="3"/>
  <c r="P303" i="3"/>
  <c r="X303" i="3" s="1"/>
  <c r="Z303" i="3" s="1"/>
  <c r="H303" i="3"/>
  <c r="N303" i="3" s="1"/>
  <c r="D303" i="3"/>
  <c r="L303" i="3" s="1"/>
  <c r="B303" i="3"/>
  <c r="T302" i="3"/>
  <c r="P302" i="3"/>
  <c r="H302" i="3"/>
  <c r="N302" i="3" s="1"/>
  <c r="D302" i="3"/>
  <c r="B302" i="3"/>
  <c r="T301" i="3"/>
  <c r="P301" i="3"/>
  <c r="L301" i="3"/>
  <c r="N301" i="3" s="1"/>
  <c r="H301" i="3"/>
  <c r="D301" i="3"/>
  <c r="B301" i="3"/>
  <c r="X300" i="3"/>
  <c r="Z300" i="3" s="1"/>
  <c r="T300" i="3"/>
  <c r="P300" i="3"/>
  <c r="H300" i="3"/>
  <c r="H299" i="3" s="1"/>
  <c r="D300" i="3"/>
  <c r="B300" i="3"/>
  <c r="P299" i="3"/>
  <c r="X297" i="3"/>
  <c r="Z297" i="3" s="1"/>
  <c r="L297" i="3"/>
  <c r="N297" i="3" s="1"/>
  <c r="B297" i="3"/>
  <c r="T296" i="3"/>
  <c r="P296" i="3"/>
  <c r="H296" i="3"/>
  <c r="N296" i="3" s="1"/>
  <c r="D296" i="3"/>
  <c r="L296" i="3" s="1"/>
  <c r="B296" i="3"/>
  <c r="X295" i="3"/>
  <c r="Z295" i="3" s="1"/>
  <c r="L295" i="3"/>
  <c r="N295" i="3" s="1"/>
  <c r="B295" i="3"/>
  <c r="X294" i="3"/>
  <c r="Z294" i="3" s="1"/>
  <c r="N294" i="3"/>
  <c r="L294" i="3"/>
  <c r="B294" i="3"/>
  <c r="X293" i="3"/>
  <c r="Z293" i="3" s="1"/>
  <c r="N293" i="3"/>
  <c r="L293" i="3"/>
  <c r="B293" i="3"/>
  <c r="T292" i="3"/>
  <c r="P292" i="3"/>
  <c r="X292" i="3" s="1"/>
  <c r="Z292" i="3" s="1"/>
  <c r="L292" i="3"/>
  <c r="H292" i="3"/>
  <c r="N292" i="3" s="1"/>
  <c r="D292" i="3"/>
  <c r="B292" i="3"/>
  <c r="X291" i="3"/>
  <c r="Z291" i="3" s="1"/>
  <c r="N291" i="3"/>
  <c r="L291" i="3"/>
  <c r="B291" i="3"/>
  <c r="X290" i="3"/>
  <c r="Z290" i="3" s="1"/>
  <c r="T290" i="3"/>
  <c r="P290" i="3"/>
  <c r="H290" i="3"/>
  <c r="L290" i="3" s="1"/>
  <c r="N290" i="3" s="1"/>
  <c r="D290" i="3"/>
  <c r="B290" i="3"/>
  <c r="X289" i="3"/>
  <c r="Z289" i="3" s="1"/>
  <c r="L289" i="3"/>
  <c r="N289" i="3" s="1"/>
  <c r="B289" i="3"/>
  <c r="Z288" i="3"/>
  <c r="X288" i="3"/>
  <c r="N288" i="3"/>
  <c r="L288" i="3"/>
  <c r="B288" i="3"/>
  <c r="T287" i="3"/>
  <c r="P287" i="3"/>
  <c r="X287" i="3" s="1"/>
  <c r="Z287" i="3" s="1"/>
  <c r="L287" i="3"/>
  <c r="N287" i="3" s="1"/>
  <c r="H287" i="3"/>
  <c r="D287" i="3"/>
  <c r="B287" i="3"/>
  <c r="X286" i="3"/>
  <c r="Z286" i="3" s="1"/>
  <c r="L286" i="3"/>
  <c r="N286" i="3" s="1"/>
  <c r="B286" i="3"/>
  <c r="X285" i="3"/>
  <c r="Z285" i="3" s="1"/>
  <c r="N285" i="3"/>
  <c r="L285" i="3"/>
  <c r="B285" i="3"/>
  <c r="Z284" i="3"/>
  <c r="X284" i="3"/>
  <c r="N284" i="3"/>
  <c r="L284" i="3"/>
  <c r="B284" i="3"/>
  <c r="X283" i="3"/>
  <c r="Z283" i="3" s="1"/>
  <c r="L283" i="3"/>
  <c r="N283" i="3" s="1"/>
  <c r="B283" i="3"/>
  <c r="X282" i="3"/>
  <c r="Z282" i="3" s="1"/>
  <c r="L282" i="3"/>
  <c r="N282" i="3" s="1"/>
  <c r="B282" i="3"/>
  <c r="X281" i="3"/>
  <c r="Z281" i="3" s="1"/>
  <c r="N281" i="3"/>
  <c r="L281" i="3"/>
  <c r="B281" i="3"/>
  <c r="Z280" i="3"/>
  <c r="X280" i="3"/>
  <c r="N280" i="3"/>
  <c r="L280" i="3"/>
  <c r="B280" i="3"/>
  <c r="X279" i="3"/>
  <c r="Z279" i="3" s="1"/>
  <c r="L279" i="3"/>
  <c r="N279" i="3" s="1"/>
  <c r="B279" i="3"/>
  <c r="Z278" i="3"/>
  <c r="X278" i="3"/>
  <c r="N278" i="3"/>
  <c r="L278" i="3"/>
  <c r="B278" i="3"/>
  <c r="X277" i="3"/>
  <c r="Z277" i="3" s="1"/>
  <c r="N277" i="3"/>
  <c r="L277" i="3"/>
  <c r="B277" i="3"/>
  <c r="Z276" i="3"/>
  <c r="T276" i="3"/>
  <c r="P276" i="3"/>
  <c r="X276" i="3" s="1"/>
  <c r="L276" i="3"/>
  <c r="H276" i="3"/>
  <c r="N276" i="3" s="1"/>
  <c r="D276" i="3"/>
  <c r="B276" i="3"/>
  <c r="X275" i="3"/>
  <c r="Z275" i="3" s="1"/>
  <c r="N275" i="3"/>
  <c r="L275" i="3"/>
  <c r="B275" i="3"/>
  <c r="X274" i="3"/>
  <c r="Z274" i="3" s="1"/>
  <c r="L274" i="3"/>
  <c r="N274" i="3" s="1"/>
  <c r="B274" i="3"/>
  <c r="T273" i="3"/>
  <c r="P273" i="3"/>
  <c r="X273" i="3" s="1"/>
  <c r="Z273" i="3" s="1"/>
  <c r="H273" i="3"/>
  <c r="D273" i="3"/>
  <c r="B273" i="3"/>
  <c r="Z272" i="3"/>
  <c r="X272" i="3"/>
  <c r="N272" i="3"/>
  <c r="L272" i="3"/>
  <c r="B272" i="3"/>
  <c r="Z271" i="3"/>
  <c r="X271" i="3"/>
  <c r="L271" i="3"/>
  <c r="N271" i="3" s="1"/>
  <c r="B271" i="3"/>
  <c r="X270" i="3"/>
  <c r="Z270" i="3" s="1"/>
  <c r="L270" i="3"/>
  <c r="N270" i="3" s="1"/>
  <c r="B270" i="3"/>
  <c r="X269" i="3"/>
  <c r="Z269" i="3" s="1"/>
  <c r="L269" i="3"/>
  <c r="N269" i="3" s="1"/>
  <c r="B269" i="3"/>
  <c r="Z268" i="3"/>
  <c r="X268" i="3"/>
  <c r="N268" i="3"/>
  <c r="L268" i="3"/>
  <c r="B268" i="3"/>
  <c r="T267" i="3"/>
  <c r="P267" i="3"/>
  <c r="X267" i="3" s="1"/>
  <c r="Z267" i="3" s="1"/>
  <c r="H267" i="3"/>
  <c r="D267" i="3"/>
  <c r="L267" i="3" s="1"/>
  <c r="N267" i="3" s="1"/>
  <c r="B267" i="3"/>
  <c r="X266" i="3"/>
  <c r="Z266" i="3" s="1"/>
  <c r="L266" i="3"/>
  <c r="N266" i="3" s="1"/>
  <c r="B266" i="3"/>
  <c r="X265" i="3"/>
  <c r="Z265" i="3" s="1"/>
  <c r="N265" i="3"/>
  <c r="L265" i="3"/>
  <c r="B265" i="3"/>
  <c r="Z264" i="3"/>
  <c r="X264" i="3"/>
  <c r="N264" i="3"/>
  <c r="L264" i="3"/>
  <c r="B264" i="3"/>
  <c r="T263" i="3"/>
  <c r="P263" i="3"/>
  <c r="L263" i="3"/>
  <c r="N263" i="3" s="1"/>
  <c r="H263" i="3"/>
  <c r="D263" i="3"/>
  <c r="B263" i="3"/>
  <c r="X262" i="3"/>
  <c r="Z262" i="3" s="1"/>
  <c r="L262" i="3"/>
  <c r="N262" i="3" s="1"/>
  <c r="B262" i="3"/>
  <c r="Z261" i="3"/>
  <c r="X261" i="3"/>
  <c r="L261" i="3"/>
  <c r="N261" i="3" s="1"/>
  <c r="B261" i="3"/>
  <c r="Z260" i="3"/>
  <c r="X260" i="3"/>
  <c r="N260" i="3"/>
  <c r="L260" i="3"/>
  <c r="B260" i="3"/>
  <c r="X259" i="3"/>
  <c r="Z259" i="3" s="1"/>
  <c r="N259" i="3"/>
  <c r="L259" i="3"/>
  <c r="B259" i="3"/>
  <c r="X258" i="3"/>
  <c r="Z258" i="3" s="1"/>
  <c r="T258" i="3"/>
  <c r="P258" i="3"/>
  <c r="H258" i="3"/>
  <c r="L258" i="3" s="1"/>
  <c r="N258" i="3" s="1"/>
  <c r="D258" i="3"/>
  <c r="B258" i="3"/>
  <c r="X257" i="3"/>
  <c r="Z257" i="3" s="1"/>
  <c r="L257" i="3"/>
  <c r="N257" i="3" s="1"/>
  <c r="B257" i="3"/>
  <c r="T256" i="3"/>
  <c r="P256" i="3"/>
  <c r="H256" i="3"/>
  <c r="D256" i="3"/>
  <c r="L256" i="3" s="1"/>
  <c r="B256" i="3"/>
  <c r="X255" i="3"/>
  <c r="Z255" i="3" s="1"/>
  <c r="L255" i="3"/>
  <c r="N255" i="3" s="1"/>
  <c r="B255" i="3"/>
  <c r="X254" i="3"/>
  <c r="T254" i="3"/>
  <c r="Z254" i="3" s="1"/>
  <c r="P254" i="3"/>
  <c r="H254" i="3"/>
  <c r="D254" i="3"/>
  <c r="L254" i="3" s="1"/>
  <c r="N254" i="3" s="1"/>
  <c r="B254" i="3"/>
  <c r="Z253" i="3"/>
  <c r="X253" i="3"/>
  <c r="N253" i="3"/>
  <c r="L253" i="3"/>
  <c r="B253" i="3"/>
  <c r="T252" i="3"/>
  <c r="X252" i="3" s="1"/>
  <c r="Z252" i="3" s="1"/>
  <c r="P252" i="3"/>
  <c r="N252" i="3"/>
  <c r="L252" i="3"/>
  <c r="H252" i="3"/>
  <c r="D252" i="3"/>
  <c r="B252" i="3"/>
  <c r="Z251" i="3"/>
  <c r="X251" i="3"/>
  <c r="L251" i="3"/>
  <c r="N251" i="3" s="1"/>
  <c r="B251" i="3"/>
  <c r="T250" i="3"/>
  <c r="P250" i="3"/>
  <c r="X250" i="3" s="1"/>
  <c r="H250" i="3"/>
  <c r="D250" i="3"/>
  <c r="B250" i="3"/>
  <c r="X249" i="3"/>
  <c r="Z249" i="3" s="1"/>
  <c r="N249" i="3"/>
  <c r="L249" i="3"/>
  <c r="B249" i="3"/>
  <c r="Z248" i="3"/>
  <c r="T248" i="3"/>
  <c r="P248" i="3"/>
  <c r="X248" i="3" s="1"/>
  <c r="L248" i="3"/>
  <c r="H248" i="3"/>
  <c r="N248" i="3" s="1"/>
  <c r="D248" i="3"/>
  <c r="B248" i="3"/>
  <c r="X247" i="3"/>
  <c r="Z247" i="3" s="1"/>
  <c r="N247" i="3"/>
  <c r="L247" i="3"/>
  <c r="B247" i="3"/>
  <c r="X246" i="3"/>
  <c r="Z246" i="3" s="1"/>
  <c r="T246" i="3"/>
  <c r="P246" i="3"/>
  <c r="N246" i="3"/>
  <c r="H246" i="3"/>
  <c r="L246" i="3" s="1"/>
  <c r="D246" i="3"/>
  <c r="B246" i="3"/>
  <c r="X245" i="3"/>
  <c r="Z245" i="3" s="1"/>
  <c r="L245" i="3"/>
  <c r="N245" i="3" s="1"/>
  <c r="B245" i="3"/>
  <c r="Z244" i="3"/>
  <c r="X244" i="3"/>
  <c r="N244" i="3"/>
  <c r="L244" i="3"/>
  <c r="B244" i="3"/>
  <c r="T243" i="3"/>
  <c r="P243" i="3"/>
  <c r="X243" i="3" s="1"/>
  <c r="Z243" i="3" s="1"/>
  <c r="L243" i="3"/>
  <c r="N243" i="3" s="1"/>
  <c r="H243" i="3"/>
  <c r="D243" i="3"/>
  <c r="B243" i="3"/>
  <c r="X242" i="3"/>
  <c r="Z242" i="3" s="1"/>
  <c r="N242" i="3"/>
  <c r="L242" i="3"/>
  <c r="B242" i="3"/>
  <c r="X241" i="3"/>
  <c r="Z241" i="3" s="1"/>
  <c r="N241" i="3"/>
  <c r="L241" i="3"/>
  <c r="B241" i="3"/>
  <c r="Z240" i="3"/>
  <c r="T240" i="3"/>
  <c r="P240" i="3"/>
  <c r="X240" i="3" s="1"/>
  <c r="L240" i="3"/>
  <c r="H240" i="3"/>
  <c r="N240" i="3" s="1"/>
  <c r="D240" i="3"/>
  <c r="B240" i="3"/>
  <c r="X239" i="3"/>
  <c r="Z239" i="3" s="1"/>
  <c r="N239" i="3"/>
  <c r="L239" i="3"/>
  <c r="B239" i="3"/>
  <c r="X238" i="3"/>
  <c r="Z238" i="3" s="1"/>
  <c r="T238" i="3"/>
  <c r="P238" i="3"/>
  <c r="N238" i="3"/>
  <c r="H238" i="3"/>
  <c r="L238" i="3" s="1"/>
  <c r="D238" i="3"/>
  <c r="B238" i="3"/>
  <c r="X237" i="3"/>
  <c r="Z237" i="3" s="1"/>
  <c r="L237" i="3"/>
  <c r="N237" i="3" s="1"/>
  <c r="B237" i="3"/>
  <c r="T236" i="3"/>
  <c r="P236" i="3"/>
  <c r="H236" i="3"/>
  <c r="N236" i="3" s="1"/>
  <c r="D236" i="3"/>
  <c r="L236" i="3" s="1"/>
  <c r="B236" i="3"/>
  <c r="X235" i="3"/>
  <c r="Z235" i="3" s="1"/>
  <c r="L235" i="3"/>
  <c r="N235" i="3" s="1"/>
  <c r="B235" i="3"/>
  <c r="X234" i="3"/>
  <c r="T234" i="3"/>
  <c r="Z234" i="3" s="1"/>
  <c r="P234" i="3"/>
  <c r="N234" i="3"/>
  <c r="H234" i="3"/>
  <c r="D234" i="3"/>
  <c r="L234" i="3" s="1"/>
  <c r="B234" i="3"/>
  <c r="Z233" i="3"/>
  <c r="X233" i="3"/>
  <c r="L233" i="3"/>
  <c r="N233" i="3" s="1"/>
  <c r="B233" i="3"/>
  <c r="Z232" i="3"/>
  <c r="X232" i="3"/>
  <c r="L232" i="3"/>
  <c r="N232" i="3" s="1"/>
  <c r="B232" i="3"/>
  <c r="T231" i="3"/>
  <c r="P231" i="3"/>
  <c r="H231" i="3"/>
  <c r="D231" i="3"/>
  <c r="L231" i="3" s="1"/>
  <c r="N231" i="3" s="1"/>
  <c r="B231" i="3"/>
  <c r="X230" i="3"/>
  <c r="Z230" i="3" s="1"/>
  <c r="L230" i="3"/>
  <c r="N230" i="3" s="1"/>
  <c r="B230" i="3"/>
  <c r="X229" i="3"/>
  <c r="Z229" i="3" s="1"/>
  <c r="L229" i="3"/>
  <c r="N229" i="3" s="1"/>
  <c r="B229" i="3"/>
  <c r="X228" i="3"/>
  <c r="Z228" i="3" s="1"/>
  <c r="N228" i="3"/>
  <c r="L228" i="3"/>
  <c r="B228" i="3"/>
  <c r="T227" i="3"/>
  <c r="P227" i="3"/>
  <c r="X227" i="3" s="1"/>
  <c r="Z227" i="3" s="1"/>
  <c r="H227" i="3"/>
  <c r="D227" i="3"/>
  <c r="L227" i="3" s="1"/>
  <c r="N227" i="3" s="1"/>
  <c r="B227" i="3"/>
  <c r="X226" i="3"/>
  <c r="Z226" i="3" s="1"/>
  <c r="N226" i="3"/>
  <c r="L226" i="3"/>
  <c r="B226" i="3"/>
  <c r="X225" i="3"/>
  <c r="Z225" i="3" s="1"/>
  <c r="T225" i="3"/>
  <c r="P225" i="3"/>
  <c r="H225" i="3"/>
  <c r="D225" i="3"/>
  <c r="B225" i="3"/>
  <c r="Z224" i="3"/>
  <c r="X224" i="3"/>
  <c r="N224" i="3"/>
  <c r="L224" i="3"/>
  <c r="B224" i="3"/>
  <c r="X223" i="3"/>
  <c r="Z223" i="3" s="1"/>
  <c r="N223" i="3"/>
  <c r="L223" i="3"/>
  <c r="B223" i="3"/>
  <c r="Z222" i="3"/>
  <c r="X222" i="3"/>
  <c r="T222" i="3"/>
  <c r="P222" i="3"/>
  <c r="N222" i="3"/>
  <c r="H222" i="3"/>
  <c r="L222" i="3" s="1"/>
  <c r="D222" i="3"/>
  <c r="B222" i="3"/>
  <c r="X221" i="3"/>
  <c r="Z221" i="3" s="1"/>
  <c r="L221" i="3"/>
  <c r="N221" i="3" s="1"/>
  <c r="B221" i="3"/>
  <c r="T220" i="3"/>
  <c r="P220" i="3"/>
  <c r="H220" i="3"/>
  <c r="D220" i="3"/>
  <c r="L220" i="3" s="1"/>
  <c r="B220" i="3"/>
  <c r="X219" i="3"/>
  <c r="Z219" i="3" s="1"/>
  <c r="L219" i="3"/>
  <c r="N219" i="3" s="1"/>
  <c r="B219" i="3"/>
  <c r="X218" i="3"/>
  <c r="Z218" i="3" s="1"/>
  <c r="N218" i="3"/>
  <c r="L218" i="3"/>
  <c r="B218" i="3"/>
  <c r="X217" i="3"/>
  <c r="Z217" i="3" s="1"/>
  <c r="N217" i="3"/>
  <c r="L217" i="3"/>
  <c r="B217" i="3"/>
  <c r="Z216" i="3"/>
  <c r="X216" i="3"/>
  <c r="N216" i="3"/>
  <c r="L216" i="3"/>
  <c r="B216" i="3"/>
  <c r="X215" i="3"/>
  <c r="Z215" i="3" s="1"/>
  <c r="L215" i="3"/>
  <c r="N215" i="3" s="1"/>
  <c r="B215" i="3"/>
  <c r="X214" i="3"/>
  <c r="Z214" i="3" s="1"/>
  <c r="N214" i="3"/>
  <c r="L214" i="3"/>
  <c r="B214" i="3"/>
  <c r="X213" i="3"/>
  <c r="Z213" i="3" s="1"/>
  <c r="N213" i="3"/>
  <c r="L213" i="3"/>
  <c r="B213" i="3"/>
  <c r="Z212" i="3"/>
  <c r="T212" i="3"/>
  <c r="P212" i="3"/>
  <c r="X212" i="3" s="1"/>
  <c r="L212" i="3"/>
  <c r="H212" i="3"/>
  <c r="N212" i="3" s="1"/>
  <c r="D212" i="3"/>
  <c r="B212" i="3"/>
  <c r="X211" i="3"/>
  <c r="Z211" i="3" s="1"/>
  <c r="N211" i="3"/>
  <c r="L211" i="3"/>
  <c r="B211" i="3"/>
  <c r="Z210" i="3"/>
  <c r="X210" i="3"/>
  <c r="L210" i="3"/>
  <c r="N210" i="3" s="1"/>
  <c r="B210" i="3"/>
  <c r="Z209" i="3"/>
  <c r="X209" i="3"/>
  <c r="L209" i="3"/>
  <c r="N209" i="3" s="1"/>
  <c r="B209" i="3"/>
  <c r="Z208" i="3"/>
  <c r="X208" i="3"/>
  <c r="N208" i="3"/>
  <c r="L208" i="3"/>
  <c r="B208" i="3"/>
  <c r="Z207" i="3"/>
  <c r="X207" i="3"/>
  <c r="N207" i="3"/>
  <c r="L207" i="3"/>
  <c r="B207" i="3"/>
  <c r="Z206" i="3"/>
  <c r="X206" i="3"/>
  <c r="L206" i="3"/>
  <c r="N206" i="3" s="1"/>
  <c r="B206" i="3"/>
  <c r="Z205" i="3"/>
  <c r="X205" i="3"/>
  <c r="L205" i="3"/>
  <c r="N205" i="3" s="1"/>
  <c r="B205" i="3"/>
  <c r="Z204" i="3"/>
  <c r="X204" i="3"/>
  <c r="N204" i="3"/>
  <c r="L204" i="3"/>
  <c r="B204" i="3"/>
  <c r="X203" i="3"/>
  <c r="Z203" i="3" s="1"/>
  <c r="N203" i="3"/>
  <c r="L203" i="3"/>
  <c r="B203" i="3"/>
  <c r="Z202" i="3"/>
  <c r="X202" i="3"/>
  <c r="L202" i="3"/>
  <c r="N202" i="3" s="1"/>
  <c r="B202" i="3"/>
  <c r="T201" i="3"/>
  <c r="P201" i="3"/>
  <c r="X201" i="3" s="1"/>
  <c r="Z201" i="3" s="1"/>
  <c r="H201" i="3"/>
  <c r="D201" i="3"/>
  <c r="B201" i="3"/>
  <c r="T200" i="3"/>
  <c r="Z200" i="3" s="1"/>
  <c r="P200" i="3"/>
  <c r="X200" i="3" s="1"/>
  <c r="H200" i="3"/>
  <c r="N200" i="3" s="1"/>
  <c r="D200" i="3"/>
  <c r="L200" i="3" s="1"/>
  <c r="Z196" i="3"/>
  <c r="X196" i="3"/>
  <c r="N196" i="3"/>
  <c r="L196" i="3"/>
  <c r="B196" i="3"/>
  <c r="Z195" i="3"/>
  <c r="X195" i="3"/>
  <c r="L195" i="3"/>
  <c r="N195" i="3" s="1"/>
  <c r="B195" i="3"/>
  <c r="X194" i="3"/>
  <c r="Z194" i="3" s="1"/>
  <c r="L194" i="3"/>
  <c r="N194" i="3" s="1"/>
  <c r="B194" i="3"/>
  <c r="X193" i="3"/>
  <c r="Z193" i="3" s="1"/>
  <c r="N193" i="3"/>
  <c r="L193" i="3"/>
  <c r="B193" i="3"/>
  <c r="Z192" i="3"/>
  <c r="X192" i="3"/>
  <c r="N192" i="3"/>
  <c r="L192" i="3"/>
  <c r="B192" i="3"/>
  <c r="Z191" i="3"/>
  <c r="X191" i="3"/>
  <c r="L191" i="3"/>
  <c r="N191" i="3" s="1"/>
  <c r="B191" i="3"/>
  <c r="X190" i="3"/>
  <c r="Z190" i="3" s="1"/>
  <c r="L190" i="3"/>
  <c r="N190" i="3" s="1"/>
  <c r="B190" i="3"/>
  <c r="X189" i="3"/>
  <c r="Z189" i="3" s="1"/>
  <c r="L189" i="3"/>
  <c r="N189" i="3" s="1"/>
  <c r="B189" i="3"/>
  <c r="Z188" i="3"/>
  <c r="X188" i="3"/>
  <c r="N188" i="3"/>
  <c r="L188" i="3"/>
  <c r="B188" i="3"/>
  <c r="Z187" i="3"/>
  <c r="X187" i="3"/>
  <c r="L187" i="3"/>
  <c r="N187" i="3" s="1"/>
  <c r="B187" i="3"/>
  <c r="X186" i="3"/>
  <c r="Z186" i="3" s="1"/>
  <c r="L186" i="3"/>
  <c r="N186" i="3" s="1"/>
  <c r="B186" i="3"/>
  <c r="X185" i="3"/>
  <c r="Z185" i="3" s="1"/>
  <c r="L185" i="3"/>
  <c r="N185" i="3" s="1"/>
  <c r="B185" i="3"/>
  <c r="Z184" i="3"/>
  <c r="X184" i="3"/>
  <c r="N184" i="3"/>
  <c r="L184" i="3"/>
  <c r="B184" i="3"/>
  <c r="Z183" i="3"/>
  <c r="X183" i="3"/>
  <c r="N183" i="3"/>
  <c r="L183" i="3"/>
  <c r="B183" i="3"/>
  <c r="X182" i="3"/>
  <c r="Z182" i="3" s="1"/>
  <c r="L182" i="3"/>
  <c r="N182" i="3" s="1"/>
  <c r="B182" i="3"/>
  <c r="X181" i="3"/>
  <c r="Z181" i="3" s="1"/>
  <c r="N181" i="3"/>
  <c r="L181" i="3"/>
  <c r="B181" i="3"/>
  <c r="Z180" i="3"/>
  <c r="X180" i="3"/>
  <c r="N180" i="3"/>
  <c r="L180" i="3"/>
  <c r="B180" i="3"/>
  <c r="Z179" i="3"/>
  <c r="X179" i="3"/>
  <c r="N179" i="3"/>
  <c r="L179" i="3"/>
  <c r="B179" i="3"/>
  <c r="X178" i="3"/>
  <c r="Z178" i="3" s="1"/>
  <c r="L178" i="3"/>
  <c r="N178" i="3" s="1"/>
  <c r="B178" i="3"/>
  <c r="X177" i="3"/>
  <c r="Z177" i="3" s="1"/>
  <c r="L177" i="3"/>
  <c r="N177" i="3" s="1"/>
  <c r="B177" i="3"/>
  <c r="Z176" i="3"/>
  <c r="X176" i="3"/>
  <c r="N176" i="3"/>
  <c r="L176" i="3"/>
  <c r="B176" i="3"/>
  <c r="Z175" i="3"/>
  <c r="X175" i="3"/>
  <c r="L175" i="3"/>
  <c r="N175" i="3" s="1"/>
  <c r="B175" i="3"/>
  <c r="X174" i="3"/>
  <c r="Z174" i="3" s="1"/>
  <c r="L174" i="3"/>
  <c r="N174" i="3" s="1"/>
  <c r="B174" i="3"/>
  <c r="Z173" i="3"/>
  <c r="X173" i="3"/>
  <c r="N173" i="3"/>
  <c r="L173" i="3"/>
  <c r="B173" i="3"/>
  <c r="Z172" i="3"/>
  <c r="X172" i="3"/>
  <c r="N172" i="3"/>
  <c r="L172" i="3"/>
  <c r="B172" i="3"/>
  <c r="Z171" i="3"/>
  <c r="X171" i="3"/>
  <c r="L171" i="3"/>
  <c r="N171" i="3" s="1"/>
  <c r="B171" i="3"/>
  <c r="X170" i="3"/>
  <c r="Z170" i="3" s="1"/>
  <c r="L170" i="3"/>
  <c r="N170" i="3" s="1"/>
  <c r="B170" i="3"/>
  <c r="Z169" i="3"/>
  <c r="X169" i="3"/>
  <c r="L169" i="3"/>
  <c r="N169" i="3" s="1"/>
  <c r="B169" i="3"/>
  <c r="Z168" i="3"/>
  <c r="X168" i="3"/>
  <c r="N168" i="3"/>
  <c r="L168" i="3"/>
  <c r="B168" i="3"/>
  <c r="Z167" i="3"/>
  <c r="X167" i="3"/>
  <c r="L167" i="3"/>
  <c r="N167" i="3" s="1"/>
  <c r="B167" i="3"/>
  <c r="X166" i="3"/>
  <c r="Z166" i="3" s="1"/>
  <c r="L166" i="3"/>
  <c r="N166" i="3" s="1"/>
  <c r="B166" i="3"/>
  <c r="X165" i="3"/>
  <c r="Z165" i="3" s="1"/>
  <c r="L165" i="3"/>
  <c r="N165" i="3" s="1"/>
  <c r="B165" i="3"/>
  <c r="Z164" i="3"/>
  <c r="X164" i="3"/>
  <c r="N164" i="3"/>
  <c r="L164" i="3"/>
  <c r="B164" i="3"/>
  <c r="Z163" i="3"/>
  <c r="X163" i="3"/>
  <c r="L163" i="3"/>
  <c r="N163" i="3" s="1"/>
  <c r="B163" i="3"/>
  <c r="X162" i="3"/>
  <c r="Z162" i="3" s="1"/>
  <c r="L162" i="3"/>
  <c r="N162" i="3" s="1"/>
  <c r="B162" i="3"/>
  <c r="Z161" i="3"/>
  <c r="X161" i="3"/>
  <c r="L161" i="3"/>
  <c r="N161" i="3" s="1"/>
  <c r="B161" i="3"/>
  <c r="Z160" i="3"/>
  <c r="X160" i="3"/>
  <c r="N160" i="3"/>
  <c r="L160" i="3"/>
  <c r="B160" i="3"/>
  <c r="Z159" i="3"/>
  <c r="X159" i="3"/>
  <c r="L159" i="3"/>
  <c r="N159" i="3" s="1"/>
  <c r="B159" i="3"/>
  <c r="X158" i="3"/>
  <c r="Z158" i="3" s="1"/>
  <c r="L158" i="3"/>
  <c r="N158" i="3" s="1"/>
  <c r="B158" i="3"/>
  <c r="X157" i="3"/>
  <c r="Z157" i="3" s="1"/>
  <c r="L157" i="3"/>
  <c r="N157" i="3" s="1"/>
  <c r="B157" i="3"/>
  <c r="Z156" i="3"/>
  <c r="X156" i="3"/>
  <c r="N156" i="3"/>
  <c r="L156" i="3"/>
  <c r="B156" i="3"/>
  <c r="Z155" i="3"/>
  <c r="X155" i="3"/>
  <c r="L155" i="3"/>
  <c r="N155" i="3" s="1"/>
  <c r="B155" i="3"/>
  <c r="X154" i="3"/>
  <c r="Z154" i="3" s="1"/>
  <c r="L154" i="3"/>
  <c r="N154" i="3" s="1"/>
  <c r="B154" i="3"/>
  <c r="X153" i="3"/>
  <c r="Z153" i="3" s="1"/>
  <c r="L153" i="3"/>
  <c r="N153" i="3" s="1"/>
  <c r="B153" i="3"/>
  <c r="Z152" i="3"/>
  <c r="X152" i="3"/>
  <c r="N152" i="3"/>
  <c r="L152" i="3"/>
  <c r="B152" i="3"/>
  <c r="Z151" i="3"/>
  <c r="X151" i="3"/>
  <c r="L151" i="3"/>
  <c r="N151" i="3" s="1"/>
  <c r="B151" i="3"/>
  <c r="X150" i="3"/>
  <c r="Z150" i="3" s="1"/>
  <c r="L150" i="3"/>
  <c r="N150" i="3" s="1"/>
  <c r="B150" i="3"/>
  <c r="Z149" i="3"/>
  <c r="X149" i="3"/>
  <c r="L149" i="3"/>
  <c r="N149" i="3" s="1"/>
  <c r="B149" i="3"/>
  <c r="Z148" i="3"/>
  <c r="X148" i="3"/>
  <c r="N148" i="3"/>
  <c r="L148" i="3"/>
  <c r="B148" i="3"/>
  <c r="Z147" i="3"/>
  <c r="X147" i="3"/>
  <c r="L147" i="3"/>
  <c r="N147" i="3" s="1"/>
  <c r="B147" i="3"/>
  <c r="X146" i="3"/>
  <c r="Z146" i="3" s="1"/>
  <c r="L146" i="3"/>
  <c r="N146" i="3" s="1"/>
  <c r="B146" i="3"/>
  <c r="Z145" i="3"/>
  <c r="X145" i="3"/>
  <c r="N145" i="3"/>
  <c r="L145" i="3"/>
  <c r="B145" i="3"/>
  <c r="Z144" i="3"/>
  <c r="X144" i="3"/>
  <c r="N144" i="3"/>
  <c r="L144" i="3"/>
  <c r="B144" i="3"/>
  <c r="Z143" i="3"/>
  <c r="X143" i="3"/>
  <c r="L143" i="3"/>
  <c r="N143" i="3" s="1"/>
  <c r="B143" i="3"/>
  <c r="X142" i="3"/>
  <c r="Z142" i="3" s="1"/>
  <c r="L142" i="3"/>
  <c r="N142" i="3" s="1"/>
  <c r="B142" i="3"/>
  <c r="X141" i="3"/>
  <c r="Z141" i="3" s="1"/>
  <c r="L141" i="3"/>
  <c r="N141" i="3" s="1"/>
  <c r="B141" i="3"/>
  <c r="Z140" i="3"/>
  <c r="X140" i="3"/>
  <c r="N140" i="3"/>
  <c r="L140" i="3"/>
  <c r="B140" i="3"/>
  <c r="Z139" i="3"/>
  <c r="X139" i="3"/>
  <c r="L139" i="3"/>
  <c r="N139" i="3" s="1"/>
  <c r="B139" i="3"/>
  <c r="X138" i="3"/>
  <c r="Z138" i="3" s="1"/>
  <c r="L138" i="3"/>
  <c r="N138" i="3" s="1"/>
  <c r="B138" i="3"/>
  <c r="T137" i="3"/>
  <c r="P137" i="3"/>
  <c r="X137" i="3" s="1"/>
  <c r="Z137" i="3" s="1"/>
  <c r="H137" i="3"/>
  <c r="D137" i="3"/>
  <c r="L137" i="3" s="1"/>
  <c r="N137" i="3" s="1"/>
  <c r="Z135" i="3"/>
  <c r="X135" i="3"/>
  <c r="T135" i="3"/>
  <c r="P135" i="3"/>
  <c r="H135" i="3"/>
  <c r="N135" i="3" s="1"/>
  <c r="D135" i="3"/>
  <c r="B135" i="3"/>
  <c r="T134" i="3"/>
  <c r="P134" i="3"/>
  <c r="N134" i="3"/>
  <c r="L134" i="3"/>
  <c r="H134" i="3"/>
  <c r="D134" i="3"/>
  <c r="B134" i="3"/>
  <c r="Z133" i="3"/>
  <c r="T133" i="3"/>
  <c r="P133" i="3"/>
  <c r="X133" i="3" s="1"/>
  <c r="H133" i="3"/>
  <c r="N133" i="3" s="1"/>
  <c r="D133" i="3"/>
  <c r="B133" i="3"/>
  <c r="T132" i="3"/>
  <c r="P132" i="3"/>
  <c r="X132" i="3" s="1"/>
  <c r="L132" i="3"/>
  <c r="H132" i="3"/>
  <c r="N132" i="3" s="1"/>
  <c r="D132" i="3"/>
  <c r="B132" i="3"/>
  <c r="X131" i="3"/>
  <c r="Z131" i="3" s="1"/>
  <c r="T131" i="3"/>
  <c r="P131" i="3"/>
  <c r="L131" i="3"/>
  <c r="H131" i="3"/>
  <c r="N131" i="3" s="1"/>
  <c r="D131" i="3"/>
  <c r="B131" i="3"/>
  <c r="T130" i="3"/>
  <c r="P130" i="3"/>
  <c r="L130" i="3"/>
  <c r="N130" i="3" s="1"/>
  <c r="H130" i="3"/>
  <c r="D130" i="3"/>
  <c r="B130" i="3"/>
  <c r="T129" i="3"/>
  <c r="P129" i="3"/>
  <c r="H129" i="3"/>
  <c r="N129" i="3" s="1"/>
  <c r="D129" i="3"/>
  <c r="L129" i="3" s="1"/>
  <c r="B129" i="3"/>
  <c r="T128" i="3"/>
  <c r="P128" i="3"/>
  <c r="X128" i="3" s="1"/>
  <c r="L128" i="3"/>
  <c r="H128" i="3"/>
  <c r="N128" i="3" s="1"/>
  <c r="D128" i="3"/>
  <c r="B128" i="3"/>
  <c r="T127" i="3"/>
  <c r="P127" i="3"/>
  <c r="L127" i="3"/>
  <c r="H127" i="3"/>
  <c r="D127" i="3"/>
  <c r="B127" i="3"/>
  <c r="T126" i="3"/>
  <c r="P126" i="3"/>
  <c r="X126" i="3" s="1"/>
  <c r="N126" i="3"/>
  <c r="L126" i="3"/>
  <c r="H126" i="3"/>
  <c r="D126" i="3"/>
  <c r="B126" i="3"/>
  <c r="T125" i="3"/>
  <c r="P125" i="3"/>
  <c r="H125" i="3"/>
  <c r="L125" i="3" s="1"/>
  <c r="D125" i="3"/>
  <c r="B125" i="3"/>
  <c r="T124" i="3"/>
  <c r="P124" i="3"/>
  <c r="X124" i="3" s="1"/>
  <c r="L124" i="3"/>
  <c r="H124" i="3"/>
  <c r="D124" i="3"/>
  <c r="B124" i="3"/>
  <c r="T123" i="3"/>
  <c r="P123" i="3"/>
  <c r="H123" i="3"/>
  <c r="N123" i="3" s="1"/>
  <c r="D123" i="3"/>
  <c r="B123" i="3"/>
  <c r="T122" i="3"/>
  <c r="P122" i="3"/>
  <c r="N122" i="3"/>
  <c r="L122" i="3"/>
  <c r="H122" i="3"/>
  <c r="D122" i="3"/>
  <c r="B122" i="3"/>
  <c r="Z121" i="3"/>
  <c r="T121" i="3"/>
  <c r="P121" i="3"/>
  <c r="X121" i="3" s="1"/>
  <c r="H121" i="3"/>
  <c r="N121" i="3" s="1"/>
  <c r="D121" i="3"/>
  <c r="B121" i="3"/>
  <c r="T120" i="3"/>
  <c r="P120" i="3"/>
  <c r="X120" i="3" s="1"/>
  <c r="L120" i="3"/>
  <c r="H120" i="3"/>
  <c r="N120" i="3" s="1"/>
  <c r="D120" i="3"/>
  <c r="B120" i="3"/>
  <c r="T119" i="3"/>
  <c r="P119" i="3"/>
  <c r="L119" i="3"/>
  <c r="H119" i="3"/>
  <c r="N119" i="3" s="1"/>
  <c r="D119" i="3"/>
  <c r="B119" i="3"/>
  <c r="T118" i="3"/>
  <c r="P118" i="3"/>
  <c r="N118" i="3"/>
  <c r="L118" i="3"/>
  <c r="H118" i="3"/>
  <c r="D118" i="3"/>
  <c r="B118" i="3"/>
  <c r="T117" i="3"/>
  <c r="P117" i="3"/>
  <c r="H117" i="3"/>
  <c r="D117" i="3"/>
  <c r="L117" i="3" s="1"/>
  <c r="B117" i="3"/>
  <c r="T116" i="3"/>
  <c r="P116" i="3"/>
  <c r="X116" i="3" s="1"/>
  <c r="L116" i="3"/>
  <c r="H116" i="3"/>
  <c r="N116" i="3" s="1"/>
  <c r="D116" i="3"/>
  <c r="B116" i="3"/>
  <c r="T115" i="3"/>
  <c r="P115" i="3"/>
  <c r="L115" i="3"/>
  <c r="H115" i="3"/>
  <c r="N115" i="3" s="1"/>
  <c r="D115" i="3"/>
  <c r="B115" i="3"/>
  <c r="T114" i="3"/>
  <c r="P114" i="3"/>
  <c r="X114" i="3" s="1"/>
  <c r="L114" i="3"/>
  <c r="N114" i="3" s="1"/>
  <c r="H114" i="3"/>
  <c r="D114" i="3"/>
  <c r="B114" i="3"/>
  <c r="T113" i="3"/>
  <c r="P113" i="3"/>
  <c r="H113" i="3"/>
  <c r="D113" i="3"/>
  <c r="B113" i="3"/>
  <c r="T112" i="3"/>
  <c r="P112" i="3"/>
  <c r="X112" i="3" s="1"/>
  <c r="L112" i="3"/>
  <c r="H112" i="3"/>
  <c r="D112" i="3"/>
  <c r="B112" i="3"/>
  <c r="T111" i="3"/>
  <c r="P111" i="3"/>
  <c r="H111" i="3"/>
  <c r="N111" i="3" s="1"/>
  <c r="D111" i="3"/>
  <c r="B111" i="3"/>
  <c r="T110" i="3"/>
  <c r="P110" i="3"/>
  <c r="X110" i="3" s="1"/>
  <c r="H110" i="3"/>
  <c r="D110" i="3"/>
  <c r="L110" i="3" s="1"/>
  <c r="N110" i="3" s="1"/>
  <c r="B110" i="3"/>
  <c r="T109" i="3"/>
  <c r="Z109" i="3" s="1"/>
  <c r="P109" i="3"/>
  <c r="X109" i="3" s="1"/>
  <c r="L109" i="3"/>
  <c r="H109" i="3"/>
  <c r="D109" i="3"/>
  <c r="B109" i="3"/>
  <c r="X108" i="3"/>
  <c r="T108" i="3"/>
  <c r="P108" i="3"/>
  <c r="L108" i="3"/>
  <c r="H108" i="3"/>
  <c r="N108" i="3" s="1"/>
  <c r="D108" i="3"/>
  <c r="B108" i="3"/>
  <c r="X107" i="3"/>
  <c r="Z107" i="3" s="1"/>
  <c r="T107" i="3"/>
  <c r="P107" i="3"/>
  <c r="L107" i="3"/>
  <c r="H107" i="3"/>
  <c r="N107" i="3" s="1"/>
  <c r="D107" i="3"/>
  <c r="B107" i="3"/>
  <c r="T106" i="3"/>
  <c r="P106" i="3"/>
  <c r="L106" i="3"/>
  <c r="N106" i="3" s="1"/>
  <c r="H106" i="3"/>
  <c r="D106" i="3"/>
  <c r="B106" i="3"/>
  <c r="T105" i="3"/>
  <c r="P105" i="3"/>
  <c r="H105" i="3"/>
  <c r="N105" i="3" s="1"/>
  <c r="D105" i="3"/>
  <c r="L105" i="3" s="1"/>
  <c r="B105" i="3"/>
  <c r="T104" i="3"/>
  <c r="P104" i="3"/>
  <c r="X104" i="3" s="1"/>
  <c r="L104" i="3"/>
  <c r="H104" i="3"/>
  <c r="D104" i="3"/>
  <c r="B104" i="3"/>
  <c r="T103" i="3"/>
  <c r="P103" i="3"/>
  <c r="H103" i="3"/>
  <c r="D103" i="3"/>
  <c r="B103" i="3"/>
  <c r="T102" i="3"/>
  <c r="Z102" i="3" s="1"/>
  <c r="P102" i="3"/>
  <c r="X102" i="3" s="1"/>
  <c r="H102" i="3"/>
  <c r="D102" i="3"/>
  <c r="L102" i="3" s="1"/>
  <c r="N102" i="3" s="1"/>
  <c r="B102" i="3"/>
  <c r="T101" i="3"/>
  <c r="Z101" i="3" s="1"/>
  <c r="P101" i="3"/>
  <c r="X101" i="3" s="1"/>
  <c r="H101" i="3"/>
  <c r="D101" i="3"/>
  <c r="L101" i="3" s="1"/>
  <c r="B101" i="3"/>
  <c r="T100" i="3"/>
  <c r="P100" i="3"/>
  <c r="X100" i="3" s="1"/>
  <c r="L100" i="3"/>
  <c r="H100" i="3"/>
  <c r="N100" i="3" s="1"/>
  <c r="D100" i="3"/>
  <c r="B100" i="3"/>
  <c r="Z99" i="3"/>
  <c r="X99" i="3"/>
  <c r="T99" i="3"/>
  <c r="P99" i="3"/>
  <c r="N99" i="3"/>
  <c r="L99" i="3"/>
  <c r="H99" i="3"/>
  <c r="D99" i="3"/>
  <c r="B99" i="3"/>
  <c r="T98" i="3"/>
  <c r="Z98" i="3" s="1"/>
  <c r="P98" i="3"/>
  <c r="X98" i="3" s="1"/>
  <c r="N98" i="3"/>
  <c r="H98" i="3"/>
  <c r="D98" i="3"/>
  <c r="L98" i="3" s="1"/>
  <c r="B98" i="3"/>
  <c r="T97" i="3"/>
  <c r="P97" i="3"/>
  <c r="X97" i="3" s="1"/>
  <c r="Z97" i="3" s="1"/>
  <c r="L97" i="3"/>
  <c r="H97" i="3"/>
  <c r="D97" i="3"/>
  <c r="B97" i="3"/>
  <c r="X96" i="3"/>
  <c r="T96" i="3"/>
  <c r="P96" i="3"/>
  <c r="H96" i="3"/>
  <c r="L96" i="3" s="1"/>
  <c r="D96" i="3"/>
  <c r="B96" i="3"/>
  <c r="X95" i="3"/>
  <c r="Z95" i="3" s="1"/>
  <c r="T95" i="3"/>
  <c r="P95" i="3"/>
  <c r="N95" i="3"/>
  <c r="L95" i="3"/>
  <c r="H95" i="3"/>
  <c r="D95" i="3"/>
  <c r="B95" i="3"/>
  <c r="T94" i="3"/>
  <c r="P94" i="3"/>
  <c r="L94" i="3"/>
  <c r="N94" i="3" s="1"/>
  <c r="H94" i="3"/>
  <c r="D94" i="3"/>
  <c r="B94" i="3"/>
  <c r="T93" i="3"/>
  <c r="P93" i="3"/>
  <c r="H93" i="3"/>
  <c r="D93" i="3"/>
  <c r="L93" i="3" s="1"/>
  <c r="B93" i="3"/>
  <c r="T92" i="3"/>
  <c r="X92" i="3" s="1"/>
  <c r="P92" i="3"/>
  <c r="H92" i="3"/>
  <c r="N92" i="3" s="1"/>
  <c r="D92" i="3"/>
  <c r="B92" i="3"/>
  <c r="T91" i="3"/>
  <c r="P91" i="3"/>
  <c r="H91" i="3"/>
  <c r="D91" i="3"/>
  <c r="B91" i="3"/>
  <c r="T90" i="3"/>
  <c r="P90" i="3"/>
  <c r="H90" i="3"/>
  <c r="D90" i="3"/>
  <c r="L90" i="3" s="1"/>
  <c r="N90" i="3" s="1"/>
  <c r="B90" i="3"/>
  <c r="T89" i="3"/>
  <c r="P89" i="3"/>
  <c r="H89" i="3"/>
  <c r="N89" i="3" s="1"/>
  <c r="D89" i="3"/>
  <c r="L89" i="3" s="1"/>
  <c r="B89" i="3"/>
  <c r="T88" i="3"/>
  <c r="P88" i="3"/>
  <c r="X88" i="3" s="1"/>
  <c r="L88" i="3"/>
  <c r="H88" i="3"/>
  <c r="D88" i="3"/>
  <c r="B88" i="3"/>
  <c r="T87" i="3"/>
  <c r="X87" i="3" s="1"/>
  <c r="P87" i="3"/>
  <c r="H87" i="3"/>
  <c r="D87" i="3"/>
  <c r="B87" i="3"/>
  <c r="T86" i="3"/>
  <c r="Z86" i="3" s="1"/>
  <c r="P86" i="3"/>
  <c r="X86" i="3" s="1"/>
  <c r="H86" i="3"/>
  <c r="D86" i="3"/>
  <c r="L86" i="3" s="1"/>
  <c r="N86" i="3" s="1"/>
  <c r="B86" i="3"/>
  <c r="T85" i="3"/>
  <c r="Z85" i="3" s="1"/>
  <c r="P85" i="3"/>
  <c r="X85" i="3" s="1"/>
  <c r="H85" i="3"/>
  <c r="D85" i="3"/>
  <c r="L85" i="3" s="1"/>
  <c r="B85" i="3"/>
  <c r="T84" i="3"/>
  <c r="P84" i="3"/>
  <c r="X84" i="3" s="1"/>
  <c r="H84" i="3"/>
  <c r="D84" i="3"/>
  <c r="L84" i="3" s="1"/>
  <c r="B84" i="3"/>
  <c r="T83" i="3"/>
  <c r="P83" i="3"/>
  <c r="H83" i="3"/>
  <c r="L83" i="3" s="1"/>
  <c r="D83" i="3"/>
  <c r="B83" i="3"/>
  <c r="T82" i="3"/>
  <c r="Z82" i="3" s="1"/>
  <c r="P82" i="3"/>
  <c r="X82" i="3" s="1"/>
  <c r="L82" i="3"/>
  <c r="N82" i="3" s="1"/>
  <c r="H82" i="3"/>
  <c r="D82" i="3"/>
  <c r="B82" i="3"/>
  <c r="T81" i="3"/>
  <c r="P81" i="3"/>
  <c r="H81" i="3"/>
  <c r="D81" i="3"/>
  <c r="L81" i="3" s="1"/>
  <c r="B81" i="3"/>
  <c r="T80" i="3"/>
  <c r="X80" i="3" s="1"/>
  <c r="P80" i="3"/>
  <c r="H80" i="3"/>
  <c r="D80" i="3"/>
  <c r="L80" i="3" s="1"/>
  <c r="B80" i="3"/>
  <c r="T79" i="3"/>
  <c r="P79" i="3"/>
  <c r="H79" i="3"/>
  <c r="D79" i="3"/>
  <c r="B79" i="3"/>
  <c r="X78" i="3"/>
  <c r="Z78" i="3" s="1"/>
  <c r="T78" i="3"/>
  <c r="P78" i="3"/>
  <c r="N78" i="3"/>
  <c r="L78" i="3"/>
  <c r="H78" i="3"/>
  <c r="D78" i="3"/>
  <c r="B78" i="3"/>
  <c r="Z77" i="3"/>
  <c r="T77" i="3"/>
  <c r="P77" i="3"/>
  <c r="X77" i="3" s="1"/>
  <c r="L77" i="3"/>
  <c r="N77" i="3" s="1"/>
  <c r="H77" i="3"/>
  <c r="D77" i="3"/>
  <c r="B77" i="3"/>
  <c r="X76" i="3"/>
  <c r="T76" i="3"/>
  <c r="P76" i="3"/>
  <c r="H76" i="3"/>
  <c r="L76" i="3" s="1"/>
  <c r="D76" i="3"/>
  <c r="B76" i="3"/>
  <c r="X75" i="3"/>
  <c r="Z75" i="3" s="1"/>
  <c r="T75" i="3"/>
  <c r="P75" i="3"/>
  <c r="L75" i="3"/>
  <c r="H75" i="3"/>
  <c r="N75" i="3" s="1"/>
  <c r="D75" i="3"/>
  <c r="B75" i="3"/>
  <c r="T74" i="3"/>
  <c r="P74" i="3"/>
  <c r="X74" i="3" s="1"/>
  <c r="Z74" i="3" s="1"/>
  <c r="H74" i="3"/>
  <c r="D74" i="3"/>
  <c r="L74" i="3" s="1"/>
  <c r="N74" i="3" s="1"/>
  <c r="B74" i="3"/>
  <c r="T73" i="3"/>
  <c r="P73" i="3"/>
  <c r="X73" i="3" s="1"/>
  <c r="Z73" i="3" s="1"/>
  <c r="N73" i="3"/>
  <c r="H73" i="3"/>
  <c r="D73" i="3"/>
  <c r="L73" i="3" s="1"/>
  <c r="B73" i="3"/>
  <c r="T72" i="3"/>
  <c r="P72" i="3"/>
  <c r="X72" i="3" s="1"/>
  <c r="L72" i="3"/>
  <c r="H72" i="3"/>
  <c r="D72" i="3"/>
  <c r="B72" i="3"/>
  <c r="T71" i="3"/>
  <c r="X71" i="3" s="1"/>
  <c r="Z71" i="3" s="1"/>
  <c r="P71" i="3"/>
  <c r="N71" i="3"/>
  <c r="L71" i="3"/>
  <c r="H71" i="3"/>
  <c r="D71" i="3"/>
  <c r="B71" i="3"/>
  <c r="T70" i="3"/>
  <c r="P70" i="3"/>
  <c r="X70" i="3" s="1"/>
  <c r="H70" i="3"/>
  <c r="D70" i="3"/>
  <c r="L70" i="3" s="1"/>
  <c r="N70" i="3" s="1"/>
  <c r="B70" i="3"/>
  <c r="T69" i="3"/>
  <c r="Z69" i="3" s="1"/>
  <c r="P69" i="3"/>
  <c r="X69" i="3" s="1"/>
  <c r="H69" i="3"/>
  <c r="D69" i="3"/>
  <c r="D12" i="3" s="1"/>
  <c r="B69" i="3"/>
  <c r="T68" i="3"/>
  <c r="P68" i="3"/>
  <c r="X68" i="3" s="1"/>
  <c r="H68" i="3"/>
  <c r="D68" i="3"/>
  <c r="L68" i="3" s="1"/>
  <c r="B68" i="3"/>
  <c r="T67" i="3"/>
  <c r="P67" i="3"/>
  <c r="H67" i="3"/>
  <c r="L67" i="3" s="1"/>
  <c r="D67" i="3"/>
  <c r="B67" i="3"/>
  <c r="X66" i="3"/>
  <c r="T66" i="3"/>
  <c r="Z66" i="3" s="1"/>
  <c r="P66" i="3"/>
  <c r="L66" i="3"/>
  <c r="N66" i="3" s="1"/>
  <c r="H66" i="3"/>
  <c r="D66" i="3"/>
  <c r="B66" i="3"/>
  <c r="T65" i="3"/>
  <c r="P65" i="3"/>
  <c r="X65" i="3" s="1"/>
  <c r="Z65" i="3" s="1"/>
  <c r="H65" i="3"/>
  <c r="D65" i="3"/>
  <c r="L65" i="3" s="1"/>
  <c r="N65" i="3" s="1"/>
  <c r="B65" i="3"/>
  <c r="T64" i="3"/>
  <c r="Z64" i="3" s="1"/>
  <c r="P64" i="3"/>
  <c r="X64" i="3" s="1"/>
  <c r="H64" i="3"/>
  <c r="D64" i="3"/>
  <c r="L64" i="3" s="1"/>
  <c r="B64" i="3"/>
  <c r="T63" i="3"/>
  <c r="P63" i="3"/>
  <c r="H63" i="3"/>
  <c r="L63" i="3" s="1"/>
  <c r="D63" i="3"/>
  <c r="B63" i="3"/>
  <c r="X62" i="3"/>
  <c r="T62" i="3"/>
  <c r="Z62" i="3" s="1"/>
  <c r="P62" i="3"/>
  <c r="L62" i="3"/>
  <c r="N62" i="3" s="1"/>
  <c r="H62" i="3"/>
  <c r="D62" i="3"/>
  <c r="B62" i="3"/>
  <c r="T61" i="3"/>
  <c r="P61" i="3"/>
  <c r="X61" i="3" s="1"/>
  <c r="Z61" i="3" s="1"/>
  <c r="H61" i="3"/>
  <c r="D61" i="3"/>
  <c r="L61" i="3" s="1"/>
  <c r="N61" i="3" s="1"/>
  <c r="B61" i="3"/>
  <c r="T60" i="3"/>
  <c r="P60" i="3"/>
  <c r="X60" i="3" s="1"/>
  <c r="H60" i="3"/>
  <c r="N60" i="3" s="1"/>
  <c r="D60" i="3"/>
  <c r="L60" i="3" s="1"/>
  <c r="B60" i="3"/>
  <c r="T59" i="3"/>
  <c r="P59" i="3"/>
  <c r="H59" i="3"/>
  <c r="D59" i="3"/>
  <c r="B59" i="3"/>
  <c r="X58" i="3"/>
  <c r="T58" i="3"/>
  <c r="Z58" i="3" s="1"/>
  <c r="P58" i="3"/>
  <c r="N58" i="3"/>
  <c r="L58" i="3"/>
  <c r="H58" i="3"/>
  <c r="D58" i="3"/>
  <c r="B58" i="3"/>
  <c r="T57" i="3"/>
  <c r="P57" i="3"/>
  <c r="X57" i="3" s="1"/>
  <c r="Z57" i="3" s="1"/>
  <c r="H57" i="3"/>
  <c r="D57" i="3"/>
  <c r="L57" i="3" s="1"/>
  <c r="N57" i="3" s="1"/>
  <c r="B57" i="3"/>
  <c r="T56" i="3"/>
  <c r="Z56" i="3" s="1"/>
  <c r="P56" i="3"/>
  <c r="X56" i="3" s="1"/>
  <c r="H56" i="3"/>
  <c r="D56" i="3"/>
  <c r="L56" i="3" s="1"/>
  <c r="B56" i="3"/>
  <c r="T55" i="3"/>
  <c r="P55" i="3"/>
  <c r="H55" i="3"/>
  <c r="D55" i="3"/>
  <c r="B55" i="3"/>
  <c r="X54" i="3"/>
  <c r="T54" i="3"/>
  <c r="Z54" i="3" s="1"/>
  <c r="P54" i="3"/>
  <c r="N54" i="3"/>
  <c r="L54" i="3"/>
  <c r="H54" i="3"/>
  <c r="D54" i="3"/>
  <c r="B54" i="3"/>
  <c r="T53" i="3"/>
  <c r="P53" i="3"/>
  <c r="X53" i="3" s="1"/>
  <c r="Z53" i="3" s="1"/>
  <c r="N53" i="3"/>
  <c r="H53" i="3"/>
  <c r="D53" i="3"/>
  <c r="L53" i="3" s="1"/>
  <c r="B53" i="3"/>
  <c r="T52" i="3"/>
  <c r="Z52" i="3" s="1"/>
  <c r="P52" i="3"/>
  <c r="X52" i="3" s="1"/>
  <c r="H52" i="3"/>
  <c r="D52" i="3"/>
  <c r="L52" i="3" s="1"/>
  <c r="B52" i="3"/>
  <c r="T51" i="3"/>
  <c r="P51" i="3"/>
  <c r="H51" i="3"/>
  <c r="D51" i="3"/>
  <c r="B51" i="3"/>
  <c r="X50" i="3"/>
  <c r="T50" i="3"/>
  <c r="Z50" i="3" s="1"/>
  <c r="P50" i="3"/>
  <c r="L50" i="3"/>
  <c r="N50" i="3" s="1"/>
  <c r="H50" i="3"/>
  <c r="D50" i="3"/>
  <c r="B50" i="3"/>
  <c r="T49" i="3"/>
  <c r="P49" i="3"/>
  <c r="X49" i="3" s="1"/>
  <c r="Z49" i="3" s="1"/>
  <c r="N49" i="3"/>
  <c r="H49" i="3"/>
  <c r="D49" i="3"/>
  <c r="L49" i="3" s="1"/>
  <c r="B49" i="3"/>
  <c r="T48" i="3"/>
  <c r="P48" i="3"/>
  <c r="X48" i="3" s="1"/>
  <c r="H48" i="3"/>
  <c r="D48" i="3"/>
  <c r="L48" i="3" s="1"/>
  <c r="B48" i="3"/>
  <c r="T47" i="3"/>
  <c r="P47" i="3"/>
  <c r="H47" i="3"/>
  <c r="D47" i="3"/>
  <c r="B47" i="3"/>
  <c r="X46" i="3"/>
  <c r="T46" i="3"/>
  <c r="Z46" i="3" s="1"/>
  <c r="P46" i="3"/>
  <c r="L46" i="3"/>
  <c r="N46" i="3" s="1"/>
  <c r="H46" i="3"/>
  <c r="D46" i="3"/>
  <c r="B46" i="3"/>
  <c r="T45" i="3"/>
  <c r="P45" i="3"/>
  <c r="X45" i="3" s="1"/>
  <c r="Z45" i="3" s="1"/>
  <c r="H45" i="3"/>
  <c r="D45" i="3"/>
  <c r="L45" i="3" s="1"/>
  <c r="N45" i="3" s="1"/>
  <c r="B45" i="3"/>
  <c r="T44" i="3"/>
  <c r="P44" i="3"/>
  <c r="X44" i="3" s="1"/>
  <c r="H44" i="3"/>
  <c r="D44" i="3"/>
  <c r="L44" i="3" s="1"/>
  <c r="B44" i="3"/>
  <c r="T43" i="3"/>
  <c r="P43" i="3"/>
  <c r="H43" i="3"/>
  <c r="D43" i="3"/>
  <c r="B43" i="3"/>
  <c r="X42" i="3"/>
  <c r="T42" i="3"/>
  <c r="Z42" i="3" s="1"/>
  <c r="P42" i="3"/>
  <c r="L42" i="3"/>
  <c r="N42" i="3" s="1"/>
  <c r="H42" i="3"/>
  <c r="D42" i="3"/>
  <c r="B42" i="3"/>
  <c r="T41" i="3"/>
  <c r="P41" i="3"/>
  <c r="X41" i="3" s="1"/>
  <c r="Z41" i="3" s="1"/>
  <c r="H41" i="3"/>
  <c r="D41" i="3"/>
  <c r="L41" i="3" s="1"/>
  <c r="N41" i="3" s="1"/>
  <c r="B41" i="3"/>
  <c r="T40" i="3"/>
  <c r="P40" i="3"/>
  <c r="X40" i="3" s="1"/>
  <c r="H40" i="3"/>
  <c r="D40" i="3"/>
  <c r="L40" i="3" s="1"/>
  <c r="B40" i="3"/>
  <c r="T39" i="3"/>
  <c r="P39" i="3"/>
  <c r="H39" i="3"/>
  <c r="L39" i="3" s="1"/>
  <c r="D39" i="3"/>
  <c r="B39" i="3"/>
  <c r="X38" i="3"/>
  <c r="T38" i="3"/>
  <c r="Z38" i="3" s="1"/>
  <c r="P38" i="3"/>
  <c r="L38" i="3"/>
  <c r="N38" i="3" s="1"/>
  <c r="H38" i="3"/>
  <c r="D38" i="3"/>
  <c r="B38" i="3"/>
  <c r="T37" i="3"/>
  <c r="P37" i="3"/>
  <c r="X37" i="3" s="1"/>
  <c r="Z37" i="3" s="1"/>
  <c r="H37" i="3"/>
  <c r="D37" i="3"/>
  <c r="L37" i="3" s="1"/>
  <c r="N37" i="3" s="1"/>
  <c r="B37" i="3"/>
  <c r="T36" i="3"/>
  <c r="P36" i="3"/>
  <c r="X36" i="3" s="1"/>
  <c r="H36" i="3"/>
  <c r="D36" i="3"/>
  <c r="L36" i="3" s="1"/>
  <c r="B36" i="3"/>
  <c r="T35" i="3"/>
  <c r="P35" i="3"/>
  <c r="H35" i="3"/>
  <c r="D35" i="3"/>
  <c r="B35" i="3"/>
  <c r="X34" i="3"/>
  <c r="T34" i="3"/>
  <c r="Z34" i="3" s="1"/>
  <c r="P34" i="3"/>
  <c r="L34" i="3"/>
  <c r="N34" i="3" s="1"/>
  <c r="H34" i="3"/>
  <c r="D34" i="3"/>
  <c r="B34" i="3"/>
  <c r="T33" i="3"/>
  <c r="P33" i="3"/>
  <c r="X33" i="3" s="1"/>
  <c r="Z33" i="3" s="1"/>
  <c r="H33" i="3"/>
  <c r="D33" i="3"/>
  <c r="L33" i="3" s="1"/>
  <c r="N33" i="3" s="1"/>
  <c r="B33" i="3"/>
  <c r="T32" i="3"/>
  <c r="Z32" i="3" s="1"/>
  <c r="P32" i="3"/>
  <c r="X32" i="3" s="1"/>
  <c r="H32" i="3"/>
  <c r="D32" i="3"/>
  <c r="L32" i="3" s="1"/>
  <c r="B32" i="3"/>
  <c r="T31" i="3"/>
  <c r="P31" i="3"/>
  <c r="H31" i="3"/>
  <c r="D31" i="3"/>
  <c r="B31" i="3"/>
  <c r="X30" i="3"/>
  <c r="T30" i="3"/>
  <c r="Z30" i="3" s="1"/>
  <c r="P30" i="3"/>
  <c r="L30" i="3"/>
  <c r="N30" i="3" s="1"/>
  <c r="H30" i="3"/>
  <c r="D30" i="3"/>
  <c r="B30" i="3"/>
  <c r="T29" i="3"/>
  <c r="P29" i="3"/>
  <c r="X29" i="3" s="1"/>
  <c r="Z29" i="3" s="1"/>
  <c r="H29" i="3"/>
  <c r="D29" i="3"/>
  <c r="L29" i="3" s="1"/>
  <c r="N29" i="3" s="1"/>
  <c r="B29" i="3"/>
  <c r="T28" i="3"/>
  <c r="P28" i="3"/>
  <c r="X28" i="3" s="1"/>
  <c r="H28" i="3"/>
  <c r="N28" i="3" s="1"/>
  <c r="D28" i="3"/>
  <c r="L28" i="3" s="1"/>
  <c r="B28" i="3"/>
  <c r="T27" i="3"/>
  <c r="P27" i="3"/>
  <c r="H27" i="3"/>
  <c r="D27" i="3"/>
  <c r="B27" i="3"/>
  <c r="X26" i="3"/>
  <c r="T26" i="3"/>
  <c r="Z26" i="3" s="1"/>
  <c r="P26" i="3"/>
  <c r="L26" i="3"/>
  <c r="N26" i="3" s="1"/>
  <c r="H26" i="3"/>
  <c r="D26" i="3"/>
  <c r="B26" i="3"/>
  <c r="T25" i="3"/>
  <c r="P25" i="3"/>
  <c r="X25" i="3" s="1"/>
  <c r="Z25" i="3" s="1"/>
  <c r="N25" i="3"/>
  <c r="L25" i="3"/>
  <c r="H25" i="3"/>
  <c r="D25" i="3"/>
  <c r="B25" i="3"/>
  <c r="T24" i="3"/>
  <c r="P24" i="3"/>
  <c r="X24" i="3" s="1"/>
  <c r="H24" i="3"/>
  <c r="N24" i="3" s="1"/>
  <c r="D24" i="3"/>
  <c r="L24" i="3" s="1"/>
  <c r="B24" i="3"/>
  <c r="T23" i="3"/>
  <c r="P23" i="3"/>
  <c r="H23" i="3"/>
  <c r="L23" i="3" s="1"/>
  <c r="D23" i="3"/>
  <c r="B23" i="3"/>
  <c r="X22" i="3"/>
  <c r="T22" i="3"/>
  <c r="Z22" i="3" s="1"/>
  <c r="P22" i="3"/>
  <c r="L22" i="3"/>
  <c r="N22" i="3" s="1"/>
  <c r="H22" i="3"/>
  <c r="D22" i="3"/>
  <c r="B22" i="3"/>
  <c r="T21" i="3"/>
  <c r="P21" i="3"/>
  <c r="X21" i="3" s="1"/>
  <c r="Z21" i="3" s="1"/>
  <c r="N21" i="3"/>
  <c r="L21" i="3"/>
  <c r="H21" i="3"/>
  <c r="D21" i="3"/>
  <c r="B21" i="3"/>
  <c r="T20" i="3"/>
  <c r="P20" i="3"/>
  <c r="X20" i="3" s="1"/>
  <c r="H20" i="3"/>
  <c r="N20" i="3" s="1"/>
  <c r="D20" i="3"/>
  <c r="L20" i="3" s="1"/>
  <c r="B20" i="3"/>
  <c r="T19" i="3"/>
  <c r="P19" i="3"/>
  <c r="H19" i="3"/>
  <c r="D19" i="3"/>
  <c r="B19" i="3"/>
  <c r="X18" i="3"/>
  <c r="T18" i="3"/>
  <c r="Z18" i="3" s="1"/>
  <c r="P18" i="3"/>
  <c r="L18" i="3"/>
  <c r="N18" i="3" s="1"/>
  <c r="H18" i="3"/>
  <c r="D18" i="3"/>
  <c r="B18" i="3"/>
  <c r="T17" i="3"/>
  <c r="P17" i="3"/>
  <c r="X17" i="3" s="1"/>
  <c r="Z17" i="3" s="1"/>
  <c r="N17" i="3"/>
  <c r="L17" i="3"/>
  <c r="H17" i="3"/>
  <c r="D17" i="3"/>
  <c r="B17" i="3"/>
  <c r="T16" i="3"/>
  <c r="P16" i="3"/>
  <c r="X16" i="3" s="1"/>
  <c r="H16" i="3"/>
  <c r="N16" i="3" s="1"/>
  <c r="D16" i="3"/>
  <c r="L16" i="3" s="1"/>
  <c r="B16" i="3"/>
  <c r="T15" i="3"/>
  <c r="P15" i="3"/>
  <c r="H15" i="3"/>
  <c r="D15" i="3"/>
  <c r="B15" i="3"/>
  <c r="X14" i="3"/>
  <c r="T14" i="3"/>
  <c r="Z14" i="3" s="1"/>
  <c r="P14" i="3"/>
  <c r="L14" i="3"/>
  <c r="N14" i="3" s="1"/>
  <c r="H14" i="3"/>
  <c r="D14" i="3"/>
  <c r="B14" i="3"/>
  <c r="Z13" i="3"/>
  <c r="T13" i="3"/>
  <c r="P13" i="3"/>
  <c r="X13" i="3" s="1"/>
  <c r="N13" i="3"/>
  <c r="L13" i="3"/>
  <c r="H13" i="3"/>
  <c r="D13" i="3"/>
  <c r="B13" i="3"/>
  <c r="D4" i="3"/>
  <c r="B39" i="112"/>
  <c r="H24" i="112"/>
  <c r="H22" i="112"/>
  <c r="H13" i="112"/>
  <c r="D5" i="112"/>
  <c r="P20" i="111"/>
  <c r="P16" i="111"/>
  <c r="D12" i="111"/>
  <c r="P24" i="110"/>
  <c r="P22" i="110"/>
  <c r="T20" i="110"/>
  <c r="T16" i="110"/>
  <c r="T13" i="110"/>
  <c r="B38" i="112"/>
  <c r="D34" i="112"/>
  <c r="D33" i="112"/>
  <c r="D29" i="112"/>
  <c r="D25" i="112"/>
  <c r="H21" i="112"/>
  <c r="D13" i="112"/>
  <c r="D4" i="112"/>
  <c r="H34" i="111"/>
  <c r="H33" i="111"/>
  <c r="H29" i="111"/>
  <c r="H25" i="111"/>
  <c r="P15" i="111"/>
  <c r="D6" i="111"/>
  <c r="P21" i="110"/>
  <c r="T15" i="110"/>
  <c r="P13" i="110"/>
  <c r="H12" i="110"/>
  <c r="B25" i="112"/>
  <c r="D24" i="112"/>
  <c r="D22" i="112"/>
  <c r="H20" i="112"/>
  <c r="H16" i="112"/>
  <c r="B13" i="112"/>
  <c r="B39" i="111"/>
  <c r="H24" i="111"/>
  <c r="H22" i="111"/>
  <c r="H13" i="111"/>
  <c r="D5" i="111"/>
  <c r="P20" i="110"/>
  <c r="P16" i="110"/>
  <c r="D12" i="110"/>
  <c r="B22" i="112"/>
  <c r="D21" i="112"/>
  <c r="H15" i="112"/>
  <c r="B38" i="111"/>
  <c r="D34" i="111"/>
  <c r="D33" i="111"/>
  <c r="D29" i="111"/>
  <c r="D25" i="111"/>
  <c r="H21" i="111"/>
  <c r="D13" i="111"/>
  <c r="D4" i="111"/>
  <c r="H34" i="110"/>
  <c r="H33" i="110"/>
  <c r="H29" i="110"/>
  <c r="H25" i="110"/>
  <c r="P15" i="110"/>
  <c r="D6" i="110"/>
  <c r="B21" i="112"/>
  <c r="D20" i="112"/>
  <c r="D16" i="112"/>
  <c r="B25" i="111"/>
  <c r="D24" i="111"/>
  <c r="D22" i="111"/>
  <c r="H20" i="111"/>
  <c r="H16" i="111"/>
  <c r="B13" i="111"/>
  <c r="B39" i="110"/>
  <c r="H24" i="110"/>
  <c r="H22" i="110"/>
  <c r="H13" i="110"/>
  <c r="D5" i="110"/>
  <c r="T34" i="112"/>
  <c r="T33" i="112"/>
  <c r="T29" i="112"/>
  <c r="T25" i="112"/>
  <c r="B16" i="112"/>
  <c r="D15" i="112"/>
  <c r="T12" i="112"/>
  <c r="B22" i="111"/>
  <c r="D21" i="111"/>
  <c r="H15" i="111"/>
  <c r="B38" i="110"/>
  <c r="D34" i="110"/>
  <c r="D33" i="110"/>
  <c r="D29" i="110"/>
  <c r="D25" i="110"/>
  <c r="H21" i="110"/>
  <c r="D13" i="110"/>
  <c r="D4" i="110"/>
  <c r="T24" i="112"/>
  <c r="T22" i="112"/>
  <c r="P12" i="112"/>
  <c r="B21" i="111"/>
  <c r="D20" i="111"/>
  <c r="D16" i="111"/>
  <c r="B25" i="110"/>
  <c r="D24" i="110"/>
  <c r="D22" i="110"/>
  <c r="H20" i="110"/>
  <c r="H16" i="110"/>
  <c r="B13" i="110"/>
  <c r="P34" i="112"/>
  <c r="P33" i="112"/>
  <c r="P29" i="112"/>
  <c r="P25" i="112"/>
  <c r="T21" i="112"/>
  <c r="T34" i="111"/>
  <c r="T33" i="111"/>
  <c r="T29" i="111"/>
  <c r="T25" i="111"/>
  <c r="B16" i="111"/>
  <c r="D15" i="111"/>
  <c r="T12" i="111"/>
  <c r="B22" i="110"/>
  <c r="D21" i="110"/>
  <c r="H15" i="110"/>
  <c r="P24" i="112"/>
  <c r="P22" i="112"/>
  <c r="T20" i="112"/>
  <c r="T16" i="112"/>
  <c r="T13" i="112"/>
  <c r="T24" i="111"/>
  <c r="T22" i="111"/>
  <c r="P12" i="111"/>
  <c r="B21" i="110"/>
  <c r="D20" i="110"/>
  <c r="D16" i="110"/>
  <c r="P21" i="112"/>
  <c r="T15" i="112"/>
  <c r="P13" i="112"/>
  <c r="H12" i="112"/>
  <c r="P34" i="111"/>
  <c r="P33" i="111"/>
  <c r="P29" i="111"/>
  <c r="P25" i="111"/>
  <c r="T21" i="111"/>
  <c r="T34" i="110"/>
  <c r="T33" i="110"/>
  <c r="T29" i="110"/>
  <c r="T25" i="110"/>
  <c r="B16" i="110"/>
  <c r="D15" i="110"/>
  <c r="T12" i="110"/>
  <c r="H34" i="112"/>
  <c r="H33" i="112"/>
  <c r="H29" i="112"/>
  <c r="H25" i="112"/>
  <c r="P15" i="112"/>
  <c r="D6" i="112"/>
  <c r="P21" i="111"/>
  <c r="T15" i="111"/>
  <c r="P13" i="111"/>
  <c r="H12" i="111"/>
  <c r="P34" i="110"/>
  <c r="P33" i="110"/>
  <c r="P29" i="110"/>
  <c r="P25" i="110"/>
  <c r="T21" i="110"/>
  <c r="P16" i="112"/>
  <c r="P22" i="111"/>
  <c r="T20" i="111"/>
  <c r="D12" i="112"/>
  <c r="T24" i="110"/>
  <c r="T16" i="111"/>
  <c r="T22" i="110"/>
  <c r="T13" i="111"/>
  <c r="P24" i="111"/>
  <c r="P12" i="110"/>
  <c r="P20" i="112"/>
  <c r="B38" i="53"/>
  <c r="D34" i="53"/>
  <c r="D33" i="53"/>
  <c r="D29" i="53"/>
  <c r="D25" i="53"/>
  <c r="H21" i="53"/>
  <c r="D13" i="53"/>
  <c r="B39" i="52"/>
  <c r="H24" i="52"/>
  <c r="H22" i="52"/>
  <c r="H13" i="52"/>
  <c r="D4" i="52"/>
  <c r="B25" i="53"/>
  <c r="D24" i="53"/>
  <c r="D22" i="53"/>
  <c r="H20" i="53"/>
  <c r="H16" i="53"/>
  <c r="B22" i="53"/>
  <c r="D21" i="53"/>
  <c r="H15" i="53"/>
  <c r="B25" i="52"/>
  <c r="D24" i="52"/>
  <c r="D22" i="52"/>
  <c r="H20" i="52"/>
  <c r="H16" i="52"/>
  <c r="B13" i="52"/>
  <c r="B21" i="53"/>
  <c r="D20" i="53"/>
  <c r="D16" i="53"/>
  <c r="B22" i="52"/>
  <c r="D21" i="52"/>
  <c r="H15" i="52"/>
  <c r="T34" i="53"/>
  <c r="T33" i="53"/>
  <c r="T29" i="53"/>
  <c r="T25" i="53"/>
  <c r="B16" i="53"/>
  <c r="D15" i="53"/>
  <c r="T12" i="53"/>
  <c r="B21" i="52"/>
  <c r="D20" i="52"/>
  <c r="D16" i="52"/>
  <c r="B38" i="50"/>
  <c r="D34" i="50"/>
  <c r="T24" i="53"/>
  <c r="T22" i="53"/>
  <c r="P12" i="53"/>
  <c r="T34" i="52"/>
  <c r="T33" i="52"/>
  <c r="T29" i="52"/>
  <c r="T25" i="52"/>
  <c r="B16" i="52"/>
  <c r="D15" i="52"/>
  <c r="T12" i="52"/>
  <c r="P34" i="53"/>
  <c r="P33" i="53"/>
  <c r="P29" i="53"/>
  <c r="P25" i="53"/>
  <c r="T21" i="53"/>
  <c r="P24" i="53"/>
  <c r="P22" i="53"/>
  <c r="T20" i="53"/>
  <c r="T16" i="53"/>
  <c r="T13" i="53"/>
  <c r="P34" i="52"/>
  <c r="P33" i="52"/>
  <c r="P29" i="52"/>
  <c r="P25" i="52"/>
  <c r="T21" i="52"/>
  <c r="P21" i="53"/>
  <c r="T15" i="53"/>
  <c r="P13" i="53"/>
  <c r="H12" i="53"/>
  <c r="P24" i="52"/>
  <c r="P22" i="52"/>
  <c r="T20" i="52"/>
  <c r="T16" i="52"/>
  <c r="T13" i="52"/>
  <c r="P20" i="53"/>
  <c r="P16" i="53"/>
  <c r="D12" i="53"/>
  <c r="P21" i="52"/>
  <c r="T15" i="52"/>
  <c r="P13" i="52"/>
  <c r="H12" i="52"/>
  <c r="B39" i="53"/>
  <c r="H24" i="53"/>
  <c r="H22" i="53"/>
  <c r="H13" i="53"/>
  <c r="D4" i="53"/>
  <c r="H34" i="52"/>
  <c r="H33" i="52"/>
  <c r="H29" i="52"/>
  <c r="H25" i="52"/>
  <c r="P15" i="52"/>
  <c r="D5" i="52"/>
  <c r="H34" i="53"/>
  <c r="P15" i="53"/>
  <c r="P20" i="52"/>
  <c r="T34" i="50"/>
  <c r="P33" i="50"/>
  <c r="D22" i="50"/>
  <c r="H20" i="50"/>
  <c r="H16" i="50"/>
  <c r="B13" i="50"/>
  <c r="B38" i="49"/>
  <c r="D34" i="49"/>
  <c r="D33" i="49"/>
  <c r="D29" i="49"/>
  <c r="D25" i="49"/>
  <c r="H21" i="49"/>
  <c r="D13" i="49"/>
  <c r="B25" i="47"/>
  <c r="D24" i="47"/>
  <c r="D22" i="47"/>
  <c r="H20" i="47"/>
  <c r="H16" i="47"/>
  <c r="B13" i="47"/>
  <c r="B38" i="46"/>
  <c r="D34" i="46"/>
  <c r="D33" i="46"/>
  <c r="D29" i="46"/>
  <c r="D25" i="46"/>
  <c r="H21" i="46"/>
  <c r="D13" i="46"/>
  <c r="B22" i="44"/>
  <c r="D21" i="44"/>
  <c r="H15" i="44"/>
  <c r="B25" i="43"/>
  <c r="D24" i="43"/>
  <c r="D22" i="43"/>
  <c r="H20" i="43"/>
  <c r="H16" i="43"/>
  <c r="B13" i="43"/>
  <c r="H33" i="53"/>
  <c r="D33" i="52"/>
  <c r="D25" i="52"/>
  <c r="D13" i="52"/>
  <c r="H29" i="50"/>
  <c r="D25" i="50"/>
  <c r="D24" i="50"/>
  <c r="B22" i="50"/>
  <c r="D21" i="50"/>
  <c r="H15" i="50"/>
  <c r="B25" i="49"/>
  <c r="D24" i="49"/>
  <c r="D22" i="49"/>
  <c r="H20" i="49"/>
  <c r="H16" i="49"/>
  <c r="B13" i="49"/>
  <c r="B22" i="47"/>
  <c r="D21" i="47"/>
  <c r="H15" i="47"/>
  <c r="B25" i="46"/>
  <c r="D24" i="46"/>
  <c r="D22" i="46"/>
  <c r="H20" i="46"/>
  <c r="H16" i="46"/>
  <c r="B13" i="46"/>
  <c r="B21" i="44"/>
  <c r="T24" i="52"/>
  <c r="P12" i="52"/>
  <c r="P34" i="50"/>
  <c r="B25" i="50"/>
  <c r="B21" i="50"/>
  <c r="D20" i="50"/>
  <c r="D16" i="50"/>
  <c r="B22" i="49"/>
  <c r="D21" i="49"/>
  <c r="H15" i="49"/>
  <c r="B21" i="47"/>
  <c r="D20" i="47"/>
  <c r="D16" i="47"/>
  <c r="B22" i="46"/>
  <c r="D21" i="46"/>
  <c r="H15" i="46"/>
  <c r="H29" i="53"/>
  <c r="B13" i="53"/>
  <c r="D12" i="52"/>
  <c r="H33" i="50"/>
  <c r="D29" i="50"/>
  <c r="B16" i="50"/>
  <c r="D15" i="50"/>
  <c r="T12" i="50"/>
  <c r="B21" i="49"/>
  <c r="D20" i="49"/>
  <c r="D16" i="49"/>
  <c r="T34" i="47"/>
  <c r="T33" i="47"/>
  <c r="T29" i="47"/>
  <c r="T25" i="47"/>
  <c r="B16" i="47"/>
  <c r="D15" i="47"/>
  <c r="T12" i="47"/>
  <c r="B21" i="46"/>
  <c r="D20" i="46"/>
  <c r="D16" i="46"/>
  <c r="T24" i="44"/>
  <c r="T22" i="44"/>
  <c r="P12" i="44"/>
  <c r="T34" i="43"/>
  <c r="T33" i="43"/>
  <c r="T29" i="43"/>
  <c r="T25" i="43"/>
  <c r="B16" i="43"/>
  <c r="D15" i="43"/>
  <c r="T12" i="43"/>
  <c r="D5" i="53"/>
  <c r="P12" i="50"/>
  <c r="T34" i="49"/>
  <c r="T33" i="49"/>
  <c r="T29" i="49"/>
  <c r="T25" i="49"/>
  <c r="B16" i="49"/>
  <c r="D15" i="49"/>
  <c r="T12" i="49"/>
  <c r="T24" i="47"/>
  <c r="T22" i="47"/>
  <c r="P12" i="47"/>
  <c r="T34" i="46"/>
  <c r="T33" i="46"/>
  <c r="T29" i="46"/>
  <c r="T25" i="46"/>
  <c r="B16" i="46"/>
  <c r="D15" i="46"/>
  <c r="T12" i="46"/>
  <c r="P34" i="44"/>
  <c r="P33" i="44"/>
  <c r="P29" i="44"/>
  <c r="P25" i="44"/>
  <c r="T21" i="44"/>
  <c r="T24" i="43"/>
  <c r="T22" i="43"/>
  <c r="P12" i="43"/>
  <c r="H25" i="53"/>
  <c r="B38" i="52"/>
  <c r="T22" i="52"/>
  <c r="H34" i="50"/>
  <c r="D33" i="50"/>
  <c r="T22" i="50"/>
  <c r="T21" i="50"/>
  <c r="T24" i="49"/>
  <c r="T22" i="49"/>
  <c r="P12" i="49"/>
  <c r="P34" i="47"/>
  <c r="P33" i="47"/>
  <c r="P29" i="47"/>
  <c r="P25" i="47"/>
  <c r="T21" i="47"/>
  <c r="T24" i="46"/>
  <c r="T22" i="46"/>
  <c r="P12" i="46"/>
  <c r="P24" i="44"/>
  <c r="P22" i="44"/>
  <c r="T20" i="44"/>
  <c r="T16" i="44"/>
  <c r="T13" i="44"/>
  <c r="P34" i="43"/>
  <c r="P33" i="43"/>
  <c r="P29" i="43"/>
  <c r="P25" i="43"/>
  <c r="T21" i="43"/>
  <c r="P16" i="52"/>
  <c r="T25" i="50"/>
  <c r="T24" i="50"/>
  <c r="T20" i="50"/>
  <c r="T16" i="50"/>
  <c r="T13" i="50"/>
  <c r="P34" i="49"/>
  <c r="P33" i="49"/>
  <c r="P29" i="49"/>
  <c r="P25" i="49"/>
  <c r="T21" i="49"/>
  <c r="P24" i="47"/>
  <c r="P22" i="47"/>
  <c r="T20" i="47"/>
  <c r="T16" i="47"/>
  <c r="T13" i="47"/>
  <c r="P34" i="46"/>
  <c r="P33" i="46"/>
  <c r="P29" i="46"/>
  <c r="P25" i="46"/>
  <c r="T21" i="46"/>
  <c r="D29" i="52"/>
  <c r="P22" i="50"/>
  <c r="P21" i="50"/>
  <c r="T15" i="50"/>
  <c r="P13" i="50"/>
  <c r="H12" i="50"/>
  <c r="P24" i="49"/>
  <c r="P22" i="49"/>
  <c r="T20" i="49"/>
  <c r="T16" i="49"/>
  <c r="T13" i="49"/>
  <c r="P21" i="47"/>
  <c r="T15" i="47"/>
  <c r="P13" i="47"/>
  <c r="H12" i="47"/>
  <c r="P24" i="46"/>
  <c r="P22" i="46"/>
  <c r="T20" i="46"/>
  <c r="T16" i="46"/>
  <c r="T13" i="46"/>
  <c r="P20" i="44"/>
  <c r="P16" i="44"/>
  <c r="D12" i="44"/>
  <c r="P21" i="43"/>
  <c r="T15" i="43"/>
  <c r="P13" i="43"/>
  <c r="H12" i="43"/>
  <c r="T29" i="50"/>
  <c r="P25" i="50"/>
  <c r="P24" i="50"/>
  <c r="P20" i="50"/>
  <c r="P16" i="50"/>
  <c r="D12" i="50"/>
  <c r="P21" i="49"/>
  <c r="T15" i="49"/>
  <c r="P13" i="49"/>
  <c r="H12" i="49"/>
  <c r="P20" i="47"/>
  <c r="P16" i="47"/>
  <c r="D12" i="47"/>
  <c r="P21" i="46"/>
  <c r="T15" i="46"/>
  <c r="P13" i="46"/>
  <c r="H12" i="46"/>
  <c r="H34" i="44"/>
  <c r="H33" i="44"/>
  <c r="H29" i="44"/>
  <c r="H25" i="44"/>
  <c r="P15" i="44"/>
  <c r="D5" i="44"/>
  <c r="P20" i="43"/>
  <c r="P16" i="43"/>
  <c r="D12" i="43"/>
  <c r="P15" i="50"/>
  <c r="D5" i="50"/>
  <c r="P20" i="49"/>
  <c r="P16" i="49"/>
  <c r="D12" i="49"/>
  <c r="H34" i="47"/>
  <c r="H33" i="47"/>
  <c r="H29" i="47"/>
  <c r="H25" i="47"/>
  <c r="P15" i="47"/>
  <c r="D5" i="47"/>
  <c r="P20" i="46"/>
  <c r="P16" i="46"/>
  <c r="D12" i="46"/>
  <c r="B39" i="44"/>
  <c r="H24" i="44"/>
  <c r="H22" i="44"/>
  <c r="H25" i="50"/>
  <c r="H24" i="50"/>
  <c r="H21" i="50"/>
  <c r="D13" i="50"/>
  <c r="B39" i="49"/>
  <c r="H24" i="49"/>
  <c r="H22" i="49"/>
  <c r="H13" i="49"/>
  <c r="D4" i="49"/>
  <c r="B38" i="47"/>
  <c r="D34" i="47"/>
  <c r="D33" i="47"/>
  <c r="D29" i="47"/>
  <c r="D25" i="47"/>
  <c r="H21" i="47"/>
  <c r="D13" i="47"/>
  <c r="B39" i="46"/>
  <c r="H24" i="46"/>
  <c r="H22" i="46"/>
  <c r="H13" i="46"/>
  <c r="D4" i="46"/>
  <c r="B25" i="44"/>
  <c r="D24" i="44"/>
  <c r="D22" i="44"/>
  <c r="H20" i="44"/>
  <c r="H16" i="44"/>
  <c r="B13" i="44"/>
  <c r="B38" i="43"/>
  <c r="D34" i="43"/>
  <c r="D33" i="43"/>
  <c r="D29" i="43"/>
  <c r="D25" i="43"/>
  <c r="H21" i="43"/>
  <c r="D13" i="43"/>
  <c r="H22" i="50"/>
  <c r="H29" i="49"/>
  <c r="D4" i="43"/>
  <c r="T24" i="41"/>
  <c r="T22" i="41"/>
  <c r="P12" i="41"/>
  <c r="T34" i="40"/>
  <c r="T33" i="40"/>
  <c r="T29" i="40"/>
  <c r="T25" i="40"/>
  <c r="B16" i="40"/>
  <c r="D15" i="40"/>
  <c r="T12" i="40"/>
  <c r="P20" i="38"/>
  <c r="P16" i="38"/>
  <c r="D12" i="38"/>
  <c r="P21" i="37"/>
  <c r="T15" i="37"/>
  <c r="P13" i="37"/>
  <c r="H12" i="37"/>
  <c r="H13" i="47"/>
  <c r="D33" i="44"/>
  <c r="D25" i="44"/>
  <c r="T12" i="44"/>
  <c r="H34" i="43"/>
  <c r="H22" i="43"/>
  <c r="D20" i="43"/>
  <c r="P15" i="43"/>
  <c r="P34" i="41"/>
  <c r="P33" i="41"/>
  <c r="P29" i="41"/>
  <c r="P25" i="41"/>
  <c r="T21" i="41"/>
  <c r="T24" i="40"/>
  <c r="T22" i="40"/>
  <c r="P12" i="40"/>
  <c r="D34" i="52"/>
  <c r="H25" i="49"/>
  <c r="D4" i="47"/>
  <c r="D16" i="44"/>
  <c r="H12" i="44"/>
  <c r="H25" i="43"/>
  <c r="B22" i="43"/>
  <c r="P24" i="41"/>
  <c r="P22" i="41"/>
  <c r="T20" i="41"/>
  <c r="T16" i="41"/>
  <c r="T13" i="41"/>
  <c r="P34" i="40"/>
  <c r="P33" i="40"/>
  <c r="P29" i="40"/>
  <c r="P25" i="40"/>
  <c r="T21" i="40"/>
  <c r="B16" i="44"/>
  <c r="D4" i="44"/>
  <c r="H15" i="43"/>
  <c r="P21" i="41"/>
  <c r="T15" i="41"/>
  <c r="P13" i="41"/>
  <c r="H12" i="41"/>
  <c r="P24" i="40"/>
  <c r="P22" i="40"/>
  <c r="T20" i="40"/>
  <c r="T16" i="40"/>
  <c r="T13" i="40"/>
  <c r="B38" i="38"/>
  <c r="D34" i="38"/>
  <c r="D33" i="38"/>
  <c r="D29" i="38"/>
  <c r="D25" i="38"/>
  <c r="H21" i="38"/>
  <c r="D13" i="38"/>
  <c r="B39" i="37"/>
  <c r="H24" i="37"/>
  <c r="H22" i="37"/>
  <c r="H13" i="37"/>
  <c r="D4" i="37"/>
  <c r="H21" i="52"/>
  <c r="B39" i="50"/>
  <c r="H34" i="46"/>
  <c r="P15" i="46"/>
  <c r="B38" i="44"/>
  <c r="D20" i="44"/>
  <c r="T15" i="44"/>
  <c r="B39" i="43"/>
  <c r="H29" i="43"/>
  <c r="P20" i="41"/>
  <c r="P16" i="41"/>
  <c r="D12" i="41"/>
  <c r="P21" i="40"/>
  <c r="T15" i="40"/>
  <c r="P13" i="40"/>
  <c r="H12" i="40"/>
  <c r="H33" i="46"/>
  <c r="T29" i="44"/>
  <c r="T13" i="43"/>
  <c r="H34" i="41"/>
  <c r="H33" i="41"/>
  <c r="H29" i="41"/>
  <c r="H25" i="41"/>
  <c r="P15" i="41"/>
  <c r="D5" i="41"/>
  <c r="P20" i="40"/>
  <c r="P16" i="40"/>
  <c r="D12" i="40"/>
  <c r="B22" i="38"/>
  <c r="D21" i="38"/>
  <c r="H15" i="38"/>
  <c r="B25" i="37"/>
  <c r="D24" i="37"/>
  <c r="D22" i="37"/>
  <c r="H20" i="37"/>
  <c r="H16" i="37"/>
  <c r="B13" i="37"/>
  <c r="T33" i="50"/>
  <c r="H13" i="50"/>
  <c r="H24" i="47"/>
  <c r="D5" i="46"/>
  <c r="H33" i="43"/>
  <c r="P24" i="43"/>
  <c r="B39" i="41"/>
  <c r="H24" i="41"/>
  <c r="H22" i="41"/>
  <c r="H13" i="41"/>
  <c r="D4" i="41"/>
  <c r="H34" i="40"/>
  <c r="H33" i="40"/>
  <c r="H29" i="40"/>
  <c r="H25" i="40"/>
  <c r="P15" i="40"/>
  <c r="D5" i="40"/>
  <c r="D4" i="50"/>
  <c r="H22" i="47"/>
  <c r="H29" i="46"/>
  <c r="D29" i="44"/>
  <c r="D21" i="43"/>
  <c r="T16" i="43"/>
  <c r="H13" i="43"/>
  <c r="B38" i="41"/>
  <c r="D34" i="41"/>
  <c r="D33" i="41"/>
  <c r="D29" i="41"/>
  <c r="D25" i="41"/>
  <c r="H21" i="41"/>
  <c r="D13" i="41"/>
  <c r="B39" i="40"/>
  <c r="H24" i="40"/>
  <c r="H22" i="40"/>
  <c r="H13" i="40"/>
  <c r="D4" i="40"/>
  <c r="T34" i="38"/>
  <c r="T33" i="38"/>
  <c r="T29" i="38"/>
  <c r="T25" i="38"/>
  <c r="B16" i="38"/>
  <c r="D15" i="38"/>
  <c r="T12" i="38"/>
  <c r="P29" i="50"/>
  <c r="T34" i="44"/>
  <c r="D15" i="44"/>
  <c r="H24" i="43"/>
  <c r="B21" i="43"/>
  <c r="B25" i="41"/>
  <c r="D24" i="41"/>
  <c r="D22" i="41"/>
  <c r="H20" i="41"/>
  <c r="H16" i="41"/>
  <c r="B13" i="41"/>
  <c r="B38" i="40"/>
  <c r="D34" i="40"/>
  <c r="D33" i="40"/>
  <c r="D29" i="40"/>
  <c r="D25" i="40"/>
  <c r="H21" i="40"/>
  <c r="D13" i="40"/>
  <c r="H34" i="49"/>
  <c r="P15" i="49"/>
  <c r="H25" i="46"/>
  <c r="P21" i="44"/>
  <c r="P13" i="44"/>
  <c r="T20" i="43"/>
  <c r="B22" i="41"/>
  <c r="D21" i="41"/>
  <c r="H15" i="41"/>
  <c r="B25" i="40"/>
  <c r="D24" i="40"/>
  <c r="D22" i="40"/>
  <c r="H20" i="40"/>
  <c r="H16" i="40"/>
  <c r="B13" i="40"/>
  <c r="D5" i="49"/>
  <c r="T33" i="44"/>
  <c r="T25" i="44"/>
  <c r="H21" i="44"/>
  <c r="D13" i="44"/>
  <c r="P22" i="43"/>
  <c r="D16" i="43"/>
  <c r="D5" i="43"/>
  <c r="T34" i="41"/>
  <c r="T33" i="41"/>
  <c r="T29" i="41"/>
  <c r="T25" i="41"/>
  <c r="B16" i="41"/>
  <c r="D15" i="41"/>
  <c r="T12" i="41"/>
  <c r="B21" i="40"/>
  <c r="D20" i="40"/>
  <c r="D16" i="40"/>
  <c r="P21" i="38"/>
  <c r="T15" i="38"/>
  <c r="P13" i="38"/>
  <c r="H12" i="38"/>
  <c r="P24" i="37"/>
  <c r="P22" i="37"/>
  <c r="T20" i="37"/>
  <c r="T16" i="37"/>
  <c r="T13" i="37"/>
  <c r="H33" i="49"/>
  <c r="B21" i="41"/>
  <c r="H33" i="38"/>
  <c r="P29" i="38"/>
  <c r="H24" i="38"/>
  <c r="H16" i="38"/>
  <c r="P25" i="37"/>
  <c r="T21" i="37"/>
  <c r="H15" i="37"/>
  <c r="P21" i="35"/>
  <c r="T15" i="35"/>
  <c r="P13" i="35"/>
  <c r="H12" i="35"/>
  <c r="P24" i="34"/>
  <c r="P22" i="34"/>
  <c r="T20" i="34"/>
  <c r="T16" i="34"/>
  <c r="T13" i="34"/>
  <c r="T34" i="32"/>
  <c r="T33" i="32"/>
  <c r="T29" i="32"/>
  <c r="T25" i="32"/>
  <c r="B16" i="32"/>
  <c r="D15" i="32"/>
  <c r="T12" i="32"/>
  <c r="B21" i="31"/>
  <c r="D20" i="31"/>
  <c r="D16" i="31"/>
  <c r="D20" i="41"/>
  <c r="D24" i="38"/>
  <c r="D16" i="38"/>
  <c r="H13" i="38"/>
  <c r="D20" i="37"/>
  <c r="P16" i="37"/>
  <c r="D12" i="37"/>
  <c r="P20" i="35"/>
  <c r="P16" i="35"/>
  <c r="D12" i="35"/>
  <c r="P21" i="34"/>
  <c r="T15" i="34"/>
  <c r="P13" i="34"/>
  <c r="H12" i="34"/>
  <c r="H29" i="38"/>
  <c r="P25" i="38"/>
  <c r="B13" i="38"/>
  <c r="T33" i="37"/>
  <c r="H25" i="37"/>
  <c r="D15" i="37"/>
  <c r="D5" i="37"/>
  <c r="H34" i="35"/>
  <c r="H33" i="35"/>
  <c r="H29" i="35"/>
  <c r="H25" i="35"/>
  <c r="P15" i="35"/>
  <c r="D5" i="35"/>
  <c r="P20" i="34"/>
  <c r="P16" i="34"/>
  <c r="D12" i="34"/>
  <c r="D16" i="41"/>
  <c r="B22" i="40"/>
  <c r="P34" i="38"/>
  <c r="T22" i="38"/>
  <c r="D25" i="37"/>
  <c r="T22" i="37"/>
  <c r="H21" i="37"/>
  <c r="B39" i="35"/>
  <c r="H24" i="35"/>
  <c r="H22" i="35"/>
  <c r="H13" i="35"/>
  <c r="D4" i="35"/>
  <c r="H34" i="34"/>
  <c r="H33" i="34"/>
  <c r="H29" i="34"/>
  <c r="H25" i="34"/>
  <c r="P15" i="34"/>
  <c r="D5" i="34"/>
  <c r="P24" i="32"/>
  <c r="P22" i="32"/>
  <c r="T20" i="32"/>
  <c r="D21" i="40"/>
  <c r="B39" i="38"/>
  <c r="H25" i="38"/>
  <c r="B21" i="38"/>
  <c r="P12" i="38"/>
  <c r="P33" i="37"/>
  <c r="D21" i="37"/>
  <c r="B38" i="35"/>
  <c r="D34" i="35"/>
  <c r="D33" i="35"/>
  <c r="D29" i="35"/>
  <c r="D25" i="35"/>
  <c r="H21" i="35"/>
  <c r="D13" i="35"/>
  <c r="B39" i="34"/>
  <c r="H24" i="34"/>
  <c r="H22" i="34"/>
  <c r="H13" i="34"/>
  <c r="D4" i="34"/>
  <c r="P21" i="32"/>
  <c r="T15" i="32"/>
  <c r="P13" i="32"/>
  <c r="H12" i="32"/>
  <c r="P24" i="31"/>
  <c r="P22" i="31"/>
  <c r="T20" i="31"/>
  <c r="T16" i="31"/>
  <c r="T13" i="31"/>
  <c r="H34" i="38"/>
  <c r="P22" i="38"/>
  <c r="P15" i="38"/>
  <c r="B21" i="37"/>
  <c r="D16" i="37"/>
  <c r="B25" i="35"/>
  <c r="D24" i="35"/>
  <c r="D22" i="35"/>
  <c r="H20" i="35"/>
  <c r="H16" i="35"/>
  <c r="B13" i="35"/>
  <c r="B38" i="34"/>
  <c r="D34" i="34"/>
  <c r="D33" i="34"/>
  <c r="D29" i="34"/>
  <c r="D25" i="34"/>
  <c r="H21" i="34"/>
  <c r="D13" i="34"/>
  <c r="B25" i="38"/>
  <c r="T34" i="37"/>
  <c r="H33" i="37"/>
  <c r="T29" i="37"/>
  <c r="B16" i="37"/>
  <c r="B22" i="35"/>
  <c r="D21" i="35"/>
  <c r="H15" i="35"/>
  <c r="B25" i="34"/>
  <c r="D24" i="34"/>
  <c r="D22" i="34"/>
  <c r="H20" i="34"/>
  <c r="H16" i="34"/>
  <c r="B13" i="34"/>
  <c r="D34" i="44"/>
  <c r="H22" i="38"/>
  <c r="T20" i="38"/>
  <c r="D5" i="38"/>
  <c r="D33" i="37"/>
  <c r="T24" i="37"/>
  <c r="D13" i="37"/>
  <c r="B21" i="35"/>
  <c r="D20" i="35"/>
  <c r="D16" i="35"/>
  <c r="B22" i="34"/>
  <c r="D21" i="34"/>
  <c r="H15" i="34"/>
  <c r="B39" i="32"/>
  <c r="H24" i="32"/>
  <c r="H22" i="32"/>
  <c r="H13" i="32"/>
  <c r="D4" i="32"/>
  <c r="H34" i="31"/>
  <c r="H33" i="31"/>
  <c r="H29" i="31"/>
  <c r="H25" i="31"/>
  <c r="P15" i="31"/>
  <c r="D5" i="31"/>
  <c r="H15" i="40"/>
  <c r="T24" i="38"/>
  <c r="D22" i="38"/>
  <c r="D4" i="38"/>
  <c r="P34" i="37"/>
  <c r="P29" i="37"/>
  <c r="B22" i="37"/>
  <c r="T34" i="35"/>
  <c r="T33" i="35"/>
  <c r="T29" i="35"/>
  <c r="T25" i="35"/>
  <c r="B16" i="35"/>
  <c r="D15" i="35"/>
  <c r="T12" i="35"/>
  <c r="B21" i="34"/>
  <c r="D20" i="34"/>
  <c r="D16" i="34"/>
  <c r="B38" i="32"/>
  <c r="D34" i="32"/>
  <c r="D33" i="32"/>
  <c r="D29" i="32"/>
  <c r="D25" i="32"/>
  <c r="H21" i="32"/>
  <c r="D13" i="32"/>
  <c r="B39" i="31"/>
  <c r="H24" i="31"/>
  <c r="H22" i="31"/>
  <c r="H13" i="31"/>
  <c r="D4" i="31"/>
  <c r="T16" i="38"/>
  <c r="B38" i="37"/>
  <c r="P20" i="37"/>
  <c r="T24" i="35"/>
  <c r="T22" i="35"/>
  <c r="P12" i="35"/>
  <c r="T34" i="34"/>
  <c r="T33" i="34"/>
  <c r="T29" i="34"/>
  <c r="T25" i="34"/>
  <c r="B16" i="34"/>
  <c r="D15" i="34"/>
  <c r="T12" i="34"/>
  <c r="B39" i="47"/>
  <c r="H13" i="44"/>
  <c r="T21" i="38"/>
  <c r="D20" i="38"/>
  <c r="T13" i="38"/>
  <c r="D34" i="37"/>
  <c r="D29" i="37"/>
  <c r="P12" i="37"/>
  <c r="P24" i="35"/>
  <c r="P22" i="35"/>
  <c r="T20" i="35"/>
  <c r="T16" i="35"/>
  <c r="T13" i="35"/>
  <c r="P34" i="34"/>
  <c r="P33" i="34"/>
  <c r="P29" i="34"/>
  <c r="P25" i="34"/>
  <c r="T21" i="34"/>
  <c r="B21" i="32"/>
  <c r="D20" i="32"/>
  <c r="D16" i="32"/>
  <c r="B22" i="31"/>
  <c r="D21" i="31"/>
  <c r="H15" i="31"/>
  <c r="T12" i="37"/>
  <c r="T22" i="32"/>
  <c r="P20" i="32"/>
  <c r="T16" i="32"/>
  <c r="B38" i="31"/>
  <c r="T15" i="31"/>
  <c r="P12" i="31"/>
  <c r="B22" i="29"/>
  <c r="D21" i="29"/>
  <c r="H15" i="29"/>
  <c r="B25" i="28"/>
  <c r="D24" i="28"/>
  <c r="D22" i="28"/>
  <c r="H20" i="28"/>
  <c r="H16" i="28"/>
  <c r="B13" i="28"/>
  <c r="T34" i="26"/>
  <c r="T33" i="26"/>
  <c r="T29" i="26"/>
  <c r="T25" i="26"/>
  <c r="B16" i="26"/>
  <c r="D15" i="26"/>
  <c r="T12" i="26"/>
  <c r="B21" i="25"/>
  <c r="D20" i="25"/>
  <c r="D16" i="25"/>
  <c r="P25" i="35"/>
  <c r="P16" i="32"/>
  <c r="D25" i="31"/>
  <c r="B21" i="29"/>
  <c r="D20" i="29"/>
  <c r="D16" i="29"/>
  <c r="B22" i="28"/>
  <c r="D21" i="28"/>
  <c r="H15" i="28"/>
  <c r="T24" i="26"/>
  <c r="T22" i="26"/>
  <c r="P12" i="26"/>
  <c r="T34" i="25"/>
  <c r="T33" i="25"/>
  <c r="T29" i="25"/>
  <c r="T25" i="25"/>
  <c r="B16" i="25"/>
  <c r="D15" i="25"/>
  <c r="T12" i="25"/>
  <c r="P12" i="34"/>
  <c r="H20" i="32"/>
  <c r="T13" i="32"/>
  <c r="D34" i="31"/>
  <c r="B25" i="31"/>
  <c r="H12" i="31"/>
  <c r="T34" i="29"/>
  <c r="T33" i="29"/>
  <c r="T29" i="29"/>
  <c r="T25" i="29"/>
  <c r="B16" i="29"/>
  <c r="D15" i="29"/>
  <c r="T12" i="29"/>
  <c r="B21" i="28"/>
  <c r="D20" i="28"/>
  <c r="D16" i="28"/>
  <c r="P34" i="26"/>
  <c r="P33" i="26"/>
  <c r="P29" i="26"/>
  <c r="P25" i="26"/>
  <c r="T21" i="26"/>
  <c r="T24" i="25"/>
  <c r="T22" i="25"/>
  <c r="P12" i="25"/>
  <c r="H34" i="37"/>
  <c r="P34" i="32"/>
  <c r="P25" i="32"/>
  <c r="D22" i="32"/>
  <c r="H16" i="32"/>
  <c r="D12" i="31"/>
  <c r="T24" i="29"/>
  <c r="T22" i="29"/>
  <c r="P12" i="29"/>
  <c r="T34" i="28"/>
  <c r="T33" i="28"/>
  <c r="T29" i="28"/>
  <c r="T25" i="28"/>
  <c r="B16" i="28"/>
  <c r="D15" i="28"/>
  <c r="T12" i="28"/>
  <c r="P24" i="26"/>
  <c r="P22" i="26"/>
  <c r="T20" i="26"/>
  <c r="T16" i="26"/>
  <c r="T13" i="26"/>
  <c r="P34" i="25"/>
  <c r="P33" i="25"/>
  <c r="P29" i="25"/>
  <c r="P25" i="25"/>
  <c r="T21" i="25"/>
  <c r="T21" i="35"/>
  <c r="H34" i="32"/>
  <c r="H25" i="32"/>
  <c r="B22" i="32"/>
  <c r="T33" i="31"/>
  <c r="T24" i="31"/>
  <c r="D22" i="31"/>
  <c r="P20" i="31"/>
  <c r="D15" i="31"/>
  <c r="P34" i="29"/>
  <c r="P33" i="29"/>
  <c r="P29" i="29"/>
  <c r="P25" i="29"/>
  <c r="T21" i="29"/>
  <c r="T24" i="28"/>
  <c r="T22" i="28"/>
  <c r="P12" i="28"/>
  <c r="P21" i="26"/>
  <c r="T15" i="26"/>
  <c r="P13" i="26"/>
  <c r="H12" i="26"/>
  <c r="P24" i="25"/>
  <c r="P22" i="25"/>
  <c r="T20" i="25"/>
  <c r="T16" i="25"/>
  <c r="T13" i="25"/>
  <c r="H29" i="37"/>
  <c r="P29" i="32"/>
  <c r="B25" i="32"/>
  <c r="B13" i="32"/>
  <c r="P24" i="29"/>
  <c r="P22" i="29"/>
  <c r="T20" i="29"/>
  <c r="T16" i="29"/>
  <c r="T13" i="29"/>
  <c r="P34" i="28"/>
  <c r="P33" i="28"/>
  <c r="P29" i="28"/>
  <c r="P25" i="28"/>
  <c r="T21" i="28"/>
  <c r="P20" i="26"/>
  <c r="P16" i="26"/>
  <c r="D12" i="26"/>
  <c r="P21" i="25"/>
  <c r="T15" i="25"/>
  <c r="P13" i="25"/>
  <c r="H12" i="25"/>
  <c r="P33" i="38"/>
  <c r="T25" i="37"/>
  <c r="T24" i="34"/>
  <c r="H29" i="32"/>
  <c r="T21" i="32"/>
  <c r="P33" i="31"/>
  <c r="T29" i="31"/>
  <c r="H20" i="31"/>
  <c r="P16" i="31"/>
  <c r="P21" i="29"/>
  <c r="T15" i="29"/>
  <c r="P13" i="29"/>
  <c r="H12" i="29"/>
  <c r="P24" i="28"/>
  <c r="P22" i="28"/>
  <c r="T20" i="28"/>
  <c r="T16" i="28"/>
  <c r="T13" i="28"/>
  <c r="T22" i="34"/>
  <c r="P33" i="32"/>
  <c r="T24" i="32"/>
  <c r="P12" i="32"/>
  <c r="T21" i="31"/>
  <c r="P13" i="31"/>
  <c r="P20" i="29"/>
  <c r="P16" i="29"/>
  <c r="D12" i="29"/>
  <c r="P21" i="28"/>
  <c r="T15" i="28"/>
  <c r="P13" i="28"/>
  <c r="H12" i="28"/>
  <c r="B39" i="26"/>
  <c r="H24" i="26"/>
  <c r="H22" i="26"/>
  <c r="H13" i="26"/>
  <c r="D4" i="26"/>
  <c r="H34" i="25"/>
  <c r="H33" i="25"/>
  <c r="H29" i="25"/>
  <c r="H25" i="25"/>
  <c r="P15" i="25"/>
  <c r="D5" i="25"/>
  <c r="P34" i="35"/>
  <c r="H33" i="32"/>
  <c r="P29" i="31"/>
  <c r="T25" i="31"/>
  <c r="P21" i="31"/>
  <c r="H16" i="31"/>
  <c r="H34" i="29"/>
  <c r="H33" i="29"/>
  <c r="H29" i="29"/>
  <c r="H25" i="29"/>
  <c r="P15" i="29"/>
  <c r="D5" i="29"/>
  <c r="P20" i="28"/>
  <c r="P16" i="28"/>
  <c r="D12" i="28"/>
  <c r="B38" i="26"/>
  <c r="D34" i="26"/>
  <c r="D33" i="26"/>
  <c r="D29" i="26"/>
  <c r="D25" i="26"/>
  <c r="H21" i="26"/>
  <c r="D13" i="26"/>
  <c r="B39" i="25"/>
  <c r="H24" i="25"/>
  <c r="H22" i="25"/>
  <c r="H13" i="25"/>
  <c r="D4" i="25"/>
  <c r="P24" i="38"/>
  <c r="P33" i="35"/>
  <c r="D21" i="32"/>
  <c r="P15" i="32"/>
  <c r="T34" i="31"/>
  <c r="D33" i="31"/>
  <c r="D24" i="31"/>
  <c r="B16" i="31"/>
  <c r="D13" i="31"/>
  <c r="B39" i="29"/>
  <c r="H24" i="29"/>
  <c r="H22" i="29"/>
  <c r="H13" i="29"/>
  <c r="D4" i="29"/>
  <c r="H34" i="28"/>
  <c r="H33" i="28"/>
  <c r="H29" i="28"/>
  <c r="H25" i="28"/>
  <c r="P15" i="28"/>
  <c r="D5" i="28"/>
  <c r="B25" i="26"/>
  <c r="D24" i="26"/>
  <c r="D22" i="26"/>
  <c r="H20" i="26"/>
  <c r="H16" i="26"/>
  <c r="B13" i="26"/>
  <c r="B38" i="25"/>
  <c r="D34" i="25"/>
  <c r="D33" i="25"/>
  <c r="D29" i="25"/>
  <c r="D25" i="25"/>
  <c r="H21" i="25"/>
  <c r="D13" i="25"/>
  <c r="H20" i="38"/>
  <c r="P15" i="37"/>
  <c r="P29" i="35"/>
  <c r="H15" i="32"/>
  <c r="D5" i="32"/>
  <c r="P34" i="31"/>
  <c r="D29" i="31"/>
  <c r="T22" i="31"/>
  <c r="T12" i="31"/>
  <c r="B25" i="29"/>
  <c r="D24" i="29"/>
  <c r="D22" i="29"/>
  <c r="H20" i="29"/>
  <c r="H16" i="29"/>
  <c r="B13" i="29"/>
  <c r="B38" i="28"/>
  <c r="D34" i="28"/>
  <c r="D33" i="28"/>
  <c r="D29" i="28"/>
  <c r="D25" i="28"/>
  <c r="H21" i="28"/>
  <c r="D13" i="28"/>
  <c r="B21" i="26"/>
  <c r="D20" i="26"/>
  <c r="D16" i="26"/>
  <c r="B22" i="25"/>
  <c r="D21" i="25"/>
  <c r="H15" i="25"/>
  <c r="D33" i="29"/>
  <c r="D13" i="29"/>
  <c r="D5" i="26"/>
  <c r="P24" i="23"/>
  <c r="P22" i="23"/>
  <c r="T20" i="23"/>
  <c r="T16" i="23"/>
  <c r="T13" i="23"/>
  <c r="P34" i="22"/>
  <c r="P33" i="22"/>
  <c r="P29" i="22"/>
  <c r="P25" i="22"/>
  <c r="T21" i="22"/>
  <c r="P21" i="20"/>
  <c r="T15" i="20"/>
  <c r="P13" i="20"/>
  <c r="H12" i="20"/>
  <c r="P24" i="19"/>
  <c r="P22" i="19"/>
  <c r="T20" i="19"/>
  <c r="T16" i="19"/>
  <c r="T13" i="19"/>
  <c r="B38" i="17"/>
  <c r="D34" i="17"/>
  <c r="D33" i="17"/>
  <c r="D29" i="17"/>
  <c r="D25" i="17"/>
  <c r="H21" i="17"/>
  <c r="D13" i="17"/>
  <c r="B39" i="16"/>
  <c r="H24" i="16"/>
  <c r="H22" i="16"/>
  <c r="H13" i="16"/>
  <c r="D4" i="16"/>
  <c r="D24" i="32"/>
  <c r="B39" i="28"/>
  <c r="D21" i="26"/>
  <c r="P21" i="23"/>
  <c r="T15" i="23"/>
  <c r="P13" i="23"/>
  <c r="H12" i="23"/>
  <c r="P24" i="22"/>
  <c r="P22" i="22"/>
  <c r="T20" i="22"/>
  <c r="T16" i="22"/>
  <c r="T13" i="22"/>
  <c r="P20" i="20"/>
  <c r="P16" i="20"/>
  <c r="D12" i="20"/>
  <c r="P21" i="19"/>
  <c r="T15" i="19"/>
  <c r="P13" i="19"/>
  <c r="H12" i="19"/>
  <c r="B13" i="31"/>
  <c r="D29" i="29"/>
  <c r="H29" i="26"/>
  <c r="P16" i="25"/>
  <c r="P20" i="23"/>
  <c r="P16" i="23"/>
  <c r="D12" i="23"/>
  <c r="P21" i="22"/>
  <c r="T15" i="22"/>
  <c r="P13" i="22"/>
  <c r="H12" i="22"/>
  <c r="H34" i="20"/>
  <c r="H33" i="20"/>
  <c r="H29" i="20"/>
  <c r="H25" i="20"/>
  <c r="P15" i="20"/>
  <c r="D5" i="20"/>
  <c r="P20" i="19"/>
  <c r="P16" i="19"/>
  <c r="D12" i="19"/>
  <c r="B25" i="25"/>
  <c r="H16" i="25"/>
  <c r="H34" i="23"/>
  <c r="H33" i="23"/>
  <c r="H29" i="23"/>
  <c r="H25" i="23"/>
  <c r="P15" i="23"/>
  <c r="D5" i="23"/>
  <c r="P20" i="22"/>
  <c r="P16" i="22"/>
  <c r="D12" i="22"/>
  <c r="B39" i="20"/>
  <c r="H24" i="20"/>
  <c r="H22" i="20"/>
  <c r="H13" i="20"/>
  <c r="D4" i="20"/>
  <c r="H34" i="19"/>
  <c r="H33" i="19"/>
  <c r="H29" i="19"/>
  <c r="H25" i="19"/>
  <c r="P15" i="19"/>
  <c r="D5" i="19"/>
  <c r="B21" i="17"/>
  <c r="D20" i="17"/>
  <c r="D16" i="17"/>
  <c r="B22" i="16"/>
  <c r="D21" i="16"/>
  <c r="H15" i="16"/>
  <c r="D25" i="29"/>
  <c r="H13" i="28"/>
  <c r="B39" i="23"/>
  <c r="H24" i="23"/>
  <c r="H22" i="23"/>
  <c r="H13" i="23"/>
  <c r="D4" i="23"/>
  <c r="H34" i="22"/>
  <c r="H33" i="22"/>
  <c r="H29" i="22"/>
  <c r="H25" i="22"/>
  <c r="P15" i="22"/>
  <c r="D5" i="22"/>
  <c r="B38" i="20"/>
  <c r="D34" i="20"/>
  <c r="D33" i="20"/>
  <c r="D29" i="20"/>
  <c r="D25" i="20"/>
  <c r="H21" i="20"/>
  <c r="D13" i="20"/>
  <c r="B39" i="19"/>
  <c r="H24" i="19"/>
  <c r="H22" i="19"/>
  <c r="H13" i="19"/>
  <c r="D4" i="19"/>
  <c r="D12" i="32"/>
  <c r="D4" i="28"/>
  <c r="D24" i="25"/>
  <c r="B38" i="23"/>
  <c r="D34" i="23"/>
  <c r="D33" i="23"/>
  <c r="D29" i="23"/>
  <c r="D25" i="23"/>
  <c r="H21" i="23"/>
  <c r="D13" i="23"/>
  <c r="B39" i="22"/>
  <c r="H24" i="22"/>
  <c r="H22" i="22"/>
  <c r="H13" i="22"/>
  <c r="D4" i="22"/>
  <c r="B25" i="20"/>
  <c r="D24" i="20"/>
  <c r="D22" i="20"/>
  <c r="H20" i="20"/>
  <c r="H16" i="20"/>
  <c r="B13" i="20"/>
  <c r="B38" i="19"/>
  <c r="D34" i="19"/>
  <c r="D33" i="19"/>
  <c r="D29" i="19"/>
  <c r="D25" i="19"/>
  <c r="H21" i="19"/>
  <c r="D13" i="19"/>
  <c r="T24" i="17"/>
  <c r="T22" i="17"/>
  <c r="P12" i="17"/>
  <c r="T34" i="16"/>
  <c r="T33" i="16"/>
  <c r="T29" i="16"/>
  <c r="T25" i="16"/>
  <c r="B16" i="16"/>
  <c r="D15" i="16"/>
  <c r="T12" i="16"/>
  <c r="H25" i="26"/>
  <c r="B25" i="23"/>
  <c r="D24" i="23"/>
  <c r="D22" i="23"/>
  <c r="H20" i="23"/>
  <c r="H16" i="23"/>
  <c r="B13" i="23"/>
  <c r="B38" i="22"/>
  <c r="D34" i="22"/>
  <c r="D33" i="22"/>
  <c r="D29" i="22"/>
  <c r="D25" i="22"/>
  <c r="H21" i="22"/>
  <c r="D13" i="22"/>
  <c r="B22" i="20"/>
  <c r="D21" i="20"/>
  <c r="H15" i="20"/>
  <c r="B25" i="19"/>
  <c r="D24" i="19"/>
  <c r="D22" i="19"/>
  <c r="H20" i="19"/>
  <c r="H16" i="19"/>
  <c r="B13" i="19"/>
  <c r="H21" i="29"/>
  <c r="D22" i="25"/>
  <c r="B13" i="25"/>
  <c r="B22" i="23"/>
  <c r="D21" i="23"/>
  <c r="H15" i="23"/>
  <c r="B25" i="22"/>
  <c r="D24" i="22"/>
  <c r="D22" i="22"/>
  <c r="H20" i="22"/>
  <c r="H16" i="22"/>
  <c r="B13" i="22"/>
  <c r="B21" i="20"/>
  <c r="D20" i="20"/>
  <c r="D16" i="20"/>
  <c r="B22" i="19"/>
  <c r="D21" i="19"/>
  <c r="H15" i="19"/>
  <c r="H34" i="26"/>
  <c r="P15" i="26"/>
  <c r="D12" i="25"/>
  <c r="B21" i="23"/>
  <c r="D20" i="23"/>
  <c r="D16" i="23"/>
  <c r="B22" i="22"/>
  <c r="D21" i="22"/>
  <c r="H15" i="22"/>
  <c r="T34" i="20"/>
  <c r="T33" i="20"/>
  <c r="T29" i="20"/>
  <c r="T25" i="20"/>
  <c r="B16" i="20"/>
  <c r="D15" i="20"/>
  <c r="T12" i="20"/>
  <c r="B21" i="19"/>
  <c r="D20" i="19"/>
  <c r="D16" i="19"/>
  <c r="P21" i="17"/>
  <c r="T15" i="17"/>
  <c r="P13" i="17"/>
  <c r="H12" i="17"/>
  <c r="P24" i="16"/>
  <c r="P22" i="16"/>
  <c r="T20" i="16"/>
  <c r="T16" i="16"/>
  <c r="T13" i="16"/>
  <c r="P25" i="31"/>
  <c r="B38" i="29"/>
  <c r="H24" i="28"/>
  <c r="H15" i="26"/>
  <c r="T34" i="23"/>
  <c r="T33" i="23"/>
  <c r="T29" i="23"/>
  <c r="T25" i="23"/>
  <c r="B16" i="23"/>
  <c r="D15" i="23"/>
  <c r="T12" i="23"/>
  <c r="B21" i="22"/>
  <c r="D20" i="22"/>
  <c r="D16" i="22"/>
  <c r="T24" i="20"/>
  <c r="T22" i="20"/>
  <c r="P12" i="20"/>
  <c r="T34" i="19"/>
  <c r="T33" i="19"/>
  <c r="T29" i="19"/>
  <c r="T25" i="19"/>
  <c r="B16" i="19"/>
  <c r="D15" i="19"/>
  <c r="T12" i="19"/>
  <c r="H21" i="31"/>
  <c r="D34" i="29"/>
  <c r="B22" i="26"/>
  <c r="H20" i="25"/>
  <c r="P34" i="23"/>
  <c r="P33" i="23"/>
  <c r="P29" i="23"/>
  <c r="P25" i="23"/>
  <c r="T21" i="23"/>
  <c r="T24" i="22"/>
  <c r="T22" i="22"/>
  <c r="P12" i="22"/>
  <c r="P24" i="20"/>
  <c r="P22" i="20"/>
  <c r="T20" i="20"/>
  <c r="T16" i="20"/>
  <c r="T13" i="20"/>
  <c r="P34" i="19"/>
  <c r="P33" i="19"/>
  <c r="P29" i="19"/>
  <c r="P25" i="19"/>
  <c r="T21" i="19"/>
  <c r="B39" i="17"/>
  <c r="H24" i="17"/>
  <c r="H22" i="17"/>
  <c r="H13" i="17"/>
  <c r="D4" i="17"/>
  <c r="H34" i="16"/>
  <c r="H33" i="16"/>
  <c r="H29" i="16"/>
  <c r="H25" i="16"/>
  <c r="P15" i="16"/>
  <c r="D5" i="16"/>
  <c r="B25" i="17"/>
  <c r="P15" i="17"/>
  <c r="D33" i="16"/>
  <c r="D24" i="16"/>
  <c r="D16" i="16"/>
  <c r="D13" i="16"/>
  <c r="B39" i="14"/>
  <c r="H24" i="14"/>
  <c r="H22" i="14"/>
  <c r="H13" i="14"/>
  <c r="D4" i="14"/>
  <c r="H34" i="13"/>
  <c r="H33" i="13"/>
  <c r="H29" i="13"/>
  <c r="H25" i="13"/>
  <c r="P15" i="13"/>
  <c r="D5" i="13"/>
  <c r="T21" i="20"/>
  <c r="H34" i="17"/>
  <c r="T20" i="17"/>
  <c r="D12" i="17"/>
  <c r="P25" i="16"/>
  <c r="H21" i="16"/>
  <c r="B13" i="16"/>
  <c r="B38" i="14"/>
  <c r="D34" i="14"/>
  <c r="D33" i="14"/>
  <c r="D29" i="14"/>
  <c r="D25" i="14"/>
  <c r="H21" i="14"/>
  <c r="D13" i="14"/>
  <c r="B39" i="13"/>
  <c r="H24" i="13"/>
  <c r="H22" i="13"/>
  <c r="H13" i="13"/>
  <c r="D4" i="13"/>
  <c r="D22" i="17"/>
  <c r="P20" i="17"/>
  <c r="H15" i="17"/>
  <c r="D5" i="17"/>
  <c r="P34" i="16"/>
  <c r="D29" i="16"/>
  <c r="T22" i="16"/>
  <c r="B25" i="14"/>
  <c r="D24" i="14"/>
  <c r="D22" i="14"/>
  <c r="H20" i="14"/>
  <c r="H16" i="14"/>
  <c r="B13" i="14"/>
  <c r="B38" i="13"/>
  <c r="D34" i="13"/>
  <c r="D33" i="13"/>
  <c r="D29" i="13"/>
  <c r="D25" i="13"/>
  <c r="H21" i="13"/>
  <c r="D13" i="13"/>
  <c r="P20" i="25"/>
  <c r="P12" i="23"/>
  <c r="T24" i="19"/>
  <c r="B22" i="17"/>
  <c r="T16" i="17"/>
  <c r="D15" i="17"/>
  <c r="B38" i="16"/>
  <c r="B21" i="16"/>
  <c r="T15" i="16"/>
  <c r="P12" i="16"/>
  <c r="B22" i="14"/>
  <c r="D21" i="14"/>
  <c r="H15" i="14"/>
  <c r="B25" i="13"/>
  <c r="D24" i="13"/>
  <c r="D22" i="13"/>
  <c r="H20" i="13"/>
  <c r="H16" i="13"/>
  <c r="B13" i="13"/>
  <c r="H22" i="28"/>
  <c r="T22" i="19"/>
  <c r="T33" i="17"/>
  <c r="P24" i="17"/>
  <c r="H20" i="17"/>
  <c r="P16" i="17"/>
  <c r="D25" i="16"/>
  <c r="B21" i="14"/>
  <c r="D20" i="14"/>
  <c r="D16" i="14"/>
  <c r="B22" i="13"/>
  <c r="D21" i="13"/>
  <c r="H15" i="13"/>
  <c r="T34" i="22"/>
  <c r="B16" i="22"/>
  <c r="P34" i="20"/>
  <c r="P33" i="17"/>
  <c r="T29" i="17"/>
  <c r="T21" i="17"/>
  <c r="T13" i="17"/>
  <c r="D34" i="16"/>
  <c r="B25" i="16"/>
  <c r="H12" i="16"/>
  <c r="T34" i="14"/>
  <c r="T33" i="14"/>
  <c r="T29" i="14"/>
  <c r="T25" i="14"/>
  <c r="B16" i="14"/>
  <c r="D15" i="14"/>
  <c r="T12" i="14"/>
  <c r="B21" i="13"/>
  <c r="D20" i="13"/>
  <c r="D16" i="13"/>
  <c r="T33" i="22"/>
  <c r="D15" i="22"/>
  <c r="P33" i="20"/>
  <c r="P29" i="17"/>
  <c r="H16" i="17"/>
  <c r="D12" i="16"/>
  <c r="T24" i="23"/>
  <c r="T12" i="22"/>
  <c r="H33" i="17"/>
  <c r="T25" i="17"/>
  <c r="D24" i="17"/>
  <c r="T24" i="16"/>
  <c r="D22" i="16"/>
  <c r="P20" i="16"/>
  <c r="P34" i="14"/>
  <c r="P33" i="14"/>
  <c r="P29" i="14"/>
  <c r="P25" i="14"/>
  <c r="T21" i="14"/>
  <c r="T24" i="13"/>
  <c r="T22" i="13"/>
  <c r="P12" i="13"/>
  <c r="T22" i="23"/>
  <c r="T29" i="22"/>
  <c r="P29" i="20"/>
  <c r="P25" i="17"/>
  <c r="B16" i="17"/>
  <c r="B13" i="17"/>
  <c r="P24" i="14"/>
  <c r="P22" i="14"/>
  <c r="T20" i="14"/>
  <c r="T16" i="14"/>
  <c r="T13" i="14"/>
  <c r="P34" i="13"/>
  <c r="P33" i="13"/>
  <c r="P29" i="13"/>
  <c r="P25" i="13"/>
  <c r="T21" i="13"/>
  <c r="H29" i="17"/>
  <c r="P33" i="16"/>
  <c r="H20" i="16"/>
  <c r="P16" i="16"/>
  <c r="P21" i="14"/>
  <c r="T15" i="14"/>
  <c r="P13" i="14"/>
  <c r="H12" i="14"/>
  <c r="P24" i="13"/>
  <c r="P22" i="13"/>
  <c r="T20" i="13"/>
  <c r="T16" i="13"/>
  <c r="T13" i="13"/>
  <c r="H33" i="26"/>
  <c r="P12" i="19"/>
  <c r="P34" i="17"/>
  <c r="H25" i="17"/>
  <c r="P22" i="17"/>
  <c r="P29" i="16"/>
  <c r="P21" i="16"/>
  <c r="H16" i="16"/>
  <c r="H34" i="14"/>
  <c r="H33" i="14"/>
  <c r="H29" i="14"/>
  <c r="H25" i="14"/>
  <c r="P15" i="14"/>
  <c r="D5" i="14"/>
  <c r="P20" i="13"/>
  <c r="P16" i="13"/>
  <c r="D12" i="13"/>
  <c r="T21" i="16"/>
  <c r="P21" i="13"/>
  <c r="H12" i="13"/>
  <c r="B38" i="11"/>
  <c r="D34" i="11"/>
  <c r="D33" i="11"/>
  <c r="D29" i="11"/>
  <c r="D25" i="11"/>
  <c r="H21" i="11"/>
  <c r="D13" i="11"/>
  <c r="B39" i="10"/>
  <c r="H24" i="10"/>
  <c r="H22" i="10"/>
  <c r="H13" i="10"/>
  <c r="D4" i="10"/>
  <c r="B38" i="8"/>
  <c r="D34" i="8"/>
  <c r="D33" i="8"/>
  <c r="D29" i="8"/>
  <c r="D25" i="8"/>
  <c r="H21" i="8"/>
  <c r="D13" i="8"/>
  <c r="B39" i="7"/>
  <c r="H24" i="7"/>
  <c r="H22" i="7"/>
  <c r="H13" i="7"/>
  <c r="D4" i="7"/>
  <c r="T24" i="5"/>
  <c r="T22" i="5"/>
  <c r="P12" i="5"/>
  <c r="T34" i="4"/>
  <c r="T33" i="4"/>
  <c r="T29" i="4"/>
  <c r="T25" i="4"/>
  <c r="B16" i="4"/>
  <c r="D15" i="4"/>
  <c r="T12" i="4"/>
  <c r="D20" i="16"/>
  <c r="T22" i="14"/>
  <c r="T29" i="13"/>
  <c r="B25" i="11"/>
  <c r="D24" i="11"/>
  <c r="D22" i="11"/>
  <c r="H20" i="11"/>
  <c r="H16" i="11"/>
  <c r="B13" i="11"/>
  <c r="B38" i="10"/>
  <c r="D34" i="10"/>
  <c r="D33" i="10"/>
  <c r="D29" i="10"/>
  <c r="D25" i="10"/>
  <c r="H21" i="10"/>
  <c r="D13" i="10"/>
  <c r="B25" i="8"/>
  <c r="D24" i="8"/>
  <c r="D22" i="8"/>
  <c r="H20" i="8"/>
  <c r="H16" i="8"/>
  <c r="B13" i="8"/>
  <c r="B38" i="7"/>
  <c r="D34" i="7"/>
  <c r="D33" i="7"/>
  <c r="D29" i="7"/>
  <c r="D25" i="7"/>
  <c r="H21" i="7"/>
  <c r="D13" i="7"/>
  <c r="P34" i="5"/>
  <c r="P33" i="5"/>
  <c r="P29" i="5"/>
  <c r="P25" i="5"/>
  <c r="T21" i="5"/>
  <c r="T24" i="4"/>
  <c r="T22" i="4"/>
  <c r="P12" i="4"/>
  <c r="B22" i="11"/>
  <c r="D21" i="11"/>
  <c r="H15" i="11"/>
  <c r="B25" i="10"/>
  <c r="D24" i="10"/>
  <c r="D22" i="10"/>
  <c r="H20" i="10"/>
  <c r="H16" i="10"/>
  <c r="B13" i="10"/>
  <c r="B22" i="8"/>
  <c r="D21" i="8"/>
  <c r="H15" i="8"/>
  <c r="B25" i="7"/>
  <c r="D24" i="7"/>
  <c r="D22" i="7"/>
  <c r="H20" i="7"/>
  <c r="H16" i="7"/>
  <c r="B13" i="7"/>
  <c r="P24" i="5"/>
  <c r="P22" i="5"/>
  <c r="T20" i="5"/>
  <c r="T16" i="5"/>
  <c r="T13" i="5"/>
  <c r="P34" i="4"/>
  <c r="P33" i="4"/>
  <c r="P29" i="4"/>
  <c r="P25" i="4"/>
  <c r="T21" i="4"/>
  <c r="D21" i="17"/>
  <c r="P13" i="16"/>
  <c r="P12" i="14"/>
  <c r="B21" i="11"/>
  <c r="D20" i="11"/>
  <c r="D16" i="11"/>
  <c r="B22" i="10"/>
  <c r="D21" i="10"/>
  <c r="H15" i="10"/>
  <c r="B21" i="8"/>
  <c r="D20" i="8"/>
  <c r="D16" i="8"/>
  <c r="B22" i="7"/>
  <c r="D21" i="7"/>
  <c r="H15" i="7"/>
  <c r="P21" i="5"/>
  <c r="T15" i="5"/>
  <c r="P13" i="5"/>
  <c r="H12" i="5"/>
  <c r="P24" i="4"/>
  <c r="P22" i="4"/>
  <c r="T20" i="4"/>
  <c r="T16" i="4"/>
  <c r="T13" i="4"/>
  <c r="P25" i="20"/>
  <c r="D12" i="14"/>
  <c r="T34" i="11"/>
  <c r="T33" i="11"/>
  <c r="T29" i="11"/>
  <c r="T25" i="11"/>
  <c r="B16" i="11"/>
  <c r="D15" i="11"/>
  <c r="T12" i="11"/>
  <c r="B21" i="10"/>
  <c r="D20" i="10"/>
  <c r="D16" i="10"/>
  <c r="T34" i="8"/>
  <c r="T33" i="8"/>
  <c r="T29" i="8"/>
  <c r="T25" i="8"/>
  <c r="B16" i="8"/>
  <c r="D15" i="8"/>
  <c r="T12" i="8"/>
  <c r="B21" i="7"/>
  <c r="D20" i="7"/>
  <c r="D16" i="7"/>
  <c r="P20" i="5"/>
  <c r="P16" i="5"/>
  <c r="D12" i="5"/>
  <c r="P21" i="4"/>
  <c r="T15" i="4"/>
  <c r="P13" i="4"/>
  <c r="H12" i="4"/>
  <c r="T25" i="13"/>
  <c r="T24" i="11"/>
  <c r="T22" i="11"/>
  <c r="P12" i="11"/>
  <c r="T34" i="10"/>
  <c r="T33" i="10"/>
  <c r="T29" i="10"/>
  <c r="T25" i="10"/>
  <c r="B16" i="10"/>
  <c r="D15" i="10"/>
  <c r="T12" i="10"/>
  <c r="T24" i="8"/>
  <c r="T22" i="8"/>
  <c r="P12" i="8"/>
  <c r="T34" i="7"/>
  <c r="T33" i="7"/>
  <c r="T29" i="7"/>
  <c r="T25" i="7"/>
  <c r="B16" i="7"/>
  <c r="D15" i="7"/>
  <c r="T12" i="7"/>
  <c r="H34" i="5"/>
  <c r="H33" i="5"/>
  <c r="H29" i="5"/>
  <c r="H25" i="5"/>
  <c r="P15" i="5"/>
  <c r="D5" i="5"/>
  <c r="P20" i="4"/>
  <c r="P16" i="4"/>
  <c r="D12" i="4"/>
  <c r="T25" i="22"/>
  <c r="T12" i="17"/>
  <c r="P20" i="14"/>
  <c r="P34" i="11"/>
  <c r="P33" i="11"/>
  <c r="P29" i="11"/>
  <c r="P25" i="11"/>
  <c r="T21" i="11"/>
  <c r="T24" i="10"/>
  <c r="T22" i="10"/>
  <c r="P12" i="10"/>
  <c r="P34" i="8"/>
  <c r="P33" i="8"/>
  <c r="P29" i="8"/>
  <c r="P25" i="8"/>
  <c r="T21" i="8"/>
  <c r="T24" i="7"/>
  <c r="T22" i="7"/>
  <c r="P12" i="7"/>
  <c r="B39" i="5"/>
  <c r="H24" i="5"/>
  <c r="H22" i="5"/>
  <c r="H13" i="5"/>
  <c r="D4" i="5"/>
  <c r="H34" i="4"/>
  <c r="H33" i="4"/>
  <c r="H29" i="4"/>
  <c r="H25" i="4"/>
  <c r="T34" i="13"/>
  <c r="B16" i="13"/>
  <c r="P24" i="11"/>
  <c r="P22" i="11"/>
  <c r="T20" i="11"/>
  <c r="T16" i="11"/>
  <c r="T13" i="11"/>
  <c r="P34" i="10"/>
  <c r="P33" i="10"/>
  <c r="P29" i="10"/>
  <c r="P25" i="10"/>
  <c r="T21" i="10"/>
  <c r="P24" i="8"/>
  <c r="P22" i="8"/>
  <c r="T20" i="8"/>
  <c r="T16" i="8"/>
  <c r="T13" i="8"/>
  <c r="P34" i="7"/>
  <c r="P33" i="7"/>
  <c r="P29" i="7"/>
  <c r="P25" i="7"/>
  <c r="T21" i="7"/>
  <c r="B38" i="5"/>
  <c r="D34" i="5"/>
  <c r="D33" i="5"/>
  <c r="D29" i="5"/>
  <c r="D25" i="5"/>
  <c r="H21" i="5"/>
  <c r="D13" i="5"/>
  <c r="B39" i="4"/>
  <c r="H24" i="4"/>
  <c r="H22" i="4"/>
  <c r="H13" i="4"/>
  <c r="D4" i="4"/>
  <c r="T15" i="13"/>
  <c r="P21" i="11"/>
  <c r="T15" i="11"/>
  <c r="P13" i="11"/>
  <c r="H12" i="11"/>
  <c r="P24" i="10"/>
  <c r="P22" i="10"/>
  <c r="T20" i="10"/>
  <c r="T16" i="10"/>
  <c r="T13" i="10"/>
  <c r="P21" i="8"/>
  <c r="T15" i="8"/>
  <c r="P13" i="8"/>
  <c r="H12" i="8"/>
  <c r="P24" i="7"/>
  <c r="P22" i="7"/>
  <c r="T20" i="7"/>
  <c r="T16" i="7"/>
  <c r="T13" i="7"/>
  <c r="B25" i="5"/>
  <c r="D24" i="5"/>
  <c r="D22" i="5"/>
  <c r="H20" i="5"/>
  <c r="H16" i="5"/>
  <c r="B13" i="5"/>
  <c r="B38" i="4"/>
  <c r="D34" i="4"/>
  <c r="D33" i="4"/>
  <c r="D29" i="4"/>
  <c r="D25" i="4"/>
  <c r="H21" i="4"/>
  <c r="D13" i="4"/>
  <c r="T33" i="13"/>
  <c r="D15" i="13"/>
  <c r="P20" i="11"/>
  <c r="P16" i="11"/>
  <c r="D12" i="11"/>
  <c r="P21" i="10"/>
  <c r="T15" i="10"/>
  <c r="P13" i="10"/>
  <c r="H12" i="10"/>
  <c r="P20" i="8"/>
  <c r="P16" i="8"/>
  <c r="D12" i="8"/>
  <c r="P21" i="7"/>
  <c r="T15" i="7"/>
  <c r="P13" i="7"/>
  <c r="H12" i="7"/>
  <c r="B22" i="5"/>
  <c r="D21" i="5"/>
  <c r="H15" i="5"/>
  <c r="B25" i="4"/>
  <c r="D24" i="4"/>
  <c r="D22" i="4"/>
  <c r="H20" i="4"/>
  <c r="H16" i="4"/>
  <c r="B13" i="4"/>
  <c r="T24" i="14"/>
  <c r="T12" i="13"/>
  <c r="B39" i="11"/>
  <c r="H24" i="11"/>
  <c r="H22" i="11"/>
  <c r="H13" i="11"/>
  <c r="D4" i="11"/>
  <c r="H34" i="10"/>
  <c r="H33" i="10"/>
  <c r="H29" i="10"/>
  <c r="H25" i="10"/>
  <c r="P15" i="10"/>
  <c r="D5" i="10"/>
  <c r="B39" i="8"/>
  <c r="H24" i="8"/>
  <c r="H22" i="8"/>
  <c r="H13" i="8"/>
  <c r="D4" i="8"/>
  <c r="H34" i="7"/>
  <c r="H33" i="7"/>
  <c r="H29" i="7"/>
  <c r="H25" i="7"/>
  <c r="P15" i="7"/>
  <c r="D5" i="7"/>
  <c r="T34" i="5"/>
  <c r="T33" i="5"/>
  <c r="T29" i="5"/>
  <c r="T25" i="5"/>
  <c r="B16" i="5"/>
  <c r="D15" i="5"/>
  <c r="T12" i="5"/>
  <c r="B21" i="4"/>
  <c r="D20" i="4"/>
  <c r="D16" i="4"/>
  <c r="H25" i="11"/>
  <c r="D12" i="10"/>
  <c r="P15" i="4"/>
  <c r="P13" i="13"/>
  <c r="H15" i="4"/>
  <c r="H34" i="8"/>
  <c r="P15" i="8"/>
  <c r="H33" i="8"/>
  <c r="P20" i="7"/>
  <c r="T34" i="17"/>
  <c r="D5" i="8"/>
  <c r="B21" i="5"/>
  <c r="D5" i="4"/>
  <c r="P16" i="10"/>
  <c r="H29" i="8"/>
  <c r="P16" i="7"/>
  <c r="D20" i="5"/>
  <c r="H34" i="11"/>
  <c r="P15" i="11"/>
  <c r="H33" i="11"/>
  <c r="P20" i="10"/>
  <c r="H25" i="8"/>
  <c r="D16" i="5"/>
  <c r="B22" i="4"/>
  <c r="H29" i="11"/>
  <c r="D5" i="11"/>
  <c r="D12" i="7"/>
  <c r="D21" i="4"/>
  <c r="P16" i="14"/>
  <c r="X16" i="14" l="1"/>
  <c r="L21" i="4"/>
  <c r="F36" i="7"/>
  <c r="F34" i="7"/>
  <c r="F33" i="7"/>
  <c r="F31" i="7"/>
  <c r="F29" i="7"/>
  <c r="F27" i="7"/>
  <c r="F25" i="7"/>
  <c r="F24" i="7"/>
  <c r="F22" i="7"/>
  <c r="F21" i="7"/>
  <c r="F20" i="7"/>
  <c r="F18" i="7"/>
  <c r="F16" i="7"/>
  <c r="D18" i="7"/>
  <c r="F15" i="7"/>
  <c r="L12" i="7"/>
  <c r="N29" i="11"/>
  <c r="L16" i="5"/>
  <c r="N25" i="8"/>
  <c r="X20" i="10"/>
  <c r="N33" i="11"/>
  <c r="X15" i="11"/>
  <c r="N34" i="11"/>
  <c r="L20" i="5"/>
  <c r="X16" i="7"/>
  <c r="N29" i="8"/>
  <c r="X16" i="10"/>
  <c r="Z34" i="17"/>
  <c r="X20" i="7"/>
  <c r="N33" i="8"/>
  <c r="X15" i="8"/>
  <c r="N34" i="8"/>
  <c r="N15" i="4"/>
  <c r="X13" i="13"/>
  <c r="X15" i="4"/>
  <c r="F36" i="10"/>
  <c r="F34" i="10"/>
  <c r="F33" i="10"/>
  <c r="F31" i="10"/>
  <c r="F29" i="10"/>
  <c r="F27" i="10"/>
  <c r="F25" i="10"/>
  <c r="F24" i="10"/>
  <c r="F22" i="10"/>
  <c r="F21" i="10"/>
  <c r="F20" i="10"/>
  <c r="F18" i="10"/>
  <c r="F16" i="10"/>
  <c r="D18" i="10"/>
  <c r="F15" i="10"/>
  <c r="L12" i="10"/>
  <c r="N25" i="11"/>
  <c r="L16" i="4"/>
  <c r="L20" i="4"/>
  <c r="V21" i="5"/>
  <c r="V20" i="5"/>
  <c r="V18" i="5"/>
  <c r="V16" i="5"/>
  <c r="T18" i="5"/>
  <c r="V15" i="5"/>
  <c r="Z12" i="5"/>
  <c r="V24" i="5"/>
  <c r="V22" i="5"/>
  <c r="V27" i="5"/>
  <c r="V25" i="5"/>
  <c r="V31" i="5"/>
  <c r="V36" i="5"/>
  <c r="V34" i="5"/>
  <c r="V33" i="5"/>
  <c r="V29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X15" i="10"/>
  <c r="N25" i="10"/>
  <c r="N29" i="10"/>
  <c r="N33" i="10"/>
  <c r="N34" i="10"/>
  <c r="N13" i="11"/>
  <c r="N22" i="11"/>
  <c r="N24" i="11"/>
  <c r="Z12" i="13"/>
  <c r="V36" i="13"/>
  <c r="V34" i="13"/>
  <c r="V33" i="13"/>
  <c r="V31" i="13"/>
  <c r="V29" i="13"/>
  <c r="V27" i="13"/>
  <c r="V25" i="13"/>
  <c r="V21" i="13"/>
  <c r="V20" i="13"/>
  <c r="V18" i="13"/>
  <c r="V16" i="13"/>
  <c r="T18" i="13"/>
  <c r="V15" i="13"/>
  <c r="V24" i="13"/>
  <c r="V22" i="13"/>
  <c r="Z24" i="14"/>
  <c r="N16" i="4"/>
  <c r="N20" i="4"/>
  <c r="L22" i="4"/>
  <c r="L24" i="4"/>
  <c r="N15" i="5"/>
  <c r="L21" i="5"/>
  <c r="J21" i="7"/>
  <c r="J20" i="7"/>
  <c r="J18" i="7"/>
  <c r="J16" i="7"/>
  <c r="H18" i="7"/>
  <c r="J15" i="7"/>
  <c r="N12" i="7"/>
  <c r="J24" i="7"/>
  <c r="J22" i="7"/>
  <c r="J25" i="7"/>
  <c r="J36" i="7"/>
  <c r="J34" i="7"/>
  <c r="J33" i="7"/>
  <c r="J31" i="7"/>
  <c r="J29" i="7"/>
  <c r="J27" i="7"/>
  <c r="X13" i="7"/>
  <c r="Z15" i="7"/>
  <c r="X21" i="7"/>
  <c r="F24" i="8"/>
  <c r="F22" i="8"/>
  <c r="F21" i="8"/>
  <c r="F20" i="8"/>
  <c r="F18" i="8"/>
  <c r="F16" i="8"/>
  <c r="D18" i="8"/>
  <c r="F15" i="8"/>
  <c r="L12" i="8"/>
  <c r="F36" i="8"/>
  <c r="F34" i="8"/>
  <c r="F33" i="8"/>
  <c r="F31" i="8"/>
  <c r="F29" i="8"/>
  <c r="F27" i="8"/>
  <c r="F25" i="8"/>
  <c r="X16" i="8"/>
  <c r="X20" i="8"/>
  <c r="J21" i="10"/>
  <c r="J20" i="10"/>
  <c r="J18" i="10"/>
  <c r="J16" i="10"/>
  <c r="H18" i="10"/>
  <c r="J15" i="10"/>
  <c r="N12" i="10"/>
  <c r="J24" i="10"/>
  <c r="J22" i="10"/>
  <c r="J33" i="10"/>
  <c r="J31" i="10"/>
  <c r="J29" i="10"/>
  <c r="J27" i="10"/>
  <c r="J36" i="10"/>
  <c r="J25" i="10"/>
  <c r="J34" i="10"/>
  <c r="X13" i="10"/>
  <c r="Z15" i="10"/>
  <c r="X21" i="10"/>
  <c r="F24" i="11"/>
  <c r="F22" i="11"/>
  <c r="F21" i="11"/>
  <c r="F20" i="11"/>
  <c r="F18" i="11"/>
  <c r="F16" i="11"/>
  <c r="D18" i="11"/>
  <c r="F15" i="11"/>
  <c r="L12" i="11"/>
  <c r="F36" i="11"/>
  <c r="F34" i="11"/>
  <c r="F33" i="11"/>
  <c r="F31" i="11"/>
  <c r="F29" i="11"/>
  <c r="F27" i="11"/>
  <c r="F25" i="11"/>
  <c r="X16" i="11"/>
  <c r="X20" i="11"/>
  <c r="L15" i="13"/>
  <c r="Z33" i="13"/>
  <c r="L13" i="4"/>
  <c r="N21" i="4"/>
  <c r="L25" i="4"/>
  <c r="L29" i="4"/>
  <c r="L33" i="4"/>
  <c r="L34" i="4"/>
  <c r="N16" i="5"/>
  <c r="N20" i="5"/>
  <c r="L22" i="5"/>
  <c r="L24" i="5"/>
  <c r="Z13" i="7"/>
  <c r="Z16" i="7"/>
  <c r="Z20" i="7"/>
  <c r="X22" i="7"/>
  <c r="X24" i="7"/>
  <c r="J20" i="8"/>
  <c r="J18" i="8"/>
  <c r="J16" i="8"/>
  <c r="H18" i="8"/>
  <c r="J15" i="8"/>
  <c r="N12" i="8"/>
  <c r="J36" i="8"/>
  <c r="J34" i="8"/>
  <c r="J33" i="8"/>
  <c r="J31" i="8"/>
  <c r="J29" i="8"/>
  <c r="J27" i="8"/>
  <c r="J25" i="8"/>
  <c r="J21" i="8"/>
  <c r="J22" i="8"/>
  <c r="J24" i="8"/>
  <c r="X13" i="8"/>
  <c r="Z15" i="8"/>
  <c r="X21" i="8"/>
  <c r="Z13" i="10"/>
  <c r="Z16" i="10"/>
  <c r="Z20" i="10"/>
  <c r="X22" i="10"/>
  <c r="X24" i="10"/>
  <c r="J20" i="11"/>
  <c r="J18" i="11"/>
  <c r="J16" i="11"/>
  <c r="H18" i="11"/>
  <c r="J15" i="11"/>
  <c r="N12" i="11"/>
  <c r="J36" i="11"/>
  <c r="J34" i="11"/>
  <c r="J33" i="11"/>
  <c r="J31" i="11"/>
  <c r="J29" i="11"/>
  <c r="J27" i="11"/>
  <c r="J25" i="11"/>
  <c r="J21" i="11"/>
  <c r="J24" i="11"/>
  <c r="J22" i="11"/>
  <c r="X13" i="11"/>
  <c r="Z15" i="11"/>
  <c r="X21" i="11"/>
  <c r="Z15" i="13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Z21" i="10"/>
  <c r="X25" i="10"/>
  <c r="X29" i="10"/>
  <c r="X33" i="10"/>
  <c r="X34" i="10"/>
  <c r="Z13" i="11"/>
  <c r="Z16" i="11"/>
  <c r="Z20" i="11"/>
  <c r="X22" i="11"/>
  <c r="X24" i="11"/>
  <c r="Z34" i="13"/>
  <c r="N25" i="4"/>
  <c r="N29" i="4"/>
  <c r="N33" i="4"/>
  <c r="N34" i="4"/>
  <c r="N13" i="5"/>
  <c r="N22" i="5"/>
  <c r="N24" i="5"/>
  <c r="X12" i="7"/>
  <c r="R36" i="7"/>
  <c r="R34" i="7"/>
  <c r="R33" i="7"/>
  <c r="R31" i="7"/>
  <c r="R29" i="7"/>
  <c r="R27" i="7"/>
  <c r="R25" i="7"/>
  <c r="R24" i="7"/>
  <c r="R22" i="7"/>
  <c r="R21" i="7"/>
  <c r="R20" i="7"/>
  <c r="R18" i="7"/>
  <c r="R16" i="7"/>
  <c r="P18" i="7"/>
  <c r="R15" i="7"/>
  <c r="Z22" i="7"/>
  <c r="Z24" i="7"/>
  <c r="Z21" i="8"/>
  <c r="X25" i="8"/>
  <c r="X29" i="8"/>
  <c r="X33" i="8"/>
  <c r="X34" i="8"/>
  <c r="X12" i="10"/>
  <c r="R36" i="10"/>
  <c r="R34" i="10"/>
  <c r="R33" i="10"/>
  <c r="R31" i="10"/>
  <c r="R29" i="10"/>
  <c r="R27" i="10"/>
  <c r="R25" i="10"/>
  <c r="R24" i="10"/>
  <c r="R22" i="10"/>
  <c r="R21" i="10"/>
  <c r="R20" i="10"/>
  <c r="R18" i="10"/>
  <c r="R16" i="10"/>
  <c r="P18" i="10"/>
  <c r="R15" i="10"/>
  <c r="Z22" i="10"/>
  <c r="Z24" i="10"/>
  <c r="Z21" i="11"/>
  <c r="X25" i="11"/>
  <c r="X29" i="11"/>
  <c r="X33" i="11"/>
  <c r="X34" i="11"/>
  <c r="X20" i="14"/>
  <c r="V36" i="17"/>
  <c r="V34" i="17"/>
  <c r="V33" i="17"/>
  <c r="V31" i="17"/>
  <c r="V29" i="17"/>
  <c r="V27" i="17"/>
  <c r="V25" i="17"/>
  <c r="V21" i="17"/>
  <c r="V20" i="17"/>
  <c r="V24" i="17"/>
  <c r="V16" i="17"/>
  <c r="V18" i="17"/>
  <c r="T18" i="17"/>
  <c r="V22" i="17"/>
  <c r="Z12" i="17"/>
  <c r="V15" i="17"/>
  <c r="Z25" i="22"/>
  <c r="L12" i="4"/>
  <c r="F36" i="4"/>
  <c r="F34" i="4"/>
  <c r="F33" i="4"/>
  <c r="F31" i="4"/>
  <c r="F29" i="4"/>
  <c r="F27" i="4"/>
  <c r="F25" i="4"/>
  <c r="F24" i="4"/>
  <c r="F22" i="4"/>
  <c r="F21" i="4"/>
  <c r="D18" i="4"/>
  <c r="F15" i="4"/>
  <c r="F16" i="4"/>
  <c r="F20" i="4"/>
  <c r="F18" i="4"/>
  <c r="X16" i="4"/>
  <c r="X20" i="4"/>
  <c r="X15" i="5"/>
  <c r="N25" i="5"/>
  <c r="N29" i="5"/>
  <c r="N33" i="5"/>
  <c r="N34" i="5"/>
  <c r="Z12" i="7"/>
  <c r="V36" i="7"/>
  <c r="V34" i="7"/>
  <c r="V33" i="7"/>
  <c r="V31" i="7"/>
  <c r="V29" i="7"/>
  <c r="V27" i="7"/>
  <c r="V25" i="7"/>
  <c r="V24" i="7"/>
  <c r="V22" i="7"/>
  <c r="V21" i="7"/>
  <c r="V20" i="7"/>
  <c r="V18" i="7"/>
  <c r="V16" i="7"/>
  <c r="T18" i="7"/>
  <c r="V15" i="7"/>
  <c r="L15" i="7"/>
  <c r="Z25" i="7"/>
  <c r="Z29" i="7"/>
  <c r="Z33" i="7"/>
  <c r="Z34" i="7"/>
  <c r="X12" i="8"/>
  <c r="R36" i="8"/>
  <c r="R34" i="8"/>
  <c r="R33" i="8"/>
  <c r="R31" i="8"/>
  <c r="R29" i="8"/>
  <c r="R27" i="8"/>
  <c r="R25" i="8"/>
  <c r="R24" i="8"/>
  <c r="R22" i="8"/>
  <c r="R21" i="8"/>
  <c r="R20" i="8"/>
  <c r="R18" i="8"/>
  <c r="R16" i="8"/>
  <c r="P18" i="8"/>
  <c r="R15" i="8"/>
  <c r="Z22" i="8"/>
  <c r="Z24" i="8"/>
  <c r="Z12" i="10"/>
  <c r="V36" i="10"/>
  <c r="V34" i="10"/>
  <c r="V33" i="10"/>
  <c r="V31" i="10"/>
  <c r="V29" i="10"/>
  <c r="V27" i="10"/>
  <c r="V25" i="10"/>
  <c r="V24" i="10"/>
  <c r="V22" i="10"/>
  <c r="V21" i="10"/>
  <c r="V20" i="10"/>
  <c r="V18" i="10"/>
  <c r="V16" i="10"/>
  <c r="T18" i="10"/>
  <c r="V15" i="10"/>
  <c r="L15" i="10"/>
  <c r="Z25" i="10"/>
  <c r="Z29" i="10"/>
  <c r="Z33" i="10"/>
  <c r="Z34" i="10"/>
  <c r="X12" i="11"/>
  <c r="R36" i="11"/>
  <c r="R34" i="11"/>
  <c r="R33" i="11"/>
  <c r="R31" i="11"/>
  <c r="R29" i="11"/>
  <c r="R27" i="11"/>
  <c r="R25" i="11"/>
  <c r="R24" i="11"/>
  <c r="R22" i="11"/>
  <c r="R21" i="11"/>
  <c r="R20" i="11"/>
  <c r="R18" i="11"/>
  <c r="R16" i="11"/>
  <c r="P18" i="11"/>
  <c r="R15" i="11"/>
  <c r="Z22" i="11"/>
  <c r="Z24" i="11"/>
  <c r="Z25" i="13"/>
  <c r="N12" i="4"/>
  <c r="J36" i="4"/>
  <c r="J34" i="4"/>
  <c r="J33" i="4"/>
  <c r="J31" i="4"/>
  <c r="J29" i="4"/>
  <c r="J27" i="4"/>
  <c r="J25" i="4"/>
  <c r="J24" i="4"/>
  <c r="J22" i="4"/>
  <c r="J21" i="4"/>
  <c r="J20" i="4"/>
  <c r="J18" i="4"/>
  <c r="J16" i="4"/>
  <c r="H18" i="4"/>
  <c r="J15" i="4"/>
  <c r="X13" i="4"/>
  <c r="Z15" i="4"/>
  <c r="X21" i="4"/>
  <c r="L12" i="5"/>
  <c r="F36" i="5"/>
  <c r="F34" i="5"/>
  <c r="F33" i="5"/>
  <c r="F31" i="5"/>
  <c r="F29" i="5"/>
  <c r="F27" i="5"/>
  <c r="F25" i="5"/>
  <c r="F24" i="5"/>
  <c r="F22" i="5"/>
  <c r="F21" i="5"/>
  <c r="F20" i="5"/>
  <c r="F18" i="5"/>
  <c r="F16" i="5"/>
  <c r="D18" i="5"/>
  <c r="F15" i="5"/>
  <c r="X16" i="5"/>
  <c r="X20" i="5"/>
  <c r="L16" i="7"/>
  <c r="L20" i="7"/>
  <c r="Z12" i="8"/>
  <c r="V36" i="8"/>
  <c r="V34" i="8"/>
  <c r="V33" i="8"/>
  <c r="V31" i="8"/>
  <c r="V29" i="8"/>
  <c r="V27" i="8"/>
  <c r="V25" i="8"/>
  <c r="V24" i="8"/>
  <c r="V22" i="8"/>
  <c r="V21" i="8"/>
  <c r="V20" i="8"/>
  <c r="V18" i="8"/>
  <c r="V16" i="8"/>
  <c r="T18" i="8"/>
  <c r="V15" i="8"/>
  <c r="L15" i="8"/>
  <c r="Z25" i="8"/>
  <c r="Z29" i="8"/>
  <c r="Z33" i="8"/>
  <c r="Z34" i="8"/>
  <c r="L16" i="10"/>
  <c r="L20" i="10"/>
  <c r="Z12" i="11"/>
  <c r="V36" i="11"/>
  <c r="V34" i="11"/>
  <c r="V33" i="11"/>
  <c r="V31" i="11"/>
  <c r="V29" i="11"/>
  <c r="V27" i="11"/>
  <c r="V25" i="11"/>
  <c r="V24" i="11"/>
  <c r="V22" i="11"/>
  <c r="V21" i="11"/>
  <c r="V20" i="11"/>
  <c r="V18" i="11"/>
  <c r="V16" i="11"/>
  <c r="T18" i="11"/>
  <c r="V15" i="11"/>
  <c r="L15" i="11"/>
  <c r="Z25" i="11"/>
  <c r="Z29" i="11"/>
  <c r="Z33" i="11"/>
  <c r="Z34" i="11"/>
  <c r="F36" i="14"/>
  <c r="F34" i="14"/>
  <c r="F33" i="14"/>
  <c r="F31" i="14"/>
  <c r="F29" i="14"/>
  <c r="F27" i="14"/>
  <c r="F25" i="14"/>
  <c r="F24" i="14"/>
  <c r="F22" i="14"/>
  <c r="F21" i="14"/>
  <c r="F20" i="14"/>
  <c r="F18" i="14"/>
  <c r="F16" i="14"/>
  <c r="D18" i="14"/>
  <c r="F15" i="14"/>
  <c r="L12" i="14"/>
  <c r="X25" i="20"/>
  <c r="Z13" i="4"/>
  <c r="Z16" i="4"/>
  <c r="Z20" i="4"/>
  <c r="X22" i="4"/>
  <c r="X24" i="4"/>
  <c r="N12" i="5"/>
  <c r="J36" i="5"/>
  <c r="J34" i="5"/>
  <c r="J33" i="5"/>
  <c r="J31" i="5"/>
  <c r="J29" i="5"/>
  <c r="J27" i="5"/>
  <c r="J25" i="5"/>
  <c r="J24" i="5"/>
  <c r="J22" i="5"/>
  <c r="J21" i="5"/>
  <c r="J20" i="5"/>
  <c r="J18" i="5"/>
  <c r="J16" i="5"/>
  <c r="H18" i="5"/>
  <c r="J15" i="5"/>
  <c r="X13" i="5"/>
  <c r="Z15" i="5"/>
  <c r="X21" i="5"/>
  <c r="N15" i="7"/>
  <c r="L21" i="7"/>
  <c r="L16" i="8"/>
  <c r="L20" i="8"/>
  <c r="N15" i="10"/>
  <c r="L21" i="10"/>
  <c r="L16" i="11"/>
  <c r="L20" i="11"/>
  <c r="X12" i="14"/>
  <c r="R36" i="14"/>
  <c r="R34" i="14"/>
  <c r="R33" i="14"/>
  <c r="R31" i="14"/>
  <c r="R24" i="14"/>
  <c r="R22" i="14"/>
  <c r="R21" i="14"/>
  <c r="R20" i="14"/>
  <c r="R18" i="14"/>
  <c r="R16" i="14"/>
  <c r="R15" i="14"/>
  <c r="R29" i="14"/>
  <c r="R27" i="14"/>
  <c r="P18" i="14"/>
  <c r="R25" i="14"/>
  <c r="X13" i="16"/>
  <c r="L21" i="17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N16" i="10"/>
  <c r="N20" i="10"/>
  <c r="L22" i="10"/>
  <c r="L24" i="10"/>
  <c r="N15" i="11"/>
  <c r="L21" i="11"/>
  <c r="R36" i="4"/>
  <c r="R34" i="4"/>
  <c r="R33" i="4"/>
  <c r="R31" i="4"/>
  <c r="R29" i="4"/>
  <c r="R27" i="4"/>
  <c r="R25" i="4"/>
  <c r="R24" i="4"/>
  <c r="R22" i="4"/>
  <c r="R21" i="4"/>
  <c r="R20" i="4"/>
  <c r="R18" i="4"/>
  <c r="R16" i="4"/>
  <c r="P18" i="4"/>
  <c r="R15" i="4"/>
  <c r="X12" i="4"/>
  <c r="Z22" i="4"/>
  <c r="Z24" i="4"/>
  <c r="Z21" i="5"/>
  <c r="X25" i="5"/>
  <c r="X29" i="5"/>
  <c r="X33" i="5"/>
  <c r="X34" i="5"/>
  <c r="L13" i="7"/>
  <c r="N21" i="7"/>
  <c r="L25" i="7"/>
  <c r="L29" i="7"/>
  <c r="L33" i="7"/>
  <c r="L34" i="7"/>
  <c r="N16" i="8"/>
  <c r="N20" i="8"/>
  <c r="L22" i="8"/>
  <c r="L24" i="8"/>
  <c r="L13" i="10"/>
  <c r="N21" i="10"/>
  <c r="L25" i="10"/>
  <c r="L29" i="10"/>
  <c r="L33" i="10"/>
  <c r="L34" i="10"/>
  <c r="N16" i="11"/>
  <c r="N20" i="11"/>
  <c r="L22" i="11"/>
  <c r="L24" i="11"/>
  <c r="Z29" i="13"/>
  <c r="Z22" i="14"/>
  <c r="L20" i="16"/>
  <c r="V24" i="4"/>
  <c r="V22" i="4"/>
  <c r="V21" i="4"/>
  <c r="V20" i="4"/>
  <c r="V18" i="4"/>
  <c r="V16" i="4"/>
  <c r="T18" i="4"/>
  <c r="V15" i="4"/>
  <c r="V36" i="4"/>
  <c r="V34" i="4"/>
  <c r="V33" i="4"/>
  <c r="V31" i="4"/>
  <c r="V29" i="4"/>
  <c r="V27" i="4"/>
  <c r="V25" i="4"/>
  <c r="Z12" i="4"/>
  <c r="L15" i="4"/>
  <c r="Z25" i="4"/>
  <c r="Z29" i="4"/>
  <c r="Z33" i="4"/>
  <c r="Z34" i="4"/>
  <c r="R36" i="5"/>
  <c r="R34" i="5"/>
  <c r="R33" i="5"/>
  <c r="R31" i="5"/>
  <c r="R29" i="5"/>
  <c r="R27" i="5"/>
  <c r="R25" i="5"/>
  <c r="R24" i="5"/>
  <c r="R22" i="5"/>
  <c r="R21" i="5"/>
  <c r="R20" i="5"/>
  <c r="R18" i="5"/>
  <c r="R16" i="5"/>
  <c r="P18" i="5"/>
  <c r="R15" i="5"/>
  <c r="X12" i="5"/>
  <c r="Z22" i="5"/>
  <c r="Z24" i="5"/>
  <c r="N13" i="7"/>
  <c r="N22" i="7"/>
  <c r="N24" i="7"/>
  <c r="L13" i="8"/>
  <c r="N21" i="8"/>
  <c r="L25" i="8"/>
  <c r="L29" i="8"/>
  <c r="L33" i="8"/>
  <c r="L34" i="8"/>
  <c r="N13" i="10"/>
  <c r="N22" i="10"/>
  <c r="N24" i="10"/>
  <c r="L13" i="11"/>
  <c r="N21" i="11"/>
  <c r="L25" i="11"/>
  <c r="L29" i="11"/>
  <c r="L33" i="11"/>
  <c r="L34" i="11"/>
  <c r="J24" i="13"/>
  <c r="J22" i="13"/>
  <c r="J21" i="13"/>
  <c r="J20" i="13"/>
  <c r="J18" i="13"/>
  <c r="J16" i="13"/>
  <c r="H18" i="13"/>
  <c r="J15" i="13"/>
  <c r="N12" i="13"/>
  <c r="J36" i="13"/>
  <c r="J34" i="13"/>
  <c r="J33" i="13"/>
  <c r="J31" i="13"/>
  <c r="J29" i="13"/>
  <c r="J27" i="13"/>
  <c r="J25" i="13"/>
  <c r="X21" i="13"/>
  <c r="Z21" i="16"/>
  <c r="F36" i="13"/>
  <c r="F34" i="13"/>
  <c r="F33" i="13"/>
  <c r="F31" i="13"/>
  <c r="F29" i="13"/>
  <c r="F27" i="13"/>
  <c r="F25" i="13"/>
  <c r="F24" i="13"/>
  <c r="F22" i="13"/>
  <c r="F21" i="13"/>
  <c r="F20" i="13"/>
  <c r="F18" i="13"/>
  <c r="F16" i="13"/>
  <c r="D18" i="13"/>
  <c r="F15" i="13"/>
  <c r="L12" i="13"/>
  <c r="X16" i="13"/>
  <c r="X20" i="13"/>
  <c r="X15" i="14"/>
  <c r="N25" i="14"/>
  <c r="N29" i="14"/>
  <c r="N33" i="14"/>
  <c r="N34" i="14"/>
  <c r="N16" i="16"/>
  <c r="X21" i="16"/>
  <c r="X29" i="16"/>
  <c r="X22" i="17"/>
  <c r="N25" i="17"/>
  <c r="X34" i="17"/>
  <c r="R21" i="19"/>
  <c r="R20" i="19"/>
  <c r="R18" i="19"/>
  <c r="R16" i="19"/>
  <c r="P18" i="19"/>
  <c r="R15" i="19"/>
  <c r="X12" i="19"/>
  <c r="R24" i="19"/>
  <c r="R22" i="19"/>
  <c r="R29" i="19"/>
  <c r="R27" i="19"/>
  <c r="R25" i="19"/>
  <c r="R36" i="19"/>
  <c r="R34" i="19"/>
  <c r="R31" i="19"/>
  <c r="R33" i="19"/>
  <c r="N33" i="26"/>
  <c r="Z13" i="13"/>
  <c r="Z16" i="13"/>
  <c r="Z20" i="13"/>
  <c r="X22" i="13"/>
  <c r="X24" i="13"/>
  <c r="J21" i="14"/>
  <c r="J20" i="14"/>
  <c r="J18" i="14"/>
  <c r="J16" i="14"/>
  <c r="H18" i="14"/>
  <c r="J15" i="14"/>
  <c r="N12" i="14"/>
  <c r="J24" i="14"/>
  <c r="J22" i="14"/>
  <c r="J36" i="14"/>
  <c r="J34" i="14"/>
  <c r="J33" i="14"/>
  <c r="J31" i="14"/>
  <c r="J29" i="14"/>
  <c r="J27" i="14"/>
  <c r="J25" i="14"/>
  <c r="X13" i="14"/>
  <c r="Z15" i="14"/>
  <c r="X21" i="14"/>
  <c r="X16" i="16"/>
  <c r="N20" i="16"/>
  <c r="X33" i="16"/>
  <c r="N29" i="17"/>
  <c r="Z21" i="13"/>
  <c r="X25" i="13"/>
  <c r="X29" i="13"/>
  <c r="X33" i="13"/>
  <c r="X34" i="13"/>
  <c r="Z13" i="14"/>
  <c r="Z16" i="14"/>
  <c r="Z20" i="14"/>
  <c r="X22" i="14"/>
  <c r="X24" i="14"/>
  <c r="X25" i="17"/>
  <c r="X29" i="20"/>
  <c r="Z29" i="22"/>
  <c r="Z22" i="23"/>
  <c r="X12" i="13"/>
  <c r="R36" i="13"/>
  <c r="R34" i="13"/>
  <c r="R33" i="13"/>
  <c r="R31" i="13"/>
  <c r="R29" i="13"/>
  <c r="R27" i="13"/>
  <c r="R25" i="13"/>
  <c r="R24" i="13"/>
  <c r="R22" i="13"/>
  <c r="R21" i="13"/>
  <c r="P18" i="13"/>
  <c r="R15" i="13"/>
  <c r="R20" i="13"/>
  <c r="R18" i="13"/>
  <c r="R16" i="13"/>
  <c r="Z22" i="13"/>
  <c r="Z24" i="13"/>
  <c r="Z21" i="14"/>
  <c r="X25" i="14"/>
  <c r="X29" i="14"/>
  <c r="X33" i="14"/>
  <c r="X34" i="14"/>
  <c r="X20" i="16"/>
  <c r="L22" i="16"/>
  <c r="Z24" i="16"/>
  <c r="L24" i="17"/>
  <c r="Z25" i="17"/>
  <c r="N33" i="17"/>
  <c r="V20" i="22"/>
  <c r="V18" i="22"/>
  <c r="V16" i="22"/>
  <c r="T18" i="22"/>
  <c r="V15" i="22"/>
  <c r="Z12" i="22"/>
  <c r="V36" i="22"/>
  <c r="V34" i="22"/>
  <c r="V33" i="22"/>
  <c r="V31" i="22"/>
  <c r="V29" i="22"/>
  <c r="V27" i="22"/>
  <c r="V25" i="22"/>
  <c r="V21" i="22"/>
  <c r="V22" i="22"/>
  <c r="V24" i="22"/>
  <c r="Z24" i="23"/>
  <c r="F36" i="16"/>
  <c r="F34" i="16"/>
  <c r="F33" i="16"/>
  <c r="F31" i="16"/>
  <c r="F29" i="16"/>
  <c r="F27" i="16"/>
  <c r="F25" i="16"/>
  <c r="F20" i="16"/>
  <c r="F18" i="16"/>
  <c r="F16" i="16"/>
  <c r="L12" i="16"/>
  <c r="F21" i="16"/>
  <c r="D18" i="16"/>
  <c r="F22" i="16"/>
  <c r="F15" i="16"/>
  <c r="F24" i="16"/>
  <c r="N16" i="17"/>
  <c r="X29" i="17"/>
  <c r="X33" i="20"/>
  <c r="L15" i="22"/>
  <c r="Z33" i="22"/>
  <c r="L16" i="13"/>
  <c r="L20" i="13"/>
  <c r="Z12" i="14"/>
  <c r="V36" i="14"/>
  <c r="V34" i="14"/>
  <c r="V33" i="14"/>
  <c r="V31" i="14"/>
  <c r="V29" i="14"/>
  <c r="V27" i="14"/>
  <c r="V25" i="14"/>
  <c r="V24" i="14"/>
  <c r="V22" i="14"/>
  <c r="V20" i="14"/>
  <c r="V18" i="14"/>
  <c r="V16" i="14"/>
  <c r="T18" i="14"/>
  <c r="V15" i="14"/>
  <c r="V21" i="14"/>
  <c r="L15" i="14"/>
  <c r="Z25" i="14"/>
  <c r="Z29" i="14"/>
  <c r="Z33" i="14"/>
  <c r="Z34" i="14"/>
  <c r="J21" i="16"/>
  <c r="J24" i="16"/>
  <c r="J22" i="16"/>
  <c r="J29" i="16"/>
  <c r="J25" i="16"/>
  <c r="J18" i="16"/>
  <c r="J34" i="16"/>
  <c r="H18" i="16"/>
  <c r="N12" i="16"/>
  <c r="J31" i="16"/>
  <c r="J15" i="16"/>
  <c r="J27" i="16"/>
  <c r="J20" i="16"/>
  <c r="J36" i="16"/>
  <c r="J33" i="16"/>
  <c r="J16" i="16"/>
  <c r="L34" i="16"/>
  <c r="Z13" i="17"/>
  <c r="Z21" i="17"/>
  <c r="Z29" i="17"/>
  <c r="X33" i="17"/>
  <c r="X34" i="20"/>
  <c r="Z34" i="22"/>
  <c r="N15" i="13"/>
  <c r="L21" i="13"/>
  <c r="L16" i="14"/>
  <c r="L20" i="14"/>
  <c r="L25" i="16"/>
  <c r="X16" i="17"/>
  <c r="N20" i="17"/>
  <c r="X24" i="17"/>
  <c r="Z33" i="17"/>
  <c r="Z22" i="19"/>
  <c r="N22" i="28"/>
  <c r="N16" i="13"/>
  <c r="N20" i="13"/>
  <c r="L22" i="13"/>
  <c r="L24" i="13"/>
  <c r="N15" i="14"/>
  <c r="L21" i="14"/>
  <c r="R21" i="16"/>
  <c r="R25" i="16"/>
  <c r="R34" i="16"/>
  <c r="R18" i="16"/>
  <c r="P18" i="16"/>
  <c r="X12" i="16"/>
  <c r="R31" i="16"/>
  <c r="R22" i="16"/>
  <c r="R15" i="16"/>
  <c r="R27" i="16"/>
  <c r="R36" i="16"/>
  <c r="R20" i="16"/>
  <c r="R33" i="16"/>
  <c r="R24" i="16"/>
  <c r="R16" i="16"/>
  <c r="R29" i="16"/>
  <c r="Z15" i="16"/>
  <c r="L15" i="17"/>
  <c r="Z16" i="17"/>
  <c r="Z24" i="19"/>
  <c r="R21" i="23"/>
  <c r="R20" i="23"/>
  <c r="R18" i="23"/>
  <c r="R16" i="23"/>
  <c r="P18" i="23"/>
  <c r="R15" i="23"/>
  <c r="X12" i="23"/>
  <c r="R24" i="23"/>
  <c r="R22" i="23"/>
  <c r="R36" i="23"/>
  <c r="R34" i="23"/>
  <c r="R33" i="23"/>
  <c r="R31" i="23"/>
  <c r="R29" i="23"/>
  <c r="R27" i="23"/>
  <c r="R25" i="23"/>
  <c r="X20" i="25"/>
  <c r="L13" i="13"/>
  <c r="N21" i="13"/>
  <c r="L25" i="13"/>
  <c r="L29" i="13"/>
  <c r="L33" i="13"/>
  <c r="L34" i="13"/>
  <c r="N16" i="14"/>
  <c r="N20" i="14"/>
  <c r="L22" i="14"/>
  <c r="L24" i="14"/>
  <c r="Z22" i="16"/>
  <c r="L29" i="16"/>
  <c r="X34" i="16"/>
  <c r="N15" i="17"/>
  <c r="X20" i="17"/>
  <c r="L22" i="17"/>
  <c r="N13" i="13"/>
  <c r="N22" i="13"/>
  <c r="N24" i="13"/>
  <c r="L13" i="14"/>
  <c r="N21" i="14"/>
  <c r="L25" i="14"/>
  <c r="L29" i="14"/>
  <c r="L33" i="14"/>
  <c r="L34" i="14"/>
  <c r="N21" i="16"/>
  <c r="X25" i="16"/>
  <c r="F24" i="17"/>
  <c r="F22" i="17"/>
  <c r="D18" i="17"/>
  <c r="F15" i="17"/>
  <c r="F36" i="17"/>
  <c r="F34" i="17"/>
  <c r="F33" i="17"/>
  <c r="F31" i="17"/>
  <c r="F29" i="17"/>
  <c r="F27" i="17"/>
  <c r="F25" i="17"/>
  <c r="F18" i="17"/>
  <c r="L12" i="17"/>
  <c r="F20" i="17"/>
  <c r="F16" i="17"/>
  <c r="F21" i="17"/>
  <c r="Z20" i="17"/>
  <c r="N34" i="17"/>
  <c r="Z21" i="20"/>
  <c r="X15" i="13"/>
  <c r="N25" i="13"/>
  <c r="N29" i="13"/>
  <c r="N33" i="13"/>
  <c r="N34" i="13"/>
  <c r="N13" i="14"/>
  <c r="N22" i="14"/>
  <c r="N24" i="14"/>
  <c r="L13" i="16"/>
  <c r="L16" i="16"/>
  <c r="L24" i="16"/>
  <c r="L33" i="16"/>
  <c r="X15" i="17"/>
  <c r="X15" i="16"/>
  <c r="N25" i="16"/>
  <c r="N29" i="16"/>
  <c r="N33" i="16"/>
  <c r="N34" i="16"/>
  <c r="N13" i="17"/>
  <c r="N22" i="17"/>
  <c r="N24" i="17"/>
  <c r="Z21" i="19"/>
  <c r="X25" i="19"/>
  <c r="X29" i="19"/>
  <c r="X33" i="19"/>
  <c r="X34" i="19"/>
  <c r="Z13" i="20"/>
  <c r="Z16" i="20"/>
  <c r="Z20" i="20"/>
  <c r="X22" i="20"/>
  <c r="X24" i="20"/>
  <c r="R24" i="22"/>
  <c r="R22" i="22"/>
  <c r="R21" i="22"/>
  <c r="R20" i="22"/>
  <c r="R18" i="22"/>
  <c r="R16" i="22"/>
  <c r="P18" i="22"/>
  <c r="R15" i="22"/>
  <c r="X12" i="22"/>
  <c r="R36" i="22"/>
  <c r="R34" i="22"/>
  <c r="R33" i="22"/>
  <c r="R31" i="22"/>
  <c r="R29" i="22"/>
  <c r="R27" i="22"/>
  <c r="R25" i="22"/>
  <c r="Z22" i="22"/>
  <c r="Z24" i="22"/>
  <c r="Z21" i="23"/>
  <c r="X25" i="23"/>
  <c r="X29" i="23"/>
  <c r="X33" i="23"/>
  <c r="X34" i="23"/>
  <c r="N20" i="25"/>
  <c r="L34" i="29"/>
  <c r="N21" i="31"/>
  <c r="T18" i="19"/>
  <c r="V15" i="19"/>
  <c r="Z12" i="19"/>
  <c r="V36" i="19"/>
  <c r="V34" i="19"/>
  <c r="V33" i="19"/>
  <c r="V31" i="19"/>
  <c r="V29" i="19"/>
  <c r="V27" i="19"/>
  <c r="V25" i="19"/>
  <c r="V24" i="19"/>
  <c r="V22" i="19"/>
  <c r="V20" i="19"/>
  <c r="V18" i="19"/>
  <c r="V16" i="19"/>
  <c r="V21" i="19"/>
  <c r="L15" i="19"/>
  <c r="Z25" i="19"/>
  <c r="Z29" i="19"/>
  <c r="Z33" i="19"/>
  <c r="Z34" i="19"/>
  <c r="R20" i="20"/>
  <c r="R18" i="20"/>
  <c r="R16" i="20"/>
  <c r="P18" i="20"/>
  <c r="R15" i="20"/>
  <c r="X12" i="20"/>
  <c r="R36" i="20"/>
  <c r="R34" i="20"/>
  <c r="R33" i="20"/>
  <c r="R31" i="20"/>
  <c r="R29" i="20"/>
  <c r="R27" i="20"/>
  <c r="R25" i="20"/>
  <c r="R21" i="20"/>
  <c r="R22" i="20"/>
  <c r="R24" i="20"/>
  <c r="Z22" i="20"/>
  <c r="Z24" i="20"/>
  <c r="L16" i="22"/>
  <c r="L20" i="22"/>
  <c r="T18" i="23"/>
  <c r="V15" i="23"/>
  <c r="Z12" i="23"/>
  <c r="V36" i="23"/>
  <c r="V34" i="23"/>
  <c r="V33" i="23"/>
  <c r="V31" i="23"/>
  <c r="V29" i="23"/>
  <c r="V27" i="23"/>
  <c r="V25" i="23"/>
  <c r="V24" i="23"/>
  <c r="V22" i="23"/>
  <c r="V20" i="23"/>
  <c r="V18" i="23"/>
  <c r="V16" i="23"/>
  <c r="V21" i="23"/>
  <c r="L15" i="23"/>
  <c r="Z25" i="23"/>
  <c r="Z29" i="23"/>
  <c r="Z33" i="23"/>
  <c r="Z34" i="23"/>
  <c r="N15" i="26"/>
  <c r="N24" i="28"/>
  <c r="X25" i="31"/>
  <c r="Z13" i="16"/>
  <c r="Z16" i="16"/>
  <c r="Z20" i="16"/>
  <c r="X22" i="16"/>
  <c r="X24" i="16"/>
  <c r="J20" i="17"/>
  <c r="J18" i="17"/>
  <c r="J16" i="17"/>
  <c r="J36" i="17"/>
  <c r="J34" i="17"/>
  <c r="J33" i="17"/>
  <c r="J21" i="17"/>
  <c r="J31" i="17"/>
  <c r="J22" i="17"/>
  <c r="J15" i="17"/>
  <c r="J27" i="17"/>
  <c r="J24" i="17"/>
  <c r="J29" i="17"/>
  <c r="H18" i="17"/>
  <c r="N12" i="17"/>
  <c r="J25" i="17"/>
  <c r="X13" i="17"/>
  <c r="Z15" i="17"/>
  <c r="X21" i="17"/>
  <c r="L16" i="19"/>
  <c r="L20" i="19"/>
  <c r="Z12" i="20"/>
  <c r="V36" i="20"/>
  <c r="V34" i="20"/>
  <c r="V33" i="20"/>
  <c r="V31" i="20"/>
  <c r="V29" i="20"/>
  <c r="V27" i="20"/>
  <c r="V25" i="20"/>
  <c r="V24" i="20"/>
  <c r="V22" i="20"/>
  <c r="V21" i="20"/>
  <c r="T18" i="20"/>
  <c r="V15" i="20"/>
  <c r="V20" i="20"/>
  <c r="V18" i="20"/>
  <c r="V16" i="20"/>
  <c r="L15" i="20"/>
  <c r="Z25" i="20"/>
  <c r="Z29" i="20"/>
  <c r="Z33" i="20"/>
  <c r="Z34" i="20"/>
  <c r="N15" i="22"/>
  <c r="L21" i="22"/>
  <c r="L16" i="23"/>
  <c r="L20" i="23"/>
  <c r="D18" i="25"/>
  <c r="F15" i="25"/>
  <c r="L12" i="25"/>
  <c r="F36" i="25"/>
  <c r="F34" i="25"/>
  <c r="F33" i="25"/>
  <c r="F31" i="25"/>
  <c r="F29" i="25"/>
  <c r="F27" i="25"/>
  <c r="F25" i="25"/>
  <c r="F24" i="25"/>
  <c r="F22" i="25"/>
  <c r="F20" i="25"/>
  <c r="F18" i="25"/>
  <c r="F16" i="25"/>
  <c r="F21" i="25"/>
  <c r="X15" i="26"/>
  <c r="N34" i="26"/>
  <c r="N15" i="19"/>
  <c r="L21" i="19"/>
  <c r="L16" i="20"/>
  <c r="L20" i="20"/>
  <c r="N16" i="22"/>
  <c r="N20" i="22"/>
  <c r="L22" i="22"/>
  <c r="L24" i="22"/>
  <c r="N15" i="23"/>
  <c r="L21" i="23"/>
  <c r="L22" i="25"/>
  <c r="N21" i="29"/>
  <c r="N16" i="19"/>
  <c r="N20" i="19"/>
  <c r="L22" i="19"/>
  <c r="L24" i="19"/>
  <c r="N15" i="20"/>
  <c r="L21" i="20"/>
  <c r="L13" i="22"/>
  <c r="N21" i="22"/>
  <c r="L25" i="22"/>
  <c r="L29" i="22"/>
  <c r="L33" i="22"/>
  <c r="L34" i="22"/>
  <c r="N16" i="23"/>
  <c r="N20" i="23"/>
  <c r="L22" i="23"/>
  <c r="L24" i="23"/>
  <c r="N25" i="26"/>
  <c r="Z12" i="16"/>
  <c r="V24" i="16"/>
  <c r="V22" i="16"/>
  <c r="T18" i="16"/>
  <c r="V15" i="16"/>
  <c r="V34" i="16"/>
  <c r="V18" i="16"/>
  <c r="V31" i="16"/>
  <c r="V27" i="16"/>
  <c r="V36" i="16"/>
  <c r="V20" i="16"/>
  <c r="V33" i="16"/>
  <c r="V16" i="16"/>
  <c r="V29" i="16"/>
  <c r="V21" i="16"/>
  <c r="V25" i="16"/>
  <c r="L15" i="16"/>
  <c r="Z25" i="16"/>
  <c r="Z29" i="16"/>
  <c r="Z33" i="16"/>
  <c r="Z34" i="16"/>
  <c r="X12" i="17"/>
  <c r="R36" i="17"/>
  <c r="R34" i="17"/>
  <c r="R33" i="17"/>
  <c r="R31" i="17"/>
  <c r="R29" i="17"/>
  <c r="R27" i="17"/>
  <c r="R25" i="17"/>
  <c r="R20" i="17"/>
  <c r="R18" i="17"/>
  <c r="R16" i="17"/>
  <c r="R24" i="17"/>
  <c r="R21" i="17"/>
  <c r="P18" i="17"/>
  <c r="R15" i="17"/>
  <c r="R22" i="17"/>
  <c r="Z22" i="17"/>
  <c r="Z24" i="17"/>
  <c r="L13" i="19"/>
  <c r="N21" i="19"/>
  <c r="L25" i="19"/>
  <c r="L29" i="19"/>
  <c r="L33" i="19"/>
  <c r="L34" i="19"/>
  <c r="N16" i="20"/>
  <c r="N20" i="20"/>
  <c r="L22" i="20"/>
  <c r="L24" i="20"/>
  <c r="N13" i="22"/>
  <c r="N22" i="22"/>
  <c r="N24" i="22"/>
  <c r="L13" i="23"/>
  <c r="N21" i="23"/>
  <c r="L25" i="23"/>
  <c r="L29" i="23"/>
  <c r="L33" i="23"/>
  <c r="L34" i="23"/>
  <c r="L24" i="25"/>
  <c r="F36" i="32"/>
  <c r="F34" i="32"/>
  <c r="F33" i="32"/>
  <c r="F31" i="32"/>
  <c r="F29" i="32"/>
  <c r="F27" i="32"/>
  <c r="F25" i="32"/>
  <c r="F24" i="32"/>
  <c r="F22" i="32"/>
  <c r="D18" i="32"/>
  <c r="F15" i="32"/>
  <c r="F20" i="32"/>
  <c r="F16" i="32"/>
  <c r="F21" i="32"/>
  <c r="F18" i="32"/>
  <c r="L12" i="32"/>
  <c r="N13" i="19"/>
  <c r="N22" i="19"/>
  <c r="N24" i="19"/>
  <c r="L13" i="20"/>
  <c r="N21" i="20"/>
  <c r="L25" i="20"/>
  <c r="L29" i="20"/>
  <c r="L33" i="20"/>
  <c r="L34" i="20"/>
  <c r="X15" i="22"/>
  <c r="N25" i="22"/>
  <c r="N29" i="22"/>
  <c r="N33" i="22"/>
  <c r="N34" i="22"/>
  <c r="N13" i="23"/>
  <c r="N22" i="23"/>
  <c r="N24" i="23"/>
  <c r="N13" i="28"/>
  <c r="L25" i="29"/>
  <c r="N15" i="16"/>
  <c r="L21" i="16"/>
  <c r="L16" i="17"/>
  <c r="L20" i="17"/>
  <c r="X15" i="19"/>
  <c r="N25" i="19"/>
  <c r="N29" i="19"/>
  <c r="N33" i="19"/>
  <c r="N34" i="19"/>
  <c r="N13" i="20"/>
  <c r="N22" i="20"/>
  <c r="N24" i="20"/>
  <c r="L12" i="22"/>
  <c r="F36" i="22"/>
  <c r="F34" i="22"/>
  <c r="F33" i="22"/>
  <c r="F31" i="22"/>
  <c r="F29" i="22"/>
  <c r="F27" i="22"/>
  <c r="F25" i="22"/>
  <c r="F24" i="22"/>
  <c r="F22" i="22"/>
  <c r="F21" i="22"/>
  <c r="F20" i="22"/>
  <c r="F18" i="22"/>
  <c r="F16" i="22"/>
  <c r="D18" i="22"/>
  <c r="F15" i="22"/>
  <c r="X16" i="22"/>
  <c r="X20" i="22"/>
  <c r="X15" i="23"/>
  <c r="N25" i="23"/>
  <c r="N29" i="23"/>
  <c r="N33" i="23"/>
  <c r="N34" i="23"/>
  <c r="N16" i="25"/>
  <c r="L12" i="19"/>
  <c r="F36" i="19"/>
  <c r="F34" i="19"/>
  <c r="F33" i="19"/>
  <c r="F31" i="19"/>
  <c r="F29" i="19"/>
  <c r="F27" i="19"/>
  <c r="F25" i="19"/>
  <c r="F24" i="19"/>
  <c r="F22" i="19"/>
  <c r="F21" i="19"/>
  <c r="F20" i="19"/>
  <c r="F18" i="19"/>
  <c r="F16" i="19"/>
  <c r="D18" i="19"/>
  <c r="F15" i="19"/>
  <c r="X16" i="19"/>
  <c r="X20" i="19"/>
  <c r="X15" i="20"/>
  <c r="N25" i="20"/>
  <c r="N29" i="20"/>
  <c r="N33" i="20"/>
  <c r="N34" i="20"/>
  <c r="N12" i="22"/>
  <c r="J36" i="22"/>
  <c r="J34" i="22"/>
  <c r="J33" i="22"/>
  <c r="J31" i="22"/>
  <c r="J29" i="22"/>
  <c r="J27" i="22"/>
  <c r="J25" i="22"/>
  <c r="J24" i="22"/>
  <c r="J22" i="22"/>
  <c r="J21" i="22"/>
  <c r="J20" i="22"/>
  <c r="J18" i="22"/>
  <c r="J16" i="22"/>
  <c r="H18" i="22"/>
  <c r="J15" i="22"/>
  <c r="X13" i="22"/>
  <c r="Z15" i="22"/>
  <c r="X21" i="22"/>
  <c r="L12" i="23"/>
  <c r="F36" i="23"/>
  <c r="F34" i="23"/>
  <c r="F33" i="23"/>
  <c r="F31" i="23"/>
  <c r="F29" i="23"/>
  <c r="F27" i="23"/>
  <c r="F25" i="23"/>
  <c r="F24" i="23"/>
  <c r="F22" i="23"/>
  <c r="F21" i="23"/>
  <c r="F20" i="23"/>
  <c r="F18" i="23"/>
  <c r="F16" i="23"/>
  <c r="D18" i="23"/>
  <c r="F15" i="23"/>
  <c r="X16" i="23"/>
  <c r="X20" i="23"/>
  <c r="X16" i="25"/>
  <c r="N29" i="26"/>
  <c r="L29" i="29"/>
  <c r="J36" i="19"/>
  <c r="J34" i="19"/>
  <c r="J33" i="19"/>
  <c r="J31" i="19"/>
  <c r="J29" i="19"/>
  <c r="J27" i="19"/>
  <c r="J25" i="19"/>
  <c r="J24" i="19"/>
  <c r="J22" i="19"/>
  <c r="J21" i="19"/>
  <c r="J20" i="19"/>
  <c r="J18" i="19"/>
  <c r="J16" i="19"/>
  <c r="H18" i="19"/>
  <c r="J15" i="19"/>
  <c r="N12" i="19"/>
  <c r="X13" i="19"/>
  <c r="Z15" i="19"/>
  <c r="X21" i="19"/>
  <c r="F36" i="20"/>
  <c r="F34" i="20"/>
  <c r="F33" i="20"/>
  <c r="F31" i="20"/>
  <c r="F29" i="20"/>
  <c r="F27" i="20"/>
  <c r="F25" i="20"/>
  <c r="F24" i="20"/>
  <c r="F22" i="20"/>
  <c r="F21" i="20"/>
  <c r="F20" i="20"/>
  <c r="F18" i="20"/>
  <c r="F16" i="20"/>
  <c r="D18" i="20"/>
  <c r="F15" i="20"/>
  <c r="L12" i="20"/>
  <c r="X16" i="20"/>
  <c r="X20" i="20"/>
  <c r="Z13" i="22"/>
  <c r="Z16" i="22"/>
  <c r="Z20" i="22"/>
  <c r="X22" i="22"/>
  <c r="X24" i="22"/>
  <c r="J36" i="23"/>
  <c r="J34" i="23"/>
  <c r="J33" i="23"/>
  <c r="J31" i="23"/>
  <c r="J29" i="23"/>
  <c r="J27" i="23"/>
  <c r="J25" i="23"/>
  <c r="J24" i="23"/>
  <c r="J22" i="23"/>
  <c r="J21" i="23"/>
  <c r="J20" i="23"/>
  <c r="J18" i="23"/>
  <c r="J16" i="23"/>
  <c r="H18" i="23"/>
  <c r="J15" i="23"/>
  <c r="N12" i="23"/>
  <c r="X13" i="23"/>
  <c r="Z15" i="23"/>
  <c r="X21" i="23"/>
  <c r="L21" i="26"/>
  <c r="L24" i="32"/>
  <c r="N13" i="16"/>
  <c r="N22" i="16"/>
  <c r="N24" i="16"/>
  <c r="L13" i="17"/>
  <c r="N21" i="17"/>
  <c r="L25" i="17"/>
  <c r="L29" i="17"/>
  <c r="L33" i="17"/>
  <c r="L34" i="17"/>
  <c r="Z13" i="19"/>
  <c r="Z16" i="19"/>
  <c r="Z20" i="19"/>
  <c r="X22" i="19"/>
  <c r="X24" i="19"/>
  <c r="J36" i="20"/>
  <c r="J34" i="20"/>
  <c r="J33" i="20"/>
  <c r="J31" i="20"/>
  <c r="J29" i="20"/>
  <c r="J27" i="20"/>
  <c r="J25" i="20"/>
  <c r="J24" i="20"/>
  <c r="J22" i="20"/>
  <c r="J21" i="20"/>
  <c r="J20" i="20"/>
  <c r="J18" i="20"/>
  <c r="J16" i="20"/>
  <c r="H18" i="20"/>
  <c r="J15" i="20"/>
  <c r="N12" i="20"/>
  <c r="X13" i="20"/>
  <c r="Z15" i="20"/>
  <c r="X21" i="20"/>
  <c r="Z21" i="22"/>
  <c r="X25" i="22"/>
  <c r="X29" i="22"/>
  <c r="X33" i="22"/>
  <c r="X34" i="22"/>
  <c r="Z13" i="23"/>
  <c r="Z16" i="23"/>
  <c r="Z20" i="23"/>
  <c r="X22" i="23"/>
  <c r="X24" i="23"/>
  <c r="L13" i="29"/>
  <c r="L33" i="29"/>
  <c r="N15" i="25"/>
  <c r="L21" i="25"/>
  <c r="L16" i="26"/>
  <c r="L20" i="26"/>
  <c r="L13" i="28"/>
  <c r="N21" i="28"/>
  <c r="L25" i="28"/>
  <c r="L29" i="28"/>
  <c r="L33" i="28"/>
  <c r="L34" i="28"/>
  <c r="N16" i="29"/>
  <c r="N20" i="29"/>
  <c r="L22" i="29"/>
  <c r="L24" i="29"/>
  <c r="V36" i="31"/>
  <c r="V34" i="31"/>
  <c r="V33" i="31"/>
  <c r="V31" i="31"/>
  <c r="V29" i="31"/>
  <c r="V27" i="31"/>
  <c r="V25" i="31"/>
  <c r="T18" i="31"/>
  <c r="V15" i="31"/>
  <c r="Z12" i="31"/>
  <c r="V20" i="31"/>
  <c r="V24" i="31"/>
  <c r="V16" i="31"/>
  <c r="V21" i="31"/>
  <c r="V18" i="31"/>
  <c r="V22" i="31"/>
  <c r="Z22" i="31"/>
  <c r="L29" i="31"/>
  <c r="X34" i="31"/>
  <c r="N15" i="32"/>
  <c r="X29" i="35"/>
  <c r="X15" i="37"/>
  <c r="N20" i="38"/>
  <c r="L13" i="25"/>
  <c r="N21" i="25"/>
  <c r="L25" i="25"/>
  <c r="L29" i="25"/>
  <c r="L33" i="25"/>
  <c r="L34" i="25"/>
  <c r="N16" i="26"/>
  <c r="N20" i="26"/>
  <c r="L22" i="26"/>
  <c r="L24" i="26"/>
  <c r="X15" i="28"/>
  <c r="N25" i="28"/>
  <c r="N29" i="28"/>
  <c r="N33" i="28"/>
  <c r="N34" i="28"/>
  <c r="N13" i="29"/>
  <c r="N22" i="29"/>
  <c r="N24" i="29"/>
  <c r="L13" i="31"/>
  <c r="L24" i="31"/>
  <c r="L33" i="31"/>
  <c r="Z34" i="31"/>
  <c r="X15" i="32"/>
  <c r="L21" i="32"/>
  <c r="X33" i="35"/>
  <c r="X24" i="38"/>
  <c r="N13" i="25"/>
  <c r="N22" i="25"/>
  <c r="N24" i="25"/>
  <c r="L13" i="26"/>
  <c r="N21" i="26"/>
  <c r="L25" i="26"/>
  <c r="L29" i="26"/>
  <c r="L33" i="26"/>
  <c r="L34" i="26"/>
  <c r="F21" i="28"/>
  <c r="F20" i="28"/>
  <c r="F18" i="28"/>
  <c r="F16" i="28"/>
  <c r="D18" i="28"/>
  <c r="F15" i="28"/>
  <c r="L12" i="28"/>
  <c r="F24" i="28"/>
  <c r="F22" i="28"/>
  <c r="F36" i="28"/>
  <c r="F34" i="28"/>
  <c r="F33" i="28"/>
  <c r="F31" i="28"/>
  <c r="F29" i="28"/>
  <c r="F27" i="28"/>
  <c r="F25" i="28"/>
  <c r="X16" i="28"/>
  <c r="X20" i="28"/>
  <c r="X15" i="29"/>
  <c r="N25" i="29"/>
  <c r="N29" i="29"/>
  <c r="N33" i="29"/>
  <c r="N34" i="29"/>
  <c r="N16" i="31"/>
  <c r="X21" i="31"/>
  <c r="Z25" i="31"/>
  <c r="X29" i="31"/>
  <c r="N33" i="32"/>
  <c r="X34" i="35"/>
  <c r="X15" i="25"/>
  <c r="N25" i="25"/>
  <c r="N29" i="25"/>
  <c r="N33" i="25"/>
  <c r="N34" i="25"/>
  <c r="N13" i="26"/>
  <c r="N22" i="26"/>
  <c r="N24" i="26"/>
  <c r="H18" i="28"/>
  <c r="J15" i="28"/>
  <c r="N12" i="28"/>
  <c r="J36" i="28"/>
  <c r="J34" i="28"/>
  <c r="J33" i="28"/>
  <c r="J31" i="28"/>
  <c r="J29" i="28"/>
  <c r="J27" i="28"/>
  <c r="J25" i="28"/>
  <c r="J24" i="28"/>
  <c r="J22" i="28"/>
  <c r="J20" i="28"/>
  <c r="J18" i="28"/>
  <c r="J16" i="28"/>
  <c r="J21" i="28"/>
  <c r="X13" i="28"/>
  <c r="Z15" i="28"/>
  <c r="X21" i="28"/>
  <c r="F20" i="29"/>
  <c r="F18" i="29"/>
  <c r="F16" i="29"/>
  <c r="D18" i="29"/>
  <c r="F15" i="29"/>
  <c r="L12" i="29"/>
  <c r="F36" i="29"/>
  <c r="F34" i="29"/>
  <c r="F33" i="29"/>
  <c r="F31" i="29"/>
  <c r="F29" i="29"/>
  <c r="F27" i="29"/>
  <c r="F25" i="29"/>
  <c r="F21" i="29"/>
  <c r="F24" i="29"/>
  <c r="F22" i="29"/>
  <c r="X16" i="29"/>
  <c r="X20" i="29"/>
  <c r="X13" i="31"/>
  <c r="Z21" i="31"/>
  <c r="R36" i="32"/>
  <c r="R34" i="32"/>
  <c r="R33" i="32"/>
  <c r="R21" i="32"/>
  <c r="R20" i="32"/>
  <c r="R18" i="32"/>
  <c r="R16" i="32"/>
  <c r="X12" i="32"/>
  <c r="R22" i="32"/>
  <c r="R25" i="32"/>
  <c r="R29" i="32"/>
  <c r="P18" i="32"/>
  <c r="R24" i="32"/>
  <c r="R15" i="32"/>
  <c r="R27" i="32"/>
  <c r="R31" i="32"/>
  <c r="Z24" i="32"/>
  <c r="X33" i="32"/>
  <c r="Z22" i="34"/>
  <c r="Z13" i="28"/>
  <c r="Z16" i="28"/>
  <c r="Z20" i="28"/>
  <c r="X22" i="28"/>
  <c r="X24" i="28"/>
  <c r="N12" i="29"/>
  <c r="J36" i="29"/>
  <c r="J34" i="29"/>
  <c r="J33" i="29"/>
  <c r="J31" i="29"/>
  <c r="J29" i="29"/>
  <c r="J27" i="29"/>
  <c r="J25" i="29"/>
  <c r="J24" i="29"/>
  <c r="J22" i="29"/>
  <c r="J21" i="29"/>
  <c r="H18" i="29"/>
  <c r="J15" i="29"/>
  <c r="J20" i="29"/>
  <c r="J18" i="29"/>
  <c r="J16" i="29"/>
  <c r="X13" i="29"/>
  <c r="Z15" i="29"/>
  <c r="X21" i="29"/>
  <c r="X16" i="31"/>
  <c r="N20" i="31"/>
  <c r="Z29" i="31"/>
  <c r="X33" i="31"/>
  <c r="Z21" i="32"/>
  <c r="N29" i="32"/>
  <c r="Z24" i="34"/>
  <c r="Z25" i="37"/>
  <c r="X33" i="38"/>
  <c r="N12" i="25"/>
  <c r="J24" i="25"/>
  <c r="J22" i="25"/>
  <c r="J21" i="25"/>
  <c r="J20" i="25"/>
  <c r="J18" i="25"/>
  <c r="J16" i="25"/>
  <c r="J27" i="25"/>
  <c r="H18" i="25"/>
  <c r="J36" i="25"/>
  <c r="J25" i="25"/>
  <c r="J34" i="25"/>
  <c r="J15" i="25"/>
  <c r="J33" i="25"/>
  <c r="J31" i="25"/>
  <c r="J29" i="25"/>
  <c r="X13" i="25"/>
  <c r="Z15" i="25"/>
  <c r="X21" i="25"/>
  <c r="L12" i="26"/>
  <c r="F36" i="26"/>
  <c r="F34" i="26"/>
  <c r="F33" i="26"/>
  <c r="F31" i="26"/>
  <c r="F29" i="26"/>
  <c r="F27" i="26"/>
  <c r="F25" i="26"/>
  <c r="F24" i="26"/>
  <c r="F22" i="26"/>
  <c r="F21" i="26"/>
  <c r="D18" i="26"/>
  <c r="F15" i="26"/>
  <c r="F20" i="26"/>
  <c r="F18" i="26"/>
  <c r="F16" i="26"/>
  <c r="X16" i="26"/>
  <c r="X20" i="26"/>
  <c r="Z21" i="28"/>
  <c r="X25" i="28"/>
  <c r="X29" i="28"/>
  <c r="X33" i="28"/>
  <c r="X34" i="28"/>
  <c r="Z13" i="29"/>
  <c r="Z16" i="29"/>
  <c r="Z20" i="29"/>
  <c r="X22" i="29"/>
  <c r="X24" i="29"/>
  <c r="X29" i="32"/>
  <c r="N29" i="37"/>
  <c r="Z13" i="25"/>
  <c r="Z16" i="25"/>
  <c r="Z20" i="25"/>
  <c r="X22" i="25"/>
  <c r="X24" i="25"/>
  <c r="N12" i="26"/>
  <c r="J36" i="26"/>
  <c r="J34" i="26"/>
  <c r="J33" i="26"/>
  <c r="J31" i="26"/>
  <c r="J29" i="26"/>
  <c r="J27" i="26"/>
  <c r="J25" i="26"/>
  <c r="J21" i="26"/>
  <c r="J20" i="26"/>
  <c r="J18" i="26"/>
  <c r="J16" i="26"/>
  <c r="H18" i="26"/>
  <c r="J15" i="26"/>
  <c r="J24" i="26"/>
  <c r="J22" i="26"/>
  <c r="X13" i="26"/>
  <c r="Z15" i="26"/>
  <c r="X21" i="26"/>
  <c r="X12" i="28"/>
  <c r="R36" i="28"/>
  <c r="R34" i="28"/>
  <c r="R33" i="28"/>
  <c r="R31" i="28"/>
  <c r="R29" i="28"/>
  <c r="R27" i="28"/>
  <c r="R25" i="28"/>
  <c r="R24" i="28"/>
  <c r="R22" i="28"/>
  <c r="R21" i="28"/>
  <c r="R20" i="28"/>
  <c r="R18" i="28"/>
  <c r="R16" i="28"/>
  <c r="P18" i="28"/>
  <c r="R15" i="28"/>
  <c r="Z22" i="28"/>
  <c r="Z24" i="28"/>
  <c r="Z21" i="29"/>
  <c r="X25" i="29"/>
  <c r="X29" i="29"/>
  <c r="X33" i="29"/>
  <c r="X34" i="29"/>
  <c r="L15" i="31"/>
  <c r="X20" i="31"/>
  <c r="L22" i="31"/>
  <c r="Z24" i="31"/>
  <c r="Z33" i="31"/>
  <c r="N25" i="32"/>
  <c r="N34" i="32"/>
  <c r="Z21" i="35"/>
  <c r="Z21" i="25"/>
  <c r="X25" i="25"/>
  <c r="X29" i="25"/>
  <c r="X33" i="25"/>
  <c r="X34" i="25"/>
  <c r="Z13" i="26"/>
  <c r="Z16" i="26"/>
  <c r="Z20" i="26"/>
  <c r="X22" i="26"/>
  <c r="X24" i="26"/>
  <c r="Z12" i="28"/>
  <c r="V36" i="28"/>
  <c r="V34" i="28"/>
  <c r="V33" i="28"/>
  <c r="V31" i="28"/>
  <c r="V29" i="28"/>
  <c r="V27" i="28"/>
  <c r="V25" i="28"/>
  <c r="V24" i="28"/>
  <c r="V22" i="28"/>
  <c r="V21" i="28"/>
  <c r="V20" i="28"/>
  <c r="V18" i="28"/>
  <c r="V16" i="28"/>
  <c r="T18" i="28"/>
  <c r="V15" i="28"/>
  <c r="L15" i="28"/>
  <c r="Z25" i="28"/>
  <c r="Z29" i="28"/>
  <c r="Z33" i="28"/>
  <c r="Z34" i="28"/>
  <c r="X12" i="29"/>
  <c r="R36" i="29"/>
  <c r="R34" i="29"/>
  <c r="R33" i="29"/>
  <c r="R31" i="29"/>
  <c r="R29" i="29"/>
  <c r="R27" i="29"/>
  <c r="R25" i="29"/>
  <c r="R24" i="29"/>
  <c r="R22" i="29"/>
  <c r="R21" i="29"/>
  <c r="R20" i="29"/>
  <c r="R18" i="29"/>
  <c r="R16" i="29"/>
  <c r="P18" i="29"/>
  <c r="R15" i="29"/>
  <c r="Z22" i="29"/>
  <c r="Z24" i="29"/>
  <c r="D18" i="31"/>
  <c r="F15" i="31"/>
  <c r="L12" i="31"/>
  <c r="F36" i="31"/>
  <c r="F34" i="31"/>
  <c r="F33" i="31"/>
  <c r="F31" i="31"/>
  <c r="F29" i="31"/>
  <c r="F27" i="31"/>
  <c r="F25" i="31"/>
  <c r="F20" i="31"/>
  <c r="F18" i="31"/>
  <c r="F16" i="31"/>
  <c r="F22" i="31"/>
  <c r="F24" i="31"/>
  <c r="F21" i="31"/>
  <c r="N16" i="32"/>
  <c r="L22" i="32"/>
  <c r="X25" i="32"/>
  <c r="X34" i="32"/>
  <c r="N34" i="37"/>
  <c r="X12" i="25"/>
  <c r="R36" i="25"/>
  <c r="R34" i="25"/>
  <c r="R33" i="25"/>
  <c r="R31" i="25"/>
  <c r="R29" i="25"/>
  <c r="R27" i="25"/>
  <c r="R25" i="25"/>
  <c r="R24" i="25"/>
  <c r="R22" i="25"/>
  <c r="R21" i="25"/>
  <c r="R20" i="25"/>
  <c r="R18" i="25"/>
  <c r="R16" i="25"/>
  <c r="P18" i="25"/>
  <c r="R15" i="25"/>
  <c r="Z22" i="25"/>
  <c r="Z24" i="25"/>
  <c r="Z21" i="26"/>
  <c r="X25" i="26"/>
  <c r="X29" i="26"/>
  <c r="X33" i="26"/>
  <c r="X34" i="26"/>
  <c r="L16" i="28"/>
  <c r="L20" i="28"/>
  <c r="Z12" i="29"/>
  <c r="V36" i="29"/>
  <c r="V34" i="29"/>
  <c r="V33" i="29"/>
  <c r="V31" i="29"/>
  <c r="V29" i="29"/>
  <c r="V27" i="29"/>
  <c r="V25" i="29"/>
  <c r="V24" i="29"/>
  <c r="V22" i="29"/>
  <c r="V21" i="29"/>
  <c r="V20" i="29"/>
  <c r="V18" i="29"/>
  <c r="V16" i="29"/>
  <c r="T18" i="29"/>
  <c r="V15" i="29"/>
  <c r="L15" i="29"/>
  <c r="Z25" i="29"/>
  <c r="Z29" i="29"/>
  <c r="Z33" i="29"/>
  <c r="Z34" i="29"/>
  <c r="J24" i="31"/>
  <c r="J22" i="31"/>
  <c r="J21" i="31"/>
  <c r="J25" i="31"/>
  <c r="J18" i="31"/>
  <c r="J34" i="31"/>
  <c r="H18" i="31"/>
  <c r="N12" i="31"/>
  <c r="J31" i="31"/>
  <c r="J15" i="31"/>
  <c r="J27" i="31"/>
  <c r="J20" i="31"/>
  <c r="J36" i="31"/>
  <c r="J16" i="31"/>
  <c r="J33" i="31"/>
  <c r="J29" i="31"/>
  <c r="L34" i="31"/>
  <c r="Z13" i="32"/>
  <c r="N20" i="32"/>
  <c r="R21" i="34"/>
  <c r="R20" i="34"/>
  <c r="R18" i="34"/>
  <c r="R16" i="34"/>
  <c r="P18" i="34"/>
  <c r="R15" i="34"/>
  <c r="X12" i="34"/>
  <c r="R24" i="34"/>
  <c r="R22" i="34"/>
  <c r="R34" i="34"/>
  <c r="R33" i="34"/>
  <c r="R31" i="34"/>
  <c r="R29" i="34"/>
  <c r="R27" i="34"/>
  <c r="R25" i="34"/>
  <c r="R36" i="34"/>
  <c r="V36" i="25"/>
  <c r="V34" i="25"/>
  <c r="V33" i="25"/>
  <c r="V31" i="25"/>
  <c r="V29" i="25"/>
  <c r="V27" i="25"/>
  <c r="V25" i="25"/>
  <c r="V24" i="25"/>
  <c r="V22" i="25"/>
  <c r="V21" i="25"/>
  <c r="V20" i="25"/>
  <c r="V18" i="25"/>
  <c r="V16" i="25"/>
  <c r="T18" i="25"/>
  <c r="V15" i="25"/>
  <c r="Z12" i="25"/>
  <c r="L15" i="25"/>
  <c r="Z25" i="25"/>
  <c r="Z29" i="25"/>
  <c r="Z33" i="25"/>
  <c r="Z34" i="25"/>
  <c r="R36" i="26"/>
  <c r="R34" i="26"/>
  <c r="R33" i="26"/>
  <c r="R31" i="26"/>
  <c r="R29" i="26"/>
  <c r="R27" i="26"/>
  <c r="R25" i="26"/>
  <c r="R24" i="26"/>
  <c r="R22" i="26"/>
  <c r="R21" i="26"/>
  <c r="R20" i="26"/>
  <c r="R18" i="26"/>
  <c r="R16" i="26"/>
  <c r="P18" i="26"/>
  <c r="R15" i="26"/>
  <c r="X12" i="26"/>
  <c r="Z22" i="26"/>
  <c r="Z24" i="26"/>
  <c r="N15" i="28"/>
  <c r="L21" i="28"/>
  <c r="L16" i="29"/>
  <c r="L20" i="29"/>
  <c r="L25" i="31"/>
  <c r="X16" i="32"/>
  <c r="X25" i="35"/>
  <c r="L16" i="25"/>
  <c r="L20" i="25"/>
  <c r="V24" i="26"/>
  <c r="V22" i="26"/>
  <c r="V21" i="26"/>
  <c r="V20" i="26"/>
  <c r="V18" i="26"/>
  <c r="V16" i="26"/>
  <c r="T18" i="26"/>
  <c r="V15" i="26"/>
  <c r="V36" i="26"/>
  <c r="V34" i="26"/>
  <c r="V33" i="26"/>
  <c r="V31" i="26"/>
  <c r="V29" i="26"/>
  <c r="V27" i="26"/>
  <c r="V25" i="26"/>
  <c r="Z12" i="26"/>
  <c r="L15" i="26"/>
  <c r="Z25" i="26"/>
  <c r="Z29" i="26"/>
  <c r="Z33" i="26"/>
  <c r="Z34" i="26"/>
  <c r="N16" i="28"/>
  <c r="N20" i="28"/>
  <c r="L22" i="28"/>
  <c r="L24" i="28"/>
  <c r="N15" i="29"/>
  <c r="L21" i="29"/>
  <c r="X12" i="31"/>
  <c r="R21" i="31"/>
  <c r="R31" i="31"/>
  <c r="R22" i="31"/>
  <c r="R15" i="31"/>
  <c r="R27" i="31"/>
  <c r="R36" i="31"/>
  <c r="R20" i="31"/>
  <c r="R33" i="31"/>
  <c r="R24" i="31"/>
  <c r="R16" i="31"/>
  <c r="R29" i="31"/>
  <c r="R25" i="31"/>
  <c r="P18" i="31"/>
  <c r="R18" i="31"/>
  <c r="R34" i="31"/>
  <c r="Z15" i="31"/>
  <c r="Z16" i="32"/>
  <c r="X20" i="32"/>
  <c r="Z22" i="32"/>
  <c r="V36" i="37"/>
  <c r="V34" i="37"/>
  <c r="T18" i="37"/>
  <c r="V15" i="37"/>
  <c r="V16" i="37"/>
  <c r="V33" i="37"/>
  <c r="V27" i="37"/>
  <c r="V22" i="37"/>
  <c r="V18" i="37"/>
  <c r="V29" i="37"/>
  <c r="V24" i="37"/>
  <c r="V20" i="37"/>
  <c r="Z12" i="37"/>
  <c r="V31" i="37"/>
  <c r="V25" i="37"/>
  <c r="V21" i="37"/>
  <c r="N15" i="31"/>
  <c r="L21" i="31"/>
  <c r="L16" i="32"/>
  <c r="L20" i="32"/>
  <c r="Z21" i="34"/>
  <c r="X25" i="34"/>
  <c r="X29" i="34"/>
  <c r="X33" i="34"/>
  <c r="X34" i="34"/>
  <c r="Z13" i="35"/>
  <c r="Z16" i="35"/>
  <c r="Z20" i="35"/>
  <c r="X22" i="35"/>
  <c r="X24" i="35"/>
  <c r="R20" i="37"/>
  <c r="R18" i="37"/>
  <c r="R16" i="37"/>
  <c r="R21" i="37"/>
  <c r="R36" i="37"/>
  <c r="R33" i="37"/>
  <c r="R27" i="37"/>
  <c r="R22" i="37"/>
  <c r="P18" i="37"/>
  <c r="R34" i="37"/>
  <c r="R29" i="37"/>
  <c r="R24" i="37"/>
  <c r="R15" i="37"/>
  <c r="X12" i="37"/>
  <c r="R31" i="37"/>
  <c r="R25" i="37"/>
  <c r="L29" i="37"/>
  <c r="L34" i="37"/>
  <c r="Z13" i="38"/>
  <c r="L20" i="38"/>
  <c r="Z21" i="38"/>
  <c r="N13" i="44"/>
  <c r="T18" i="34"/>
  <c r="V15" i="34"/>
  <c r="Z12" i="34"/>
  <c r="V36" i="34"/>
  <c r="V34" i="34"/>
  <c r="V33" i="34"/>
  <c r="V31" i="34"/>
  <c r="V29" i="34"/>
  <c r="V27" i="34"/>
  <c r="V25" i="34"/>
  <c r="V24" i="34"/>
  <c r="V22" i="34"/>
  <c r="V20" i="34"/>
  <c r="V18" i="34"/>
  <c r="V16" i="34"/>
  <c r="V21" i="34"/>
  <c r="L15" i="34"/>
  <c r="Z25" i="34"/>
  <c r="Z29" i="34"/>
  <c r="Z33" i="34"/>
  <c r="Z34" i="34"/>
  <c r="R20" i="35"/>
  <c r="R18" i="35"/>
  <c r="R16" i="35"/>
  <c r="P18" i="35"/>
  <c r="R15" i="35"/>
  <c r="X12" i="35"/>
  <c r="R36" i="35"/>
  <c r="R34" i="35"/>
  <c r="R33" i="35"/>
  <c r="R31" i="35"/>
  <c r="R29" i="35"/>
  <c r="R27" i="35"/>
  <c r="R25" i="35"/>
  <c r="R21" i="35"/>
  <c r="R24" i="35"/>
  <c r="R22" i="35"/>
  <c r="Z22" i="35"/>
  <c r="Z24" i="35"/>
  <c r="X20" i="37"/>
  <c r="Z16" i="38"/>
  <c r="N13" i="31"/>
  <c r="N22" i="31"/>
  <c r="N24" i="31"/>
  <c r="L13" i="32"/>
  <c r="N21" i="32"/>
  <c r="L25" i="32"/>
  <c r="L29" i="32"/>
  <c r="L33" i="32"/>
  <c r="L34" i="32"/>
  <c r="L16" i="34"/>
  <c r="L20" i="34"/>
  <c r="Z12" i="35"/>
  <c r="V36" i="35"/>
  <c r="V34" i="35"/>
  <c r="V33" i="35"/>
  <c r="V31" i="35"/>
  <c r="V29" i="35"/>
  <c r="V27" i="35"/>
  <c r="V25" i="35"/>
  <c r="V24" i="35"/>
  <c r="V22" i="35"/>
  <c r="V21" i="35"/>
  <c r="T18" i="35"/>
  <c r="V15" i="35"/>
  <c r="V20" i="35"/>
  <c r="V18" i="35"/>
  <c r="V16" i="35"/>
  <c r="L15" i="35"/>
  <c r="Z25" i="35"/>
  <c r="Z29" i="35"/>
  <c r="Z33" i="35"/>
  <c r="Z34" i="35"/>
  <c r="X29" i="37"/>
  <c r="X34" i="37"/>
  <c r="L22" i="38"/>
  <c r="Z24" i="38"/>
  <c r="N15" i="40"/>
  <c r="X15" i="31"/>
  <c r="N25" i="31"/>
  <c r="N29" i="31"/>
  <c r="N33" i="31"/>
  <c r="N34" i="31"/>
  <c r="N13" i="32"/>
  <c r="N22" i="32"/>
  <c r="N24" i="32"/>
  <c r="N15" i="34"/>
  <c r="L21" i="34"/>
  <c r="L16" i="35"/>
  <c r="L20" i="35"/>
  <c r="L13" i="37"/>
  <c r="Z24" i="37"/>
  <c r="L33" i="37"/>
  <c r="Z20" i="38"/>
  <c r="N22" i="38"/>
  <c r="L34" i="44"/>
  <c r="N16" i="34"/>
  <c r="N20" i="34"/>
  <c r="L22" i="34"/>
  <c r="L24" i="34"/>
  <c r="N15" i="35"/>
  <c r="L21" i="35"/>
  <c r="Z29" i="37"/>
  <c r="N33" i="37"/>
  <c r="Z34" i="37"/>
  <c r="L13" i="34"/>
  <c r="N21" i="34"/>
  <c r="L25" i="34"/>
  <c r="L29" i="34"/>
  <c r="L33" i="34"/>
  <c r="L34" i="34"/>
  <c r="N16" i="35"/>
  <c r="N20" i="35"/>
  <c r="L22" i="35"/>
  <c r="L24" i="35"/>
  <c r="L16" i="37"/>
  <c r="X15" i="38"/>
  <c r="X22" i="38"/>
  <c r="N34" i="38"/>
  <c r="Z13" i="31"/>
  <c r="Z16" i="31"/>
  <c r="Z20" i="31"/>
  <c r="X22" i="31"/>
  <c r="X24" i="31"/>
  <c r="J36" i="32"/>
  <c r="J34" i="32"/>
  <c r="J33" i="32"/>
  <c r="J31" i="32"/>
  <c r="J29" i="32"/>
  <c r="J27" i="32"/>
  <c r="J25" i="32"/>
  <c r="J21" i="32"/>
  <c r="J20" i="32"/>
  <c r="J18" i="32"/>
  <c r="J16" i="32"/>
  <c r="J22" i="32"/>
  <c r="H18" i="32"/>
  <c r="N12" i="32"/>
  <c r="J24" i="32"/>
  <c r="J15" i="32"/>
  <c r="X13" i="32"/>
  <c r="Z15" i="32"/>
  <c r="X21" i="32"/>
  <c r="N13" i="34"/>
  <c r="N22" i="34"/>
  <c r="N24" i="34"/>
  <c r="L13" i="35"/>
  <c r="N21" i="35"/>
  <c r="L25" i="35"/>
  <c r="L29" i="35"/>
  <c r="L33" i="35"/>
  <c r="L34" i="35"/>
  <c r="L21" i="37"/>
  <c r="X33" i="37"/>
  <c r="P18" i="38"/>
  <c r="R15" i="38"/>
  <c r="R20" i="38"/>
  <c r="R18" i="38"/>
  <c r="R16" i="38"/>
  <c r="R21" i="38"/>
  <c r="R25" i="38"/>
  <c r="R34" i="38"/>
  <c r="X12" i="38"/>
  <c r="R31" i="38"/>
  <c r="R22" i="38"/>
  <c r="R27" i="38"/>
  <c r="R36" i="38"/>
  <c r="R33" i="38"/>
  <c r="R24" i="38"/>
  <c r="R29" i="38"/>
  <c r="N25" i="38"/>
  <c r="L21" i="40"/>
  <c r="Z20" i="32"/>
  <c r="X22" i="32"/>
  <c r="X24" i="32"/>
  <c r="X15" i="34"/>
  <c r="N25" i="34"/>
  <c r="N29" i="34"/>
  <c r="N33" i="34"/>
  <c r="N34" i="34"/>
  <c r="N13" i="35"/>
  <c r="N22" i="35"/>
  <c r="N24" i="35"/>
  <c r="N21" i="37"/>
  <c r="Z22" i="37"/>
  <c r="L25" i="37"/>
  <c r="Z22" i="38"/>
  <c r="X34" i="38"/>
  <c r="L16" i="41"/>
  <c r="L12" i="34"/>
  <c r="F36" i="34"/>
  <c r="F34" i="34"/>
  <c r="F33" i="34"/>
  <c r="F31" i="34"/>
  <c r="F29" i="34"/>
  <c r="F27" i="34"/>
  <c r="F25" i="34"/>
  <c r="F24" i="34"/>
  <c r="F22" i="34"/>
  <c r="F21" i="34"/>
  <c r="F20" i="34"/>
  <c r="F18" i="34"/>
  <c r="F16" i="34"/>
  <c r="D18" i="34"/>
  <c r="F15" i="34"/>
  <c r="X16" i="34"/>
  <c r="X20" i="34"/>
  <c r="X15" i="35"/>
  <c r="N25" i="35"/>
  <c r="N29" i="35"/>
  <c r="N33" i="35"/>
  <c r="N34" i="35"/>
  <c r="L15" i="37"/>
  <c r="N25" i="37"/>
  <c r="Z33" i="37"/>
  <c r="X25" i="38"/>
  <c r="N29" i="38"/>
  <c r="J36" i="34"/>
  <c r="J34" i="34"/>
  <c r="J33" i="34"/>
  <c r="J31" i="34"/>
  <c r="J29" i="34"/>
  <c r="J27" i="34"/>
  <c r="J25" i="34"/>
  <c r="J24" i="34"/>
  <c r="J22" i="34"/>
  <c r="J21" i="34"/>
  <c r="J20" i="34"/>
  <c r="J18" i="34"/>
  <c r="J16" i="34"/>
  <c r="H18" i="34"/>
  <c r="J15" i="34"/>
  <c r="N12" i="34"/>
  <c r="X13" i="34"/>
  <c r="Z15" i="34"/>
  <c r="X21" i="34"/>
  <c r="F36" i="35"/>
  <c r="F34" i="35"/>
  <c r="F33" i="35"/>
  <c r="F31" i="35"/>
  <c r="F29" i="35"/>
  <c r="F27" i="35"/>
  <c r="F25" i="35"/>
  <c r="F24" i="35"/>
  <c r="F22" i="35"/>
  <c r="F21" i="35"/>
  <c r="F20" i="35"/>
  <c r="F18" i="35"/>
  <c r="F16" i="35"/>
  <c r="D18" i="35"/>
  <c r="F15" i="35"/>
  <c r="L12" i="35"/>
  <c r="X16" i="35"/>
  <c r="X20" i="35"/>
  <c r="F36" i="37"/>
  <c r="F34" i="37"/>
  <c r="F33" i="37"/>
  <c r="F31" i="37"/>
  <c r="F29" i="37"/>
  <c r="F27" i="37"/>
  <c r="F25" i="37"/>
  <c r="F21" i="37"/>
  <c r="L12" i="37"/>
  <c r="F20" i="37"/>
  <c r="F15" i="37"/>
  <c r="F16" i="37"/>
  <c r="F22" i="37"/>
  <c r="F18" i="37"/>
  <c r="D18" i="37"/>
  <c r="F24" i="37"/>
  <c r="X16" i="37"/>
  <c r="L20" i="37"/>
  <c r="N13" i="38"/>
  <c r="L16" i="38"/>
  <c r="L24" i="38"/>
  <c r="L20" i="41"/>
  <c r="L16" i="31"/>
  <c r="L20" i="31"/>
  <c r="V24" i="32"/>
  <c r="V22" i="32"/>
  <c r="T18" i="32"/>
  <c r="V36" i="32"/>
  <c r="V34" i="32"/>
  <c r="V33" i="32"/>
  <c r="V31" i="32"/>
  <c r="V29" i="32"/>
  <c r="V27" i="32"/>
  <c r="V25" i="32"/>
  <c r="V21" i="32"/>
  <c r="V18" i="32"/>
  <c r="Z12" i="32"/>
  <c r="V15" i="32"/>
  <c r="V20" i="32"/>
  <c r="V16" i="32"/>
  <c r="L15" i="32"/>
  <c r="Z25" i="32"/>
  <c r="Z29" i="32"/>
  <c r="Z33" i="32"/>
  <c r="Z34" i="32"/>
  <c r="Z13" i="34"/>
  <c r="Z16" i="34"/>
  <c r="Z20" i="34"/>
  <c r="X22" i="34"/>
  <c r="X24" i="34"/>
  <c r="J36" i="35"/>
  <c r="J34" i="35"/>
  <c r="J33" i="35"/>
  <c r="J31" i="35"/>
  <c r="J29" i="35"/>
  <c r="J27" i="35"/>
  <c r="J25" i="35"/>
  <c r="J24" i="35"/>
  <c r="J22" i="35"/>
  <c r="J21" i="35"/>
  <c r="J20" i="35"/>
  <c r="J18" i="35"/>
  <c r="J16" i="35"/>
  <c r="H18" i="35"/>
  <c r="J15" i="35"/>
  <c r="N12" i="35"/>
  <c r="X13" i="35"/>
  <c r="Z15" i="35"/>
  <c r="X21" i="35"/>
  <c r="N15" i="37"/>
  <c r="Z21" i="37"/>
  <c r="X25" i="37"/>
  <c r="N16" i="38"/>
  <c r="N24" i="38"/>
  <c r="X29" i="38"/>
  <c r="N33" i="38"/>
  <c r="N33" i="49"/>
  <c r="Z13" i="37"/>
  <c r="Z16" i="37"/>
  <c r="Z20" i="37"/>
  <c r="X22" i="37"/>
  <c r="X24" i="37"/>
  <c r="J36" i="38"/>
  <c r="J34" i="38"/>
  <c r="J33" i="38"/>
  <c r="J31" i="38"/>
  <c r="J29" i="38"/>
  <c r="J27" i="38"/>
  <c r="J25" i="38"/>
  <c r="J20" i="38"/>
  <c r="J18" i="38"/>
  <c r="J16" i="38"/>
  <c r="J21" i="38"/>
  <c r="H18" i="38"/>
  <c r="N12" i="38"/>
  <c r="J22" i="38"/>
  <c r="J15" i="38"/>
  <c r="J24" i="38"/>
  <c r="X13" i="38"/>
  <c r="Z15" i="38"/>
  <c r="X21" i="38"/>
  <c r="L16" i="40"/>
  <c r="L20" i="40"/>
  <c r="V21" i="41"/>
  <c r="V20" i="41"/>
  <c r="V18" i="41"/>
  <c r="V16" i="41"/>
  <c r="T18" i="41"/>
  <c r="V15" i="41"/>
  <c r="Z12" i="41"/>
  <c r="V24" i="41"/>
  <c r="V22" i="41"/>
  <c r="V36" i="41"/>
  <c r="V34" i="41"/>
  <c r="V33" i="41"/>
  <c r="V31" i="41"/>
  <c r="V29" i="41"/>
  <c r="V27" i="41"/>
  <c r="V25" i="41"/>
  <c r="L15" i="41"/>
  <c r="Z25" i="41"/>
  <c r="Z29" i="41"/>
  <c r="Z33" i="41"/>
  <c r="Z34" i="41"/>
  <c r="L16" i="43"/>
  <c r="X22" i="43"/>
  <c r="L13" i="44"/>
  <c r="N21" i="44"/>
  <c r="Z25" i="44"/>
  <c r="Z33" i="44"/>
  <c r="N16" i="40"/>
  <c r="N20" i="40"/>
  <c r="L22" i="40"/>
  <c r="L24" i="40"/>
  <c r="N15" i="41"/>
  <c r="L21" i="41"/>
  <c r="Z20" i="43"/>
  <c r="X13" i="44"/>
  <c r="X21" i="44"/>
  <c r="N25" i="46"/>
  <c r="X15" i="49"/>
  <c r="N34" i="49"/>
  <c r="L13" i="40"/>
  <c r="N21" i="40"/>
  <c r="L25" i="40"/>
  <c r="L29" i="40"/>
  <c r="L33" i="40"/>
  <c r="L34" i="40"/>
  <c r="N16" i="41"/>
  <c r="N20" i="41"/>
  <c r="L22" i="41"/>
  <c r="L24" i="41"/>
  <c r="N24" i="43"/>
  <c r="L15" i="44"/>
  <c r="Z34" i="44"/>
  <c r="X29" i="50"/>
  <c r="Z12" i="38"/>
  <c r="V24" i="38"/>
  <c r="V22" i="38"/>
  <c r="V25" i="38"/>
  <c r="V34" i="38"/>
  <c r="V18" i="38"/>
  <c r="T18" i="38"/>
  <c r="V31" i="38"/>
  <c r="V15" i="38"/>
  <c r="V27" i="38"/>
  <c r="V36" i="38"/>
  <c r="V20" i="38"/>
  <c r="V33" i="38"/>
  <c r="V16" i="38"/>
  <c r="V29" i="38"/>
  <c r="V21" i="38"/>
  <c r="L15" i="38"/>
  <c r="Z25" i="38"/>
  <c r="Z29" i="38"/>
  <c r="Z33" i="38"/>
  <c r="Z34" i="38"/>
  <c r="N13" i="40"/>
  <c r="N22" i="40"/>
  <c r="N24" i="40"/>
  <c r="L13" i="41"/>
  <c r="N21" i="41"/>
  <c r="L25" i="41"/>
  <c r="L29" i="41"/>
  <c r="L33" i="41"/>
  <c r="L34" i="41"/>
  <c r="N13" i="43"/>
  <c r="Z16" i="43"/>
  <c r="L21" i="43"/>
  <c r="L29" i="44"/>
  <c r="N29" i="46"/>
  <c r="N22" i="47"/>
  <c r="X15" i="40"/>
  <c r="N25" i="40"/>
  <c r="N29" i="40"/>
  <c r="N33" i="40"/>
  <c r="N34" i="40"/>
  <c r="N13" i="41"/>
  <c r="N22" i="41"/>
  <c r="N24" i="41"/>
  <c r="X24" i="43"/>
  <c r="N33" i="43"/>
  <c r="N24" i="47"/>
  <c r="N13" i="50"/>
  <c r="Z33" i="50"/>
  <c r="N16" i="37"/>
  <c r="N20" i="37"/>
  <c r="L22" i="37"/>
  <c r="L24" i="37"/>
  <c r="N15" i="38"/>
  <c r="L21" i="38"/>
  <c r="L12" i="40"/>
  <c r="F36" i="40"/>
  <c r="F34" i="40"/>
  <c r="F33" i="40"/>
  <c r="F31" i="40"/>
  <c r="F29" i="40"/>
  <c r="F27" i="40"/>
  <c r="F25" i="40"/>
  <c r="F24" i="40"/>
  <c r="F22" i="40"/>
  <c r="F21" i="40"/>
  <c r="D18" i="40"/>
  <c r="F15" i="40"/>
  <c r="F20" i="40"/>
  <c r="F18" i="40"/>
  <c r="F16" i="40"/>
  <c r="X16" i="40"/>
  <c r="X20" i="40"/>
  <c r="X15" i="41"/>
  <c r="N25" i="41"/>
  <c r="N29" i="41"/>
  <c r="N33" i="41"/>
  <c r="N34" i="41"/>
  <c r="Z13" i="43"/>
  <c r="Z29" i="44"/>
  <c r="N33" i="46"/>
  <c r="N12" i="40"/>
  <c r="J36" i="40"/>
  <c r="J34" i="40"/>
  <c r="J33" i="40"/>
  <c r="J31" i="40"/>
  <c r="J29" i="40"/>
  <c r="J27" i="40"/>
  <c r="J25" i="40"/>
  <c r="J24" i="40"/>
  <c r="J22" i="40"/>
  <c r="J21" i="40"/>
  <c r="J20" i="40"/>
  <c r="J18" i="40"/>
  <c r="J16" i="40"/>
  <c r="H18" i="40"/>
  <c r="J15" i="40"/>
  <c r="X13" i="40"/>
  <c r="Z15" i="40"/>
  <c r="X21" i="40"/>
  <c r="L12" i="41"/>
  <c r="F36" i="41"/>
  <c r="F34" i="41"/>
  <c r="F33" i="41"/>
  <c r="F31" i="41"/>
  <c r="F29" i="41"/>
  <c r="F27" i="41"/>
  <c r="F25" i="41"/>
  <c r="F24" i="41"/>
  <c r="F22" i="41"/>
  <c r="F21" i="41"/>
  <c r="F20" i="41"/>
  <c r="F18" i="41"/>
  <c r="F16" i="41"/>
  <c r="D18" i="41"/>
  <c r="F15" i="41"/>
  <c r="X16" i="41"/>
  <c r="X20" i="41"/>
  <c r="N29" i="43"/>
  <c r="Z15" i="44"/>
  <c r="L20" i="44"/>
  <c r="X15" i="46"/>
  <c r="N34" i="46"/>
  <c r="N21" i="52"/>
  <c r="N13" i="37"/>
  <c r="N22" i="37"/>
  <c r="N24" i="37"/>
  <c r="L13" i="38"/>
  <c r="N21" i="38"/>
  <c r="L25" i="38"/>
  <c r="L29" i="38"/>
  <c r="L33" i="38"/>
  <c r="L34" i="38"/>
  <c r="Z13" i="40"/>
  <c r="Z16" i="40"/>
  <c r="Z20" i="40"/>
  <c r="X22" i="40"/>
  <c r="X24" i="40"/>
  <c r="N12" i="41"/>
  <c r="J36" i="41"/>
  <c r="J34" i="41"/>
  <c r="J33" i="41"/>
  <c r="J31" i="41"/>
  <c r="J29" i="41"/>
  <c r="J27" i="41"/>
  <c r="J25" i="41"/>
  <c r="J24" i="41"/>
  <c r="J22" i="41"/>
  <c r="J21" i="41"/>
  <c r="J20" i="41"/>
  <c r="J18" i="41"/>
  <c r="J16" i="41"/>
  <c r="H18" i="41"/>
  <c r="J15" i="41"/>
  <c r="X13" i="41"/>
  <c r="Z15" i="41"/>
  <c r="X21" i="41"/>
  <c r="N15" i="43"/>
  <c r="Z21" i="40"/>
  <c r="X25" i="40"/>
  <c r="X29" i="40"/>
  <c r="X33" i="40"/>
  <c r="X34" i="40"/>
  <c r="Z13" i="41"/>
  <c r="Z16" i="41"/>
  <c r="Z20" i="41"/>
  <c r="X22" i="41"/>
  <c r="X24" i="41"/>
  <c r="N25" i="43"/>
  <c r="N12" i="44"/>
  <c r="J36" i="44"/>
  <c r="J34" i="44"/>
  <c r="J33" i="44"/>
  <c r="J31" i="44"/>
  <c r="J29" i="44"/>
  <c r="J27" i="44"/>
  <c r="J25" i="44"/>
  <c r="J24" i="44"/>
  <c r="J22" i="44"/>
  <c r="H18" i="44"/>
  <c r="J15" i="44"/>
  <c r="J16" i="44"/>
  <c r="J20" i="44"/>
  <c r="J18" i="44"/>
  <c r="J21" i="44"/>
  <c r="L16" i="44"/>
  <c r="N25" i="49"/>
  <c r="L34" i="52"/>
  <c r="R36" i="40"/>
  <c r="R34" i="40"/>
  <c r="R33" i="40"/>
  <c r="R31" i="40"/>
  <c r="R29" i="40"/>
  <c r="R27" i="40"/>
  <c r="R25" i="40"/>
  <c r="R24" i="40"/>
  <c r="R22" i="40"/>
  <c r="R21" i="40"/>
  <c r="R20" i="40"/>
  <c r="R18" i="40"/>
  <c r="R16" i="40"/>
  <c r="P18" i="40"/>
  <c r="R15" i="40"/>
  <c r="X12" i="40"/>
  <c r="Z22" i="40"/>
  <c r="Z24" i="40"/>
  <c r="Z21" i="41"/>
  <c r="X25" i="41"/>
  <c r="X29" i="41"/>
  <c r="X33" i="41"/>
  <c r="X34" i="41"/>
  <c r="X15" i="43"/>
  <c r="L20" i="43"/>
  <c r="N22" i="43"/>
  <c r="N34" i="43"/>
  <c r="Z12" i="44"/>
  <c r="V36" i="44"/>
  <c r="V34" i="44"/>
  <c r="V33" i="44"/>
  <c r="V31" i="44"/>
  <c r="V29" i="44"/>
  <c r="V27" i="44"/>
  <c r="V25" i="44"/>
  <c r="V21" i="44"/>
  <c r="V20" i="44"/>
  <c r="V18" i="44"/>
  <c r="V16" i="44"/>
  <c r="T18" i="44"/>
  <c r="V15" i="44"/>
  <c r="V24" i="44"/>
  <c r="V22" i="44"/>
  <c r="L25" i="44"/>
  <c r="L33" i="44"/>
  <c r="N13" i="47"/>
  <c r="J21" i="37"/>
  <c r="H18" i="37"/>
  <c r="J15" i="37"/>
  <c r="N12" i="37"/>
  <c r="J31" i="37"/>
  <c r="J25" i="37"/>
  <c r="J36" i="37"/>
  <c r="J16" i="37"/>
  <c r="J33" i="37"/>
  <c r="J27" i="37"/>
  <c r="J22" i="37"/>
  <c r="J18" i="37"/>
  <c r="J34" i="37"/>
  <c r="J29" i="37"/>
  <c r="J20" i="37"/>
  <c r="J24" i="37"/>
  <c r="X13" i="37"/>
  <c r="Z15" i="37"/>
  <c r="X21" i="37"/>
  <c r="F24" i="38"/>
  <c r="F22" i="38"/>
  <c r="F20" i="38"/>
  <c r="F18" i="38"/>
  <c r="F16" i="38"/>
  <c r="F33" i="38"/>
  <c r="F29" i="38"/>
  <c r="F21" i="38"/>
  <c r="F25" i="38"/>
  <c r="F34" i="38"/>
  <c r="D18" i="38"/>
  <c r="L12" i="38"/>
  <c r="F31" i="38"/>
  <c r="F15" i="38"/>
  <c r="F36" i="38"/>
  <c r="F27" i="38"/>
  <c r="X16" i="38"/>
  <c r="X20" i="38"/>
  <c r="V24" i="40"/>
  <c r="V22" i="40"/>
  <c r="V21" i="40"/>
  <c r="V20" i="40"/>
  <c r="V18" i="40"/>
  <c r="V16" i="40"/>
  <c r="T18" i="40"/>
  <c r="V15" i="40"/>
  <c r="V36" i="40"/>
  <c r="V34" i="40"/>
  <c r="V33" i="40"/>
  <c r="V31" i="40"/>
  <c r="V29" i="40"/>
  <c r="V27" i="40"/>
  <c r="V25" i="40"/>
  <c r="Z12" i="40"/>
  <c r="L15" i="40"/>
  <c r="Z25" i="40"/>
  <c r="Z29" i="40"/>
  <c r="Z33" i="40"/>
  <c r="Z34" i="40"/>
  <c r="R36" i="41"/>
  <c r="R34" i="41"/>
  <c r="R33" i="41"/>
  <c r="R31" i="41"/>
  <c r="R29" i="41"/>
  <c r="R27" i="41"/>
  <c r="R25" i="41"/>
  <c r="R24" i="41"/>
  <c r="R22" i="41"/>
  <c r="R21" i="41"/>
  <c r="R20" i="41"/>
  <c r="R18" i="41"/>
  <c r="R16" i="41"/>
  <c r="P18" i="41"/>
  <c r="R15" i="41"/>
  <c r="X12" i="41"/>
  <c r="Z22" i="41"/>
  <c r="Z24" i="41"/>
  <c r="N29" i="49"/>
  <c r="N22" i="50"/>
  <c r="L13" i="43"/>
  <c r="N21" i="43"/>
  <c r="L25" i="43"/>
  <c r="L29" i="43"/>
  <c r="L33" i="43"/>
  <c r="L34" i="43"/>
  <c r="N16" i="44"/>
  <c r="N20" i="44"/>
  <c r="L22" i="44"/>
  <c r="L24" i="44"/>
  <c r="N13" i="46"/>
  <c r="N22" i="46"/>
  <c r="N24" i="46"/>
  <c r="L13" i="47"/>
  <c r="N21" i="47"/>
  <c r="L25" i="47"/>
  <c r="L29" i="47"/>
  <c r="L33" i="47"/>
  <c r="L34" i="47"/>
  <c r="N13" i="49"/>
  <c r="N22" i="49"/>
  <c r="N24" i="49"/>
  <c r="L13" i="50"/>
  <c r="N21" i="50"/>
  <c r="N24" i="50"/>
  <c r="N25" i="50"/>
  <c r="N22" i="44"/>
  <c r="N24" i="44"/>
  <c r="F24" i="46"/>
  <c r="F22" i="46"/>
  <c r="F21" i="46"/>
  <c r="F20" i="46"/>
  <c r="F18" i="46"/>
  <c r="F16" i="46"/>
  <c r="D18" i="46"/>
  <c r="F15" i="46"/>
  <c r="L12" i="46"/>
  <c r="F36" i="46"/>
  <c r="F34" i="46"/>
  <c r="F33" i="46"/>
  <c r="F31" i="46"/>
  <c r="F29" i="46"/>
  <c r="F27" i="46"/>
  <c r="F25" i="46"/>
  <c r="X16" i="46"/>
  <c r="X20" i="46"/>
  <c r="X15" i="47"/>
  <c r="N25" i="47"/>
  <c r="N29" i="47"/>
  <c r="N33" i="47"/>
  <c r="N34" i="47"/>
  <c r="F24" i="49"/>
  <c r="F22" i="49"/>
  <c r="F21" i="49"/>
  <c r="F20" i="49"/>
  <c r="F18" i="49"/>
  <c r="F16" i="49"/>
  <c r="D18" i="49"/>
  <c r="F15" i="49"/>
  <c r="L12" i="49"/>
  <c r="F36" i="49"/>
  <c r="F34" i="49"/>
  <c r="F33" i="49"/>
  <c r="F31" i="49"/>
  <c r="F29" i="49"/>
  <c r="F27" i="49"/>
  <c r="F25" i="49"/>
  <c r="X16" i="49"/>
  <c r="X20" i="49"/>
  <c r="X15" i="50"/>
  <c r="F21" i="43"/>
  <c r="F24" i="43"/>
  <c r="F22" i="43"/>
  <c r="F31" i="43"/>
  <c r="F20" i="43"/>
  <c r="F34" i="43"/>
  <c r="F25" i="43"/>
  <c r="F15" i="43"/>
  <c r="F29" i="43"/>
  <c r="F18" i="43"/>
  <c r="D18" i="43"/>
  <c r="F33" i="43"/>
  <c r="F36" i="43"/>
  <c r="F27" i="43"/>
  <c r="F16" i="43"/>
  <c r="L12" i="43"/>
  <c r="X16" i="43"/>
  <c r="X20" i="43"/>
  <c r="X15" i="44"/>
  <c r="N25" i="44"/>
  <c r="N29" i="44"/>
  <c r="N33" i="44"/>
  <c r="N34" i="44"/>
  <c r="J20" i="46"/>
  <c r="J18" i="46"/>
  <c r="J16" i="46"/>
  <c r="H18" i="46"/>
  <c r="J15" i="46"/>
  <c r="N12" i="46"/>
  <c r="J36" i="46"/>
  <c r="J34" i="46"/>
  <c r="J33" i="46"/>
  <c r="J31" i="46"/>
  <c r="J29" i="46"/>
  <c r="J27" i="46"/>
  <c r="J25" i="46"/>
  <c r="J21" i="46"/>
  <c r="J22" i="46"/>
  <c r="J24" i="46"/>
  <c r="X13" i="46"/>
  <c r="Z15" i="46"/>
  <c r="X21" i="46"/>
  <c r="F21" i="47"/>
  <c r="F20" i="47"/>
  <c r="F18" i="47"/>
  <c r="F16" i="47"/>
  <c r="D18" i="47"/>
  <c r="F15" i="47"/>
  <c r="L12" i="47"/>
  <c r="F24" i="47"/>
  <c r="F22" i="47"/>
  <c r="F34" i="47"/>
  <c r="F33" i="47"/>
  <c r="F31" i="47"/>
  <c r="F29" i="47"/>
  <c r="F27" i="47"/>
  <c r="F25" i="47"/>
  <c r="F36" i="47"/>
  <c r="X16" i="47"/>
  <c r="X20" i="47"/>
  <c r="J20" i="49"/>
  <c r="J18" i="49"/>
  <c r="J16" i="49"/>
  <c r="H18" i="49"/>
  <c r="J15" i="49"/>
  <c r="N12" i="49"/>
  <c r="J36" i="49"/>
  <c r="J34" i="49"/>
  <c r="J33" i="49"/>
  <c r="J31" i="49"/>
  <c r="J29" i="49"/>
  <c r="J27" i="49"/>
  <c r="J25" i="49"/>
  <c r="J21" i="49"/>
  <c r="J24" i="49"/>
  <c r="J22" i="49"/>
  <c r="X13" i="49"/>
  <c r="Z15" i="49"/>
  <c r="X21" i="49"/>
  <c r="F25" i="50"/>
  <c r="F24" i="50"/>
  <c r="F21" i="50"/>
  <c r="F27" i="50"/>
  <c r="F20" i="50"/>
  <c r="F18" i="50"/>
  <c r="F16" i="50"/>
  <c r="F29" i="50"/>
  <c r="D18" i="50"/>
  <c r="F15" i="50"/>
  <c r="F31" i="50"/>
  <c r="F33" i="50"/>
  <c r="F34" i="50"/>
  <c r="L12" i="50"/>
  <c r="F36" i="50"/>
  <c r="F22" i="50"/>
  <c r="X16" i="50"/>
  <c r="X20" i="50"/>
  <c r="X24" i="50"/>
  <c r="X25" i="50"/>
  <c r="Z29" i="50"/>
  <c r="H18" i="43"/>
  <c r="J15" i="43"/>
  <c r="N12" i="43"/>
  <c r="J36" i="43"/>
  <c r="J34" i="43"/>
  <c r="J33" i="43"/>
  <c r="J31" i="43"/>
  <c r="J29" i="43"/>
  <c r="J27" i="43"/>
  <c r="J25" i="43"/>
  <c r="J20" i="43"/>
  <c r="J18" i="43"/>
  <c r="J16" i="43"/>
  <c r="J22" i="43"/>
  <c r="J21" i="43"/>
  <c r="J24" i="43"/>
  <c r="X13" i="43"/>
  <c r="Z15" i="43"/>
  <c r="X21" i="43"/>
  <c r="F20" i="44"/>
  <c r="F18" i="44"/>
  <c r="F16" i="44"/>
  <c r="L12" i="44"/>
  <c r="F36" i="44"/>
  <c r="F34" i="44"/>
  <c r="F33" i="44"/>
  <c r="F31" i="44"/>
  <c r="F29" i="44"/>
  <c r="F27" i="44"/>
  <c r="F25" i="44"/>
  <c r="F21" i="44"/>
  <c r="F24" i="44"/>
  <c r="F22" i="44"/>
  <c r="F15" i="44"/>
  <c r="D18" i="44"/>
  <c r="X16" i="44"/>
  <c r="X20" i="44"/>
  <c r="Z13" i="46"/>
  <c r="Z16" i="46"/>
  <c r="Z20" i="46"/>
  <c r="X22" i="46"/>
  <c r="X24" i="46"/>
  <c r="H18" i="47"/>
  <c r="J15" i="47"/>
  <c r="N12" i="47"/>
  <c r="J36" i="47"/>
  <c r="J34" i="47"/>
  <c r="J33" i="47"/>
  <c r="J31" i="47"/>
  <c r="J29" i="47"/>
  <c r="J27" i="47"/>
  <c r="J25" i="47"/>
  <c r="J24" i="47"/>
  <c r="J22" i="47"/>
  <c r="J20" i="47"/>
  <c r="J18" i="47"/>
  <c r="J16" i="47"/>
  <c r="J21" i="47"/>
  <c r="X13" i="47"/>
  <c r="Z15" i="47"/>
  <c r="X21" i="47"/>
  <c r="Z13" i="49"/>
  <c r="Z16" i="49"/>
  <c r="Z20" i="49"/>
  <c r="X22" i="49"/>
  <c r="X24" i="49"/>
  <c r="J29" i="50"/>
  <c r="H18" i="50"/>
  <c r="J15" i="50"/>
  <c r="J31" i="50"/>
  <c r="J33" i="50"/>
  <c r="J34" i="50"/>
  <c r="N12" i="50"/>
  <c r="J36" i="50"/>
  <c r="J22" i="50"/>
  <c r="J27" i="50"/>
  <c r="J20" i="50"/>
  <c r="J18" i="50"/>
  <c r="J16" i="50"/>
  <c r="J21" i="50"/>
  <c r="J24" i="50"/>
  <c r="J25" i="50"/>
  <c r="X13" i="50"/>
  <c r="Z15" i="50"/>
  <c r="X21" i="50"/>
  <c r="X22" i="50"/>
  <c r="L29" i="52"/>
  <c r="Z21" i="46"/>
  <c r="X25" i="46"/>
  <c r="X29" i="46"/>
  <c r="X33" i="46"/>
  <c r="X34" i="46"/>
  <c r="Z13" i="47"/>
  <c r="Z16" i="47"/>
  <c r="Z20" i="47"/>
  <c r="X22" i="47"/>
  <c r="X24" i="47"/>
  <c r="Z21" i="49"/>
  <c r="X25" i="49"/>
  <c r="X29" i="49"/>
  <c r="X33" i="49"/>
  <c r="X34" i="49"/>
  <c r="Z13" i="50"/>
  <c r="Z16" i="50"/>
  <c r="Z20" i="50"/>
  <c r="Z24" i="50"/>
  <c r="Z25" i="50"/>
  <c r="X16" i="52"/>
  <c r="Z21" i="43"/>
  <c r="X25" i="43"/>
  <c r="X29" i="43"/>
  <c r="X33" i="43"/>
  <c r="X34" i="43"/>
  <c r="Z13" i="44"/>
  <c r="Z16" i="44"/>
  <c r="Z20" i="44"/>
  <c r="X22" i="44"/>
  <c r="X24" i="44"/>
  <c r="X12" i="46"/>
  <c r="R36" i="46"/>
  <c r="R34" i="46"/>
  <c r="R33" i="46"/>
  <c r="R31" i="46"/>
  <c r="R29" i="46"/>
  <c r="R27" i="46"/>
  <c r="R25" i="46"/>
  <c r="R24" i="46"/>
  <c r="R22" i="46"/>
  <c r="R21" i="46"/>
  <c r="R20" i="46"/>
  <c r="R18" i="46"/>
  <c r="R16" i="46"/>
  <c r="P18" i="46"/>
  <c r="R15" i="46"/>
  <c r="Z22" i="46"/>
  <c r="Z24" i="46"/>
  <c r="Z21" i="47"/>
  <c r="X25" i="47"/>
  <c r="X29" i="47"/>
  <c r="X33" i="47"/>
  <c r="X34" i="47"/>
  <c r="X12" i="49"/>
  <c r="R36" i="49"/>
  <c r="R34" i="49"/>
  <c r="R33" i="49"/>
  <c r="R31" i="49"/>
  <c r="R29" i="49"/>
  <c r="R27" i="49"/>
  <c r="R25" i="49"/>
  <c r="R24" i="49"/>
  <c r="R22" i="49"/>
  <c r="R21" i="49"/>
  <c r="R20" i="49"/>
  <c r="R18" i="49"/>
  <c r="R16" i="49"/>
  <c r="P18" i="49"/>
  <c r="R15" i="49"/>
  <c r="Z22" i="49"/>
  <c r="Z24" i="49"/>
  <c r="Z21" i="50"/>
  <c r="Z22" i="50"/>
  <c r="L33" i="50"/>
  <c r="N34" i="50"/>
  <c r="Z22" i="52"/>
  <c r="N25" i="53"/>
  <c r="R36" i="43"/>
  <c r="R34" i="43"/>
  <c r="R33" i="43"/>
  <c r="R31" i="43"/>
  <c r="R29" i="43"/>
  <c r="R27" i="43"/>
  <c r="R25" i="43"/>
  <c r="R24" i="43"/>
  <c r="R22" i="43"/>
  <c r="R20" i="43"/>
  <c r="R18" i="43"/>
  <c r="R16" i="43"/>
  <c r="P18" i="43"/>
  <c r="R15" i="43"/>
  <c r="R21" i="43"/>
  <c r="X12" i="43"/>
  <c r="Z22" i="43"/>
  <c r="Z24" i="43"/>
  <c r="Z21" i="44"/>
  <c r="X25" i="44"/>
  <c r="X29" i="44"/>
  <c r="X33" i="44"/>
  <c r="X34" i="44"/>
  <c r="Z12" i="46"/>
  <c r="V36" i="46"/>
  <c r="V34" i="46"/>
  <c r="V33" i="46"/>
  <c r="V31" i="46"/>
  <c r="V29" i="46"/>
  <c r="V27" i="46"/>
  <c r="V25" i="46"/>
  <c r="V24" i="46"/>
  <c r="V22" i="46"/>
  <c r="V21" i="46"/>
  <c r="V20" i="46"/>
  <c r="V18" i="46"/>
  <c r="V16" i="46"/>
  <c r="T18" i="46"/>
  <c r="V15" i="46"/>
  <c r="L15" i="46"/>
  <c r="Z25" i="46"/>
  <c r="Z29" i="46"/>
  <c r="Z33" i="46"/>
  <c r="Z34" i="46"/>
  <c r="X12" i="47"/>
  <c r="R36" i="47"/>
  <c r="R34" i="47"/>
  <c r="R33" i="47"/>
  <c r="R31" i="47"/>
  <c r="R29" i="47"/>
  <c r="R27" i="47"/>
  <c r="R25" i="47"/>
  <c r="R24" i="47"/>
  <c r="R22" i="47"/>
  <c r="R21" i="47"/>
  <c r="R20" i="47"/>
  <c r="R18" i="47"/>
  <c r="R16" i="47"/>
  <c r="P18" i="47"/>
  <c r="R15" i="47"/>
  <c r="Z22" i="47"/>
  <c r="Z24" i="47"/>
  <c r="Z12" i="49"/>
  <c r="V36" i="49"/>
  <c r="V34" i="49"/>
  <c r="V33" i="49"/>
  <c r="V31" i="49"/>
  <c r="V29" i="49"/>
  <c r="V27" i="49"/>
  <c r="V25" i="49"/>
  <c r="V24" i="49"/>
  <c r="V22" i="49"/>
  <c r="V21" i="49"/>
  <c r="V20" i="49"/>
  <c r="V18" i="49"/>
  <c r="V16" i="49"/>
  <c r="T18" i="49"/>
  <c r="V15" i="49"/>
  <c r="L15" i="49"/>
  <c r="Z25" i="49"/>
  <c r="Z29" i="49"/>
  <c r="Z33" i="49"/>
  <c r="Z34" i="49"/>
  <c r="R34" i="50"/>
  <c r="X12" i="50"/>
  <c r="R36" i="50"/>
  <c r="R22" i="50"/>
  <c r="R21" i="50"/>
  <c r="R25" i="50"/>
  <c r="R24" i="50"/>
  <c r="R20" i="50"/>
  <c r="R18" i="50"/>
  <c r="R16" i="50"/>
  <c r="R27" i="50"/>
  <c r="P18" i="50"/>
  <c r="R15" i="50"/>
  <c r="R29" i="50"/>
  <c r="R33" i="50"/>
  <c r="R31" i="50"/>
  <c r="V24" i="43"/>
  <c r="V22" i="43"/>
  <c r="V21" i="43"/>
  <c r="V20" i="43"/>
  <c r="V18" i="43"/>
  <c r="V16" i="43"/>
  <c r="V25" i="43"/>
  <c r="V15" i="43"/>
  <c r="V29" i="43"/>
  <c r="T18" i="43"/>
  <c r="V33" i="43"/>
  <c r="V36" i="43"/>
  <c r="V27" i="43"/>
  <c r="Z12" i="43"/>
  <c r="V31" i="43"/>
  <c r="V34" i="43"/>
  <c r="L15" i="43"/>
  <c r="Z25" i="43"/>
  <c r="Z29" i="43"/>
  <c r="Z33" i="43"/>
  <c r="Z34" i="43"/>
  <c r="R36" i="44"/>
  <c r="R34" i="44"/>
  <c r="R33" i="44"/>
  <c r="R31" i="44"/>
  <c r="R29" i="44"/>
  <c r="R27" i="44"/>
  <c r="R25" i="44"/>
  <c r="R24" i="44"/>
  <c r="R22" i="44"/>
  <c r="R21" i="44"/>
  <c r="P18" i="44"/>
  <c r="R15" i="44"/>
  <c r="X12" i="44"/>
  <c r="R20" i="44"/>
  <c r="R18" i="44"/>
  <c r="R16" i="44"/>
  <c r="Z22" i="44"/>
  <c r="Z24" i="44"/>
  <c r="L16" i="46"/>
  <c r="L20" i="46"/>
  <c r="Z12" i="47"/>
  <c r="V36" i="47"/>
  <c r="V34" i="47"/>
  <c r="V33" i="47"/>
  <c r="V31" i="47"/>
  <c r="V29" i="47"/>
  <c r="V27" i="47"/>
  <c r="V25" i="47"/>
  <c r="V24" i="47"/>
  <c r="V22" i="47"/>
  <c r="V21" i="47"/>
  <c r="V20" i="47"/>
  <c r="V18" i="47"/>
  <c r="V16" i="47"/>
  <c r="T18" i="47"/>
  <c r="V15" i="47"/>
  <c r="L15" i="47"/>
  <c r="Z25" i="47"/>
  <c r="Z29" i="47"/>
  <c r="Z33" i="47"/>
  <c r="Z34" i="47"/>
  <c r="L16" i="49"/>
  <c r="L20" i="49"/>
  <c r="V36" i="50"/>
  <c r="Z12" i="50"/>
  <c r="V22" i="50"/>
  <c r="V21" i="50"/>
  <c r="V25" i="50"/>
  <c r="V24" i="50"/>
  <c r="V20" i="50"/>
  <c r="V18" i="50"/>
  <c r="V16" i="50"/>
  <c r="V27" i="50"/>
  <c r="T18" i="50"/>
  <c r="V15" i="50"/>
  <c r="V29" i="50"/>
  <c r="V31" i="50"/>
  <c r="V33" i="50"/>
  <c r="V34" i="50"/>
  <c r="L15" i="50"/>
  <c r="L29" i="50"/>
  <c r="N33" i="50"/>
  <c r="F36" i="52"/>
  <c r="F34" i="52"/>
  <c r="F33" i="52"/>
  <c r="F31" i="52"/>
  <c r="F29" i="52"/>
  <c r="F27" i="52"/>
  <c r="F25" i="52"/>
  <c r="F21" i="52"/>
  <c r="F20" i="52"/>
  <c r="F18" i="52"/>
  <c r="F16" i="52"/>
  <c r="D18" i="52"/>
  <c r="F15" i="52"/>
  <c r="L12" i="52"/>
  <c r="F24" i="52"/>
  <c r="F22" i="52"/>
  <c r="N29" i="53"/>
  <c r="N15" i="46"/>
  <c r="L21" i="46"/>
  <c r="L16" i="47"/>
  <c r="L20" i="47"/>
  <c r="N15" i="49"/>
  <c r="L21" i="49"/>
  <c r="L16" i="50"/>
  <c r="L20" i="50"/>
  <c r="X34" i="50"/>
  <c r="X12" i="52"/>
  <c r="R36" i="52"/>
  <c r="R24" i="52"/>
  <c r="R22" i="52"/>
  <c r="R21" i="52"/>
  <c r="R20" i="52"/>
  <c r="R18" i="52"/>
  <c r="R16" i="52"/>
  <c r="R31" i="52"/>
  <c r="P18" i="52"/>
  <c r="R29" i="52"/>
  <c r="R34" i="52"/>
  <c r="R27" i="52"/>
  <c r="R15" i="52"/>
  <c r="R33" i="52"/>
  <c r="R25" i="52"/>
  <c r="Z24" i="52"/>
  <c r="N16" i="46"/>
  <c r="N20" i="46"/>
  <c r="L22" i="46"/>
  <c r="L24" i="46"/>
  <c r="N15" i="47"/>
  <c r="L21" i="47"/>
  <c r="N16" i="49"/>
  <c r="N20" i="49"/>
  <c r="L22" i="49"/>
  <c r="L24" i="49"/>
  <c r="N15" i="50"/>
  <c r="L21" i="50"/>
  <c r="L24" i="50"/>
  <c r="L25" i="50"/>
  <c r="N29" i="50"/>
  <c r="L13" i="52"/>
  <c r="L25" i="52"/>
  <c r="L33" i="52"/>
  <c r="N33" i="53"/>
  <c r="N16" i="43"/>
  <c r="N20" i="43"/>
  <c r="L22" i="43"/>
  <c r="L24" i="43"/>
  <c r="N15" i="44"/>
  <c r="L21" i="44"/>
  <c r="L13" i="46"/>
  <c r="N21" i="46"/>
  <c r="L25" i="46"/>
  <c r="L29" i="46"/>
  <c r="L33" i="46"/>
  <c r="L34" i="46"/>
  <c r="N16" i="47"/>
  <c r="N20" i="47"/>
  <c r="L22" i="47"/>
  <c r="L24" i="47"/>
  <c r="L13" i="49"/>
  <c r="N21" i="49"/>
  <c r="L25" i="49"/>
  <c r="L29" i="49"/>
  <c r="L33" i="49"/>
  <c r="L34" i="49"/>
  <c r="N16" i="50"/>
  <c r="N20" i="50"/>
  <c r="L22" i="50"/>
  <c r="X33" i="50"/>
  <c r="Z34" i="50"/>
  <c r="X20" i="52"/>
  <c r="X15" i="53"/>
  <c r="N34" i="53"/>
  <c r="X15" i="52"/>
  <c r="N25" i="52"/>
  <c r="N29" i="52"/>
  <c r="N33" i="52"/>
  <c r="N34" i="52"/>
  <c r="N13" i="53"/>
  <c r="N22" i="53"/>
  <c r="N24" i="53"/>
  <c r="J21" i="52"/>
  <c r="H18" i="52"/>
  <c r="J15" i="52"/>
  <c r="N12" i="52"/>
  <c r="J24" i="52"/>
  <c r="J22" i="52"/>
  <c r="J33" i="52"/>
  <c r="J25" i="52"/>
  <c r="J20" i="52"/>
  <c r="J31" i="52"/>
  <c r="J18" i="52"/>
  <c r="J36" i="52"/>
  <c r="J29" i="52"/>
  <c r="J16" i="52"/>
  <c r="J34" i="52"/>
  <c r="J27" i="52"/>
  <c r="X13" i="52"/>
  <c r="Z15" i="52"/>
  <c r="X21" i="52"/>
  <c r="F24" i="53"/>
  <c r="F22" i="53"/>
  <c r="F21" i="53"/>
  <c r="F20" i="53"/>
  <c r="F18" i="53"/>
  <c r="F16" i="53"/>
  <c r="D18" i="53"/>
  <c r="F15" i="53"/>
  <c r="L12" i="53"/>
  <c r="F36" i="53"/>
  <c r="F34" i="53"/>
  <c r="F33" i="53"/>
  <c r="F31" i="53"/>
  <c r="F29" i="53"/>
  <c r="F27" i="53"/>
  <c r="F25" i="53"/>
  <c r="X16" i="53"/>
  <c r="X20" i="53"/>
  <c r="Z13" i="52"/>
  <c r="Z16" i="52"/>
  <c r="Z20" i="52"/>
  <c r="X22" i="52"/>
  <c r="X24" i="52"/>
  <c r="J20" i="53"/>
  <c r="J18" i="53"/>
  <c r="J16" i="53"/>
  <c r="H18" i="53"/>
  <c r="N12" i="53"/>
  <c r="J36" i="53"/>
  <c r="J34" i="53"/>
  <c r="J33" i="53"/>
  <c r="J31" i="53"/>
  <c r="J29" i="53"/>
  <c r="J27" i="53"/>
  <c r="J25" i="53"/>
  <c r="J21" i="53"/>
  <c r="J15" i="53"/>
  <c r="J24" i="53"/>
  <c r="J22" i="53"/>
  <c r="X13" i="53"/>
  <c r="Z15" i="53"/>
  <c r="X21" i="53"/>
  <c r="Z21" i="52"/>
  <c r="X25" i="52"/>
  <c r="X29" i="52"/>
  <c r="X33" i="52"/>
  <c r="X34" i="52"/>
  <c r="Z13" i="53"/>
  <c r="Z16" i="53"/>
  <c r="Z20" i="53"/>
  <c r="X22" i="53"/>
  <c r="X24" i="53"/>
  <c r="Z21" i="53"/>
  <c r="X25" i="53"/>
  <c r="X29" i="53"/>
  <c r="X33" i="53"/>
  <c r="X34" i="53"/>
  <c r="Z12" i="52"/>
  <c r="V36" i="52"/>
  <c r="V34" i="52"/>
  <c r="V33" i="52"/>
  <c r="V31" i="52"/>
  <c r="V29" i="52"/>
  <c r="V27" i="52"/>
  <c r="V25" i="52"/>
  <c r="V24" i="52"/>
  <c r="V22" i="52"/>
  <c r="V20" i="52"/>
  <c r="V18" i="52"/>
  <c r="V16" i="52"/>
  <c r="T18" i="52"/>
  <c r="V15" i="52"/>
  <c r="V21" i="52"/>
  <c r="L15" i="52"/>
  <c r="Z25" i="52"/>
  <c r="Z29" i="52"/>
  <c r="Z33" i="52"/>
  <c r="Z34" i="52"/>
  <c r="X12" i="53"/>
  <c r="R36" i="53"/>
  <c r="R34" i="53"/>
  <c r="R33" i="53"/>
  <c r="R31" i="53"/>
  <c r="R29" i="53"/>
  <c r="R27" i="53"/>
  <c r="R25" i="53"/>
  <c r="R24" i="53"/>
  <c r="R22" i="53"/>
  <c r="R21" i="53"/>
  <c r="R20" i="53"/>
  <c r="R18" i="53"/>
  <c r="R16" i="53"/>
  <c r="P18" i="53"/>
  <c r="R15" i="53"/>
  <c r="Z22" i="53"/>
  <c r="Z24" i="53"/>
  <c r="L34" i="50"/>
  <c r="L16" i="52"/>
  <c r="L20" i="52"/>
  <c r="Z12" i="53"/>
  <c r="V36" i="53"/>
  <c r="V34" i="53"/>
  <c r="V33" i="53"/>
  <c r="V31" i="53"/>
  <c r="V29" i="53"/>
  <c r="V27" i="53"/>
  <c r="V25" i="53"/>
  <c r="V24" i="53"/>
  <c r="V22" i="53"/>
  <c r="V21" i="53"/>
  <c r="V20" i="53"/>
  <c r="V18" i="53"/>
  <c r="V16" i="53"/>
  <c r="T18" i="53"/>
  <c r="V15" i="53"/>
  <c r="L15" i="53"/>
  <c r="Z25" i="53"/>
  <c r="Z29" i="53"/>
  <c r="Z33" i="53"/>
  <c r="Z34" i="53"/>
  <c r="N15" i="52"/>
  <c r="L21" i="52"/>
  <c r="L16" i="53"/>
  <c r="L20" i="53"/>
  <c r="N16" i="52"/>
  <c r="N20" i="52"/>
  <c r="L22" i="52"/>
  <c r="L24" i="52"/>
  <c r="N15" i="53"/>
  <c r="L21" i="53"/>
  <c r="N16" i="53"/>
  <c r="N20" i="53"/>
  <c r="L22" i="53"/>
  <c r="L24" i="53"/>
  <c r="N13" i="52"/>
  <c r="N22" i="52"/>
  <c r="N24" i="52"/>
  <c r="L13" i="53"/>
  <c r="N21" i="53"/>
  <c r="L25" i="53"/>
  <c r="L29" i="53"/>
  <c r="L33" i="53"/>
  <c r="L34" i="53"/>
  <c r="X20" i="112"/>
  <c r="R21" i="110"/>
  <c r="R20" i="110"/>
  <c r="R18" i="110"/>
  <c r="R16" i="110"/>
  <c r="P18" i="110"/>
  <c r="R15" i="110"/>
  <c r="X12" i="110"/>
  <c r="R24" i="110"/>
  <c r="R22" i="110"/>
  <c r="R29" i="110"/>
  <c r="R27" i="110"/>
  <c r="R25" i="110"/>
  <c r="R36" i="110"/>
  <c r="R31" i="110"/>
  <c r="R34" i="110"/>
  <c r="R33" i="110"/>
  <c r="X24" i="111"/>
  <c r="Z13" i="111"/>
  <c r="Z22" i="110"/>
  <c r="Z16" i="111"/>
  <c r="Z24" i="110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D18" i="112"/>
  <c r="F15" i="112"/>
  <c r="L12" i="112"/>
  <c r="Z20" i="111"/>
  <c r="X22" i="111"/>
  <c r="X16" i="112"/>
  <c r="Z21" i="110"/>
  <c r="X25" i="110"/>
  <c r="X29" i="110"/>
  <c r="X33" i="110"/>
  <c r="X34" i="110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H18" i="111"/>
  <c r="J15" i="111"/>
  <c r="N12" i="111"/>
  <c r="X13" i="111"/>
  <c r="Z15" i="111"/>
  <c r="X21" i="111"/>
  <c r="X15" i="112"/>
  <c r="N25" i="112"/>
  <c r="N29" i="112"/>
  <c r="N33" i="112"/>
  <c r="N34" i="112"/>
  <c r="T18" i="110"/>
  <c r="V15" i="110"/>
  <c r="Z12" i="110"/>
  <c r="V36" i="110"/>
  <c r="V34" i="110"/>
  <c r="V33" i="110"/>
  <c r="V31" i="110"/>
  <c r="V29" i="110"/>
  <c r="V27" i="110"/>
  <c r="V25" i="110"/>
  <c r="V24" i="110"/>
  <c r="V22" i="110"/>
  <c r="V20" i="110"/>
  <c r="V18" i="110"/>
  <c r="V16" i="110"/>
  <c r="V21" i="110"/>
  <c r="L15" i="110"/>
  <c r="Z25" i="110"/>
  <c r="Z29" i="110"/>
  <c r="Z33" i="110"/>
  <c r="Z34" i="110"/>
  <c r="Z21" i="111"/>
  <c r="X25" i="111"/>
  <c r="X29" i="111"/>
  <c r="X33" i="111"/>
  <c r="X34" i="111"/>
  <c r="J21" i="112"/>
  <c r="J20" i="112"/>
  <c r="J18" i="112"/>
  <c r="J16" i="112"/>
  <c r="H18" i="112"/>
  <c r="J15" i="112"/>
  <c r="N12" i="112"/>
  <c r="J24" i="112"/>
  <c r="J22" i="112"/>
  <c r="J36" i="112"/>
  <c r="J34" i="112"/>
  <c r="J33" i="112"/>
  <c r="J31" i="112"/>
  <c r="J29" i="112"/>
  <c r="J27" i="112"/>
  <c r="J25" i="112"/>
  <c r="X13" i="112"/>
  <c r="Z15" i="112"/>
  <c r="X21" i="112"/>
  <c r="L16" i="110"/>
  <c r="L20" i="110"/>
  <c r="P18" i="111"/>
  <c r="R15" i="111"/>
  <c r="X12" i="111"/>
  <c r="R36" i="111"/>
  <c r="R34" i="111"/>
  <c r="R33" i="111"/>
  <c r="R31" i="111"/>
  <c r="R29" i="111"/>
  <c r="R27" i="111"/>
  <c r="R25" i="111"/>
  <c r="R24" i="111"/>
  <c r="R22" i="111"/>
  <c r="R20" i="111"/>
  <c r="R18" i="111"/>
  <c r="R16" i="111"/>
  <c r="R21" i="111"/>
  <c r="Z22" i="111"/>
  <c r="Z24" i="111"/>
  <c r="Z13" i="112"/>
  <c r="Z16" i="112"/>
  <c r="Z20" i="112"/>
  <c r="X22" i="112"/>
  <c r="X24" i="112"/>
  <c r="N15" i="110"/>
  <c r="L21" i="110"/>
  <c r="Z12" i="111"/>
  <c r="V36" i="111"/>
  <c r="V34" i="111"/>
  <c r="V33" i="111"/>
  <c r="V31" i="111"/>
  <c r="V29" i="111"/>
  <c r="V27" i="111"/>
  <c r="V25" i="111"/>
  <c r="V24" i="111"/>
  <c r="V22" i="111"/>
  <c r="V21" i="111"/>
  <c r="V20" i="111"/>
  <c r="V18" i="111"/>
  <c r="V16" i="111"/>
  <c r="T18" i="111"/>
  <c r="V15" i="111"/>
  <c r="L15" i="111"/>
  <c r="Z25" i="111"/>
  <c r="Z29" i="111"/>
  <c r="Z33" i="111"/>
  <c r="Z34" i="111"/>
  <c r="Z21" i="112"/>
  <c r="X25" i="112"/>
  <c r="X29" i="112"/>
  <c r="X33" i="112"/>
  <c r="X34" i="112"/>
  <c r="N16" i="110"/>
  <c r="N20" i="110"/>
  <c r="L22" i="110"/>
  <c r="L24" i="110"/>
  <c r="L16" i="111"/>
  <c r="L20" i="111"/>
  <c r="X12" i="112"/>
  <c r="R36" i="112"/>
  <c r="R34" i="112"/>
  <c r="R33" i="112"/>
  <c r="R31" i="112"/>
  <c r="R29" i="112"/>
  <c r="R27" i="112"/>
  <c r="R25" i="112"/>
  <c r="R24" i="112"/>
  <c r="R22" i="112"/>
  <c r="R21" i="112"/>
  <c r="R20" i="112"/>
  <c r="R18" i="112"/>
  <c r="R16" i="112"/>
  <c r="R15" i="112"/>
  <c r="P18" i="112"/>
  <c r="Z22" i="112"/>
  <c r="Z24" i="112"/>
  <c r="L13" i="110"/>
  <c r="N21" i="110"/>
  <c r="L25" i="110"/>
  <c r="L29" i="110"/>
  <c r="L33" i="110"/>
  <c r="L34" i="110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1" i="112"/>
  <c r="V20" i="112"/>
  <c r="V18" i="112"/>
  <c r="V16" i="112"/>
  <c r="T18" i="112"/>
  <c r="V15" i="112"/>
  <c r="L15" i="112"/>
  <c r="Z25" i="112"/>
  <c r="Z29" i="112"/>
  <c r="Z33" i="112"/>
  <c r="Z34" i="112"/>
  <c r="N13" i="110"/>
  <c r="N22" i="110"/>
  <c r="N24" i="110"/>
  <c r="N16" i="111"/>
  <c r="N20" i="111"/>
  <c r="L22" i="111"/>
  <c r="L24" i="111"/>
  <c r="L16" i="112"/>
  <c r="L20" i="112"/>
  <c r="X15" i="110"/>
  <c r="N25" i="110"/>
  <c r="N29" i="110"/>
  <c r="N33" i="110"/>
  <c r="N34" i="110"/>
  <c r="L13" i="111"/>
  <c r="N21" i="111"/>
  <c r="L25" i="111"/>
  <c r="L29" i="111"/>
  <c r="L33" i="111"/>
  <c r="L34" i="111"/>
  <c r="N15" i="112"/>
  <c r="L21" i="112"/>
  <c r="L12" i="110"/>
  <c r="F36" i="110"/>
  <c r="F34" i="110"/>
  <c r="F33" i="110"/>
  <c r="F31" i="110"/>
  <c r="F29" i="110"/>
  <c r="F27" i="110"/>
  <c r="F25" i="110"/>
  <c r="F24" i="110"/>
  <c r="F22" i="110"/>
  <c r="F21" i="110"/>
  <c r="F20" i="110"/>
  <c r="F18" i="110"/>
  <c r="F16" i="110"/>
  <c r="D18" i="110"/>
  <c r="F15" i="110"/>
  <c r="X16" i="110"/>
  <c r="X20" i="110"/>
  <c r="N13" i="111"/>
  <c r="N22" i="111"/>
  <c r="N24" i="111"/>
  <c r="N16" i="112"/>
  <c r="N20" i="112"/>
  <c r="L22" i="112"/>
  <c r="L24" i="112"/>
  <c r="J36" i="110"/>
  <c r="J34" i="110"/>
  <c r="J33" i="110"/>
  <c r="J31" i="110"/>
  <c r="J29" i="110"/>
  <c r="J27" i="110"/>
  <c r="J25" i="110"/>
  <c r="J24" i="110"/>
  <c r="J22" i="110"/>
  <c r="J21" i="110"/>
  <c r="J20" i="110"/>
  <c r="J18" i="110"/>
  <c r="J16" i="110"/>
  <c r="H18" i="110"/>
  <c r="J15" i="110"/>
  <c r="N12" i="110"/>
  <c r="X13" i="110"/>
  <c r="Z15" i="110"/>
  <c r="X21" i="110"/>
  <c r="X15" i="111"/>
  <c r="N25" i="111"/>
  <c r="N29" i="111"/>
  <c r="N33" i="111"/>
  <c r="N34" i="111"/>
  <c r="L13" i="112"/>
  <c r="N21" i="112"/>
  <c r="L25" i="112"/>
  <c r="L29" i="112"/>
  <c r="L33" i="112"/>
  <c r="L34" i="112"/>
  <c r="Z13" i="110"/>
  <c r="Z16" i="110"/>
  <c r="Z20" i="110"/>
  <c r="X22" i="110"/>
  <c r="X24" i="110"/>
  <c r="F36" i="111"/>
  <c r="F34" i="111"/>
  <c r="F33" i="111"/>
  <c r="F31" i="111"/>
  <c r="F29" i="111"/>
  <c r="F27" i="111"/>
  <c r="F25" i="111"/>
  <c r="F24" i="111"/>
  <c r="F22" i="111"/>
  <c r="F21" i="111"/>
  <c r="F20" i="111"/>
  <c r="F18" i="111"/>
  <c r="F16" i="111"/>
  <c r="D18" i="111"/>
  <c r="F15" i="111"/>
  <c r="L12" i="111"/>
  <c r="X16" i="111"/>
  <c r="X20" i="111"/>
  <c r="N13" i="112"/>
  <c r="N22" i="112"/>
  <c r="N24" i="112"/>
  <c r="N56" i="3"/>
  <c r="Z16" i="3"/>
  <c r="Z20" i="3"/>
  <c r="Z24" i="3"/>
  <c r="Z28" i="3"/>
  <c r="N48" i="3"/>
  <c r="Z60" i="3"/>
  <c r="N44" i="3"/>
  <c r="Z48" i="3"/>
  <c r="N40" i="3"/>
  <c r="Z44" i="3"/>
  <c r="Z39" i="3"/>
  <c r="N36" i="3"/>
  <c r="Z40" i="3"/>
  <c r="N68" i="3"/>
  <c r="Z70" i="3"/>
  <c r="Z59" i="3"/>
  <c r="Z23" i="3"/>
  <c r="N32" i="3"/>
  <c r="Z36" i="3"/>
  <c r="N64" i="3"/>
  <c r="N85" i="3"/>
  <c r="Z91" i="3"/>
  <c r="Z103" i="3"/>
  <c r="F302" i="3"/>
  <c r="F297" i="3"/>
  <c r="F296" i="3"/>
  <c r="F289" i="3"/>
  <c r="F269" i="3"/>
  <c r="F257" i="3"/>
  <c r="F256" i="3"/>
  <c r="F245" i="3"/>
  <c r="F237" i="3"/>
  <c r="F236" i="3"/>
  <c r="F229" i="3"/>
  <c r="F221" i="3"/>
  <c r="F220" i="3"/>
  <c r="F200" i="3"/>
  <c r="F193" i="3"/>
  <c r="F189" i="3"/>
  <c r="F185" i="3"/>
  <c r="F181" i="3"/>
  <c r="F177" i="3"/>
  <c r="F173" i="3"/>
  <c r="F169" i="3"/>
  <c r="F165" i="3"/>
  <c r="F161" i="3"/>
  <c r="F157" i="3"/>
  <c r="F153" i="3"/>
  <c r="F149" i="3"/>
  <c r="F145" i="3"/>
  <c r="F141" i="3"/>
  <c r="F301" i="3"/>
  <c r="F284" i="3"/>
  <c r="F280" i="3"/>
  <c r="F264" i="3"/>
  <c r="F263" i="3"/>
  <c r="F216" i="3"/>
  <c r="F312" i="3"/>
  <c r="F300" i="3"/>
  <c r="F291" i="3"/>
  <c r="F290" i="3"/>
  <c r="F275" i="3"/>
  <c r="F259" i="3"/>
  <c r="F258" i="3"/>
  <c r="F247" i="3"/>
  <c r="F246" i="3"/>
  <c r="F239" i="3"/>
  <c r="F238" i="3"/>
  <c r="F223" i="3"/>
  <c r="F222" i="3"/>
  <c r="F211" i="3"/>
  <c r="F207" i="3"/>
  <c r="F203" i="3"/>
  <c r="F316" i="3"/>
  <c r="F311" i="3"/>
  <c r="F270" i="3"/>
  <c r="F230" i="3"/>
  <c r="F194" i="3"/>
  <c r="F190" i="3"/>
  <c r="F186" i="3"/>
  <c r="F182" i="3"/>
  <c r="F178" i="3"/>
  <c r="F174" i="3"/>
  <c r="F170" i="3"/>
  <c r="F166" i="3"/>
  <c r="F162" i="3"/>
  <c r="F158" i="3"/>
  <c r="F154" i="3"/>
  <c r="F150" i="3"/>
  <c r="F146" i="3"/>
  <c r="F142" i="3"/>
  <c r="F138" i="3"/>
  <c r="F137" i="3"/>
  <c r="F310" i="3"/>
  <c r="F293" i="3"/>
  <c r="F292" i="3"/>
  <c r="F285" i="3"/>
  <c r="F281" i="3"/>
  <c r="F277" i="3"/>
  <c r="F276" i="3"/>
  <c r="F265" i="3"/>
  <c r="F249" i="3"/>
  <c r="F248" i="3"/>
  <c r="F241" i="3"/>
  <c r="F240" i="3"/>
  <c r="F217" i="3"/>
  <c r="F213" i="3"/>
  <c r="F212" i="3"/>
  <c r="F309" i="3"/>
  <c r="F260" i="3"/>
  <c r="F232" i="3"/>
  <c r="F231" i="3"/>
  <c r="F224" i="3"/>
  <c r="F208" i="3"/>
  <c r="F204" i="3"/>
  <c r="F307" i="3"/>
  <c r="F294" i="3"/>
  <c r="F286" i="3"/>
  <c r="F282" i="3"/>
  <c r="F278" i="3"/>
  <c r="F266" i="3"/>
  <c r="F242" i="3"/>
  <c r="F226" i="3"/>
  <c r="F225" i="3"/>
  <c r="F218" i="3"/>
  <c r="F214" i="3"/>
  <c r="F306" i="3"/>
  <c r="F261" i="3"/>
  <c r="F253" i="3"/>
  <c r="F252" i="3"/>
  <c r="F233" i="3"/>
  <c r="F209" i="3"/>
  <c r="F205" i="3"/>
  <c r="F305" i="3"/>
  <c r="F288" i="3"/>
  <c r="F287" i="3"/>
  <c r="F272" i="3"/>
  <c r="F268" i="3"/>
  <c r="F267" i="3"/>
  <c r="F244" i="3"/>
  <c r="F243" i="3"/>
  <c r="F228" i="3"/>
  <c r="F227" i="3"/>
  <c r="F196" i="3"/>
  <c r="F192" i="3"/>
  <c r="F188" i="3"/>
  <c r="F184" i="3"/>
  <c r="F180" i="3"/>
  <c r="F176" i="3"/>
  <c r="F172" i="3"/>
  <c r="F168" i="3"/>
  <c r="F164" i="3"/>
  <c r="F160" i="3"/>
  <c r="F156" i="3"/>
  <c r="F152" i="3"/>
  <c r="F148" i="3"/>
  <c r="F144" i="3"/>
  <c r="F140" i="3"/>
  <c r="F303" i="3"/>
  <c r="F274" i="3"/>
  <c r="F273" i="3"/>
  <c r="F262" i="3"/>
  <c r="F210" i="3"/>
  <c r="F206" i="3"/>
  <c r="F202" i="3"/>
  <c r="F201" i="3"/>
  <c r="F321" i="3"/>
  <c r="F295" i="3"/>
  <c r="F195" i="3"/>
  <c r="F251" i="3"/>
  <c r="F187" i="3"/>
  <c r="F171" i="3"/>
  <c r="F283" i="3"/>
  <c r="F215" i="3"/>
  <c r="D198" i="3"/>
  <c r="F175" i="3"/>
  <c r="F255" i="3"/>
  <c r="F271" i="3"/>
  <c r="F234" i="3"/>
  <c r="F151" i="3"/>
  <c r="F147" i="3"/>
  <c r="F304" i="3"/>
  <c r="F143" i="3"/>
  <c r="F139" i="3"/>
  <c r="L12" i="3"/>
  <c r="F254" i="3"/>
  <c r="F179" i="3"/>
  <c r="F155" i="3"/>
  <c r="F320" i="3"/>
  <c r="F250" i="3"/>
  <c r="F219" i="3"/>
  <c r="F191" i="3"/>
  <c r="F159" i="3"/>
  <c r="F279" i="3"/>
  <c r="F235" i="3"/>
  <c r="F183" i="3"/>
  <c r="F163" i="3"/>
  <c r="F308" i="3"/>
  <c r="F167" i="3"/>
  <c r="Z43" i="3"/>
  <c r="N52" i="3"/>
  <c r="N81" i="3"/>
  <c r="N47" i="9"/>
  <c r="T12" i="3"/>
  <c r="L43" i="3"/>
  <c r="N43" i="3" s="1"/>
  <c r="L47" i="3"/>
  <c r="N47" i="3" s="1"/>
  <c r="L51" i="3"/>
  <c r="N51" i="3" s="1"/>
  <c r="L55" i="3"/>
  <c r="N55" i="3" s="1"/>
  <c r="N23" i="3"/>
  <c r="N39" i="3"/>
  <c r="N63" i="3"/>
  <c r="N67" i="3"/>
  <c r="L103" i="3"/>
  <c r="N103" i="3" s="1"/>
  <c r="L111" i="3"/>
  <c r="X119" i="3"/>
  <c r="Z119" i="3" s="1"/>
  <c r="N83" i="3"/>
  <c r="Z87" i="3"/>
  <c r="X89" i="3"/>
  <c r="Z89" i="3" s="1"/>
  <c r="N97" i="3"/>
  <c r="X106" i="3"/>
  <c r="Z106" i="3" s="1"/>
  <c r="Z114" i="3"/>
  <c r="L123" i="3"/>
  <c r="Z126" i="3"/>
  <c r="L135" i="3"/>
  <c r="N321" i="3"/>
  <c r="L47" i="9"/>
  <c r="P12" i="12"/>
  <c r="Z19" i="12"/>
  <c r="Z55" i="12"/>
  <c r="X55" i="12"/>
  <c r="Z105" i="12"/>
  <c r="V186" i="12"/>
  <c r="V194" i="12"/>
  <c r="X23" i="3"/>
  <c r="X67" i="3"/>
  <c r="Z67" i="3" s="1"/>
  <c r="L79" i="3"/>
  <c r="N79" i="3" s="1"/>
  <c r="L91" i="3"/>
  <c r="N91" i="3" s="1"/>
  <c r="L113" i="3"/>
  <c r="N113" i="3" s="1"/>
  <c r="Z116" i="3"/>
  <c r="Z128" i="3"/>
  <c r="Z321" i="3"/>
  <c r="Z103" i="12"/>
  <c r="X103" i="12"/>
  <c r="V134" i="12"/>
  <c r="X15" i="3"/>
  <c r="Z15" i="3" s="1"/>
  <c r="X19" i="3"/>
  <c r="Z19" i="3" s="1"/>
  <c r="X27" i="3"/>
  <c r="Z27" i="3" s="1"/>
  <c r="X31" i="3"/>
  <c r="Z31" i="3" s="1"/>
  <c r="X35" i="3"/>
  <c r="Z35" i="3" s="1"/>
  <c r="X39" i="3"/>
  <c r="X43" i="3"/>
  <c r="X47" i="3"/>
  <c r="Z47" i="3" s="1"/>
  <c r="X51" i="3"/>
  <c r="Z51" i="3" s="1"/>
  <c r="X55" i="3"/>
  <c r="Z55" i="3" s="1"/>
  <c r="X59" i="3"/>
  <c r="X63" i="3"/>
  <c r="Z63" i="3" s="1"/>
  <c r="L69" i="3"/>
  <c r="N69" i="3" s="1"/>
  <c r="X83" i="3"/>
  <c r="Z83" i="3" s="1"/>
  <c r="N88" i="3"/>
  <c r="X94" i="3"/>
  <c r="Z94" i="3" s="1"/>
  <c r="Z100" i="3"/>
  <c r="X103" i="3"/>
  <c r="X111" i="3"/>
  <c r="Z111" i="3" s="1"/>
  <c r="X113" i="3"/>
  <c r="Z113" i="3" s="1"/>
  <c r="X118" i="3"/>
  <c r="Z118" i="3" s="1"/>
  <c r="X123" i="3"/>
  <c r="Z123" i="3" s="1"/>
  <c r="X125" i="3"/>
  <c r="Z125" i="3" s="1"/>
  <c r="N127" i="3"/>
  <c r="X130" i="3"/>
  <c r="Z130" i="3" s="1"/>
  <c r="N225" i="3"/>
  <c r="L225" i="3"/>
  <c r="Z308" i="3"/>
  <c r="P31" i="6"/>
  <c r="N28" i="6"/>
  <c r="N18" i="9"/>
  <c r="Z42" i="12"/>
  <c r="Z74" i="12"/>
  <c r="Z110" i="12"/>
  <c r="Z80" i="3"/>
  <c r="N72" i="3"/>
  <c r="Z76" i="3"/>
  <c r="X105" i="3"/>
  <c r="Z105" i="3" s="1"/>
  <c r="Z108" i="3"/>
  <c r="Z301" i="3"/>
  <c r="X301" i="3"/>
  <c r="T299" i="3"/>
  <c r="N43" i="9"/>
  <c r="Z36" i="12"/>
  <c r="X36" i="12"/>
  <c r="X68" i="12"/>
  <c r="Z68" i="12" s="1"/>
  <c r="N93" i="3"/>
  <c r="N250" i="3"/>
  <c r="X26" i="12"/>
  <c r="Z26" i="12" s="1"/>
  <c r="Z38" i="12"/>
  <c r="Z52" i="12"/>
  <c r="X52" i="12"/>
  <c r="N76" i="3"/>
  <c r="Z92" i="3"/>
  <c r="H12" i="3"/>
  <c r="X79" i="3"/>
  <c r="Z79" i="3" s="1"/>
  <c r="Z88" i="3"/>
  <c r="X91" i="3"/>
  <c r="Z120" i="3"/>
  <c r="Z132" i="3"/>
  <c r="D299" i="3"/>
  <c r="L299" i="3" s="1"/>
  <c r="N299" i="3" s="1"/>
  <c r="N307" i="3"/>
  <c r="L307" i="3"/>
  <c r="D91" i="9"/>
  <c r="X22" i="12"/>
  <c r="Z22" i="12" s="1"/>
  <c r="N43" i="12"/>
  <c r="Z45" i="12"/>
  <c r="N75" i="12"/>
  <c r="Z84" i="12"/>
  <c r="X84" i="12"/>
  <c r="X57" i="21"/>
  <c r="Z57" i="21" s="1"/>
  <c r="V270" i="12"/>
  <c r="V236" i="12"/>
  <c r="V232" i="12"/>
  <c r="V220" i="12"/>
  <c r="V208" i="12"/>
  <c r="V184" i="12"/>
  <c r="V180" i="12"/>
  <c r="V269" i="12"/>
  <c r="V255" i="12"/>
  <c r="V247" i="12"/>
  <c r="V243" i="12"/>
  <c r="V227" i="12"/>
  <c r="V219" i="12"/>
  <c r="V199" i="12"/>
  <c r="V191" i="12"/>
  <c r="V179" i="12"/>
  <c r="V175" i="12"/>
  <c r="V171" i="12"/>
  <c r="V268" i="12"/>
  <c r="V238" i="12"/>
  <c r="V267" i="12"/>
  <c r="V249" i="12"/>
  <c r="V233" i="12"/>
  <c r="V221" i="12"/>
  <c r="V209" i="12"/>
  <c r="V201" i="12"/>
  <c r="V193" i="12"/>
  <c r="V185" i="12"/>
  <c r="V181" i="12"/>
  <c r="V274" i="12"/>
  <c r="V266" i="12"/>
  <c r="V256" i="12"/>
  <c r="V248" i="12"/>
  <c r="V244" i="12"/>
  <c r="V240" i="12"/>
  <c r="V228" i="12"/>
  <c r="V212" i="12"/>
  <c r="V200" i="12"/>
  <c r="V192" i="12"/>
  <c r="V176" i="12"/>
  <c r="V172" i="12"/>
  <c r="V265" i="12"/>
  <c r="V239" i="12"/>
  <c r="V223" i="12"/>
  <c r="V211" i="12"/>
  <c r="V203" i="12"/>
  <c r="V195" i="12"/>
  <c r="V263" i="12"/>
  <c r="V257" i="12"/>
  <c r="V245" i="12"/>
  <c r="V241" i="12"/>
  <c r="V229" i="12"/>
  <c r="V213" i="12"/>
  <c r="V205" i="12"/>
  <c r="V177" i="12"/>
  <c r="V173" i="12"/>
  <c r="V169" i="12"/>
  <c r="V262" i="12"/>
  <c r="V252" i="12"/>
  <c r="V224" i="12"/>
  <c r="V216" i="12"/>
  <c r="V204" i="12"/>
  <c r="V196" i="12"/>
  <c r="V188" i="12"/>
  <c r="V168" i="12"/>
  <c r="V166" i="12"/>
  <c r="V164" i="12"/>
  <c r="V160" i="12"/>
  <c r="V261" i="12"/>
  <c r="V259" i="12"/>
  <c r="V251" i="12"/>
  <c r="V235" i="12"/>
  <c r="V231" i="12"/>
  <c r="V215" i="12"/>
  <c r="V207" i="12"/>
  <c r="V187" i="12"/>
  <c r="V183" i="12"/>
  <c r="V253" i="12"/>
  <c r="V237" i="12"/>
  <c r="V225" i="12"/>
  <c r="V217" i="12"/>
  <c r="V197" i="12"/>
  <c r="V189" i="12"/>
  <c r="V234" i="12"/>
  <c r="V163" i="12"/>
  <c r="V141" i="12"/>
  <c r="V130" i="12"/>
  <c r="V128" i="12"/>
  <c r="V121" i="12"/>
  <c r="V246" i="12"/>
  <c r="V218" i="12"/>
  <c r="V202" i="12"/>
  <c r="T166" i="12"/>
  <c r="V161" i="12"/>
  <c r="V159" i="12"/>
  <c r="V139" i="12"/>
  <c r="V157" i="12"/>
  <c r="V150" i="12"/>
  <c r="V148" i="12"/>
  <c r="V137" i="12"/>
  <c r="V126" i="12"/>
  <c r="V119" i="12"/>
  <c r="V114" i="12"/>
  <c r="V250" i="12"/>
  <c r="V226" i="12"/>
  <c r="V214" i="12"/>
  <c r="V210" i="12"/>
  <c r="V206" i="12"/>
  <c r="V155" i="12"/>
  <c r="V135" i="12"/>
  <c r="V124" i="12"/>
  <c r="V112" i="12"/>
  <c r="V264" i="12"/>
  <c r="V254" i="12"/>
  <c r="V146" i="12"/>
  <c r="V144" i="12"/>
  <c r="V133" i="12"/>
  <c r="V117" i="12"/>
  <c r="V153" i="12"/>
  <c r="V131" i="12"/>
  <c r="V122" i="12"/>
  <c r="V170" i="12"/>
  <c r="V151" i="12"/>
  <c r="V142" i="12"/>
  <c r="V140" i="12"/>
  <c r="V129" i="12"/>
  <c r="V115" i="12"/>
  <c r="V242" i="12"/>
  <c r="V162" i="12"/>
  <c r="V127" i="12"/>
  <c r="V120" i="12"/>
  <c r="V258" i="12"/>
  <c r="V222" i="12"/>
  <c r="V190" i="12"/>
  <c r="V182" i="12"/>
  <c r="V174" i="12"/>
  <c r="V158" i="12"/>
  <c r="V156" i="12"/>
  <c r="V149" i="12"/>
  <c r="V138" i="12"/>
  <c r="V136" i="12"/>
  <c r="V125" i="12"/>
  <c r="V230" i="12"/>
  <c r="V178" i="12"/>
  <c r="V147" i="12"/>
  <c r="V118" i="12"/>
  <c r="V113" i="12"/>
  <c r="V198" i="12"/>
  <c r="V154" i="12"/>
  <c r="V152" i="12"/>
  <c r="V143" i="12"/>
  <c r="V116" i="12"/>
  <c r="Z72" i="3"/>
  <c r="N84" i="3"/>
  <c r="L87" i="3"/>
  <c r="N87" i="3" s="1"/>
  <c r="X93" i="3"/>
  <c r="Z93" i="3" s="1"/>
  <c r="N101" i="3"/>
  <c r="N104" i="3"/>
  <c r="Z110" i="3"/>
  <c r="N112" i="3"/>
  <c r="X115" i="3"/>
  <c r="Z115" i="3" s="1"/>
  <c r="X117" i="3"/>
  <c r="Z117" i="3" s="1"/>
  <c r="X122" i="3"/>
  <c r="Z122" i="3" s="1"/>
  <c r="N124" i="3"/>
  <c r="X127" i="3"/>
  <c r="Z127" i="3" s="1"/>
  <c r="X129" i="3"/>
  <c r="Z129" i="3" s="1"/>
  <c r="X134" i="3"/>
  <c r="Z250" i="3"/>
  <c r="N256" i="3"/>
  <c r="N273" i="3"/>
  <c r="L273" i="3"/>
  <c r="L29" i="6"/>
  <c r="Z18" i="9"/>
  <c r="X41" i="9"/>
  <c r="X18" i="12"/>
  <c r="Z18" i="12" s="1"/>
  <c r="N59" i="12"/>
  <c r="Z61" i="12"/>
  <c r="Z77" i="12"/>
  <c r="N91" i="12"/>
  <c r="Z93" i="12"/>
  <c r="X100" i="12"/>
  <c r="Z100" i="12" s="1"/>
  <c r="V123" i="12"/>
  <c r="N237" i="12"/>
  <c r="X87" i="12"/>
  <c r="Z87" i="12" s="1"/>
  <c r="N96" i="3"/>
  <c r="N117" i="3"/>
  <c r="X81" i="3"/>
  <c r="Z81" i="3" s="1"/>
  <c r="X90" i="3"/>
  <c r="Z90" i="3" s="1"/>
  <c r="Z96" i="3"/>
  <c r="N109" i="3"/>
  <c r="Z134" i="3"/>
  <c r="N201" i="3"/>
  <c r="L201" i="3"/>
  <c r="N29" i="6"/>
  <c r="Z41" i="9"/>
  <c r="L83" i="9"/>
  <c r="X14" i="12"/>
  <c r="Z14" i="12" s="1"/>
  <c r="Z231" i="3"/>
  <c r="X231" i="3"/>
  <c r="N83" i="9"/>
  <c r="V280" i="18"/>
  <c r="V274" i="18"/>
  <c r="V266" i="18"/>
  <c r="V250" i="18"/>
  <c r="V238" i="18"/>
  <c r="V226" i="18"/>
  <c r="V218" i="18"/>
  <c r="V210" i="18"/>
  <c r="V198" i="18"/>
  <c r="V194" i="18"/>
  <c r="V190" i="18"/>
  <c r="V279" i="18"/>
  <c r="V273" i="18"/>
  <c r="V261" i="18"/>
  <c r="V257" i="18"/>
  <c r="V245" i="18"/>
  <c r="V237" i="18"/>
  <c r="V217" i="18"/>
  <c r="V209" i="18"/>
  <c r="V181" i="18"/>
  <c r="V177" i="18"/>
  <c r="V173" i="18"/>
  <c r="V169" i="18"/>
  <c r="V165" i="18"/>
  <c r="V161" i="18"/>
  <c r="V157" i="18"/>
  <c r="V153" i="18"/>
  <c r="V149" i="18"/>
  <c r="V145" i="18"/>
  <c r="V141" i="18"/>
  <c r="V137" i="18"/>
  <c r="V133" i="18"/>
  <c r="V129" i="18"/>
  <c r="V278" i="18"/>
  <c r="V268" i="18"/>
  <c r="V256" i="18"/>
  <c r="V244" i="18"/>
  <c r="V240" i="18"/>
  <c r="V228" i="18"/>
  <c r="V204" i="18"/>
  <c r="V200" i="18"/>
  <c r="V289" i="18"/>
  <c r="V275" i="18"/>
  <c r="V267" i="18"/>
  <c r="V251" i="18"/>
  <c r="V239" i="18"/>
  <c r="V219" i="18"/>
  <c r="V211" i="18"/>
  <c r="V199" i="18"/>
  <c r="V195" i="18"/>
  <c r="V191" i="18"/>
  <c r="V288" i="18"/>
  <c r="V270" i="18"/>
  <c r="V262" i="18"/>
  <c r="V258" i="18"/>
  <c r="V246" i="18"/>
  <c r="V230" i="18"/>
  <c r="V182" i="18"/>
  <c r="V178" i="18"/>
  <c r="V174" i="18"/>
  <c r="V170" i="18"/>
  <c r="V166" i="18"/>
  <c r="V162" i="18"/>
  <c r="V158" i="18"/>
  <c r="V154" i="18"/>
  <c r="V150" i="18"/>
  <c r="V146" i="18"/>
  <c r="V142" i="18"/>
  <c r="V138" i="18"/>
  <c r="V134" i="18"/>
  <c r="V130" i="18"/>
  <c r="V287" i="18"/>
  <c r="V269" i="18"/>
  <c r="V241" i="18"/>
  <c r="V229" i="18"/>
  <c r="V221" i="18"/>
  <c r="V213" i="18"/>
  <c r="V205" i="18"/>
  <c r="V201" i="18"/>
  <c r="V286" i="18"/>
  <c r="V252" i="18"/>
  <c r="V293" i="18"/>
  <c r="V285" i="18"/>
  <c r="V271" i="18"/>
  <c r="V263" i="18"/>
  <c r="V259" i="18"/>
  <c r="V247" i="18"/>
  <c r="V231" i="18"/>
  <c r="V223" i="18"/>
  <c r="V215" i="18"/>
  <c r="V183" i="18"/>
  <c r="V179" i="18"/>
  <c r="V175" i="18"/>
  <c r="V171" i="18"/>
  <c r="V167" i="18"/>
  <c r="V163" i="18"/>
  <c r="V159" i="18"/>
  <c r="V155" i="18"/>
  <c r="V151" i="18"/>
  <c r="V147" i="18"/>
  <c r="V143" i="18"/>
  <c r="V139" i="18"/>
  <c r="V135" i="18"/>
  <c r="V131" i="18"/>
  <c r="V127" i="18"/>
  <c r="V284" i="18"/>
  <c r="V254" i="18"/>
  <c r="V242" i="18"/>
  <c r="V234" i="18"/>
  <c r="V222" i="18"/>
  <c r="V214" i="18"/>
  <c r="V206" i="18"/>
  <c r="V202" i="18"/>
  <c r="V283" i="18"/>
  <c r="V265" i="18"/>
  <c r="V253" i="18"/>
  <c r="V249" i="18"/>
  <c r="V233" i="18"/>
  <c r="V225" i="18"/>
  <c r="V197" i="18"/>
  <c r="V193" i="18"/>
  <c r="V189" i="18"/>
  <c r="V281" i="18"/>
  <c r="V255" i="18"/>
  <c r="V243" i="18"/>
  <c r="V235" i="18"/>
  <c r="V227" i="18"/>
  <c r="V207" i="18"/>
  <c r="V203" i="18"/>
  <c r="T186" i="18"/>
  <c r="V172" i="18"/>
  <c r="V148" i="18"/>
  <c r="V272" i="18"/>
  <c r="V156" i="18"/>
  <c r="V282" i="18"/>
  <c r="V192" i="18"/>
  <c r="V164" i="18"/>
  <c r="V220" i="18"/>
  <c r="V136" i="18"/>
  <c r="V128" i="18"/>
  <c r="V248" i="18"/>
  <c r="V184" i="18"/>
  <c r="V264" i="18"/>
  <c r="V208" i="18"/>
  <c r="V144" i="18"/>
  <c r="V232" i="18"/>
  <c r="V224" i="18"/>
  <c r="V176" i="18"/>
  <c r="V196" i="18"/>
  <c r="V188" i="18"/>
  <c r="V168" i="18"/>
  <c r="V152" i="18"/>
  <c r="V236" i="18"/>
  <c r="V212" i="18"/>
  <c r="V160" i="18"/>
  <c r="V260" i="18"/>
  <c r="V216" i="18"/>
  <c r="V180" i="18"/>
  <c r="V132" i="18"/>
  <c r="V140" i="18"/>
  <c r="N125" i="3"/>
  <c r="L15" i="3"/>
  <c r="N15" i="3" s="1"/>
  <c r="L19" i="3"/>
  <c r="N19" i="3" s="1"/>
  <c r="L59" i="3"/>
  <c r="N59" i="3" s="1"/>
  <c r="Z68" i="3"/>
  <c r="N80" i="3"/>
  <c r="Z84" i="3"/>
  <c r="Z104" i="3"/>
  <c r="Z112" i="3"/>
  <c r="L121" i="3"/>
  <c r="Z124" i="3"/>
  <c r="L133" i="3"/>
  <c r="N220" i="3"/>
  <c r="Z309" i="3"/>
  <c r="T22" i="6"/>
  <c r="Z16" i="6"/>
  <c r="X16" i="6"/>
  <c r="N19" i="9"/>
  <c r="Z53" i="9"/>
  <c r="Z27" i="12"/>
  <c r="Z41" i="12"/>
  <c r="Z73" i="12"/>
  <c r="N249" i="12"/>
  <c r="L249" i="12"/>
  <c r="P12" i="3"/>
  <c r="L27" i="3"/>
  <c r="N27" i="3" s="1"/>
  <c r="L31" i="3"/>
  <c r="N31" i="3" s="1"/>
  <c r="L35" i="3"/>
  <c r="N35" i="3" s="1"/>
  <c r="L92" i="3"/>
  <c r="Z256" i="3"/>
  <c r="X263" i="3"/>
  <c r="Z263" i="3" s="1"/>
  <c r="N51" i="9"/>
  <c r="N58" i="9"/>
  <c r="Z72" i="9"/>
  <c r="Z23" i="12"/>
  <c r="Z39" i="12"/>
  <c r="X39" i="12"/>
  <c r="Z57" i="12"/>
  <c r="Z71" i="12"/>
  <c r="X71" i="12"/>
  <c r="Z89" i="12"/>
  <c r="V145" i="12"/>
  <c r="L300" i="3"/>
  <c r="N300" i="3" s="1"/>
  <c r="V14" i="6"/>
  <c r="V16" i="6"/>
  <c r="V18" i="6"/>
  <c r="V20" i="6"/>
  <c r="V22" i="6"/>
  <c r="F28" i="6"/>
  <c r="F29" i="6"/>
  <c r="F31" i="6"/>
  <c r="H16" i="9"/>
  <c r="F19" i="9"/>
  <c r="F20" i="9"/>
  <c r="F24" i="9"/>
  <c r="F28" i="9"/>
  <c r="V31" i="9"/>
  <c r="V35" i="9"/>
  <c r="R40" i="9"/>
  <c r="R41" i="9"/>
  <c r="V43" i="9"/>
  <c r="F47" i="9"/>
  <c r="F48" i="9"/>
  <c r="J49" i="9"/>
  <c r="R52" i="9"/>
  <c r="R53" i="9"/>
  <c r="J59" i="9"/>
  <c r="F64" i="9"/>
  <c r="J65" i="9"/>
  <c r="V67" i="9"/>
  <c r="J71" i="9"/>
  <c r="V75" i="9"/>
  <c r="V79" i="9"/>
  <c r="F83" i="9"/>
  <c r="F84" i="9"/>
  <c r="J85" i="9"/>
  <c r="V87" i="9"/>
  <c r="V89" i="9"/>
  <c r="V91" i="9"/>
  <c r="F95" i="9"/>
  <c r="F98" i="9"/>
  <c r="Z43" i="12"/>
  <c r="Z59" i="12"/>
  <c r="Z75" i="12"/>
  <c r="Z91" i="12"/>
  <c r="Z107" i="12"/>
  <c r="L205" i="12"/>
  <c r="N205" i="12" s="1"/>
  <c r="L237" i="12"/>
  <c r="N267" i="12"/>
  <c r="L267" i="12"/>
  <c r="D12" i="15"/>
  <c r="Z20" i="15"/>
  <c r="N68" i="15"/>
  <c r="N72" i="15"/>
  <c r="Z80" i="15"/>
  <c r="L302" i="3"/>
  <c r="Z12" i="6"/>
  <c r="J26" i="6"/>
  <c r="J28" i="6"/>
  <c r="J29" i="6"/>
  <c r="J31" i="6"/>
  <c r="L14" i="9"/>
  <c r="V21" i="9"/>
  <c r="V25" i="9"/>
  <c r="V29" i="9"/>
  <c r="J33" i="9"/>
  <c r="R34" i="9"/>
  <c r="J37" i="9"/>
  <c r="R38" i="9"/>
  <c r="R39" i="9"/>
  <c r="V41" i="9"/>
  <c r="F45" i="9"/>
  <c r="F46" i="9"/>
  <c r="J47" i="9"/>
  <c r="R50" i="9"/>
  <c r="R51" i="9"/>
  <c r="V53" i="9"/>
  <c r="J57" i="9"/>
  <c r="V61" i="9"/>
  <c r="R66" i="9"/>
  <c r="F69" i="9"/>
  <c r="F70" i="9"/>
  <c r="V73" i="9"/>
  <c r="J77" i="9"/>
  <c r="R78" i="9"/>
  <c r="F82" i="9"/>
  <c r="J83" i="9"/>
  <c r="R86" i="9"/>
  <c r="J95" i="9"/>
  <c r="J98" i="9"/>
  <c r="D12" i="12"/>
  <c r="N41" i="12"/>
  <c r="N57" i="12"/>
  <c r="N73" i="12"/>
  <c r="N105" i="12"/>
  <c r="Z109" i="12"/>
  <c r="N201" i="12"/>
  <c r="L201" i="12"/>
  <c r="Z222" i="12"/>
  <c r="X227" i="12"/>
  <c r="Z227" i="12" s="1"/>
  <c r="N262" i="12"/>
  <c r="Z265" i="12"/>
  <c r="Z39" i="15"/>
  <c r="N60" i="15"/>
  <c r="Z68" i="15"/>
  <c r="Z72" i="15"/>
  <c r="L14" i="18"/>
  <c r="N14" i="18" s="1"/>
  <c r="Z49" i="18"/>
  <c r="X49" i="18"/>
  <c r="D16" i="6"/>
  <c r="F24" i="6"/>
  <c r="F23" i="9"/>
  <c r="F27" i="9"/>
  <c r="V34" i="9"/>
  <c r="V38" i="9"/>
  <c r="J46" i="9"/>
  <c r="V50" i="9"/>
  <c r="F55" i="9"/>
  <c r="J56" i="9"/>
  <c r="R59" i="9"/>
  <c r="R60" i="9"/>
  <c r="F63" i="9"/>
  <c r="V66" i="9"/>
  <c r="J70" i="9"/>
  <c r="R71" i="9"/>
  <c r="R72" i="9"/>
  <c r="V74" i="9"/>
  <c r="V78" i="9"/>
  <c r="J82" i="9"/>
  <c r="V86" i="9"/>
  <c r="F93" i="9"/>
  <c r="H12" i="12"/>
  <c r="P261" i="12"/>
  <c r="X261" i="12" s="1"/>
  <c r="N27" i="15"/>
  <c r="N30" i="18"/>
  <c r="L30" i="18"/>
  <c r="F14" i="6"/>
  <c r="F16" i="6"/>
  <c r="F18" i="6"/>
  <c r="F20" i="6"/>
  <c r="F22" i="6"/>
  <c r="P16" i="9"/>
  <c r="R20" i="9"/>
  <c r="J23" i="9"/>
  <c r="R24" i="9"/>
  <c r="J27" i="9"/>
  <c r="R28" i="9"/>
  <c r="F31" i="9"/>
  <c r="F32" i="9"/>
  <c r="F36" i="9"/>
  <c r="V39" i="9"/>
  <c r="F43" i="9"/>
  <c r="F44" i="9"/>
  <c r="J45" i="9"/>
  <c r="R48" i="9"/>
  <c r="R49" i="9"/>
  <c r="V51" i="9"/>
  <c r="J55" i="9"/>
  <c r="V59" i="9"/>
  <c r="J63" i="9"/>
  <c r="R64" i="9"/>
  <c r="R65" i="9"/>
  <c r="F68" i="9"/>
  <c r="J69" i="9"/>
  <c r="V71" i="9"/>
  <c r="F76" i="9"/>
  <c r="R84" i="9"/>
  <c r="R85" i="9"/>
  <c r="F89" i="9"/>
  <c r="F91" i="9"/>
  <c r="J93" i="9"/>
  <c r="Z32" i="12"/>
  <c r="X38" i="12"/>
  <c r="Z48" i="12"/>
  <c r="X54" i="12"/>
  <c r="Z54" i="12" s="1"/>
  <c r="Z64" i="12"/>
  <c r="X70" i="12"/>
  <c r="Z70" i="12" s="1"/>
  <c r="Z80" i="12"/>
  <c r="X86" i="12"/>
  <c r="Z86" i="12" s="1"/>
  <c r="Z96" i="12"/>
  <c r="X102" i="12"/>
  <c r="Z102" i="12" s="1"/>
  <c r="X203" i="12"/>
  <c r="Z203" i="12" s="1"/>
  <c r="Z207" i="12"/>
  <c r="X207" i="12"/>
  <c r="Z269" i="12"/>
  <c r="Z31" i="15"/>
  <c r="N44" i="15"/>
  <c r="N48" i="15"/>
  <c r="N52" i="15"/>
  <c r="Z60" i="15"/>
  <c r="H16" i="6"/>
  <c r="N37" i="12"/>
  <c r="N53" i="12"/>
  <c r="N69" i="12"/>
  <c r="N85" i="12"/>
  <c r="L193" i="12"/>
  <c r="N193" i="12" s="1"/>
  <c r="Z26" i="18"/>
  <c r="X26" i="18"/>
  <c r="L46" i="18"/>
  <c r="N46" i="18" s="1"/>
  <c r="Z86" i="18"/>
  <c r="X86" i="18"/>
  <c r="X114" i="18"/>
  <c r="Z114" i="18" s="1"/>
  <c r="N35" i="24"/>
  <c r="L35" i="24"/>
  <c r="T16" i="9"/>
  <c r="R19" i="9"/>
  <c r="F22" i="9"/>
  <c r="F26" i="9"/>
  <c r="F30" i="9"/>
  <c r="J31" i="9"/>
  <c r="V33" i="9"/>
  <c r="V37" i="9"/>
  <c r="F41" i="9"/>
  <c r="F42" i="9"/>
  <c r="J43" i="9"/>
  <c r="R46" i="9"/>
  <c r="R47" i="9"/>
  <c r="V49" i="9"/>
  <c r="F53" i="9"/>
  <c r="F54" i="9"/>
  <c r="V57" i="9"/>
  <c r="F62" i="9"/>
  <c r="V65" i="9"/>
  <c r="R70" i="9"/>
  <c r="V77" i="9"/>
  <c r="J81" i="9"/>
  <c r="R82" i="9"/>
  <c r="R83" i="9"/>
  <c r="V85" i="9"/>
  <c r="J89" i="9"/>
  <c r="J91" i="9"/>
  <c r="R95" i="9"/>
  <c r="R98" i="9"/>
  <c r="Z13" i="12"/>
  <c r="N216" i="12"/>
  <c r="N36" i="15"/>
  <c r="Z44" i="15"/>
  <c r="Z48" i="15"/>
  <c r="Z52" i="15"/>
  <c r="N75" i="15"/>
  <c r="Z83" i="15"/>
  <c r="X202" i="15"/>
  <c r="Z202" i="15" s="1"/>
  <c r="N258" i="15"/>
  <c r="L258" i="15"/>
  <c r="X42" i="18"/>
  <c r="Z42" i="18" s="1"/>
  <c r="L14" i="6"/>
  <c r="L18" i="6"/>
  <c r="L20" i="6"/>
  <c r="V14" i="9"/>
  <c r="V16" i="9"/>
  <c r="V18" i="9"/>
  <c r="J22" i="9"/>
  <c r="R23" i="9"/>
  <c r="J26" i="9"/>
  <c r="R27" i="9"/>
  <c r="J30" i="9"/>
  <c r="L31" i="9"/>
  <c r="N31" i="9" s="1"/>
  <c r="F35" i="9"/>
  <c r="J42" i="9"/>
  <c r="L43" i="9"/>
  <c r="V46" i="9"/>
  <c r="X49" i="9"/>
  <c r="Z49" i="9" s="1"/>
  <c r="J54" i="9"/>
  <c r="R55" i="9"/>
  <c r="R56" i="9"/>
  <c r="V58" i="9"/>
  <c r="J62" i="9"/>
  <c r="R63" i="9"/>
  <c r="X65" i="9"/>
  <c r="Z65" i="9" s="1"/>
  <c r="F67" i="9"/>
  <c r="V70" i="9"/>
  <c r="F74" i="9"/>
  <c r="F75" i="9"/>
  <c r="F79" i="9"/>
  <c r="J80" i="9"/>
  <c r="V82" i="9"/>
  <c r="X85" i="9"/>
  <c r="Z85" i="9" s="1"/>
  <c r="F87" i="9"/>
  <c r="L89" i="9"/>
  <c r="R93" i="9"/>
  <c r="Z28" i="12"/>
  <c r="Z44" i="12"/>
  <c r="Z60" i="12"/>
  <c r="Z76" i="12"/>
  <c r="L88" i="12"/>
  <c r="N88" i="12" s="1"/>
  <c r="Z92" i="12"/>
  <c r="L104" i="12"/>
  <c r="Z108" i="12"/>
  <c r="X195" i="12"/>
  <c r="Z195" i="12" s="1"/>
  <c r="Z210" i="12"/>
  <c r="N32" i="15"/>
  <c r="Z40" i="15"/>
  <c r="N175" i="15"/>
  <c r="N232" i="15"/>
  <c r="X220" i="3"/>
  <c r="Z220" i="3" s="1"/>
  <c r="X236" i="3"/>
  <c r="Z236" i="3" s="1"/>
  <c r="L250" i="3"/>
  <c r="X256" i="3"/>
  <c r="X296" i="3"/>
  <c r="Z296" i="3" s="1"/>
  <c r="X302" i="3"/>
  <c r="Z302" i="3" s="1"/>
  <c r="L320" i="3"/>
  <c r="N320" i="3" s="1"/>
  <c r="L321" i="3"/>
  <c r="V24" i="6"/>
  <c r="V26" i="6"/>
  <c r="V28" i="6"/>
  <c r="V29" i="6"/>
  <c r="V31" i="6"/>
  <c r="X12" i="9"/>
  <c r="V19" i="9"/>
  <c r="V23" i="9"/>
  <c r="V27" i="9"/>
  <c r="R32" i="9"/>
  <c r="J35" i="9"/>
  <c r="R36" i="9"/>
  <c r="F39" i="9"/>
  <c r="F40" i="9"/>
  <c r="J41" i="9"/>
  <c r="R44" i="9"/>
  <c r="R45" i="9"/>
  <c r="V47" i="9"/>
  <c r="F51" i="9"/>
  <c r="F52" i="9"/>
  <c r="J53" i="9"/>
  <c r="V55" i="9"/>
  <c r="V63" i="9"/>
  <c r="J67" i="9"/>
  <c r="R68" i="9"/>
  <c r="R69" i="9"/>
  <c r="J75" i="9"/>
  <c r="R76" i="9"/>
  <c r="J79" i="9"/>
  <c r="V83" i="9"/>
  <c r="J87" i="9"/>
  <c r="V93" i="9"/>
  <c r="V95" i="9"/>
  <c r="V98" i="9"/>
  <c r="N33" i="12"/>
  <c r="N49" i="12"/>
  <c r="N65" i="12"/>
  <c r="N81" i="12"/>
  <c r="L169" i="12"/>
  <c r="N169" i="12" s="1"/>
  <c r="N63" i="15"/>
  <c r="L188" i="15"/>
  <c r="N188" i="15" s="1"/>
  <c r="R136" i="24"/>
  <c r="R122" i="24"/>
  <c r="R107" i="24"/>
  <c r="R106" i="24"/>
  <c r="R83" i="24"/>
  <c r="R78" i="24"/>
  <c r="R74" i="24"/>
  <c r="R70" i="24"/>
  <c r="R66" i="24"/>
  <c r="R62" i="24"/>
  <c r="R98" i="24"/>
  <c r="R97" i="24"/>
  <c r="R93" i="24"/>
  <c r="R82" i="24"/>
  <c r="R124" i="24"/>
  <c r="R123" i="24"/>
  <c r="R100" i="24"/>
  <c r="R99" i="24"/>
  <c r="R75" i="24"/>
  <c r="R71" i="24"/>
  <c r="R67" i="24"/>
  <c r="R63" i="24"/>
  <c r="R59" i="24"/>
  <c r="R119" i="24"/>
  <c r="R118" i="24"/>
  <c r="R111" i="24"/>
  <c r="R110" i="24"/>
  <c r="R94" i="24"/>
  <c r="R55" i="24"/>
  <c r="R126" i="24"/>
  <c r="R125" i="24"/>
  <c r="R102" i="24"/>
  <c r="R101" i="24"/>
  <c r="R128" i="24"/>
  <c r="R127" i="24"/>
  <c r="R103" i="24"/>
  <c r="R95" i="24"/>
  <c r="R90" i="24"/>
  <c r="R86" i="24"/>
  <c r="R132" i="24"/>
  <c r="R129" i="24"/>
  <c r="R121" i="24"/>
  <c r="R114" i="24"/>
  <c r="R113" i="24"/>
  <c r="R115" i="24"/>
  <c r="R92" i="24"/>
  <c r="R91" i="24"/>
  <c r="R87" i="24"/>
  <c r="R116" i="24"/>
  <c r="R112" i="24"/>
  <c r="R105" i="24"/>
  <c r="R88" i="24"/>
  <c r="R57" i="24"/>
  <c r="R131" i="24"/>
  <c r="R76" i="24"/>
  <c r="R117" i="24"/>
  <c r="R108" i="24"/>
  <c r="R96" i="24"/>
  <c r="R72" i="24"/>
  <c r="R68" i="24"/>
  <c r="R64" i="24"/>
  <c r="R60" i="24"/>
  <c r="R85" i="24"/>
  <c r="R58" i="24"/>
  <c r="R109" i="24"/>
  <c r="R89" i="24"/>
  <c r="R77" i="24"/>
  <c r="R56" i="24"/>
  <c r="R120" i="24"/>
  <c r="R104" i="24"/>
  <c r="R73" i="24"/>
  <c r="R84" i="24"/>
  <c r="R65" i="24"/>
  <c r="R61" i="24"/>
  <c r="R69" i="24"/>
  <c r="P80" i="24"/>
  <c r="R80" i="24" s="1"/>
  <c r="F21" i="9"/>
  <c r="F25" i="9"/>
  <c r="F29" i="9"/>
  <c r="V32" i="9"/>
  <c r="V36" i="9"/>
  <c r="J40" i="9"/>
  <c r="V44" i="9"/>
  <c r="J52" i="9"/>
  <c r="V56" i="9"/>
  <c r="F60" i="9"/>
  <c r="F61" i="9"/>
  <c r="V68" i="9"/>
  <c r="F72" i="9"/>
  <c r="F73" i="9"/>
  <c r="J74" i="9"/>
  <c r="V76" i="9"/>
  <c r="R81" i="9"/>
  <c r="X110" i="12"/>
  <c r="Z231" i="12"/>
  <c r="X231" i="12"/>
  <c r="Z67" i="15"/>
  <c r="X58" i="18"/>
  <c r="Z58" i="18" s="1"/>
  <c r="R22" i="9"/>
  <c r="R26" i="9"/>
  <c r="R30" i="9"/>
  <c r="R31" i="9"/>
  <c r="F34" i="9"/>
  <c r="F38" i="9"/>
  <c r="J39" i="9"/>
  <c r="R42" i="9"/>
  <c r="R43" i="9"/>
  <c r="V45" i="9"/>
  <c r="F49" i="9"/>
  <c r="F50" i="9"/>
  <c r="J51" i="9"/>
  <c r="R54" i="9"/>
  <c r="J61" i="9"/>
  <c r="R62" i="9"/>
  <c r="F65" i="9"/>
  <c r="F66" i="9"/>
  <c r="V69" i="9"/>
  <c r="J73" i="9"/>
  <c r="F78" i="9"/>
  <c r="V81" i="9"/>
  <c r="F85" i="9"/>
  <c r="F86" i="9"/>
  <c r="R89" i="9"/>
  <c r="R91" i="9"/>
  <c r="Z40" i="12"/>
  <c r="Z56" i="12"/>
  <c r="Z72" i="12"/>
  <c r="Z88" i="12"/>
  <c r="Z104" i="12"/>
  <c r="L261" i="12"/>
  <c r="N261" i="12" s="1"/>
  <c r="N20" i="15"/>
  <c r="Z28" i="15"/>
  <c r="Z92" i="15"/>
  <c r="Z96" i="15"/>
  <c r="Z100" i="15"/>
  <c r="Z224" i="15"/>
  <c r="F14" i="9"/>
  <c r="F16" i="9"/>
  <c r="F18" i="9"/>
  <c r="V22" i="9"/>
  <c r="V26" i="9"/>
  <c r="V30" i="9"/>
  <c r="J34" i="9"/>
  <c r="R35" i="9"/>
  <c r="J38" i="9"/>
  <c r="V42" i="9"/>
  <c r="J50" i="9"/>
  <c r="V54" i="9"/>
  <c r="F58" i="9"/>
  <c r="F59" i="9"/>
  <c r="J60" i="9"/>
  <c r="J66" i="9"/>
  <c r="R67" i="9"/>
  <c r="J72" i="9"/>
  <c r="R75" i="9"/>
  <c r="J78" i="9"/>
  <c r="R79" i="9"/>
  <c r="R80" i="9"/>
  <c r="N29" i="12"/>
  <c r="N45" i="12"/>
  <c r="N61" i="12"/>
  <c r="N77" i="12"/>
  <c r="N93" i="12"/>
  <c r="N188" i="12"/>
  <c r="Z261" i="12"/>
  <c r="N16" i="15"/>
  <c r="Z24" i="15"/>
  <c r="N47" i="15"/>
  <c r="Z84" i="15"/>
  <c r="Z88" i="15"/>
  <c r="Z164" i="15"/>
  <c r="L196" i="15"/>
  <c r="N196" i="15" s="1"/>
  <c r="Z198" i="15"/>
  <c r="X249" i="18"/>
  <c r="Z249" i="18" s="1"/>
  <c r="N263" i="12"/>
  <c r="P161" i="15"/>
  <c r="N164" i="15"/>
  <c r="R165" i="15"/>
  <c r="R169" i="15"/>
  <c r="R173" i="15"/>
  <c r="N200" i="15"/>
  <c r="R201" i="15"/>
  <c r="R202" i="15"/>
  <c r="N224" i="15"/>
  <c r="R225" i="15"/>
  <c r="Z232" i="15"/>
  <c r="N245" i="15"/>
  <c r="Z255" i="15"/>
  <c r="R265" i="15"/>
  <c r="Z17" i="18"/>
  <c r="X19" i="18"/>
  <c r="Z19" i="18" s="1"/>
  <c r="Z33" i="18"/>
  <c r="X35" i="18"/>
  <c r="Z35" i="18" s="1"/>
  <c r="Z56" i="18"/>
  <c r="N62" i="18"/>
  <c r="Z69" i="18"/>
  <c r="Z71" i="18"/>
  <c r="N75" i="18"/>
  <c r="Z101" i="18"/>
  <c r="Z103" i="18"/>
  <c r="N107" i="18"/>
  <c r="X265" i="18"/>
  <c r="Z265" i="18" s="1"/>
  <c r="J104" i="21"/>
  <c r="J74" i="21"/>
  <c r="J66" i="21"/>
  <c r="J54" i="21"/>
  <c r="H27" i="21"/>
  <c r="J81" i="21"/>
  <c r="J75" i="21"/>
  <c r="J67" i="21"/>
  <c r="J55" i="21"/>
  <c r="J45" i="21"/>
  <c r="J41" i="21"/>
  <c r="J92" i="21"/>
  <c r="J88" i="21"/>
  <c r="J82" i="21"/>
  <c r="J76" i="21"/>
  <c r="J68" i="21"/>
  <c r="J56" i="21"/>
  <c r="J46" i="21"/>
  <c r="J36" i="21"/>
  <c r="J32" i="21"/>
  <c r="J93" i="21"/>
  <c r="J83" i="21"/>
  <c r="J77" i="21"/>
  <c r="J69" i="21"/>
  <c r="J57" i="21"/>
  <c r="J47" i="21"/>
  <c r="J94" i="21"/>
  <c r="J84" i="21"/>
  <c r="J78" i="21"/>
  <c r="J70" i="21"/>
  <c r="J58" i="21"/>
  <c r="J48" i="21"/>
  <c r="J42" i="21"/>
  <c r="J95" i="21"/>
  <c r="J89" i="21"/>
  <c r="J85" i="21"/>
  <c r="J71" i="21"/>
  <c r="J59" i="21"/>
  <c r="J49" i="21"/>
  <c r="J37" i="21"/>
  <c r="J33" i="21"/>
  <c r="J23" i="21"/>
  <c r="J96" i="21"/>
  <c r="J72" i="21"/>
  <c r="J60" i="21"/>
  <c r="J50" i="21"/>
  <c r="J24" i="21"/>
  <c r="J97" i="21"/>
  <c r="J79" i="21"/>
  <c r="J61" i="21"/>
  <c r="J51" i="21"/>
  <c r="J43" i="21"/>
  <c r="J98" i="21"/>
  <c r="J90" i="21"/>
  <c r="J86" i="21"/>
  <c r="J62" i="21"/>
  <c r="J52" i="21"/>
  <c r="J38" i="21"/>
  <c r="J34" i="21"/>
  <c r="J73" i="21"/>
  <c r="J63" i="21"/>
  <c r="J53" i="21"/>
  <c r="J39" i="21"/>
  <c r="J25" i="21"/>
  <c r="J91" i="21"/>
  <c r="J87" i="21"/>
  <c r="J65" i="21"/>
  <c r="J35" i="21"/>
  <c r="J31" i="21"/>
  <c r="J29" i="21"/>
  <c r="J27" i="21"/>
  <c r="N19" i="21"/>
  <c r="J44" i="21"/>
  <c r="J80" i="21"/>
  <c r="Z20" i="24"/>
  <c r="N24" i="24"/>
  <c r="Z44" i="24"/>
  <c r="H12" i="15"/>
  <c r="R111" i="15"/>
  <c r="R115" i="15"/>
  <c r="R119" i="15"/>
  <c r="R123" i="15"/>
  <c r="R127" i="15"/>
  <c r="R131" i="15"/>
  <c r="R135" i="15"/>
  <c r="R139" i="15"/>
  <c r="R143" i="15"/>
  <c r="R147" i="15"/>
  <c r="R151" i="15"/>
  <c r="R155" i="15"/>
  <c r="R159" i="15"/>
  <c r="R164" i="15"/>
  <c r="R191" i="15"/>
  <c r="R199" i="15"/>
  <c r="R200" i="15"/>
  <c r="R223" i="15"/>
  <c r="R224" i="15"/>
  <c r="R245" i="15"/>
  <c r="Z249" i="15"/>
  <c r="R260" i="15"/>
  <c r="Z51" i="18"/>
  <c r="N55" i="18"/>
  <c r="Z60" i="18"/>
  <c r="N66" i="18"/>
  <c r="Z73" i="18"/>
  <c r="Z75" i="18"/>
  <c r="X79" i="18"/>
  <c r="Z79" i="18" s="1"/>
  <c r="N83" i="18"/>
  <c r="N98" i="18"/>
  <c r="Z105" i="18"/>
  <c r="Z107" i="18"/>
  <c r="Z118" i="18"/>
  <c r="X118" i="18"/>
  <c r="N127" i="18"/>
  <c r="X221" i="18"/>
  <c r="X285" i="18"/>
  <c r="Z285" i="18" s="1"/>
  <c r="P277" i="18"/>
  <c r="L39" i="21"/>
  <c r="N39" i="21" s="1"/>
  <c r="Z77" i="21"/>
  <c r="X77" i="21"/>
  <c r="X93" i="21"/>
  <c r="Z93" i="21" s="1"/>
  <c r="Z24" i="24"/>
  <c r="N28" i="24"/>
  <c r="R168" i="15"/>
  <c r="R172" i="15"/>
  <c r="R208" i="15"/>
  <c r="R209" i="15"/>
  <c r="R228" i="15"/>
  <c r="R229" i="15"/>
  <c r="R234" i="15"/>
  <c r="R252" i="15"/>
  <c r="R282" i="18"/>
  <c r="R255" i="18"/>
  <c r="R243" i="18"/>
  <c r="R236" i="18"/>
  <c r="R235" i="18"/>
  <c r="R208" i="18"/>
  <c r="R207" i="18"/>
  <c r="R203" i="18"/>
  <c r="R188" i="18"/>
  <c r="R281" i="18"/>
  <c r="R266" i="18"/>
  <c r="R250" i="18"/>
  <c r="R227" i="18"/>
  <c r="R226" i="18"/>
  <c r="R198" i="18"/>
  <c r="R194" i="18"/>
  <c r="R190" i="18"/>
  <c r="P186" i="18"/>
  <c r="R186" i="18" s="1"/>
  <c r="R280" i="18"/>
  <c r="R274" i="18"/>
  <c r="R273" i="18"/>
  <c r="R261" i="18"/>
  <c r="R238" i="18"/>
  <c r="R237" i="18"/>
  <c r="R218" i="18"/>
  <c r="R217" i="18"/>
  <c r="R210" i="18"/>
  <c r="R209" i="18"/>
  <c r="R181" i="18"/>
  <c r="R177" i="18"/>
  <c r="R173" i="18"/>
  <c r="R169" i="18"/>
  <c r="R165" i="18"/>
  <c r="R161" i="18"/>
  <c r="R157" i="18"/>
  <c r="R153" i="18"/>
  <c r="R149" i="18"/>
  <c r="R145" i="18"/>
  <c r="R141" i="18"/>
  <c r="R137" i="18"/>
  <c r="R133" i="18"/>
  <c r="R129" i="18"/>
  <c r="R279" i="18"/>
  <c r="R257" i="18"/>
  <c r="R256" i="18"/>
  <c r="R245" i="18"/>
  <c r="R244" i="18"/>
  <c r="R228" i="18"/>
  <c r="R204" i="18"/>
  <c r="X12" i="18"/>
  <c r="Z12" i="18" s="1"/>
  <c r="R278" i="18"/>
  <c r="R275" i="18"/>
  <c r="R268" i="18"/>
  <c r="R267" i="18"/>
  <c r="R251" i="18"/>
  <c r="R240" i="18"/>
  <c r="R239" i="18"/>
  <c r="R219" i="18"/>
  <c r="R211" i="18"/>
  <c r="R200" i="18"/>
  <c r="R199" i="18"/>
  <c r="R195" i="18"/>
  <c r="R191" i="18"/>
  <c r="R289" i="18"/>
  <c r="R277" i="18"/>
  <c r="R262" i="18"/>
  <c r="R258" i="18"/>
  <c r="R246" i="18"/>
  <c r="R182" i="18"/>
  <c r="R178" i="18"/>
  <c r="R174" i="18"/>
  <c r="R170" i="18"/>
  <c r="R166" i="18"/>
  <c r="R162" i="18"/>
  <c r="R158" i="18"/>
  <c r="R154" i="18"/>
  <c r="R150" i="18"/>
  <c r="R146" i="18"/>
  <c r="R142" i="18"/>
  <c r="R138" i="18"/>
  <c r="R134" i="18"/>
  <c r="R130" i="18"/>
  <c r="R288" i="18"/>
  <c r="R270" i="18"/>
  <c r="R269" i="18"/>
  <c r="R241" i="18"/>
  <c r="R287" i="18"/>
  <c r="R252" i="18"/>
  <c r="R221" i="18"/>
  <c r="R220" i="18"/>
  <c r="R213" i="18"/>
  <c r="R212" i="18"/>
  <c r="R196" i="18"/>
  <c r="R192" i="18"/>
  <c r="R293" i="18"/>
  <c r="R286" i="18"/>
  <c r="R271" i="18"/>
  <c r="R263" i="18"/>
  <c r="R259" i="18"/>
  <c r="R247" i="18"/>
  <c r="R232" i="18"/>
  <c r="R231" i="18"/>
  <c r="R183" i="18"/>
  <c r="R179" i="18"/>
  <c r="R175" i="18"/>
  <c r="R171" i="18"/>
  <c r="R167" i="18"/>
  <c r="R163" i="18"/>
  <c r="R159" i="18"/>
  <c r="R155" i="18"/>
  <c r="R151" i="18"/>
  <c r="R147" i="18"/>
  <c r="R143" i="18"/>
  <c r="R139" i="18"/>
  <c r="R135" i="18"/>
  <c r="R131" i="18"/>
  <c r="R285" i="18"/>
  <c r="R242" i="18"/>
  <c r="R223" i="18"/>
  <c r="R222" i="18"/>
  <c r="R215" i="18"/>
  <c r="R214" i="18"/>
  <c r="R206" i="18"/>
  <c r="R202" i="18"/>
  <c r="R127" i="18"/>
  <c r="R283" i="18"/>
  <c r="R272" i="18"/>
  <c r="R265" i="18"/>
  <c r="R264" i="18"/>
  <c r="R260" i="18"/>
  <c r="R249" i="18"/>
  <c r="R248" i="18"/>
  <c r="R225" i="18"/>
  <c r="R224" i="18"/>
  <c r="R216" i="18"/>
  <c r="R189" i="18"/>
  <c r="R184" i="18"/>
  <c r="R180" i="18"/>
  <c r="R176" i="18"/>
  <c r="R172" i="18"/>
  <c r="R168" i="18"/>
  <c r="R164" i="18"/>
  <c r="R160" i="18"/>
  <c r="R156" i="18"/>
  <c r="R152" i="18"/>
  <c r="R148" i="18"/>
  <c r="R144" i="18"/>
  <c r="R140" i="18"/>
  <c r="R136" i="18"/>
  <c r="R132" i="18"/>
  <c r="R128" i="18"/>
  <c r="X62" i="18"/>
  <c r="Z62" i="18" s="1"/>
  <c r="X90" i="18"/>
  <c r="Z90" i="18" s="1"/>
  <c r="Z221" i="18"/>
  <c r="R230" i="18"/>
  <c r="R234" i="18"/>
  <c r="X283" i="18"/>
  <c r="Z283" i="18" s="1"/>
  <c r="L63" i="21"/>
  <c r="N63" i="21" s="1"/>
  <c r="X262" i="12"/>
  <c r="Z262" i="12" s="1"/>
  <c r="R177" i="15"/>
  <c r="R181" i="15"/>
  <c r="R189" i="15"/>
  <c r="R190" i="15"/>
  <c r="R197" i="15"/>
  <c r="R198" i="15"/>
  <c r="R217" i="15"/>
  <c r="R237" i="15"/>
  <c r="R241" i="15"/>
  <c r="T252" i="15"/>
  <c r="X252" i="15" s="1"/>
  <c r="N256" i="15"/>
  <c r="X259" i="15"/>
  <c r="Z259" i="15" s="1"/>
  <c r="Z260" i="15"/>
  <c r="X14" i="18"/>
  <c r="Z14" i="18" s="1"/>
  <c r="X16" i="18"/>
  <c r="Z16" i="18" s="1"/>
  <c r="N18" i="18"/>
  <c r="X21" i="18"/>
  <c r="Z21" i="18" s="1"/>
  <c r="Z23" i="18"/>
  <c r="N27" i="18"/>
  <c r="X30" i="18"/>
  <c r="Z30" i="18" s="1"/>
  <c r="X32" i="18"/>
  <c r="Z32" i="18" s="1"/>
  <c r="N34" i="18"/>
  <c r="X37" i="18"/>
  <c r="Z37" i="18" s="1"/>
  <c r="Z39" i="18"/>
  <c r="N43" i="18"/>
  <c r="Z46" i="18"/>
  <c r="X46" i="18"/>
  <c r="X48" i="18"/>
  <c r="Z48" i="18" s="1"/>
  <c r="Z53" i="18"/>
  <c r="X55" i="18"/>
  <c r="Z55" i="18" s="1"/>
  <c r="N59" i="18"/>
  <c r="Z64" i="18"/>
  <c r="N70" i="18"/>
  <c r="Z81" i="18"/>
  <c r="Z83" i="18"/>
  <c r="N87" i="18"/>
  <c r="X94" i="18"/>
  <c r="Z94" i="18" s="1"/>
  <c r="N102" i="18"/>
  <c r="Z109" i="18"/>
  <c r="Z111" i="18"/>
  <c r="N115" i="18"/>
  <c r="X122" i="18"/>
  <c r="Z122" i="18" s="1"/>
  <c r="Z232" i="18"/>
  <c r="Z287" i="18"/>
  <c r="N289" i="18"/>
  <c r="L289" i="18"/>
  <c r="Z75" i="21"/>
  <c r="Z28" i="24"/>
  <c r="N32" i="24"/>
  <c r="R259" i="15"/>
  <c r="R257" i="15"/>
  <c r="R254" i="15"/>
  <c r="R232" i="15"/>
  <c r="R231" i="15"/>
  <c r="R110" i="15"/>
  <c r="R114" i="15"/>
  <c r="R118" i="15"/>
  <c r="R122" i="15"/>
  <c r="R126" i="15"/>
  <c r="R130" i="15"/>
  <c r="R134" i="15"/>
  <c r="R138" i="15"/>
  <c r="R142" i="15"/>
  <c r="R146" i="15"/>
  <c r="R150" i="15"/>
  <c r="R154" i="15"/>
  <c r="R158" i="15"/>
  <c r="R206" i="15"/>
  <c r="R207" i="15"/>
  <c r="R222" i="15"/>
  <c r="R258" i="15"/>
  <c r="H12" i="18"/>
  <c r="Z66" i="18"/>
  <c r="X66" i="18"/>
  <c r="X98" i="18"/>
  <c r="Z98" i="18" s="1"/>
  <c r="R201" i="18"/>
  <c r="R253" i="18"/>
  <c r="L19" i="24"/>
  <c r="N19" i="24" s="1"/>
  <c r="N41" i="24"/>
  <c r="T12" i="15"/>
  <c r="L15" i="15"/>
  <c r="N15" i="15" s="1"/>
  <c r="L19" i="15"/>
  <c r="N19" i="15" s="1"/>
  <c r="L23" i="15"/>
  <c r="N23" i="15" s="1"/>
  <c r="L27" i="15"/>
  <c r="L31" i="15"/>
  <c r="N31" i="15" s="1"/>
  <c r="L35" i="15"/>
  <c r="N35" i="15" s="1"/>
  <c r="L39" i="15"/>
  <c r="N39" i="15" s="1"/>
  <c r="L43" i="15"/>
  <c r="N43" i="15" s="1"/>
  <c r="L47" i="15"/>
  <c r="L51" i="15"/>
  <c r="N51" i="15" s="1"/>
  <c r="L55" i="15"/>
  <c r="N55" i="15" s="1"/>
  <c r="L59" i="15"/>
  <c r="N59" i="15" s="1"/>
  <c r="L63" i="15"/>
  <c r="L67" i="15"/>
  <c r="N67" i="15" s="1"/>
  <c r="L71" i="15"/>
  <c r="N71" i="15" s="1"/>
  <c r="L75" i="15"/>
  <c r="L79" i="15"/>
  <c r="L83" i="15"/>
  <c r="N83" i="15" s="1"/>
  <c r="L87" i="15"/>
  <c r="N87" i="15" s="1"/>
  <c r="L91" i="15"/>
  <c r="N91" i="15" s="1"/>
  <c r="L95" i="15"/>
  <c r="L99" i="15"/>
  <c r="N99" i="15" s="1"/>
  <c r="L103" i="15"/>
  <c r="N103" i="15" s="1"/>
  <c r="L107" i="15"/>
  <c r="R167" i="15"/>
  <c r="R171" i="15"/>
  <c r="R187" i="15"/>
  <c r="R188" i="15"/>
  <c r="R195" i="15"/>
  <c r="R196" i="15"/>
  <c r="R227" i="15"/>
  <c r="R233" i="15"/>
  <c r="R247" i="15"/>
  <c r="D12" i="18"/>
  <c r="Z25" i="18"/>
  <c r="Z41" i="18"/>
  <c r="N63" i="18"/>
  <c r="Z68" i="18"/>
  <c r="Z87" i="18"/>
  <c r="N91" i="18"/>
  <c r="Z115" i="18"/>
  <c r="N215" i="18"/>
  <c r="R229" i="18"/>
  <c r="N245" i="18"/>
  <c r="N274" i="18"/>
  <c r="N61" i="21"/>
  <c r="N97" i="21"/>
  <c r="H12" i="24"/>
  <c r="L15" i="24"/>
  <c r="N15" i="24" s="1"/>
  <c r="Z32" i="24"/>
  <c r="N36" i="24"/>
  <c r="Z43" i="24"/>
  <c r="X12" i="15"/>
  <c r="R109" i="15"/>
  <c r="R176" i="15"/>
  <c r="R180" i="15"/>
  <c r="R204" i="15"/>
  <c r="R205" i="15"/>
  <c r="R216" i="15"/>
  <c r="R236" i="15"/>
  <c r="R240" i="15"/>
  <c r="N15" i="18"/>
  <c r="X18" i="18"/>
  <c r="Z18" i="18" s="1"/>
  <c r="X20" i="18"/>
  <c r="Z20" i="18" s="1"/>
  <c r="N22" i="18"/>
  <c r="X25" i="18"/>
  <c r="Z27" i="18"/>
  <c r="N31" i="18"/>
  <c r="X34" i="18"/>
  <c r="Z34" i="18" s="1"/>
  <c r="X36" i="18"/>
  <c r="Z36" i="18" s="1"/>
  <c r="N38" i="18"/>
  <c r="X41" i="18"/>
  <c r="Z43" i="18"/>
  <c r="N47" i="18"/>
  <c r="X57" i="18"/>
  <c r="Z57" i="18" s="1"/>
  <c r="Z59" i="18"/>
  <c r="X70" i="18"/>
  <c r="Z70" i="18" s="1"/>
  <c r="Z72" i="18"/>
  <c r="N78" i="18"/>
  <c r="X91" i="18"/>
  <c r="Z91" i="18" s="1"/>
  <c r="Z102" i="18"/>
  <c r="X102" i="18"/>
  <c r="Z117" i="18"/>
  <c r="Z119" i="18"/>
  <c r="N227" i="18"/>
  <c r="N14" i="21"/>
  <c r="J64" i="21"/>
  <c r="Z19" i="24"/>
  <c r="N23" i="24"/>
  <c r="L23" i="24"/>
  <c r="R113" i="15"/>
  <c r="R117" i="15"/>
  <c r="R121" i="15"/>
  <c r="R125" i="15"/>
  <c r="R129" i="15"/>
  <c r="R133" i="15"/>
  <c r="R137" i="15"/>
  <c r="R141" i="15"/>
  <c r="R145" i="15"/>
  <c r="R149" i="15"/>
  <c r="R153" i="15"/>
  <c r="R157" i="15"/>
  <c r="R221" i="15"/>
  <c r="R243" i="15"/>
  <c r="R250" i="15"/>
  <c r="L253" i="15"/>
  <c r="D252" i="15"/>
  <c r="R256" i="15"/>
  <c r="N261" i="15"/>
  <c r="Z50" i="18"/>
  <c r="X50" i="18"/>
  <c r="X52" i="18"/>
  <c r="N54" i="18"/>
  <c r="Z61" i="18"/>
  <c r="X63" i="18"/>
  <c r="Z63" i="18" s="1"/>
  <c r="N67" i="18"/>
  <c r="Z89" i="18"/>
  <c r="X95" i="18"/>
  <c r="R197" i="18"/>
  <c r="Z215" i="18"/>
  <c r="R233" i="18"/>
  <c r="L83" i="24"/>
  <c r="N83" i="24"/>
  <c r="N40" i="30"/>
  <c r="N109" i="30"/>
  <c r="L109" i="30"/>
  <c r="R166" i="15"/>
  <c r="R170" i="15"/>
  <c r="R174" i="15"/>
  <c r="R175" i="15"/>
  <c r="R186" i="15"/>
  <c r="R194" i="15"/>
  <c r="R214" i="15"/>
  <c r="R215" i="15"/>
  <c r="R226" i="15"/>
  <c r="R239" i="15"/>
  <c r="H252" i="15"/>
  <c r="L260" i="15"/>
  <c r="X15" i="18"/>
  <c r="Z15" i="18" s="1"/>
  <c r="Z29" i="18"/>
  <c r="X31" i="18"/>
  <c r="Z45" i="18"/>
  <c r="X47" i="18"/>
  <c r="Z52" i="18"/>
  <c r="X74" i="18"/>
  <c r="Z74" i="18" s="1"/>
  <c r="Z93" i="18"/>
  <c r="Z95" i="18"/>
  <c r="X99" i="18"/>
  <c r="X106" i="18"/>
  <c r="Z106" i="18" s="1"/>
  <c r="Z121" i="18"/>
  <c r="X189" i="18"/>
  <c r="Z189" i="18" s="1"/>
  <c r="R284" i="18"/>
  <c r="Z14" i="21"/>
  <c r="L27" i="24"/>
  <c r="N27" i="24" s="1"/>
  <c r="X15" i="15"/>
  <c r="Z15" i="15" s="1"/>
  <c r="X19" i="15"/>
  <c r="Z19" i="15" s="1"/>
  <c r="X23" i="15"/>
  <c r="Z23" i="15" s="1"/>
  <c r="X27" i="15"/>
  <c r="Z27" i="15" s="1"/>
  <c r="X31" i="15"/>
  <c r="X35" i="15"/>
  <c r="Z35" i="15" s="1"/>
  <c r="X39" i="15"/>
  <c r="X43" i="15"/>
  <c r="Z43" i="15" s="1"/>
  <c r="X47" i="15"/>
  <c r="Z47" i="15" s="1"/>
  <c r="X51" i="15"/>
  <c r="Z51" i="15" s="1"/>
  <c r="X55" i="15"/>
  <c r="Z55" i="15" s="1"/>
  <c r="X59" i="15"/>
  <c r="Z59" i="15" s="1"/>
  <c r="X63" i="15"/>
  <c r="Z63" i="15" s="1"/>
  <c r="X67" i="15"/>
  <c r="X71" i="15"/>
  <c r="Z71" i="15" s="1"/>
  <c r="X75" i="15"/>
  <c r="Z75" i="15" s="1"/>
  <c r="X79" i="15"/>
  <c r="Z79" i="15" s="1"/>
  <c r="X83" i="15"/>
  <c r="X87" i="15"/>
  <c r="Z87" i="15" s="1"/>
  <c r="X91" i="15"/>
  <c r="Z91" i="15" s="1"/>
  <c r="X95" i="15"/>
  <c r="Z95" i="15" s="1"/>
  <c r="X99" i="15"/>
  <c r="Z99" i="15" s="1"/>
  <c r="X103" i="15"/>
  <c r="Z103" i="15" s="1"/>
  <c r="X107" i="15"/>
  <c r="Z107" i="15" s="1"/>
  <c r="R179" i="15"/>
  <c r="R203" i="15"/>
  <c r="R219" i="15"/>
  <c r="R220" i="15"/>
  <c r="N19" i="18"/>
  <c r="X22" i="18"/>
  <c r="Z22" i="18" s="1"/>
  <c r="Z31" i="18"/>
  <c r="N35" i="18"/>
  <c r="Z38" i="18"/>
  <c r="X38" i="18"/>
  <c r="N42" i="18"/>
  <c r="Z47" i="18"/>
  <c r="Z65" i="18"/>
  <c r="X78" i="18"/>
  <c r="Z78" i="18" s="1"/>
  <c r="Z80" i="18"/>
  <c r="Z99" i="18"/>
  <c r="Z213" i="18"/>
  <c r="N238" i="18"/>
  <c r="D277" i="18"/>
  <c r="L277" i="18" s="1"/>
  <c r="N277" i="18" s="1"/>
  <c r="L279" i="18"/>
  <c r="N279" i="18" s="1"/>
  <c r="Z29" i="21"/>
  <c r="X69" i="21"/>
  <c r="Z69" i="21" s="1"/>
  <c r="N20" i="24"/>
  <c r="D12" i="24"/>
  <c r="L42" i="24"/>
  <c r="N49" i="24"/>
  <c r="L49" i="24"/>
  <c r="R112" i="15"/>
  <c r="R116" i="15"/>
  <c r="R120" i="15"/>
  <c r="R124" i="15"/>
  <c r="R128" i="15"/>
  <c r="R132" i="15"/>
  <c r="R136" i="15"/>
  <c r="R140" i="15"/>
  <c r="R144" i="15"/>
  <c r="R148" i="15"/>
  <c r="R152" i="15"/>
  <c r="R156" i="15"/>
  <c r="R184" i="15"/>
  <c r="R185" i="15"/>
  <c r="R192" i="15"/>
  <c r="R193" i="15"/>
  <c r="R212" i="15"/>
  <c r="R213" i="15"/>
  <c r="R235" i="15"/>
  <c r="R242" i="15"/>
  <c r="R246" i="15"/>
  <c r="N253" i="15"/>
  <c r="R255" i="15"/>
  <c r="R261" i="15"/>
  <c r="L26" i="18"/>
  <c r="N26" i="18" s="1"/>
  <c r="L42" i="18"/>
  <c r="N51" i="18"/>
  <c r="Z54" i="18"/>
  <c r="X54" i="18"/>
  <c r="X65" i="18"/>
  <c r="Z67" i="18"/>
  <c r="Z82" i="18"/>
  <c r="X82" i="18"/>
  <c r="Z84" i="18"/>
  <c r="X110" i="18"/>
  <c r="Z110" i="18" s="1"/>
  <c r="R205" i="18"/>
  <c r="N223" i="18"/>
  <c r="X225" i="18"/>
  <c r="Z225" i="18" s="1"/>
  <c r="N257" i="18"/>
  <c r="D12" i="21"/>
  <c r="L15" i="21"/>
  <c r="N15" i="21" s="1"/>
  <c r="L31" i="24"/>
  <c r="N31" i="24" s="1"/>
  <c r="Z245" i="18"/>
  <c r="Z257" i="18"/>
  <c r="Z279" i="18"/>
  <c r="N285" i="18"/>
  <c r="N55" i="21"/>
  <c r="Z61" i="21"/>
  <c r="N67" i="21"/>
  <c r="N75" i="21"/>
  <c r="Z97" i="21"/>
  <c r="N46" i="24"/>
  <c r="N15" i="27"/>
  <c r="Z23" i="27"/>
  <c r="Z27" i="27"/>
  <c r="Z39" i="27"/>
  <c r="V112" i="27"/>
  <c r="Z143" i="30"/>
  <c r="P160" i="30"/>
  <c r="X160" i="30" s="1"/>
  <c r="Z160" i="30" s="1"/>
  <c r="X162" i="30"/>
  <c r="P91" i="33"/>
  <c r="X91" i="33" s="1"/>
  <c r="Z91" i="33" s="1"/>
  <c r="X93" i="33"/>
  <c r="Z93" i="33" s="1"/>
  <c r="P12" i="21"/>
  <c r="T12" i="24"/>
  <c r="N42" i="24"/>
  <c r="Z128" i="24"/>
  <c r="P12" i="27"/>
  <c r="Z15" i="27"/>
  <c r="V80" i="27"/>
  <c r="N98" i="27"/>
  <c r="N16" i="30"/>
  <c r="Z48" i="30"/>
  <c r="N56" i="30"/>
  <c r="Z111" i="30"/>
  <c r="T12" i="21"/>
  <c r="X39" i="24"/>
  <c r="Z39" i="24" s="1"/>
  <c r="N102" i="24"/>
  <c r="X124" i="24"/>
  <c r="Z124" i="24"/>
  <c r="L132" i="24"/>
  <c r="H131" i="24"/>
  <c r="N131" i="24" s="1"/>
  <c r="N132" i="24"/>
  <c r="V114" i="27"/>
  <c r="V106" i="27"/>
  <c r="V90" i="27"/>
  <c r="V82" i="27"/>
  <c r="V58" i="27"/>
  <c r="V54" i="27"/>
  <c r="V50" i="27"/>
  <c r="V46" i="27"/>
  <c r="V123" i="27"/>
  <c r="V101" i="27"/>
  <c r="V81" i="27"/>
  <c r="V77" i="27"/>
  <c r="V108" i="27"/>
  <c r="V100" i="27"/>
  <c r="V92" i="27"/>
  <c r="V84" i="27"/>
  <c r="V72" i="27"/>
  <c r="V68" i="27"/>
  <c r="V64" i="27"/>
  <c r="V107" i="27"/>
  <c r="V83" i="27"/>
  <c r="V63" i="27"/>
  <c r="V61" i="27"/>
  <c r="V59" i="27"/>
  <c r="V55" i="27"/>
  <c r="V51" i="27"/>
  <c r="V47" i="27"/>
  <c r="V43" i="27"/>
  <c r="V102" i="27"/>
  <c r="V94" i="27"/>
  <c r="V78" i="27"/>
  <c r="V74" i="27"/>
  <c r="T61" i="27"/>
  <c r="V109" i="27"/>
  <c r="V93" i="27"/>
  <c r="V85" i="27"/>
  <c r="V73" i="27"/>
  <c r="V69" i="27"/>
  <c r="V65" i="27"/>
  <c r="V104" i="27"/>
  <c r="V96" i="27"/>
  <c r="V56" i="27"/>
  <c r="V52" i="27"/>
  <c r="V111" i="27"/>
  <c r="V103" i="27"/>
  <c r="V95" i="27"/>
  <c r="V87" i="27"/>
  <c r="V79" i="27"/>
  <c r="V75" i="27"/>
  <c r="V110" i="27"/>
  <c r="V98" i="27"/>
  <c r="V86" i="27"/>
  <c r="V70" i="27"/>
  <c r="V66" i="27"/>
  <c r="V119" i="27"/>
  <c r="V113" i="27"/>
  <c r="V105" i="27"/>
  <c r="V97" i="27"/>
  <c r="V89" i="27"/>
  <c r="V57" i="27"/>
  <c r="V53" i="27"/>
  <c r="V49" i="27"/>
  <c r="V45" i="27"/>
  <c r="V117" i="27"/>
  <c r="V99" i="27"/>
  <c r="V91" i="27"/>
  <c r="V71" i="27"/>
  <c r="V67" i="27"/>
  <c r="L43" i="27"/>
  <c r="N43" i="27" s="1"/>
  <c r="V48" i="27"/>
  <c r="Z64" i="27"/>
  <c r="X89" i="27"/>
  <c r="Z89" i="27" s="1"/>
  <c r="Z40" i="30"/>
  <c r="R88" i="30"/>
  <c r="N107" i="30"/>
  <c r="N38" i="24"/>
  <c r="X49" i="24"/>
  <c r="Z49" i="24" s="1"/>
  <c r="L82" i="24"/>
  <c r="N82" i="24" s="1"/>
  <c r="N98" i="24"/>
  <c r="L30" i="27"/>
  <c r="N30" i="27" s="1"/>
  <c r="L34" i="27"/>
  <c r="N34" i="27" s="1"/>
  <c r="R56" i="30"/>
  <c r="R99" i="30"/>
  <c r="Z102" i="24"/>
  <c r="N22" i="27"/>
  <c r="L22" i="27"/>
  <c r="L26" i="27"/>
  <c r="N26" i="27" s="1"/>
  <c r="N38" i="27"/>
  <c r="L38" i="27"/>
  <c r="X30" i="33"/>
  <c r="Z30" i="33" s="1"/>
  <c r="L41" i="24"/>
  <c r="L51" i="24"/>
  <c r="X132" i="24"/>
  <c r="Z132" i="24" s="1"/>
  <c r="N18" i="27"/>
  <c r="L18" i="27"/>
  <c r="X30" i="27"/>
  <c r="Z30" i="27" s="1"/>
  <c r="Z34" i="27"/>
  <c r="X34" i="27"/>
  <c r="Z101" i="27"/>
  <c r="Z108" i="27"/>
  <c r="N45" i="30"/>
  <c r="N105" i="30"/>
  <c r="H160" i="30"/>
  <c r="L160" i="30" s="1"/>
  <c r="L161" i="30"/>
  <c r="N161" i="30" s="1"/>
  <c r="T277" i="18"/>
  <c r="X100" i="24"/>
  <c r="Z100" i="24"/>
  <c r="H12" i="27"/>
  <c r="L14" i="27"/>
  <c r="N14" i="27" s="1"/>
  <c r="Z22" i="27"/>
  <c r="X22" i="27"/>
  <c r="X26" i="27"/>
  <c r="Z26" i="27" s="1"/>
  <c r="Z38" i="27"/>
  <c r="X38" i="27"/>
  <c r="L63" i="27"/>
  <c r="N63" i="27" s="1"/>
  <c r="N111" i="27"/>
  <c r="D12" i="30"/>
  <c r="L13" i="30"/>
  <c r="N25" i="30"/>
  <c r="N37" i="30"/>
  <c r="Z123" i="30"/>
  <c r="X123" i="30"/>
  <c r="N140" i="30"/>
  <c r="N150" i="30"/>
  <c r="L150" i="30"/>
  <c r="X51" i="24"/>
  <c r="Z51" i="24" s="1"/>
  <c r="N92" i="24"/>
  <c r="L131" i="24"/>
  <c r="X18" i="27"/>
  <c r="Z18" i="27" s="1"/>
  <c r="V76" i="27"/>
  <c r="V88" i="27"/>
  <c r="X113" i="27"/>
  <c r="Z113" i="27" s="1"/>
  <c r="L51" i="33"/>
  <c r="N51" i="33" s="1"/>
  <c r="N53" i="24"/>
  <c r="L114" i="24"/>
  <c r="N114" i="24"/>
  <c r="X14" i="27"/>
  <c r="Z14" i="27" s="1"/>
  <c r="V44" i="27"/>
  <c r="R166" i="30"/>
  <c r="R157" i="30"/>
  <c r="R156" i="30"/>
  <c r="R150" i="30"/>
  <c r="R149" i="30"/>
  <c r="R145" i="30"/>
  <c r="R114" i="30"/>
  <c r="R113" i="30"/>
  <c r="R81" i="30"/>
  <c r="R77" i="30"/>
  <c r="R73" i="30"/>
  <c r="R69" i="30"/>
  <c r="R65" i="30"/>
  <c r="R61" i="30"/>
  <c r="R57" i="30"/>
  <c r="R153" i="30"/>
  <c r="R148" i="30"/>
  <c r="R133" i="30"/>
  <c r="R132" i="30"/>
  <c r="R125" i="30"/>
  <c r="R124" i="30"/>
  <c r="R105" i="30"/>
  <c r="R104" i="30"/>
  <c r="R100" i="30"/>
  <c r="X12" i="30"/>
  <c r="R140" i="30"/>
  <c r="R139" i="30"/>
  <c r="R116" i="30"/>
  <c r="R115" i="30"/>
  <c r="R95" i="30"/>
  <c r="R91" i="30"/>
  <c r="R154" i="30"/>
  <c r="R134" i="30"/>
  <c r="R127" i="30"/>
  <c r="R126" i="30"/>
  <c r="R107" i="30"/>
  <c r="R106" i="30"/>
  <c r="R82" i="30"/>
  <c r="R78" i="30"/>
  <c r="R74" i="30"/>
  <c r="R70" i="30"/>
  <c r="R66" i="30"/>
  <c r="R62" i="30"/>
  <c r="R58" i="30"/>
  <c r="R141" i="30"/>
  <c r="R117" i="30"/>
  <c r="R101" i="30"/>
  <c r="R146" i="30"/>
  <c r="R129" i="30"/>
  <c r="R128" i="30"/>
  <c r="R109" i="30"/>
  <c r="R108" i="30"/>
  <c r="R96" i="30"/>
  <c r="R92" i="30"/>
  <c r="R161" i="30"/>
  <c r="R136" i="30"/>
  <c r="R135" i="30"/>
  <c r="R83" i="30"/>
  <c r="R79" i="30"/>
  <c r="R75" i="30"/>
  <c r="R71" i="30"/>
  <c r="R67" i="30"/>
  <c r="R63" i="30"/>
  <c r="R59" i="30"/>
  <c r="R143" i="30"/>
  <c r="R142" i="30"/>
  <c r="R130" i="30"/>
  <c r="R119" i="30"/>
  <c r="R118" i="30"/>
  <c r="R111" i="30"/>
  <c r="R110" i="30"/>
  <c r="R102" i="30"/>
  <c r="R155" i="30"/>
  <c r="R151" i="30"/>
  <c r="R137" i="30"/>
  <c r="R98" i="30"/>
  <c r="R97" i="30"/>
  <c r="R93" i="30"/>
  <c r="R162" i="30"/>
  <c r="R152" i="30"/>
  <c r="R147" i="30"/>
  <c r="R121" i="30"/>
  <c r="R120" i="30"/>
  <c r="R112" i="30"/>
  <c r="R89" i="30"/>
  <c r="R84" i="30"/>
  <c r="R80" i="30"/>
  <c r="R76" i="30"/>
  <c r="R72" i="30"/>
  <c r="R68" i="30"/>
  <c r="R64" i="30"/>
  <c r="R60" i="30"/>
  <c r="R158" i="30"/>
  <c r="R138" i="30"/>
  <c r="R123" i="30"/>
  <c r="R122" i="30"/>
  <c r="R94" i="30"/>
  <c r="R90" i="30"/>
  <c r="P86" i="30"/>
  <c r="R86" i="30" s="1"/>
  <c r="R103" i="30"/>
  <c r="Z15" i="33"/>
  <c r="X14" i="21"/>
  <c r="X18" i="21"/>
  <c r="Z18" i="21" s="1"/>
  <c r="T116" i="27"/>
  <c r="X116" i="27" s="1"/>
  <c r="Z119" i="27"/>
  <c r="X119" i="27"/>
  <c r="Z92" i="24"/>
  <c r="L126" i="24"/>
  <c r="N126" i="24" s="1"/>
  <c r="N19" i="27"/>
  <c r="Z31" i="27"/>
  <c r="Z35" i="27"/>
  <c r="N91" i="27"/>
  <c r="Z119" i="30"/>
  <c r="N129" i="30"/>
  <c r="L129" i="30"/>
  <c r="R131" i="30"/>
  <c r="L97" i="33"/>
  <c r="N97" i="33" s="1"/>
  <c r="V57" i="30"/>
  <c r="V61" i="30"/>
  <c r="V65" i="30"/>
  <c r="V69" i="30"/>
  <c r="V73" i="30"/>
  <c r="V77" i="30"/>
  <c r="V81" i="30"/>
  <c r="N89" i="30"/>
  <c r="J93" i="30"/>
  <c r="J97" i="30"/>
  <c r="V105" i="30"/>
  <c r="Z107" i="30"/>
  <c r="J111" i="30"/>
  <c r="V113" i="30"/>
  <c r="J119" i="30"/>
  <c r="N121" i="30"/>
  <c r="V125" i="30"/>
  <c r="Z127" i="30"/>
  <c r="V133" i="30"/>
  <c r="J137" i="30"/>
  <c r="J143" i="30"/>
  <c r="J151" i="30"/>
  <c r="N152" i="30"/>
  <c r="L157" i="30"/>
  <c r="N157" i="30" s="1"/>
  <c r="J162" i="30"/>
  <c r="T12" i="33"/>
  <c r="P12" i="33"/>
  <c r="X15" i="33"/>
  <c r="N71" i="33"/>
  <c r="X77" i="33"/>
  <c r="Z77" i="33" s="1"/>
  <c r="J44" i="36"/>
  <c r="Z61" i="36"/>
  <c r="X61" i="36"/>
  <c r="N90" i="36"/>
  <c r="D116" i="27"/>
  <c r="J59" i="30"/>
  <c r="J63" i="30"/>
  <c r="J67" i="30"/>
  <c r="J71" i="30"/>
  <c r="J75" i="30"/>
  <c r="J79" i="30"/>
  <c r="J83" i="30"/>
  <c r="T86" i="30"/>
  <c r="V86" i="30" s="1"/>
  <c r="V99" i="30"/>
  <c r="V103" i="30"/>
  <c r="J109" i="30"/>
  <c r="V123" i="30"/>
  <c r="J129" i="30"/>
  <c r="V131" i="30"/>
  <c r="J135" i="30"/>
  <c r="V144" i="30"/>
  <c r="J150" i="30"/>
  <c r="J161" i="30"/>
  <c r="Z19" i="33"/>
  <c r="X23" i="33"/>
  <c r="Z95" i="33"/>
  <c r="N22" i="36"/>
  <c r="Z41" i="36"/>
  <c r="X41" i="36"/>
  <c r="Z59" i="36"/>
  <c r="Z80" i="36"/>
  <c r="N124" i="36"/>
  <c r="L124" i="36"/>
  <c r="V56" i="30"/>
  <c r="V60" i="30"/>
  <c r="V64" i="30"/>
  <c r="V68" i="30"/>
  <c r="V72" i="30"/>
  <c r="V76" i="30"/>
  <c r="V80" i="30"/>
  <c r="V84" i="30"/>
  <c r="V88" i="30"/>
  <c r="J92" i="30"/>
  <c r="J96" i="30"/>
  <c r="J108" i="30"/>
  <c r="V112" i="30"/>
  <c r="V120" i="30"/>
  <c r="J128" i="30"/>
  <c r="J146" i="30"/>
  <c r="V147" i="30"/>
  <c r="Z23" i="33"/>
  <c r="L67" i="33"/>
  <c r="N67" i="33"/>
  <c r="N67" i="36"/>
  <c r="L67" i="36"/>
  <c r="J78" i="36"/>
  <c r="F114" i="42"/>
  <c r="F106" i="42"/>
  <c r="F102" i="42"/>
  <c r="F98" i="42"/>
  <c r="F97" i="42"/>
  <c r="F86" i="42"/>
  <c r="F85" i="42"/>
  <c r="F115" i="42"/>
  <c r="F107" i="42"/>
  <c r="F103" i="42"/>
  <c r="F99" i="42"/>
  <c r="F82" i="42"/>
  <c r="F122" i="42"/>
  <c r="F117" i="42"/>
  <c r="F116" i="42"/>
  <c r="F109" i="42"/>
  <c r="F108" i="42"/>
  <c r="F93" i="42"/>
  <c r="F89" i="42"/>
  <c r="F88" i="42"/>
  <c r="F91" i="42"/>
  <c r="F79" i="42"/>
  <c r="F78" i="42"/>
  <c r="F120" i="42"/>
  <c r="F94" i="42"/>
  <c r="F83" i="42"/>
  <c r="F38" i="42"/>
  <c r="F34" i="42"/>
  <c r="F104" i="42"/>
  <c r="F65" i="42"/>
  <c r="F57" i="42"/>
  <c r="F25" i="42"/>
  <c r="F24" i="42"/>
  <c r="F81" i="42"/>
  <c r="F76" i="42"/>
  <c r="F71" i="42"/>
  <c r="F48" i="42"/>
  <c r="F44" i="42"/>
  <c r="L12" i="42"/>
  <c r="F121" i="42"/>
  <c r="F112" i="42"/>
  <c r="F100" i="42"/>
  <c r="F92" i="42"/>
  <c r="F77" i="42"/>
  <c r="F66" i="42"/>
  <c r="F39" i="42"/>
  <c r="F35" i="42"/>
  <c r="F95" i="42"/>
  <c r="F90" i="42"/>
  <c r="F87" i="42"/>
  <c r="F58" i="42"/>
  <c r="F50" i="42"/>
  <c r="F49" i="42"/>
  <c r="F26" i="42"/>
  <c r="F126" i="42"/>
  <c r="F84" i="42"/>
  <c r="F72" i="42"/>
  <c r="F45" i="42"/>
  <c r="F110" i="42"/>
  <c r="F105" i="42"/>
  <c r="F73" i="42"/>
  <c r="F67" i="42"/>
  <c r="F60" i="42"/>
  <c r="F59" i="42"/>
  <c r="F52" i="42"/>
  <c r="F51" i="42"/>
  <c r="F40" i="42"/>
  <c r="F36" i="42"/>
  <c r="F32" i="42"/>
  <c r="F31" i="42"/>
  <c r="F113" i="42"/>
  <c r="F68" i="42"/>
  <c r="F30" i="42"/>
  <c r="F119" i="42"/>
  <c r="F101" i="42"/>
  <c r="F62" i="42"/>
  <c r="F61" i="42"/>
  <c r="F54" i="42"/>
  <c r="F53" i="42"/>
  <c r="F46" i="42"/>
  <c r="F42" i="42"/>
  <c r="F41" i="42"/>
  <c r="D28" i="42"/>
  <c r="F28" i="42" s="1"/>
  <c r="F74" i="42"/>
  <c r="F69" i="42"/>
  <c r="F37" i="42"/>
  <c r="F33" i="42"/>
  <c r="F80" i="42"/>
  <c r="F75" i="42"/>
  <c r="F47" i="42"/>
  <c r="F43" i="42"/>
  <c r="F96" i="42"/>
  <c r="F111" i="42"/>
  <c r="F70" i="42"/>
  <c r="F56" i="42"/>
  <c r="F63" i="42"/>
  <c r="F64" i="42"/>
  <c r="F55" i="42"/>
  <c r="H116" i="27"/>
  <c r="V89" i="30"/>
  <c r="V93" i="30"/>
  <c r="V97" i="30"/>
  <c r="J101" i="30"/>
  <c r="J107" i="30"/>
  <c r="J117" i="30"/>
  <c r="V121" i="30"/>
  <c r="J127" i="30"/>
  <c r="V137" i="30"/>
  <c r="J141" i="30"/>
  <c r="Z27" i="33"/>
  <c r="Z69" i="33"/>
  <c r="X69" i="33"/>
  <c r="N14" i="36"/>
  <c r="N55" i="36"/>
  <c r="J157" i="30"/>
  <c r="J154" i="30"/>
  <c r="J155" i="30"/>
  <c r="J156" i="30"/>
  <c r="J148" i="30"/>
  <c r="J144" i="30"/>
  <c r="J58" i="30"/>
  <c r="J62" i="30"/>
  <c r="J66" i="30"/>
  <c r="J70" i="30"/>
  <c r="J74" i="30"/>
  <c r="J78" i="30"/>
  <c r="J82" i="30"/>
  <c r="V98" i="30"/>
  <c r="V102" i="30"/>
  <c r="J106" i="30"/>
  <c r="V110" i="30"/>
  <c r="J116" i="30"/>
  <c r="V118" i="30"/>
  <c r="J126" i="30"/>
  <c r="V130" i="30"/>
  <c r="J134" i="30"/>
  <c r="J140" i="30"/>
  <c r="V142" i="30"/>
  <c r="Z157" i="30"/>
  <c r="J114" i="36"/>
  <c r="P12" i="39"/>
  <c r="X16" i="39"/>
  <c r="N27" i="39"/>
  <c r="D12" i="27"/>
  <c r="L16" i="30"/>
  <c r="L20" i="30"/>
  <c r="N20" i="30" s="1"/>
  <c r="L24" i="30"/>
  <c r="N24" i="30" s="1"/>
  <c r="L28" i="30"/>
  <c r="L32" i="30"/>
  <c r="L36" i="30"/>
  <c r="L40" i="30"/>
  <c r="L44" i="30"/>
  <c r="L48" i="30"/>
  <c r="N48" i="30" s="1"/>
  <c r="L52" i="30"/>
  <c r="V59" i="30"/>
  <c r="V63" i="30"/>
  <c r="V67" i="30"/>
  <c r="V71" i="30"/>
  <c r="V75" i="30"/>
  <c r="V79" i="30"/>
  <c r="V83" i="30"/>
  <c r="J91" i="30"/>
  <c r="J95" i="30"/>
  <c r="J105" i="30"/>
  <c r="V111" i="30"/>
  <c r="J115" i="30"/>
  <c r="V119" i="30"/>
  <c r="J125" i="30"/>
  <c r="J133" i="30"/>
  <c r="V135" i="30"/>
  <c r="J139" i="30"/>
  <c r="V143" i="30"/>
  <c r="V157" i="30"/>
  <c r="L14" i="33"/>
  <c r="N14" i="33" s="1"/>
  <c r="Z56" i="33"/>
  <c r="Z69" i="36"/>
  <c r="N110" i="36"/>
  <c r="H121" i="36"/>
  <c r="Z14" i="39"/>
  <c r="X13" i="30"/>
  <c r="V92" i="30"/>
  <c r="V96" i="30"/>
  <c r="J100" i="30"/>
  <c r="J104" i="30"/>
  <c r="V108" i="30"/>
  <c r="J114" i="30"/>
  <c r="J124" i="30"/>
  <c r="V128" i="30"/>
  <c r="J132" i="30"/>
  <c r="V136" i="30"/>
  <c r="J145" i="30"/>
  <c r="V146" i="30"/>
  <c r="V149" i="30"/>
  <c r="V150" i="30"/>
  <c r="X154" i="30"/>
  <c r="Z154" i="30" s="1"/>
  <c r="Z161" i="30"/>
  <c r="L18" i="33"/>
  <c r="N18" i="33" s="1"/>
  <c r="N22" i="33"/>
  <c r="Z32" i="33"/>
  <c r="N62" i="33"/>
  <c r="J57" i="30"/>
  <c r="J61" i="30"/>
  <c r="J65" i="30"/>
  <c r="J69" i="30"/>
  <c r="J73" i="30"/>
  <c r="J77" i="30"/>
  <c r="J81" i="30"/>
  <c r="H86" i="30"/>
  <c r="V101" i="30"/>
  <c r="V109" i="30"/>
  <c r="J113" i="30"/>
  <c r="V117" i="30"/>
  <c r="J123" i="30"/>
  <c r="V129" i="30"/>
  <c r="J153" i="30"/>
  <c r="H12" i="33"/>
  <c r="Z14" i="33"/>
  <c r="X14" i="33"/>
  <c r="D12" i="36"/>
  <c r="L15" i="36"/>
  <c r="Z53" i="36"/>
  <c r="X53" i="36"/>
  <c r="V151" i="30"/>
  <c r="V155" i="30"/>
  <c r="V162" i="30"/>
  <c r="V156" i="30"/>
  <c r="V161" i="30"/>
  <c r="V166" i="30"/>
  <c r="V152" i="30"/>
  <c r="J56" i="30"/>
  <c r="V58" i="30"/>
  <c r="V62" i="30"/>
  <c r="V66" i="30"/>
  <c r="V70" i="30"/>
  <c r="V74" i="30"/>
  <c r="V78" i="30"/>
  <c r="V82" i="30"/>
  <c r="J86" i="30"/>
  <c r="J88" i="30"/>
  <c r="J90" i="30"/>
  <c r="J94" i="30"/>
  <c r="V106" i="30"/>
  <c r="J122" i="30"/>
  <c r="V126" i="30"/>
  <c r="V134" i="30"/>
  <c r="J138" i="30"/>
  <c r="Z18" i="33"/>
  <c r="X18" i="33"/>
  <c r="X41" i="33"/>
  <c r="Z41" i="33" s="1"/>
  <c r="J98" i="36"/>
  <c r="J86" i="36"/>
  <c r="J80" i="36"/>
  <c r="J70" i="36"/>
  <c r="J58" i="36"/>
  <c r="J50" i="36"/>
  <c r="J26" i="36"/>
  <c r="J99" i="36"/>
  <c r="J93" i="36"/>
  <c r="J87" i="36"/>
  <c r="J81" i="36"/>
  <c r="J59" i="36"/>
  <c r="J51" i="36"/>
  <c r="J45" i="36"/>
  <c r="J31" i="36"/>
  <c r="J116" i="36"/>
  <c r="J108" i="36"/>
  <c r="J104" i="36"/>
  <c r="J100" i="36"/>
  <c r="J88" i="36"/>
  <c r="J82" i="36"/>
  <c r="J60" i="36"/>
  <c r="J52" i="36"/>
  <c r="J40" i="36"/>
  <c r="J36" i="36"/>
  <c r="J32" i="36"/>
  <c r="J30" i="36"/>
  <c r="J28" i="36"/>
  <c r="J128" i="36"/>
  <c r="J83" i="36"/>
  <c r="J71" i="36"/>
  <c r="J61" i="36"/>
  <c r="J53" i="36"/>
  <c r="J41" i="36"/>
  <c r="H28" i="36"/>
  <c r="J94" i="36"/>
  <c r="J72" i="36"/>
  <c r="J62" i="36"/>
  <c r="J54" i="36"/>
  <c r="J46" i="36"/>
  <c r="J42" i="36"/>
  <c r="J117" i="36"/>
  <c r="J109" i="36"/>
  <c r="J105" i="36"/>
  <c r="J101" i="36"/>
  <c r="J89" i="36"/>
  <c r="J73" i="36"/>
  <c r="J63" i="36"/>
  <c r="J55" i="36"/>
  <c r="J37" i="36"/>
  <c r="J33" i="36"/>
  <c r="J118" i="36"/>
  <c r="J110" i="36"/>
  <c r="J90" i="36"/>
  <c r="J84" i="36"/>
  <c r="J74" i="36"/>
  <c r="J64" i="36"/>
  <c r="J56" i="36"/>
  <c r="J119" i="36"/>
  <c r="J111" i="36"/>
  <c r="J95" i="36"/>
  <c r="J91" i="36"/>
  <c r="J75" i="36"/>
  <c r="J65" i="36"/>
  <c r="J47" i="36"/>
  <c r="J43" i="36"/>
  <c r="J123" i="36"/>
  <c r="J122" i="36"/>
  <c r="J112" i="36"/>
  <c r="J106" i="36"/>
  <c r="J102" i="36"/>
  <c r="J96" i="36"/>
  <c r="J76" i="36"/>
  <c r="J66" i="36"/>
  <c r="J38" i="36"/>
  <c r="J34" i="36"/>
  <c r="J24" i="36"/>
  <c r="J124" i="36"/>
  <c r="J121" i="36"/>
  <c r="J113" i="36"/>
  <c r="J97" i="36"/>
  <c r="J85" i="36"/>
  <c r="J77" i="36"/>
  <c r="J67" i="36"/>
  <c r="J57" i="36"/>
  <c r="J25" i="36"/>
  <c r="J115" i="36"/>
  <c r="J107" i="36"/>
  <c r="J103" i="36"/>
  <c r="J79" i="36"/>
  <c r="J69" i="36"/>
  <c r="J49" i="36"/>
  <c r="J39" i="36"/>
  <c r="J35" i="36"/>
  <c r="N15" i="36"/>
  <c r="Z31" i="36"/>
  <c r="Z13" i="27"/>
  <c r="J89" i="30"/>
  <c r="V91" i="30"/>
  <c r="V95" i="30"/>
  <c r="J99" i="30"/>
  <c r="J103" i="30"/>
  <c r="V107" i="30"/>
  <c r="V115" i="30"/>
  <c r="J121" i="30"/>
  <c r="V127" i="30"/>
  <c r="J131" i="30"/>
  <c r="V139" i="30"/>
  <c r="V145" i="30"/>
  <c r="J152" i="30"/>
  <c r="V154" i="30"/>
  <c r="J158" i="30"/>
  <c r="V160" i="30"/>
  <c r="L15" i="33"/>
  <c r="N15" i="33" s="1"/>
  <c r="D12" i="33"/>
  <c r="Z22" i="33"/>
  <c r="X22" i="33"/>
  <c r="Z99" i="36"/>
  <c r="Z12" i="30"/>
  <c r="J60" i="30"/>
  <c r="J64" i="30"/>
  <c r="J68" i="30"/>
  <c r="J72" i="30"/>
  <c r="J76" i="30"/>
  <c r="J80" i="30"/>
  <c r="J84" i="30"/>
  <c r="J98" i="30"/>
  <c r="V100" i="30"/>
  <c r="V104" i="30"/>
  <c r="J112" i="30"/>
  <c r="V116" i="30"/>
  <c r="J120" i="30"/>
  <c r="V124" i="30"/>
  <c r="V132" i="30"/>
  <c r="V140" i="30"/>
  <c r="J147" i="30"/>
  <c r="V148" i="30"/>
  <c r="V153" i="30"/>
  <c r="L162" i="30"/>
  <c r="N162" i="30"/>
  <c r="X26" i="33"/>
  <c r="Z26" i="33" s="1"/>
  <c r="L30" i="33"/>
  <c r="Z51" i="36"/>
  <c r="N75" i="33"/>
  <c r="N93" i="33"/>
  <c r="N31" i="36"/>
  <c r="N51" i="36"/>
  <c r="N59" i="36"/>
  <c r="Z65" i="36"/>
  <c r="N87" i="36"/>
  <c r="N99" i="36"/>
  <c r="X14" i="39"/>
  <c r="Z21" i="39"/>
  <c r="Z30" i="39"/>
  <c r="N37" i="39"/>
  <c r="Z115" i="39"/>
  <c r="Z126" i="39"/>
  <c r="N21" i="42"/>
  <c r="Z24" i="42"/>
  <c r="P12" i="36"/>
  <c r="Z16" i="39"/>
  <c r="N65" i="39"/>
  <c r="J81" i="42"/>
  <c r="J122" i="42"/>
  <c r="J116" i="42"/>
  <c r="J108" i="42"/>
  <c r="J121" i="42"/>
  <c r="J117" i="42"/>
  <c r="J109" i="42"/>
  <c r="J93" i="42"/>
  <c r="J89" i="42"/>
  <c r="J73" i="42"/>
  <c r="J126" i="42"/>
  <c r="J120" i="42"/>
  <c r="J110" i="42"/>
  <c r="J104" i="42"/>
  <c r="J100" i="42"/>
  <c r="J94" i="42"/>
  <c r="J114" i="42"/>
  <c r="J106" i="42"/>
  <c r="J102" i="42"/>
  <c r="J98" i="42"/>
  <c r="J86" i="42"/>
  <c r="J80" i="42"/>
  <c r="J70" i="42"/>
  <c r="J97" i="42"/>
  <c r="J76" i="42"/>
  <c r="J57" i="42"/>
  <c r="J25" i="42"/>
  <c r="J112" i="42"/>
  <c r="J71" i="42"/>
  <c r="J48" i="42"/>
  <c r="J44" i="42"/>
  <c r="N12" i="42"/>
  <c r="J92" i="42"/>
  <c r="J77" i="42"/>
  <c r="J66" i="42"/>
  <c r="J49" i="42"/>
  <c r="J39" i="42"/>
  <c r="J35" i="42"/>
  <c r="J95" i="42"/>
  <c r="J90" i="42"/>
  <c r="J87" i="42"/>
  <c r="J72" i="42"/>
  <c r="J58" i="42"/>
  <c r="J50" i="42"/>
  <c r="J26" i="42"/>
  <c r="J84" i="42"/>
  <c r="J67" i="42"/>
  <c r="J59" i="42"/>
  <c r="J51" i="42"/>
  <c r="J45" i="42"/>
  <c r="J31" i="42"/>
  <c r="J107" i="42"/>
  <c r="J105" i="42"/>
  <c r="J78" i="42"/>
  <c r="J60" i="42"/>
  <c r="J52" i="42"/>
  <c r="J40" i="42"/>
  <c r="J36" i="42"/>
  <c r="J32" i="42"/>
  <c r="J30" i="42"/>
  <c r="J28" i="42"/>
  <c r="J119" i="42"/>
  <c r="J115" i="42"/>
  <c r="J113" i="42"/>
  <c r="J82" i="42"/>
  <c r="J68" i="42"/>
  <c r="J61" i="42"/>
  <c r="J53" i="42"/>
  <c r="J41" i="42"/>
  <c r="H28" i="42"/>
  <c r="J103" i="42"/>
  <c r="J101" i="42"/>
  <c r="J88" i="42"/>
  <c r="J85" i="42"/>
  <c r="J79" i="42"/>
  <c r="J74" i="42"/>
  <c r="J69" i="42"/>
  <c r="J62" i="42"/>
  <c r="J54" i="42"/>
  <c r="J46" i="42"/>
  <c r="J42" i="42"/>
  <c r="J63" i="42"/>
  <c r="J55" i="42"/>
  <c r="J37" i="42"/>
  <c r="J33" i="42"/>
  <c r="J111" i="42"/>
  <c r="J96" i="42"/>
  <c r="J64" i="42"/>
  <c r="J56" i="42"/>
  <c r="J83" i="42"/>
  <c r="J65" i="42"/>
  <c r="J38" i="42"/>
  <c r="J34" i="42"/>
  <c r="J24" i="42"/>
  <c r="X112" i="42"/>
  <c r="Z112" i="42" s="1"/>
  <c r="P107" i="51"/>
  <c r="T12" i="36"/>
  <c r="N13" i="39"/>
  <c r="H12" i="39"/>
  <c r="L15" i="39"/>
  <c r="N15" i="39" s="1"/>
  <c r="Z18" i="39"/>
  <c r="Z71" i="39"/>
  <c r="Z20" i="39"/>
  <c r="X22" i="39"/>
  <c r="Z22" i="39" s="1"/>
  <c r="N85" i="39"/>
  <c r="Z123" i="39"/>
  <c r="N22" i="42"/>
  <c r="J43" i="42"/>
  <c r="Z69" i="42"/>
  <c r="T12" i="39"/>
  <c r="Z24" i="39"/>
  <c r="Z26" i="39"/>
  <c r="N36" i="39"/>
  <c r="N92" i="39"/>
  <c r="N104" i="39"/>
  <c r="Z129" i="39"/>
  <c r="N18" i="42"/>
  <c r="Z108" i="42"/>
  <c r="Z23" i="51"/>
  <c r="H91" i="33"/>
  <c r="X13" i="39"/>
  <c r="Z13" i="39" s="1"/>
  <c r="L17" i="39"/>
  <c r="N17" i="39" s="1"/>
  <c r="L23" i="39"/>
  <c r="N23" i="39" s="1"/>
  <c r="Z28" i="39"/>
  <c r="N57" i="39"/>
  <c r="N14" i="42"/>
  <c r="Z22" i="42"/>
  <c r="L27" i="39"/>
  <c r="X36" i="39"/>
  <c r="R121" i="42"/>
  <c r="R82" i="42"/>
  <c r="R112" i="42"/>
  <c r="R111" i="42"/>
  <c r="R95" i="42"/>
  <c r="R90" i="42"/>
  <c r="R67" i="42"/>
  <c r="R66" i="42"/>
  <c r="R113" i="42"/>
  <c r="R105" i="42"/>
  <c r="R101" i="42"/>
  <c r="R122" i="42"/>
  <c r="R116" i="42"/>
  <c r="R115" i="42"/>
  <c r="R108" i="42"/>
  <c r="R107" i="42"/>
  <c r="R103" i="42"/>
  <c r="R99" i="42"/>
  <c r="R88" i="42"/>
  <c r="R87" i="42"/>
  <c r="R72" i="42"/>
  <c r="R71" i="42"/>
  <c r="R117" i="42"/>
  <c r="R100" i="42"/>
  <c r="R92" i="42"/>
  <c r="R59" i="42"/>
  <c r="R58" i="42"/>
  <c r="R51" i="42"/>
  <c r="R50" i="42"/>
  <c r="R31" i="42"/>
  <c r="R26" i="42"/>
  <c r="R84" i="42"/>
  <c r="R78" i="42"/>
  <c r="R45" i="42"/>
  <c r="R30" i="42"/>
  <c r="R126" i="42"/>
  <c r="R98" i="42"/>
  <c r="R61" i="42"/>
  <c r="R60" i="42"/>
  <c r="R53" i="42"/>
  <c r="R52" i="42"/>
  <c r="R41" i="42"/>
  <c r="R40" i="42"/>
  <c r="R36" i="42"/>
  <c r="R32" i="42"/>
  <c r="P28" i="42"/>
  <c r="R28" i="42" s="1"/>
  <c r="R110" i="42"/>
  <c r="R85" i="42"/>
  <c r="R73" i="42"/>
  <c r="R69" i="42"/>
  <c r="R68" i="42"/>
  <c r="R79" i="42"/>
  <c r="R74" i="42"/>
  <c r="R63" i="42"/>
  <c r="R62" i="42"/>
  <c r="R55" i="42"/>
  <c r="R54" i="42"/>
  <c r="R46" i="42"/>
  <c r="R42" i="42"/>
  <c r="R93" i="42"/>
  <c r="R37" i="42"/>
  <c r="R33" i="42"/>
  <c r="R96" i="42"/>
  <c r="R80" i="42"/>
  <c r="R64" i="42"/>
  <c r="R56" i="42"/>
  <c r="R91" i="42"/>
  <c r="R70" i="42"/>
  <c r="R47" i="42"/>
  <c r="R43" i="42"/>
  <c r="R24" i="42"/>
  <c r="R97" i="42"/>
  <c r="R89" i="42"/>
  <c r="R86" i="42"/>
  <c r="R76" i="42"/>
  <c r="R75" i="42"/>
  <c r="R65" i="42"/>
  <c r="R38" i="42"/>
  <c r="R34" i="42"/>
  <c r="R120" i="42"/>
  <c r="R106" i="42"/>
  <c r="R94" i="42"/>
  <c r="R83" i="42"/>
  <c r="R57" i="42"/>
  <c r="R25" i="42"/>
  <c r="R109" i="42"/>
  <c r="R102" i="42"/>
  <c r="R81" i="42"/>
  <c r="R77" i="42"/>
  <c r="R39" i="42"/>
  <c r="R35" i="42"/>
  <c r="Z36" i="39"/>
  <c r="Z14" i="42"/>
  <c r="P119" i="42"/>
  <c r="X119" i="42" s="1"/>
  <c r="X120" i="42"/>
  <c r="Z120" i="42" s="1"/>
  <c r="X14" i="36"/>
  <c r="Z14" i="36" s="1"/>
  <c r="X18" i="36"/>
  <c r="Z18" i="36" s="1"/>
  <c r="X22" i="36"/>
  <c r="Z22" i="36" s="1"/>
  <c r="D12" i="39"/>
  <c r="L14" i="39"/>
  <c r="Z17" i="39"/>
  <c r="L25" i="39"/>
  <c r="N25" i="39" s="1"/>
  <c r="N30" i="39"/>
  <c r="J47" i="42"/>
  <c r="J75" i="42"/>
  <c r="N14" i="39"/>
  <c r="Z95" i="39"/>
  <c r="P126" i="39"/>
  <c r="X126" i="39" s="1"/>
  <c r="X128" i="39"/>
  <c r="Z128" i="39" s="1"/>
  <c r="N30" i="42"/>
  <c r="R44" i="42"/>
  <c r="R49" i="42"/>
  <c r="R104" i="42"/>
  <c r="R114" i="42"/>
  <c r="L85" i="45"/>
  <c r="N85" i="45" s="1"/>
  <c r="Z76" i="39"/>
  <c r="Z92" i="39"/>
  <c r="Z104" i="39"/>
  <c r="N128" i="39"/>
  <c r="T12" i="42"/>
  <c r="N94" i="42"/>
  <c r="N120" i="42"/>
  <c r="D12" i="45"/>
  <c r="L13" i="45"/>
  <c r="N13" i="45" s="1"/>
  <c r="N36" i="45"/>
  <c r="V38" i="45"/>
  <c r="N60" i="45"/>
  <c r="V82" i="45"/>
  <c r="V47" i="48"/>
  <c r="N19" i="51"/>
  <c r="L19" i="51"/>
  <c r="P12" i="45"/>
  <c r="X13" i="45"/>
  <c r="Z13" i="45" s="1"/>
  <c r="N42" i="48"/>
  <c r="L42" i="48"/>
  <c r="V34" i="45"/>
  <c r="N68" i="45"/>
  <c r="V90" i="45"/>
  <c r="Z20" i="48"/>
  <c r="T12" i="51"/>
  <c r="N119" i="42"/>
  <c r="V58" i="45"/>
  <c r="N75" i="45"/>
  <c r="N57" i="48"/>
  <c r="Z17" i="51"/>
  <c r="X17" i="51"/>
  <c r="H94" i="45"/>
  <c r="D50" i="60"/>
  <c r="L13" i="42"/>
  <c r="X76" i="42"/>
  <c r="Z76" i="42" s="1"/>
  <c r="N110" i="42"/>
  <c r="X116" i="42"/>
  <c r="Z116" i="42" s="1"/>
  <c r="V26" i="45"/>
  <c r="J48" i="45"/>
  <c r="Z54" i="45"/>
  <c r="H12" i="48"/>
  <c r="L13" i="48"/>
  <c r="N13" i="48" s="1"/>
  <c r="Z30" i="48"/>
  <c r="V65" i="48"/>
  <c r="H126" i="39"/>
  <c r="L126" i="39" s="1"/>
  <c r="N13" i="42"/>
  <c r="X14" i="42"/>
  <c r="X108" i="42"/>
  <c r="T119" i="42"/>
  <c r="V42" i="45"/>
  <c r="V66" i="45"/>
  <c r="V78" i="45"/>
  <c r="R65" i="48"/>
  <c r="R62" i="48"/>
  <c r="R55" i="48"/>
  <c r="R54" i="48"/>
  <c r="R47" i="48"/>
  <c r="R46" i="48"/>
  <c r="R26" i="48"/>
  <c r="R22" i="48"/>
  <c r="R64" i="48"/>
  <c r="R38" i="48"/>
  <c r="R37" i="48"/>
  <c r="R57" i="48"/>
  <c r="R56" i="48"/>
  <c r="R49" i="48"/>
  <c r="R48" i="48"/>
  <c r="R32" i="48"/>
  <c r="X12" i="48"/>
  <c r="R69" i="48"/>
  <c r="R40" i="48"/>
  <c r="R39" i="48"/>
  <c r="R27" i="48"/>
  <c r="R23" i="48"/>
  <c r="R58" i="48"/>
  <c r="R51" i="48"/>
  <c r="R50" i="48"/>
  <c r="R42" i="48"/>
  <c r="R41" i="48"/>
  <c r="R33" i="48"/>
  <c r="R52" i="48"/>
  <c r="R28" i="48"/>
  <c r="R24" i="48"/>
  <c r="R59" i="48"/>
  <c r="R43" i="48"/>
  <c r="R20" i="48"/>
  <c r="R34" i="48"/>
  <c r="R19" i="48"/>
  <c r="R15" i="48"/>
  <c r="R53" i="48"/>
  <c r="R30" i="48"/>
  <c r="R29" i="48"/>
  <c r="R25" i="48"/>
  <c r="R21" i="48"/>
  <c r="P17" i="48"/>
  <c r="R36" i="48"/>
  <c r="R35" i="48"/>
  <c r="R31" i="48"/>
  <c r="R60" i="48"/>
  <c r="X26" i="51"/>
  <c r="Z26" i="51" s="1"/>
  <c r="D70" i="56"/>
  <c r="N16" i="45"/>
  <c r="Z19" i="45"/>
  <c r="N25" i="45"/>
  <c r="V57" i="48"/>
  <c r="V49" i="48"/>
  <c r="V37" i="48"/>
  <c r="V56" i="48"/>
  <c r="V48" i="48"/>
  <c r="V40" i="48"/>
  <c r="V32" i="48"/>
  <c r="Z12" i="48"/>
  <c r="V69" i="48"/>
  <c r="V51" i="48"/>
  <c r="V39" i="48"/>
  <c r="V27" i="48"/>
  <c r="V23" i="48"/>
  <c r="V58" i="48"/>
  <c r="V50" i="48"/>
  <c r="V42" i="48"/>
  <c r="V41" i="48"/>
  <c r="V33" i="48"/>
  <c r="V52" i="48"/>
  <c r="V28" i="48"/>
  <c r="V24" i="48"/>
  <c r="V20" i="48"/>
  <c r="V59" i="48"/>
  <c r="V43" i="48"/>
  <c r="V19" i="48"/>
  <c r="V17" i="48"/>
  <c r="V15" i="48"/>
  <c r="V34" i="48"/>
  <c r="V30" i="48"/>
  <c r="T17" i="48"/>
  <c r="V61" i="48"/>
  <c r="V53" i="48"/>
  <c r="V45" i="48"/>
  <c r="V29" i="48"/>
  <c r="V25" i="48"/>
  <c r="V21" i="48"/>
  <c r="V60" i="48"/>
  <c r="V44" i="48"/>
  <c r="V36" i="48"/>
  <c r="V64" i="48"/>
  <c r="V62" i="48"/>
  <c r="V54" i="48"/>
  <c r="V46" i="48"/>
  <c r="V38" i="48"/>
  <c r="V26" i="48"/>
  <c r="V22" i="48"/>
  <c r="N49" i="48"/>
  <c r="V55" i="48"/>
  <c r="N64" i="48"/>
  <c r="N112" i="42"/>
  <c r="J88" i="45"/>
  <c r="J54" i="45"/>
  <c r="J20" i="45"/>
  <c r="J89" i="45"/>
  <c r="J71" i="45"/>
  <c r="J55" i="45"/>
  <c r="J43" i="45"/>
  <c r="J39" i="45"/>
  <c r="J90" i="45"/>
  <c r="J82" i="45"/>
  <c r="J78" i="45"/>
  <c r="J66" i="45"/>
  <c r="J56" i="45"/>
  <c r="J44" i="45"/>
  <c r="J34" i="45"/>
  <c r="J30" i="45"/>
  <c r="J57" i="45"/>
  <c r="J45" i="45"/>
  <c r="J21" i="45"/>
  <c r="J92" i="45"/>
  <c r="J72" i="45"/>
  <c r="J58" i="45"/>
  <c r="J46" i="45"/>
  <c r="J40" i="45"/>
  <c r="J26" i="45"/>
  <c r="J83" i="45"/>
  <c r="J79" i="45"/>
  <c r="J73" i="45"/>
  <c r="J67" i="45"/>
  <c r="J59" i="45"/>
  <c r="J47" i="45"/>
  <c r="J35" i="45"/>
  <c r="J31" i="45"/>
  <c r="J27" i="45"/>
  <c r="J25" i="45"/>
  <c r="J23" i="45"/>
  <c r="J96" i="45"/>
  <c r="J74" i="45"/>
  <c r="J68" i="45"/>
  <c r="J60" i="45"/>
  <c r="J75" i="45"/>
  <c r="J69" i="45"/>
  <c r="J61" i="45"/>
  <c r="J49" i="45"/>
  <c r="J41" i="45"/>
  <c r="J37" i="45"/>
  <c r="J84" i="45"/>
  <c r="J80" i="45"/>
  <c r="J76" i="45"/>
  <c r="J62" i="45"/>
  <c r="J50" i="45"/>
  <c r="J32" i="45"/>
  <c r="J28" i="45"/>
  <c r="J85" i="45"/>
  <c r="J63" i="45"/>
  <c r="J51" i="45"/>
  <c r="J87" i="45"/>
  <c r="J81" i="45"/>
  <c r="J77" i="45"/>
  <c r="J65" i="45"/>
  <c r="J53" i="45"/>
  <c r="J33" i="45"/>
  <c r="J29" i="45"/>
  <c r="J19" i="45"/>
  <c r="F17" i="48"/>
  <c r="R96" i="51"/>
  <c r="R95" i="51"/>
  <c r="R88" i="51"/>
  <c r="R87" i="51"/>
  <c r="R51" i="51"/>
  <c r="R47" i="51"/>
  <c r="R43" i="51"/>
  <c r="R104" i="51"/>
  <c r="R98" i="51"/>
  <c r="R97" i="51"/>
  <c r="R90" i="51"/>
  <c r="R89" i="51"/>
  <c r="R65" i="51"/>
  <c r="R61" i="51"/>
  <c r="R103" i="51"/>
  <c r="R80" i="51"/>
  <c r="R57" i="51"/>
  <c r="R52" i="51"/>
  <c r="R48" i="51"/>
  <c r="R109" i="51"/>
  <c r="R102" i="51"/>
  <c r="R99" i="51"/>
  <c r="R91" i="51"/>
  <c r="R71" i="51"/>
  <c r="R56" i="51"/>
  <c r="R54" i="51"/>
  <c r="R101" i="51"/>
  <c r="R67" i="51"/>
  <c r="R66" i="51"/>
  <c r="R62" i="51"/>
  <c r="R58" i="51"/>
  <c r="R92" i="51"/>
  <c r="R73" i="51"/>
  <c r="R72" i="51"/>
  <c r="R68" i="51"/>
  <c r="R84" i="51"/>
  <c r="R83" i="51"/>
  <c r="R63" i="51"/>
  <c r="R59" i="51"/>
  <c r="R77" i="51"/>
  <c r="R76" i="51"/>
  <c r="R64" i="51"/>
  <c r="R60" i="51"/>
  <c r="R82" i="51"/>
  <c r="R45" i="51"/>
  <c r="R40" i="51"/>
  <c r="R107" i="51"/>
  <c r="R69" i="51"/>
  <c r="R50" i="51"/>
  <c r="X12" i="51"/>
  <c r="R93" i="51"/>
  <c r="R46" i="51"/>
  <c r="R85" i="51"/>
  <c r="R41" i="51"/>
  <c r="R105" i="51"/>
  <c r="R78" i="51"/>
  <c r="R74" i="51"/>
  <c r="R70" i="51"/>
  <c r="R94" i="51"/>
  <c r="R44" i="51"/>
  <c r="R86" i="51"/>
  <c r="R42" i="51"/>
  <c r="R39" i="51"/>
  <c r="R79" i="51"/>
  <c r="R75" i="51"/>
  <c r="N37" i="51"/>
  <c r="L37" i="51"/>
  <c r="R49" i="51"/>
  <c r="X13" i="42"/>
  <c r="Z13" i="42" s="1"/>
  <c r="X17" i="42"/>
  <c r="Z17" i="42" s="1"/>
  <c r="X21" i="42"/>
  <c r="Z21" i="42" s="1"/>
  <c r="X69" i="42"/>
  <c r="V72" i="45"/>
  <c r="V68" i="45"/>
  <c r="V60" i="45"/>
  <c r="V48" i="45"/>
  <c r="V40" i="45"/>
  <c r="V36" i="45"/>
  <c r="T23" i="45"/>
  <c r="V83" i="45"/>
  <c r="V79" i="45"/>
  <c r="V75" i="45"/>
  <c r="V67" i="45"/>
  <c r="V59" i="45"/>
  <c r="V47" i="45"/>
  <c r="V35" i="45"/>
  <c r="V31" i="45"/>
  <c r="V27" i="45"/>
  <c r="V96" i="45"/>
  <c r="V74" i="45"/>
  <c r="V62" i="45"/>
  <c r="V50" i="45"/>
  <c r="V85" i="45"/>
  <c r="V69" i="45"/>
  <c r="V61" i="45"/>
  <c r="V49" i="45"/>
  <c r="V41" i="45"/>
  <c r="V37" i="45"/>
  <c r="V84" i="45"/>
  <c r="V80" i="45"/>
  <c r="V76" i="45"/>
  <c r="V64" i="45"/>
  <c r="V52" i="45"/>
  <c r="V32" i="45"/>
  <c r="V28" i="45"/>
  <c r="V87" i="45"/>
  <c r="V63" i="45"/>
  <c r="V51" i="45"/>
  <c r="V19" i="45"/>
  <c r="V86" i="45"/>
  <c r="V70" i="45"/>
  <c r="V54" i="45"/>
  <c r="V89" i="45"/>
  <c r="V81" i="45"/>
  <c r="V77" i="45"/>
  <c r="V65" i="45"/>
  <c r="V53" i="45"/>
  <c r="V33" i="45"/>
  <c r="V29" i="45"/>
  <c r="V88" i="45"/>
  <c r="V56" i="45"/>
  <c r="V44" i="45"/>
  <c r="V20" i="45"/>
  <c r="V71" i="45"/>
  <c r="V55" i="45"/>
  <c r="V43" i="45"/>
  <c r="V39" i="45"/>
  <c r="V73" i="45"/>
  <c r="V57" i="45"/>
  <c r="V45" i="45"/>
  <c r="V25" i="45"/>
  <c r="V21" i="45"/>
  <c r="X16" i="45"/>
  <c r="Z16" i="45" s="1"/>
  <c r="V30" i="45"/>
  <c r="J38" i="45"/>
  <c r="V92" i="45"/>
  <c r="N31" i="51"/>
  <c r="L31" i="51"/>
  <c r="N65" i="42"/>
  <c r="L112" i="42"/>
  <c r="Z122" i="42"/>
  <c r="J64" i="45"/>
  <c r="J70" i="45"/>
  <c r="Z89" i="45"/>
  <c r="Z36" i="48"/>
  <c r="X36" i="48"/>
  <c r="N25" i="51"/>
  <c r="L25" i="51"/>
  <c r="Z75" i="45"/>
  <c r="N89" i="45"/>
  <c r="L15" i="48"/>
  <c r="N30" i="48"/>
  <c r="Z40" i="48"/>
  <c r="F42" i="48"/>
  <c r="F43" i="48"/>
  <c r="F59" i="48"/>
  <c r="H12" i="51"/>
  <c r="Z14" i="51"/>
  <c r="X23" i="51"/>
  <c r="X35" i="51"/>
  <c r="Z35" i="51" s="1"/>
  <c r="X77" i="51"/>
  <c r="Z77" i="51" s="1"/>
  <c r="N90" i="51"/>
  <c r="N94" i="51"/>
  <c r="F40" i="48"/>
  <c r="F41" i="48"/>
  <c r="N22" i="51"/>
  <c r="X90" i="51"/>
  <c r="Z90" i="51" s="1"/>
  <c r="L105" i="51"/>
  <c r="N105" i="51" s="1"/>
  <c r="N46" i="56"/>
  <c r="J52" i="57"/>
  <c r="F49" i="48"/>
  <c r="F50" i="48"/>
  <c r="F57" i="48"/>
  <c r="F58" i="48"/>
  <c r="D64" i="48"/>
  <c r="L64" i="48" s="1"/>
  <c r="D12" i="51"/>
  <c r="X98" i="51"/>
  <c r="Z98" i="51" s="1"/>
  <c r="Z14" i="55"/>
  <c r="X14" i="55"/>
  <c r="J69" i="57"/>
  <c r="J59" i="57"/>
  <c r="J74" i="57"/>
  <c r="J54" i="57"/>
  <c r="J46" i="57"/>
  <c r="J36" i="57"/>
  <c r="J24" i="57"/>
  <c r="J20" i="57"/>
  <c r="J18" i="57"/>
  <c r="J16" i="57"/>
  <c r="J14" i="57"/>
  <c r="J65" i="57"/>
  <c r="J47" i="57"/>
  <c r="J37" i="57"/>
  <c r="H16" i="57"/>
  <c r="L16" i="57" s="1"/>
  <c r="J60" i="57"/>
  <c r="J55" i="57"/>
  <c r="J38" i="57"/>
  <c r="J30" i="57"/>
  <c r="J67" i="57"/>
  <c r="J39" i="57"/>
  <c r="J25" i="57"/>
  <c r="J21" i="57"/>
  <c r="J61" i="57"/>
  <c r="J48" i="57"/>
  <c r="J40" i="57"/>
  <c r="J31" i="57"/>
  <c r="J56" i="57"/>
  <c r="J26" i="57"/>
  <c r="J22" i="57"/>
  <c r="J62" i="57"/>
  <c r="J49" i="57"/>
  <c r="J41" i="57"/>
  <c r="J50" i="57"/>
  <c r="J42" i="57"/>
  <c r="J32" i="57"/>
  <c r="N12" i="57"/>
  <c r="J63" i="57"/>
  <c r="J57" i="57"/>
  <c r="J51" i="57"/>
  <c r="J43" i="57"/>
  <c r="J33" i="57"/>
  <c r="J27" i="57"/>
  <c r="J23" i="57"/>
  <c r="L12" i="57"/>
  <c r="J53" i="57"/>
  <c r="J45" i="57"/>
  <c r="J35" i="57"/>
  <c r="J29" i="57"/>
  <c r="J19" i="57"/>
  <c r="V72" i="58"/>
  <c r="V70" i="58"/>
  <c r="V68" i="58"/>
  <c r="V60" i="58"/>
  <c r="V52" i="58"/>
  <c r="V44" i="58"/>
  <c r="V28" i="58"/>
  <c r="V24" i="58"/>
  <c r="V20" i="58"/>
  <c r="V61" i="58"/>
  <c r="V79" i="58"/>
  <c r="V76" i="58"/>
  <c r="V74" i="58"/>
  <c r="V56" i="58"/>
  <c r="V48" i="58"/>
  <c r="V36" i="58"/>
  <c r="V63" i="58"/>
  <c r="V55" i="58"/>
  <c r="V47" i="58"/>
  <c r="V35" i="58"/>
  <c r="V31" i="58"/>
  <c r="V65" i="58"/>
  <c r="V57" i="58"/>
  <c r="V49" i="58"/>
  <c r="V64" i="58"/>
  <c r="V40" i="58"/>
  <c r="V32" i="58"/>
  <c r="V53" i="58"/>
  <c r="V41" i="58"/>
  <c r="V33" i="58"/>
  <c r="V43" i="58"/>
  <c r="V34" i="58"/>
  <c r="V14" i="58"/>
  <c r="V54" i="58"/>
  <c r="V46" i="58"/>
  <c r="V37" i="58"/>
  <c r="V66" i="58"/>
  <c r="V22" i="58"/>
  <c r="V29" i="58"/>
  <c r="V27" i="58"/>
  <c r="V16" i="58"/>
  <c r="V38" i="58"/>
  <c r="V30" i="58"/>
  <c r="T16" i="58"/>
  <c r="V67" i="58"/>
  <c r="V58" i="58"/>
  <c r="V62" i="58"/>
  <c r="V50" i="58"/>
  <c r="V25" i="58"/>
  <c r="V23" i="58"/>
  <c r="V18" i="58"/>
  <c r="V42" i="58"/>
  <c r="V19" i="58"/>
  <c r="Z12" i="58"/>
  <c r="V39" i="58"/>
  <c r="V21" i="58"/>
  <c r="X12" i="58"/>
  <c r="V51" i="58"/>
  <c r="V45" i="58"/>
  <c r="V26" i="58"/>
  <c r="F38" i="48"/>
  <c r="F39" i="48"/>
  <c r="F64" i="48"/>
  <c r="F69" i="48"/>
  <c r="X19" i="51"/>
  <c r="Z19" i="51" s="1"/>
  <c r="X31" i="51"/>
  <c r="Z31" i="51" s="1"/>
  <c r="N20" i="54"/>
  <c r="L20" i="54"/>
  <c r="Z16" i="55"/>
  <c r="T33" i="55"/>
  <c r="X65" i="56"/>
  <c r="Z65" i="56" s="1"/>
  <c r="J28" i="57"/>
  <c r="Z22" i="51"/>
  <c r="Z34" i="51"/>
  <c r="X13" i="48"/>
  <c r="Z13" i="48" s="1"/>
  <c r="F36" i="48"/>
  <c r="F37" i="48"/>
  <c r="Z13" i="51"/>
  <c r="N18" i="51"/>
  <c r="L21" i="51"/>
  <c r="N21" i="51" s="1"/>
  <c r="N30" i="51"/>
  <c r="L33" i="51"/>
  <c r="N33" i="51" s="1"/>
  <c r="Z63" i="56"/>
  <c r="D67" i="57"/>
  <c r="F22" i="48"/>
  <c r="F26" i="48"/>
  <c r="F45" i="48"/>
  <c r="F46" i="48"/>
  <c r="F54" i="48"/>
  <c r="F61" i="48"/>
  <c r="F62" i="48"/>
  <c r="X15" i="51"/>
  <c r="Z15" i="51" s="1"/>
  <c r="N56" i="51"/>
  <c r="N67" i="51"/>
  <c r="L67" i="51"/>
  <c r="T70" i="56"/>
  <c r="Z16" i="56"/>
  <c r="N19" i="56"/>
  <c r="L19" i="56"/>
  <c r="N33" i="57"/>
  <c r="L33" i="57"/>
  <c r="F30" i="48"/>
  <c r="F31" i="48"/>
  <c r="F35" i="48"/>
  <c r="X27" i="51"/>
  <c r="Z27" i="51" s="1"/>
  <c r="L39" i="51"/>
  <c r="N39" i="51" s="1"/>
  <c r="L84" i="51"/>
  <c r="Z102" i="51"/>
  <c r="X18" i="55"/>
  <c r="Z18" i="55" s="1"/>
  <c r="J71" i="57"/>
  <c r="P72" i="58"/>
  <c r="X16" i="58"/>
  <c r="F60" i="48"/>
  <c r="N18" i="54"/>
  <c r="L18" i="54"/>
  <c r="R33" i="55"/>
  <c r="R31" i="55"/>
  <c r="R21" i="55"/>
  <c r="R20" i="55"/>
  <c r="P16" i="55"/>
  <c r="R23" i="55"/>
  <c r="R22" i="55"/>
  <c r="R35" i="55"/>
  <c r="R40" i="55"/>
  <c r="R37" i="55"/>
  <c r="R25" i="55"/>
  <c r="R24" i="55"/>
  <c r="R27" i="55"/>
  <c r="R26" i="55"/>
  <c r="R28" i="55"/>
  <c r="X12" i="55"/>
  <c r="R29" i="55"/>
  <c r="R18" i="55"/>
  <c r="R16" i="55"/>
  <c r="R14" i="55"/>
  <c r="X39" i="57"/>
  <c r="Z39" i="57" s="1"/>
  <c r="V59" i="58"/>
  <c r="F53" i="48"/>
  <c r="L14" i="51"/>
  <c r="N14" i="51" s="1"/>
  <c r="L17" i="51"/>
  <c r="X18" i="51"/>
  <c r="Z18" i="51" s="1"/>
  <c r="L23" i="51"/>
  <c r="N23" i="51" s="1"/>
  <c r="N26" i="51"/>
  <c r="L29" i="51"/>
  <c r="N29" i="51" s="1"/>
  <c r="X30" i="51"/>
  <c r="Z30" i="51" s="1"/>
  <c r="L35" i="51"/>
  <c r="N79" i="51"/>
  <c r="H22" i="54"/>
  <c r="Z18" i="57"/>
  <c r="D72" i="58"/>
  <c r="L16" i="58"/>
  <c r="N38" i="58"/>
  <c r="H49" i="61"/>
  <c r="N16" i="61"/>
  <c r="Z73" i="51"/>
  <c r="H101" i="51"/>
  <c r="L101" i="51"/>
  <c r="N14" i="54"/>
  <c r="L14" i="54"/>
  <c r="Z29" i="54"/>
  <c r="N23" i="55"/>
  <c r="J34" i="57"/>
  <c r="Z57" i="51"/>
  <c r="N75" i="51"/>
  <c r="Z103" i="51"/>
  <c r="F14" i="54"/>
  <c r="F16" i="54"/>
  <c r="F18" i="54"/>
  <c r="F20" i="54"/>
  <c r="F22" i="54"/>
  <c r="J24" i="54"/>
  <c r="N28" i="54"/>
  <c r="N29" i="54"/>
  <c r="N12" i="55"/>
  <c r="V20" i="55"/>
  <c r="J28" i="55"/>
  <c r="H16" i="56"/>
  <c r="F19" i="56"/>
  <c r="F20" i="56"/>
  <c r="F24" i="56"/>
  <c r="V31" i="56"/>
  <c r="J39" i="56"/>
  <c r="V43" i="56"/>
  <c r="F48" i="56"/>
  <c r="V51" i="56"/>
  <c r="J55" i="56"/>
  <c r="F60" i="56"/>
  <c r="J61" i="56"/>
  <c r="N63" i="56"/>
  <c r="R64" i="56"/>
  <c r="R65" i="56"/>
  <c r="F67" i="57"/>
  <c r="F65" i="57"/>
  <c r="F56" i="57"/>
  <c r="F74" i="57"/>
  <c r="F71" i="57"/>
  <c r="L14" i="57"/>
  <c r="V21" i="57"/>
  <c r="V25" i="57"/>
  <c r="R30" i="57"/>
  <c r="F33" i="57"/>
  <c r="F34" i="57"/>
  <c r="N37" i="57"/>
  <c r="R38" i="57"/>
  <c r="R39" i="57"/>
  <c r="R55" i="57"/>
  <c r="R60" i="57"/>
  <c r="R67" i="57"/>
  <c r="R42" i="58"/>
  <c r="R41" i="58"/>
  <c r="R33" i="58"/>
  <c r="R18" i="58"/>
  <c r="R16" i="58"/>
  <c r="R14" i="58"/>
  <c r="R68" i="58"/>
  <c r="R61" i="58"/>
  <c r="R46" i="58"/>
  <c r="R45" i="58"/>
  <c r="R30" i="58"/>
  <c r="R29" i="58"/>
  <c r="R25" i="58"/>
  <c r="R21" i="58"/>
  <c r="R74" i="58"/>
  <c r="R63" i="58"/>
  <c r="R62" i="58"/>
  <c r="R58" i="58"/>
  <c r="R57" i="58"/>
  <c r="R50" i="58"/>
  <c r="R49" i="58"/>
  <c r="R38" i="58"/>
  <c r="R37" i="58"/>
  <c r="R67" i="58"/>
  <c r="R66" i="58"/>
  <c r="R19" i="58"/>
  <c r="X14" i="58"/>
  <c r="J21" i="58"/>
  <c r="F23" i="58"/>
  <c r="J36" i="58"/>
  <c r="F50" i="58"/>
  <c r="L58" i="58"/>
  <c r="N58" i="58" s="1"/>
  <c r="R59" i="58"/>
  <c r="N65" i="58"/>
  <c r="V18" i="59"/>
  <c r="T50" i="60"/>
  <c r="Z16" i="60"/>
  <c r="Z44" i="61"/>
  <c r="N63" i="63"/>
  <c r="L63" i="63"/>
  <c r="Z67" i="63"/>
  <c r="V14" i="55"/>
  <c r="V16" i="55"/>
  <c r="V18" i="55"/>
  <c r="J26" i="55"/>
  <c r="L14" i="56"/>
  <c r="J37" i="56"/>
  <c r="J53" i="56"/>
  <c r="R62" i="56"/>
  <c r="R63" i="56"/>
  <c r="F72" i="56"/>
  <c r="P16" i="57"/>
  <c r="R20" i="57"/>
  <c r="R24" i="57"/>
  <c r="R36" i="57"/>
  <c r="R37" i="57"/>
  <c r="V39" i="57"/>
  <c r="V47" i="57"/>
  <c r="R59" i="57"/>
  <c r="V60" i="57"/>
  <c r="R65" i="57"/>
  <c r="R74" i="57"/>
  <c r="F35" i="58"/>
  <c r="F38" i="58"/>
  <c r="J47" i="58"/>
  <c r="J55" i="58"/>
  <c r="Z63" i="58"/>
  <c r="J70" i="58"/>
  <c r="N43" i="60"/>
  <c r="Z65" i="63"/>
  <c r="V19" i="55"/>
  <c r="F23" i="55"/>
  <c r="F24" i="55"/>
  <c r="J25" i="55"/>
  <c r="J37" i="55"/>
  <c r="J40" i="55"/>
  <c r="F23" i="56"/>
  <c r="F27" i="56"/>
  <c r="J28" i="56"/>
  <c r="F34" i="56"/>
  <c r="F35" i="56"/>
  <c r="J36" i="56"/>
  <c r="R39" i="56"/>
  <c r="R40" i="56"/>
  <c r="F46" i="56"/>
  <c r="F47" i="56"/>
  <c r="R55" i="56"/>
  <c r="R56" i="56"/>
  <c r="F59" i="56"/>
  <c r="F68" i="56"/>
  <c r="F70" i="56"/>
  <c r="J72" i="56"/>
  <c r="V20" i="57"/>
  <c r="V24" i="57"/>
  <c r="R29" i="57"/>
  <c r="V36" i="57"/>
  <c r="R45" i="57"/>
  <c r="R46" i="57"/>
  <c r="R53" i="57"/>
  <c r="R54" i="57"/>
  <c r="H76" i="58"/>
  <c r="J25" i="58"/>
  <c r="F27" i="58"/>
  <c r="J35" i="58"/>
  <c r="J41" i="58"/>
  <c r="J62" i="58"/>
  <c r="J50" i="59"/>
  <c r="J42" i="59"/>
  <c r="J28" i="59"/>
  <c r="J24" i="59"/>
  <c r="J20" i="59"/>
  <c r="J18" i="59"/>
  <c r="J16" i="59"/>
  <c r="J14" i="59"/>
  <c r="J61" i="59"/>
  <c r="J59" i="59"/>
  <c r="J51" i="59"/>
  <c r="J43" i="59"/>
  <c r="H16" i="59"/>
  <c r="L16" i="59" s="1"/>
  <c r="J44" i="59"/>
  <c r="J34" i="59"/>
  <c r="J63" i="59"/>
  <c r="J45" i="59"/>
  <c r="J29" i="59"/>
  <c r="J25" i="59"/>
  <c r="J21" i="59"/>
  <c r="J52" i="59"/>
  <c r="J30" i="59"/>
  <c r="J68" i="59"/>
  <c r="J65" i="59"/>
  <c r="J53" i="59"/>
  <c r="J35" i="59"/>
  <c r="J31" i="59"/>
  <c r="J54" i="59"/>
  <c r="J55" i="59"/>
  <c r="J37" i="59"/>
  <c r="J56" i="59"/>
  <c r="J38" i="59"/>
  <c r="J32" i="59"/>
  <c r="N12" i="59"/>
  <c r="J47" i="59"/>
  <c r="J39" i="59"/>
  <c r="J27" i="59"/>
  <c r="J23" i="59"/>
  <c r="J57" i="59"/>
  <c r="J49" i="59"/>
  <c r="J41" i="59"/>
  <c r="J33" i="59"/>
  <c r="J19" i="59"/>
  <c r="Z38" i="59"/>
  <c r="N30" i="63"/>
  <c r="Z12" i="55"/>
  <c r="J24" i="55"/>
  <c r="V28" i="55"/>
  <c r="F35" i="55"/>
  <c r="L12" i="56"/>
  <c r="P16" i="56"/>
  <c r="J23" i="56"/>
  <c r="J27" i="56"/>
  <c r="J35" i="56"/>
  <c r="J47" i="56"/>
  <c r="R48" i="56"/>
  <c r="F52" i="56"/>
  <c r="J59" i="56"/>
  <c r="R60" i="56"/>
  <c r="R61" i="56"/>
  <c r="T16" i="57"/>
  <c r="R19" i="57"/>
  <c r="V29" i="57"/>
  <c r="R34" i="57"/>
  <c r="R35" i="57"/>
  <c r="V37" i="57"/>
  <c r="V45" i="57"/>
  <c r="V53" i="57"/>
  <c r="R71" i="57"/>
  <c r="Z18" i="58"/>
  <c r="Z19" i="58"/>
  <c r="J27" i="58"/>
  <c r="N44" i="58"/>
  <c r="Z50" i="58"/>
  <c r="F64" i="58"/>
  <c r="Z65" i="58"/>
  <c r="J76" i="58"/>
  <c r="L12" i="59"/>
  <c r="N18" i="60"/>
  <c r="N51" i="63"/>
  <c r="L51" i="63"/>
  <c r="P16" i="54"/>
  <c r="D16" i="55"/>
  <c r="J23" i="55"/>
  <c r="J35" i="55"/>
  <c r="F44" i="56"/>
  <c r="F45" i="56"/>
  <c r="J68" i="56"/>
  <c r="J70" i="56"/>
  <c r="R74" i="56"/>
  <c r="R77" i="56"/>
  <c r="V59" i="57"/>
  <c r="V67" i="57"/>
  <c r="V65" i="57"/>
  <c r="V63" i="57"/>
  <c r="V14" i="57"/>
  <c r="V16" i="57"/>
  <c r="V18" i="57"/>
  <c r="V34" i="57"/>
  <c r="R43" i="57"/>
  <c r="R44" i="57"/>
  <c r="V46" i="57"/>
  <c r="R51" i="57"/>
  <c r="R52" i="57"/>
  <c r="V54" i="57"/>
  <c r="R57" i="57"/>
  <c r="R58" i="57"/>
  <c r="R63" i="57"/>
  <c r="N16" i="58"/>
  <c r="J44" i="58"/>
  <c r="F46" i="58"/>
  <c r="Z58" i="58"/>
  <c r="Z67" i="58"/>
  <c r="X67" i="58"/>
  <c r="J46" i="59"/>
  <c r="Z19" i="63"/>
  <c r="F14" i="55"/>
  <c r="F16" i="55"/>
  <c r="F18" i="55"/>
  <c r="J22" i="55"/>
  <c r="V26" i="55"/>
  <c r="R19" i="56"/>
  <c r="F22" i="56"/>
  <c r="F26" i="56"/>
  <c r="J33" i="56"/>
  <c r="J45" i="56"/>
  <c r="F58" i="56"/>
  <c r="F65" i="56"/>
  <c r="F66" i="56"/>
  <c r="R72" i="56"/>
  <c r="X12" i="57"/>
  <c r="V19" i="57"/>
  <c r="V23" i="57"/>
  <c r="V27" i="57"/>
  <c r="R32" i="57"/>
  <c r="R33" i="57"/>
  <c r="V35" i="57"/>
  <c r="V43" i="57"/>
  <c r="V51" i="57"/>
  <c r="V57" i="57"/>
  <c r="L60" i="57"/>
  <c r="N60" i="57" s="1"/>
  <c r="V71" i="57"/>
  <c r="J22" i="58"/>
  <c r="J29" i="58"/>
  <c r="Z30" i="58"/>
  <c r="F32" i="58"/>
  <c r="Z38" i="58"/>
  <c r="X44" i="58"/>
  <c r="Z44" i="58" s="1"/>
  <c r="V52" i="59"/>
  <c r="V36" i="59"/>
  <c r="V55" i="59"/>
  <c r="V35" i="59"/>
  <c r="V31" i="59"/>
  <c r="V54" i="59"/>
  <c r="V46" i="59"/>
  <c r="V38" i="59"/>
  <c r="V37" i="59"/>
  <c r="V56" i="59"/>
  <c r="V48" i="59"/>
  <c r="V40" i="59"/>
  <c r="V32" i="59"/>
  <c r="Z12" i="59"/>
  <c r="V47" i="59"/>
  <c r="V39" i="59"/>
  <c r="V27" i="59"/>
  <c r="V23" i="59"/>
  <c r="V19" i="59"/>
  <c r="V61" i="59"/>
  <c r="V59" i="59"/>
  <c r="V57" i="59"/>
  <c r="V49" i="59"/>
  <c r="V41" i="59"/>
  <c r="V33" i="59"/>
  <c r="T16" i="59"/>
  <c r="V44" i="59"/>
  <c r="V28" i="59"/>
  <c r="V24" i="59"/>
  <c r="V20" i="59"/>
  <c r="V51" i="59"/>
  <c r="V43" i="59"/>
  <c r="V68" i="59"/>
  <c r="V65" i="59"/>
  <c r="V63" i="59"/>
  <c r="V53" i="59"/>
  <c r="V45" i="59"/>
  <c r="V29" i="59"/>
  <c r="V25" i="59"/>
  <c r="V21" i="59"/>
  <c r="J48" i="59"/>
  <c r="P61" i="59"/>
  <c r="Z53" i="63"/>
  <c r="Z57" i="63"/>
  <c r="X57" i="63"/>
  <c r="T101" i="51"/>
  <c r="T16" i="54"/>
  <c r="H16" i="55"/>
  <c r="F19" i="55"/>
  <c r="F20" i="55"/>
  <c r="J21" i="55"/>
  <c r="V27" i="55"/>
  <c r="J31" i="55"/>
  <c r="J33" i="55"/>
  <c r="V14" i="56"/>
  <c r="V16" i="56"/>
  <c r="V18" i="56"/>
  <c r="J22" i="56"/>
  <c r="R23" i="56"/>
  <c r="J26" i="56"/>
  <c r="R27" i="56"/>
  <c r="R28" i="56"/>
  <c r="F31" i="56"/>
  <c r="J32" i="56"/>
  <c r="R35" i="56"/>
  <c r="R36" i="56"/>
  <c r="V38" i="56"/>
  <c r="F42" i="56"/>
  <c r="F43" i="56"/>
  <c r="J44" i="56"/>
  <c r="R47" i="56"/>
  <c r="F50" i="56"/>
  <c r="F51" i="56"/>
  <c r="V54" i="56"/>
  <c r="J58" i="56"/>
  <c r="R59" i="56"/>
  <c r="J66" i="56"/>
  <c r="V72" i="56"/>
  <c r="V74" i="56"/>
  <c r="V77" i="56"/>
  <c r="Z12" i="57"/>
  <c r="V28" i="57"/>
  <c r="V32" i="57"/>
  <c r="R41" i="57"/>
  <c r="R42" i="57"/>
  <c r="V44" i="57"/>
  <c r="R49" i="57"/>
  <c r="R50" i="57"/>
  <c r="V52" i="57"/>
  <c r="V58" i="57"/>
  <c r="F60" i="57"/>
  <c r="X62" i="57"/>
  <c r="R69" i="57"/>
  <c r="F34" i="58"/>
  <c r="N40" i="58"/>
  <c r="F43" i="58"/>
  <c r="R44" i="58"/>
  <c r="N46" i="58"/>
  <c r="F51" i="58"/>
  <c r="J54" i="58"/>
  <c r="R60" i="58"/>
  <c r="R64" i="58"/>
  <c r="J66" i="58"/>
  <c r="D61" i="59"/>
  <c r="Z19" i="59"/>
  <c r="N44" i="59"/>
  <c r="Z18" i="60"/>
  <c r="L42" i="61"/>
  <c r="N42" i="61" s="1"/>
  <c r="N18" i="63"/>
  <c r="X47" i="67"/>
  <c r="Z47" i="67"/>
  <c r="V14" i="54"/>
  <c r="V16" i="54"/>
  <c r="V18" i="54"/>
  <c r="V20" i="54"/>
  <c r="F26" i="54"/>
  <c r="F28" i="54"/>
  <c r="F29" i="54"/>
  <c r="F31" i="54"/>
  <c r="J14" i="55"/>
  <c r="J16" i="55"/>
  <c r="J18" i="55"/>
  <c r="J20" i="55"/>
  <c r="V24" i="55"/>
  <c r="F29" i="55"/>
  <c r="J31" i="56"/>
  <c r="J43" i="56"/>
  <c r="J51" i="56"/>
  <c r="R52" i="56"/>
  <c r="F63" i="56"/>
  <c r="F64" i="56"/>
  <c r="J65" i="56"/>
  <c r="R22" i="57"/>
  <c r="R26" i="57"/>
  <c r="V33" i="57"/>
  <c r="V41" i="57"/>
  <c r="V49" i="57"/>
  <c r="R56" i="57"/>
  <c r="R62" i="57"/>
  <c r="V69" i="57"/>
  <c r="J34" i="58"/>
  <c r="J40" i="58"/>
  <c r="J51" i="58"/>
  <c r="J72" i="58"/>
  <c r="J79" i="58"/>
  <c r="J22" i="59"/>
  <c r="J19" i="55"/>
  <c r="V25" i="55"/>
  <c r="V35" i="55"/>
  <c r="V37" i="55"/>
  <c r="V40" i="55"/>
  <c r="F21" i="56"/>
  <c r="F25" i="56"/>
  <c r="F40" i="56"/>
  <c r="F41" i="56"/>
  <c r="J42" i="56"/>
  <c r="R45" i="56"/>
  <c r="R46" i="56"/>
  <c r="F49" i="56"/>
  <c r="J50" i="56"/>
  <c r="F56" i="56"/>
  <c r="F57" i="56"/>
  <c r="J64" i="56"/>
  <c r="R68" i="56"/>
  <c r="R70" i="56"/>
  <c r="V22" i="57"/>
  <c r="V26" i="57"/>
  <c r="R31" i="57"/>
  <c r="V42" i="57"/>
  <c r="V50" i="57"/>
  <c r="V56" i="57"/>
  <c r="R61" i="57"/>
  <c r="F79" i="58"/>
  <c r="F76" i="58"/>
  <c r="F57" i="58"/>
  <c r="F56" i="58"/>
  <c r="F49" i="58"/>
  <c r="F48" i="58"/>
  <c r="F37" i="58"/>
  <c r="F36" i="58"/>
  <c r="F66" i="58"/>
  <c r="F65" i="58"/>
  <c r="F41" i="58"/>
  <c r="F40" i="58"/>
  <c r="F33" i="58"/>
  <c r="F68" i="58"/>
  <c r="F67" i="58"/>
  <c r="F60" i="58"/>
  <c r="F52" i="58"/>
  <c r="F28" i="58"/>
  <c r="F24" i="58"/>
  <c r="F20" i="58"/>
  <c r="F19" i="58"/>
  <c r="F54" i="58"/>
  <c r="F53" i="58"/>
  <c r="F72" i="58"/>
  <c r="F70" i="58"/>
  <c r="F61" i="58"/>
  <c r="F45" i="58"/>
  <c r="F44" i="58"/>
  <c r="F29" i="58"/>
  <c r="F25" i="58"/>
  <c r="F21" i="58"/>
  <c r="F62" i="58"/>
  <c r="F26" i="58"/>
  <c r="F22" i="58"/>
  <c r="J26" i="58"/>
  <c r="F39" i="58"/>
  <c r="F63" i="58"/>
  <c r="J26" i="59"/>
  <c r="P16" i="61"/>
  <c r="L43" i="63"/>
  <c r="N43" i="63" s="1"/>
  <c r="F61" i="56"/>
  <c r="F62" i="56"/>
  <c r="V31" i="57"/>
  <c r="R40" i="57"/>
  <c r="R48" i="57"/>
  <c r="V61" i="57"/>
  <c r="V62" i="57"/>
  <c r="J64" i="58"/>
  <c r="J58" i="58"/>
  <c r="J50" i="58"/>
  <c r="J38" i="58"/>
  <c r="J32" i="58"/>
  <c r="N12" i="58"/>
  <c r="J67" i="58"/>
  <c r="J68" i="58"/>
  <c r="J60" i="58"/>
  <c r="J52" i="58"/>
  <c r="J42" i="58"/>
  <c r="J28" i="58"/>
  <c r="J24" i="58"/>
  <c r="J20" i="58"/>
  <c r="J18" i="58"/>
  <c r="J16" i="58"/>
  <c r="J14" i="58"/>
  <c r="J53" i="58"/>
  <c r="J43" i="58"/>
  <c r="J61" i="58"/>
  <c r="J45" i="58"/>
  <c r="J74" i="58"/>
  <c r="J46" i="58"/>
  <c r="J30" i="58"/>
  <c r="J63" i="58"/>
  <c r="J57" i="58"/>
  <c r="J49" i="58"/>
  <c r="J37" i="58"/>
  <c r="J19" i="58"/>
  <c r="F31" i="58"/>
  <c r="J39" i="58"/>
  <c r="F42" i="58"/>
  <c r="V42" i="59"/>
  <c r="Z50" i="59"/>
  <c r="N19" i="60"/>
  <c r="Z72" i="63"/>
  <c r="N41" i="68"/>
  <c r="L41" i="68"/>
  <c r="D16" i="54"/>
  <c r="L12" i="55"/>
  <c r="F27" i="55"/>
  <c r="F14" i="56"/>
  <c r="F16" i="56"/>
  <c r="F18" i="56"/>
  <c r="J30" i="56"/>
  <c r="R31" i="56"/>
  <c r="R32" i="56"/>
  <c r="F38" i="56"/>
  <c r="F39" i="56"/>
  <c r="J40" i="56"/>
  <c r="R43" i="56"/>
  <c r="R44" i="56"/>
  <c r="F54" i="56"/>
  <c r="F55" i="56"/>
  <c r="J56" i="56"/>
  <c r="V66" i="56"/>
  <c r="V68" i="56"/>
  <c r="F74" i="56"/>
  <c r="R21" i="57"/>
  <c r="V40" i="57"/>
  <c r="V48" i="57"/>
  <c r="L12" i="58"/>
  <c r="F18" i="58"/>
  <c r="J31" i="58"/>
  <c r="X46" i="58"/>
  <c r="Z46" i="58" s="1"/>
  <c r="J48" i="58"/>
  <c r="L50" i="58"/>
  <c r="N50" i="58" s="1"/>
  <c r="J56" i="58"/>
  <c r="F74" i="58"/>
  <c r="Z18" i="59"/>
  <c r="V22" i="59"/>
  <c r="V34" i="59"/>
  <c r="J36" i="59"/>
  <c r="V50" i="59"/>
  <c r="L32" i="60"/>
  <c r="N32" i="60" s="1"/>
  <c r="Z35" i="61"/>
  <c r="Z45" i="63"/>
  <c r="Z104" i="68"/>
  <c r="L14" i="59"/>
  <c r="R34" i="59"/>
  <c r="Z12" i="60"/>
  <c r="Z14" i="60"/>
  <c r="F21" i="60"/>
  <c r="F25" i="60"/>
  <c r="V28" i="60"/>
  <c r="Z30" i="60"/>
  <c r="F32" i="60"/>
  <c r="F33" i="60"/>
  <c r="J34" i="60"/>
  <c r="V36" i="60"/>
  <c r="F41" i="60"/>
  <c r="V44" i="60"/>
  <c r="J54" i="60"/>
  <c r="J57" i="60"/>
  <c r="N14" i="61"/>
  <c r="F23" i="61"/>
  <c r="F27" i="61"/>
  <c r="J28" i="61"/>
  <c r="V30" i="61"/>
  <c r="J34" i="61"/>
  <c r="V38" i="61"/>
  <c r="F42" i="61"/>
  <c r="F43" i="61"/>
  <c r="J44" i="61"/>
  <c r="L12" i="63"/>
  <c r="P16" i="63"/>
  <c r="N19" i="63"/>
  <c r="R20" i="63"/>
  <c r="J23" i="63"/>
  <c r="R24" i="63"/>
  <c r="J27" i="63"/>
  <c r="R28" i="63"/>
  <c r="F32" i="63"/>
  <c r="F36" i="63"/>
  <c r="V39" i="63"/>
  <c r="F43" i="63"/>
  <c r="F44" i="63"/>
  <c r="J45" i="63"/>
  <c r="V47" i="63"/>
  <c r="F51" i="63"/>
  <c r="F52" i="63"/>
  <c r="J53" i="63"/>
  <c r="N55" i="63"/>
  <c r="R56" i="63"/>
  <c r="R57" i="63"/>
  <c r="V59" i="63"/>
  <c r="Z61" i="63"/>
  <c r="F63" i="63"/>
  <c r="F64" i="63"/>
  <c r="J65" i="63"/>
  <c r="N67" i="63"/>
  <c r="R68" i="63"/>
  <c r="J71" i="63"/>
  <c r="N79" i="63"/>
  <c r="R80" i="63"/>
  <c r="J83" i="63"/>
  <c r="J87" i="63"/>
  <c r="J94" i="63"/>
  <c r="J98" i="63"/>
  <c r="V16" i="67"/>
  <c r="V22" i="67"/>
  <c r="F26" i="67"/>
  <c r="N29" i="67"/>
  <c r="X38" i="67"/>
  <c r="Z38" i="67" s="1"/>
  <c r="N40" i="67"/>
  <c r="F43" i="67"/>
  <c r="F60" i="67"/>
  <c r="L21" i="68"/>
  <c r="N21" i="68" s="1"/>
  <c r="X37" i="68"/>
  <c r="Z37" i="68" s="1"/>
  <c r="Z51" i="68"/>
  <c r="X104" i="68"/>
  <c r="V57" i="69"/>
  <c r="V49" i="69"/>
  <c r="V37" i="69"/>
  <c r="V33" i="69"/>
  <c r="T20" i="69"/>
  <c r="V66" i="69"/>
  <c r="V64" i="69"/>
  <c r="V52" i="69"/>
  <c r="V40" i="69"/>
  <c r="V28" i="69"/>
  <c r="V24" i="69"/>
  <c r="V59" i="69"/>
  <c r="V51" i="69"/>
  <c r="V39" i="69"/>
  <c r="V58" i="69"/>
  <c r="V42" i="69"/>
  <c r="V34" i="69"/>
  <c r="V53" i="69"/>
  <c r="V41" i="69"/>
  <c r="V29" i="69"/>
  <c r="V25" i="69"/>
  <c r="V70" i="69"/>
  <c r="V60" i="69"/>
  <c r="V44" i="69"/>
  <c r="V16" i="69"/>
  <c r="V55" i="69"/>
  <c r="V43" i="69"/>
  <c r="V35" i="69"/>
  <c r="V54" i="69"/>
  <c r="V46" i="69"/>
  <c r="V30" i="69"/>
  <c r="V26" i="69"/>
  <c r="V61" i="69"/>
  <c r="V45" i="69"/>
  <c r="V17" i="69"/>
  <c r="V56" i="69"/>
  <c r="V48" i="69"/>
  <c r="V36" i="69"/>
  <c r="V32" i="69"/>
  <c r="Z12" i="69"/>
  <c r="V62" i="69"/>
  <c r="V50" i="69"/>
  <c r="V38" i="69"/>
  <c r="V22" i="69"/>
  <c r="V20" i="69"/>
  <c r="V18" i="69"/>
  <c r="Z16" i="69"/>
  <c r="N22" i="69"/>
  <c r="V27" i="69"/>
  <c r="Z32" i="69"/>
  <c r="N42" i="69"/>
  <c r="Z46" i="69"/>
  <c r="V68" i="72"/>
  <c r="V44" i="72"/>
  <c r="V32" i="72"/>
  <c r="V28" i="72"/>
  <c r="V67" i="72"/>
  <c r="V55" i="72"/>
  <c r="V43" i="72"/>
  <c r="V62" i="72"/>
  <c r="V46" i="72"/>
  <c r="V38" i="72"/>
  <c r="V71" i="72"/>
  <c r="V69" i="72"/>
  <c r="V45" i="72"/>
  <c r="V33" i="72"/>
  <c r="V29" i="72"/>
  <c r="V56" i="72"/>
  <c r="V48" i="72"/>
  <c r="V20" i="72"/>
  <c r="V63" i="72"/>
  <c r="V47" i="72"/>
  <c r="V39" i="72"/>
  <c r="V75" i="72"/>
  <c r="V57" i="72"/>
  <c r="V49" i="72"/>
  <c r="V21" i="72"/>
  <c r="V64" i="72"/>
  <c r="V60" i="72"/>
  <c r="V52" i="72"/>
  <c r="V40" i="72"/>
  <c r="V36" i="72"/>
  <c r="V59" i="72"/>
  <c r="V51" i="72"/>
  <c r="V65" i="72"/>
  <c r="V61" i="72"/>
  <c r="V53" i="72"/>
  <c r="V41" i="72"/>
  <c r="V37" i="72"/>
  <c r="T24" i="72"/>
  <c r="V50" i="72"/>
  <c r="V35" i="72"/>
  <c r="V30" i="72"/>
  <c r="V27" i="72"/>
  <c r="V58" i="72"/>
  <c r="V42" i="72"/>
  <c r="V24" i="72"/>
  <c r="V66" i="72"/>
  <c r="V34" i="72"/>
  <c r="V31" i="72"/>
  <c r="V22" i="72"/>
  <c r="V26" i="72"/>
  <c r="V54" i="72"/>
  <c r="R59" i="59"/>
  <c r="R61" i="59"/>
  <c r="F14" i="60"/>
  <c r="F16" i="60"/>
  <c r="F18" i="60"/>
  <c r="F30" i="60"/>
  <c r="F31" i="60"/>
  <c r="R35" i="60"/>
  <c r="V42" i="60"/>
  <c r="F48" i="60"/>
  <c r="F50" i="60"/>
  <c r="R102" i="63"/>
  <c r="R100" i="63"/>
  <c r="R94" i="63"/>
  <c r="R93" i="63"/>
  <c r="R86" i="63"/>
  <c r="R85" i="63"/>
  <c r="R99" i="63"/>
  <c r="R98" i="63"/>
  <c r="R95" i="63"/>
  <c r="R88" i="63"/>
  <c r="R87" i="63"/>
  <c r="T16" i="63"/>
  <c r="R19" i="63"/>
  <c r="F22" i="63"/>
  <c r="F26" i="63"/>
  <c r="F42" i="63"/>
  <c r="R46" i="63"/>
  <c r="F50" i="63"/>
  <c r="R54" i="63"/>
  <c r="R55" i="63"/>
  <c r="V57" i="63"/>
  <c r="F61" i="63"/>
  <c r="F62" i="63"/>
  <c r="J63" i="63"/>
  <c r="R66" i="63"/>
  <c r="R67" i="63"/>
  <c r="F70" i="63"/>
  <c r="J77" i="63"/>
  <c r="R78" i="63"/>
  <c r="R79" i="63"/>
  <c r="F82" i="63"/>
  <c r="F86" i="63"/>
  <c r="F90" i="63"/>
  <c r="R91" i="63"/>
  <c r="J93" i="63"/>
  <c r="F97" i="63"/>
  <c r="Z100" i="63"/>
  <c r="J104" i="63"/>
  <c r="R106" i="63"/>
  <c r="V38" i="67"/>
  <c r="V46" i="67"/>
  <c r="Z14" i="68"/>
  <c r="N18" i="68"/>
  <c r="Z21" i="68"/>
  <c r="X23" i="68"/>
  <c r="Z23" i="68" s="1"/>
  <c r="Z30" i="68"/>
  <c r="X41" i="68"/>
  <c r="Z41" i="68" s="1"/>
  <c r="Z22" i="69"/>
  <c r="Z21" i="70"/>
  <c r="X21" i="70"/>
  <c r="N31" i="73"/>
  <c r="L31" i="73"/>
  <c r="R14" i="59"/>
  <c r="R16" i="59"/>
  <c r="R18" i="59"/>
  <c r="R33" i="59"/>
  <c r="R41" i="59"/>
  <c r="R42" i="59"/>
  <c r="R49" i="59"/>
  <c r="R50" i="59"/>
  <c r="R57" i="59"/>
  <c r="H16" i="60"/>
  <c r="L16" i="60" s="1"/>
  <c r="F19" i="60"/>
  <c r="F20" i="60"/>
  <c r="F24" i="60"/>
  <c r="J31" i="60"/>
  <c r="V35" i="60"/>
  <c r="F39" i="60"/>
  <c r="F40" i="60"/>
  <c r="V43" i="60"/>
  <c r="T16" i="61"/>
  <c r="R19" i="61"/>
  <c r="F26" i="61"/>
  <c r="V29" i="61"/>
  <c r="R34" i="61"/>
  <c r="R35" i="61"/>
  <c r="V37" i="61"/>
  <c r="J41" i="61"/>
  <c r="V45" i="61"/>
  <c r="V47" i="61"/>
  <c r="V49" i="61"/>
  <c r="F53" i="61"/>
  <c r="F56" i="61"/>
  <c r="V98" i="63"/>
  <c r="V88" i="63"/>
  <c r="V97" i="63"/>
  <c r="V95" i="63"/>
  <c r="V109" i="63"/>
  <c r="V106" i="63"/>
  <c r="V104" i="63"/>
  <c r="V90" i="63"/>
  <c r="V92" i="63"/>
  <c r="V14" i="63"/>
  <c r="V16" i="63"/>
  <c r="V18" i="63"/>
  <c r="R23" i="63"/>
  <c r="R27" i="63"/>
  <c r="F30" i="63"/>
  <c r="F31" i="63"/>
  <c r="F35" i="63"/>
  <c r="V38" i="63"/>
  <c r="J42" i="63"/>
  <c r="V46" i="63"/>
  <c r="J50" i="63"/>
  <c r="V54" i="63"/>
  <c r="J62" i="63"/>
  <c r="V66" i="63"/>
  <c r="J70" i="63"/>
  <c r="R71" i="63"/>
  <c r="R72" i="63"/>
  <c r="F75" i="63"/>
  <c r="J76" i="63"/>
  <c r="V78" i="63"/>
  <c r="J82" i="63"/>
  <c r="R83" i="63"/>
  <c r="N86" i="63"/>
  <c r="V87" i="63"/>
  <c r="V91" i="63"/>
  <c r="Z94" i="63"/>
  <c r="J97" i="63"/>
  <c r="V100" i="63"/>
  <c r="F18" i="67"/>
  <c r="X19" i="67"/>
  <c r="Z19" i="67" s="1"/>
  <c r="V29" i="67"/>
  <c r="F31" i="67"/>
  <c r="L25" i="68"/>
  <c r="N25" i="68" s="1"/>
  <c r="N36" i="68"/>
  <c r="L45" i="68"/>
  <c r="N45" i="68" s="1"/>
  <c r="R19" i="59"/>
  <c r="F53" i="59"/>
  <c r="F54" i="59"/>
  <c r="F65" i="59"/>
  <c r="F68" i="59"/>
  <c r="R21" i="60"/>
  <c r="R25" i="60"/>
  <c r="F28" i="60"/>
  <c r="F29" i="60"/>
  <c r="R33" i="60"/>
  <c r="R34" i="60"/>
  <c r="J40" i="60"/>
  <c r="R41" i="60"/>
  <c r="J48" i="60"/>
  <c r="J50" i="60"/>
  <c r="R54" i="60"/>
  <c r="R57" i="60"/>
  <c r="V14" i="61"/>
  <c r="V16" i="61"/>
  <c r="V18" i="61"/>
  <c r="V34" i="61"/>
  <c r="X12" i="63"/>
  <c r="R32" i="63"/>
  <c r="R36" i="63"/>
  <c r="R44" i="63"/>
  <c r="R45" i="63"/>
  <c r="R52" i="63"/>
  <c r="R53" i="63"/>
  <c r="F59" i="63"/>
  <c r="F60" i="63"/>
  <c r="R64" i="63"/>
  <c r="R65" i="63"/>
  <c r="V67" i="63"/>
  <c r="V71" i="63"/>
  <c r="J75" i="63"/>
  <c r="V79" i="63"/>
  <c r="V83" i="63"/>
  <c r="J86" i="63"/>
  <c r="V94" i="63"/>
  <c r="V99" i="63"/>
  <c r="F54" i="67"/>
  <c r="F53" i="67"/>
  <c r="F37" i="67"/>
  <c r="F36" i="67"/>
  <c r="F48" i="67"/>
  <c r="F47" i="67"/>
  <c r="F32" i="67"/>
  <c r="L12" i="67"/>
  <c r="F58" i="67"/>
  <c r="F56" i="67"/>
  <c r="F39" i="67"/>
  <c r="F38" i="67"/>
  <c r="F27" i="67"/>
  <c r="F23" i="67"/>
  <c r="F49" i="67"/>
  <c r="F41" i="67"/>
  <c r="F40" i="67"/>
  <c r="F33" i="67"/>
  <c r="F28" i="67"/>
  <c r="F24" i="67"/>
  <c r="F20" i="67"/>
  <c r="F19" i="67"/>
  <c r="F65" i="67"/>
  <c r="F62" i="67"/>
  <c r="F45" i="67"/>
  <c r="F44" i="67"/>
  <c r="F25" i="67"/>
  <c r="F21" i="67"/>
  <c r="N18" i="67"/>
  <c r="V26" i="67"/>
  <c r="F50" i="67"/>
  <c r="N20" i="68"/>
  <c r="X25" i="68"/>
  <c r="Z25" i="68" s="1"/>
  <c r="F59" i="69"/>
  <c r="J102" i="70"/>
  <c r="J94" i="70"/>
  <c r="J78" i="70"/>
  <c r="J74" i="70"/>
  <c r="J110" i="70"/>
  <c r="J104" i="70"/>
  <c r="J118" i="70"/>
  <c r="J112" i="70"/>
  <c r="J98" i="70"/>
  <c r="J88" i="70"/>
  <c r="J70" i="70"/>
  <c r="J66" i="70"/>
  <c r="J117" i="70"/>
  <c r="J113" i="70"/>
  <c r="J105" i="70"/>
  <c r="J89" i="70"/>
  <c r="J106" i="70"/>
  <c r="J100" i="70"/>
  <c r="J82" i="70"/>
  <c r="J58" i="70"/>
  <c r="J93" i="70"/>
  <c r="J73" i="70"/>
  <c r="H60" i="70"/>
  <c r="J60" i="70" s="1"/>
  <c r="J55" i="70"/>
  <c r="J51" i="70"/>
  <c r="J47" i="70"/>
  <c r="J43" i="70"/>
  <c r="J111" i="70"/>
  <c r="J76" i="70"/>
  <c r="J63" i="70"/>
  <c r="J99" i="70"/>
  <c r="J52" i="70"/>
  <c r="J49" i="70"/>
  <c r="J107" i="70"/>
  <c r="J103" i="70"/>
  <c r="J71" i="70"/>
  <c r="J122" i="70"/>
  <c r="J109" i="70"/>
  <c r="J97" i="70"/>
  <c r="J91" i="70"/>
  <c r="J85" i="70"/>
  <c r="J79" i="70"/>
  <c r="J64" i="70"/>
  <c r="J44" i="70"/>
  <c r="J69" i="70"/>
  <c r="J50" i="70"/>
  <c r="J77" i="70"/>
  <c r="J95" i="70"/>
  <c r="J86" i="70"/>
  <c r="J83" i="70"/>
  <c r="J67" i="70"/>
  <c r="J56" i="70"/>
  <c r="J53" i="70"/>
  <c r="J116" i="70"/>
  <c r="J101" i="70"/>
  <c r="J75" i="70"/>
  <c r="J72" i="70"/>
  <c r="J108" i="70"/>
  <c r="J80" i="70"/>
  <c r="J65" i="70"/>
  <c r="J48" i="70"/>
  <c r="J45" i="70"/>
  <c r="J42" i="70"/>
  <c r="J92" i="70"/>
  <c r="J90" i="70"/>
  <c r="J81" i="70"/>
  <c r="J54" i="70"/>
  <c r="N12" i="70"/>
  <c r="J68" i="70"/>
  <c r="J46" i="70"/>
  <c r="J62" i="70"/>
  <c r="J84" i="70"/>
  <c r="F37" i="60"/>
  <c r="F38" i="60"/>
  <c r="F45" i="60"/>
  <c r="F46" i="60"/>
  <c r="R52" i="60"/>
  <c r="F69" i="63"/>
  <c r="R77" i="63"/>
  <c r="F81" i="63"/>
  <c r="F85" i="63"/>
  <c r="J89" i="63"/>
  <c r="V93" i="63"/>
  <c r="R104" i="63"/>
  <c r="F109" i="63"/>
  <c r="V45" i="67"/>
  <c r="Z45" i="68"/>
  <c r="N49" i="68"/>
  <c r="L49" i="68"/>
  <c r="N52" i="69"/>
  <c r="J57" i="70"/>
  <c r="X12" i="59"/>
  <c r="R32" i="59"/>
  <c r="F52" i="59"/>
  <c r="R56" i="59"/>
  <c r="F23" i="60"/>
  <c r="F27" i="60"/>
  <c r="J28" i="60"/>
  <c r="R31" i="60"/>
  <c r="R32" i="60"/>
  <c r="V34" i="60"/>
  <c r="J38" i="60"/>
  <c r="J46" i="60"/>
  <c r="V52" i="60"/>
  <c r="V54" i="60"/>
  <c r="V57" i="60"/>
  <c r="Z12" i="61"/>
  <c r="V28" i="61"/>
  <c r="V32" i="61"/>
  <c r="R41" i="61"/>
  <c r="R42" i="61"/>
  <c r="V44" i="61"/>
  <c r="F51" i="61"/>
  <c r="D16" i="63"/>
  <c r="J21" i="63"/>
  <c r="R22" i="63"/>
  <c r="J25" i="63"/>
  <c r="R26" i="63"/>
  <c r="J29" i="63"/>
  <c r="F34" i="63"/>
  <c r="J41" i="63"/>
  <c r="R42" i="63"/>
  <c r="R43" i="63"/>
  <c r="V45" i="63"/>
  <c r="J49" i="63"/>
  <c r="R50" i="63"/>
  <c r="R51" i="63"/>
  <c r="V53" i="63"/>
  <c r="F57" i="63"/>
  <c r="F58" i="63"/>
  <c r="J59" i="63"/>
  <c r="R62" i="63"/>
  <c r="R63" i="63"/>
  <c r="V65" i="63"/>
  <c r="J69" i="63"/>
  <c r="R70" i="63"/>
  <c r="F74" i="63"/>
  <c r="V77" i="63"/>
  <c r="J81" i="63"/>
  <c r="R82" i="63"/>
  <c r="J85" i="63"/>
  <c r="X90" i="63"/>
  <c r="F102" i="63"/>
  <c r="X14" i="67"/>
  <c r="V19" i="67"/>
  <c r="H12" i="68"/>
  <c r="L12" i="68" s="1"/>
  <c r="N13" i="68"/>
  <c r="L13" i="68"/>
  <c r="L29" i="68"/>
  <c r="N29" i="68" s="1"/>
  <c r="Z38" i="68"/>
  <c r="F96" i="68"/>
  <c r="N114" i="68"/>
  <c r="R63" i="69"/>
  <c r="R62" i="69"/>
  <c r="R23" i="69"/>
  <c r="R18" i="69"/>
  <c r="R57" i="69"/>
  <c r="R50" i="69"/>
  <c r="R49" i="69"/>
  <c r="R38" i="69"/>
  <c r="R37" i="69"/>
  <c r="R33" i="69"/>
  <c r="R22" i="69"/>
  <c r="R20" i="69"/>
  <c r="R64" i="69"/>
  <c r="R28" i="69"/>
  <c r="R24" i="69"/>
  <c r="P20" i="69"/>
  <c r="R68" i="69"/>
  <c r="R66" i="69"/>
  <c r="R52" i="69"/>
  <c r="R51" i="69"/>
  <c r="R40" i="69"/>
  <c r="R39" i="69"/>
  <c r="R59" i="69"/>
  <c r="R58" i="69"/>
  <c r="R34" i="69"/>
  <c r="R53" i="69"/>
  <c r="R42" i="69"/>
  <c r="R41" i="69"/>
  <c r="R29" i="69"/>
  <c r="R25" i="69"/>
  <c r="R70" i="69"/>
  <c r="R60" i="69"/>
  <c r="R75" i="69"/>
  <c r="R72" i="69"/>
  <c r="R44" i="69"/>
  <c r="R43" i="69"/>
  <c r="R35" i="69"/>
  <c r="R16" i="69"/>
  <c r="R55" i="69"/>
  <c r="R54" i="69"/>
  <c r="R30" i="69"/>
  <c r="R26" i="69"/>
  <c r="R61" i="69"/>
  <c r="R46" i="69"/>
  <c r="R45" i="69"/>
  <c r="R17" i="69"/>
  <c r="R48" i="69"/>
  <c r="R47" i="69"/>
  <c r="R32" i="69"/>
  <c r="R31" i="69"/>
  <c r="R27" i="69"/>
  <c r="Z62" i="70"/>
  <c r="J87" i="70"/>
  <c r="F21" i="59"/>
  <c r="F25" i="59"/>
  <c r="F29" i="59"/>
  <c r="R37" i="59"/>
  <c r="R38" i="59"/>
  <c r="F44" i="59"/>
  <c r="F45" i="59"/>
  <c r="F63" i="59"/>
  <c r="L12" i="60"/>
  <c r="P16" i="60"/>
  <c r="R20" i="60"/>
  <c r="J23" i="60"/>
  <c r="R24" i="60"/>
  <c r="J27" i="60"/>
  <c r="V31" i="60"/>
  <c r="F36" i="60"/>
  <c r="J37" i="60"/>
  <c r="R40" i="60"/>
  <c r="F43" i="60"/>
  <c r="F44" i="60"/>
  <c r="J45" i="60"/>
  <c r="D16" i="61"/>
  <c r="J21" i="61"/>
  <c r="R22" i="61"/>
  <c r="J25" i="61"/>
  <c r="R26" i="61"/>
  <c r="F30" i="61"/>
  <c r="V33" i="61"/>
  <c r="F37" i="61"/>
  <c r="F38" i="61"/>
  <c r="J39" i="61"/>
  <c r="V41" i="61"/>
  <c r="F47" i="61"/>
  <c r="F49" i="61"/>
  <c r="J51" i="61"/>
  <c r="F14" i="63"/>
  <c r="F16" i="63"/>
  <c r="F18" i="63"/>
  <c r="V22" i="63"/>
  <c r="V26" i="63"/>
  <c r="R31" i="63"/>
  <c r="J34" i="63"/>
  <c r="R35" i="63"/>
  <c r="F38" i="63"/>
  <c r="F39" i="63"/>
  <c r="J40" i="63"/>
  <c r="V42" i="63"/>
  <c r="F47" i="63"/>
  <c r="J48" i="63"/>
  <c r="V50" i="63"/>
  <c r="J58" i="63"/>
  <c r="V62" i="63"/>
  <c r="V70" i="63"/>
  <c r="J74" i="63"/>
  <c r="R75" i="63"/>
  <c r="R76" i="63"/>
  <c r="V82" i="63"/>
  <c r="Z86" i="63"/>
  <c r="R90" i="63"/>
  <c r="F95" i="63"/>
  <c r="R97" i="63"/>
  <c r="R60" i="67"/>
  <c r="R65" i="67"/>
  <c r="R62" i="67"/>
  <c r="R49" i="67"/>
  <c r="R42" i="67"/>
  <c r="R41" i="67"/>
  <c r="R33" i="67"/>
  <c r="R18" i="67"/>
  <c r="R16" i="67"/>
  <c r="R14" i="67"/>
  <c r="R29" i="67"/>
  <c r="R28" i="67"/>
  <c r="R24" i="67"/>
  <c r="R20" i="67"/>
  <c r="P16" i="67"/>
  <c r="R44" i="67"/>
  <c r="R43" i="67"/>
  <c r="R45" i="67"/>
  <c r="R25" i="67"/>
  <c r="R21" i="67"/>
  <c r="R53" i="67"/>
  <c r="R52" i="67"/>
  <c r="R58" i="67"/>
  <c r="R56" i="67"/>
  <c r="R38" i="67"/>
  <c r="R37" i="67"/>
  <c r="D16" i="67"/>
  <c r="R23" i="67"/>
  <c r="F30" i="67"/>
  <c r="R31" i="67"/>
  <c r="L44" i="67"/>
  <c r="N44" i="67" s="1"/>
  <c r="Z53" i="67"/>
  <c r="X56" i="67"/>
  <c r="P12" i="68"/>
  <c r="N24" i="68"/>
  <c r="X29" i="68"/>
  <c r="Z49" i="68"/>
  <c r="N76" i="68"/>
  <c r="N92" i="68"/>
  <c r="N112" i="68"/>
  <c r="X12" i="69"/>
  <c r="Z14" i="69"/>
  <c r="N50" i="69"/>
  <c r="V63" i="69"/>
  <c r="R46" i="59"/>
  <c r="R54" i="59"/>
  <c r="R55" i="59"/>
  <c r="R14" i="60"/>
  <c r="R16" i="60"/>
  <c r="R18" i="60"/>
  <c r="R29" i="60"/>
  <c r="R30" i="60"/>
  <c r="V32" i="60"/>
  <c r="V40" i="60"/>
  <c r="R48" i="60"/>
  <c r="R50" i="60"/>
  <c r="V42" i="61"/>
  <c r="H16" i="63"/>
  <c r="F19" i="63"/>
  <c r="F20" i="63"/>
  <c r="F24" i="63"/>
  <c r="F28" i="63"/>
  <c r="V35" i="63"/>
  <c r="V43" i="63"/>
  <c r="V51" i="63"/>
  <c r="F55" i="63"/>
  <c r="F56" i="63"/>
  <c r="J57" i="63"/>
  <c r="R60" i="63"/>
  <c r="R61" i="63"/>
  <c r="V63" i="63"/>
  <c r="F67" i="63"/>
  <c r="F68" i="63"/>
  <c r="V75" i="63"/>
  <c r="F79" i="63"/>
  <c r="F80" i="63"/>
  <c r="F84" i="63"/>
  <c r="V86" i="63"/>
  <c r="R89" i="63"/>
  <c r="Z90" i="63"/>
  <c r="J95" i="63"/>
  <c r="J102" i="63"/>
  <c r="V65" i="67"/>
  <c r="V62" i="67"/>
  <c r="V60" i="67"/>
  <c r="V49" i="67"/>
  <c r="V44" i="67"/>
  <c r="V28" i="67"/>
  <c r="V24" i="67"/>
  <c r="V20" i="67"/>
  <c r="V51" i="67"/>
  <c r="V43" i="67"/>
  <c r="V50" i="67"/>
  <c r="V34" i="67"/>
  <c r="V30" i="67"/>
  <c r="V52" i="67"/>
  <c r="V36" i="67"/>
  <c r="V47" i="67"/>
  <c r="V35" i="67"/>
  <c r="V31" i="67"/>
  <c r="V58" i="67"/>
  <c r="V56" i="67"/>
  <c r="V54" i="67"/>
  <c r="V48" i="67"/>
  <c r="V40" i="67"/>
  <c r="V32" i="67"/>
  <c r="Z12" i="67"/>
  <c r="F16" i="67"/>
  <c r="Z18" i="67"/>
  <c r="F22" i="67"/>
  <c r="V23" i="67"/>
  <c r="V25" i="67"/>
  <c r="Z42" i="67"/>
  <c r="V53" i="67"/>
  <c r="T12" i="68"/>
  <c r="Z13" i="68"/>
  <c r="X15" i="68"/>
  <c r="Z15" i="68" s="1"/>
  <c r="Z29" i="68"/>
  <c r="T12" i="70"/>
  <c r="Z13" i="70"/>
  <c r="X13" i="70"/>
  <c r="R19" i="60"/>
  <c r="F22" i="60"/>
  <c r="F26" i="60"/>
  <c r="R38" i="60"/>
  <c r="R39" i="60"/>
  <c r="F42" i="60"/>
  <c r="R46" i="60"/>
  <c r="V31" i="61"/>
  <c r="R53" i="61"/>
  <c r="R56" i="61"/>
  <c r="R21" i="63"/>
  <c r="R25" i="63"/>
  <c r="R29" i="63"/>
  <c r="R30" i="63"/>
  <c r="F33" i="63"/>
  <c r="F37" i="63"/>
  <c r="R41" i="63"/>
  <c r="R49" i="63"/>
  <c r="V60" i="63"/>
  <c r="J68" i="63"/>
  <c r="R69" i="63"/>
  <c r="F72" i="63"/>
  <c r="F73" i="63"/>
  <c r="V76" i="63"/>
  <c r="J80" i="63"/>
  <c r="R81" i="63"/>
  <c r="J84" i="63"/>
  <c r="V85" i="63"/>
  <c r="J88" i="63"/>
  <c r="V89" i="63"/>
  <c r="R92" i="63"/>
  <c r="F99" i="63"/>
  <c r="F100" i="63"/>
  <c r="X12" i="67"/>
  <c r="V18" i="67"/>
  <c r="F29" i="67"/>
  <c r="V33" i="67"/>
  <c r="F35" i="67"/>
  <c r="V42" i="67"/>
  <c r="F46" i="67"/>
  <c r="F52" i="67"/>
  <c r="N17" i="68"/>
  <c r="L17" i="68"/>
  <c r="L33" i="68"/>
  <c r="N33" i="68" s="1"/>
  <c r="F54" i="69"/>
  <c r="F30" i="69"/>
  <c r="F26" i="69"/>
  <c r="F75" i="69"/>
  <c r="F72" i="69"/>
  <c r="F61" i="69"/>
  <c r="F45" i="69"/>
  <c r="F44" i="69"/>
  <c r="F17" i="69"/>
  <c r="F16" i="69"/>
  <c r="F56" i="69"/>
  <c r="F55" i="69"/>
  <c r="F36" i="69"/>
  <c r="L12" i="69"/>
  <c r="F47" i="69"/>
  <c r="F46" i="69"/>
  <c r="F31" i="69"/>
  <c r="F27" i="69"/>
  <c r="F62" i="69"/>
  <c r="F18" i="69"/>
  <c r="F57" i="69"/>
  <c r="F49" i="69"/>
  <c r="F48" i="69"/>
  <c r="F37" i="69"/>
  <c r="F33" i="69"/>
  <c r="F32" i="69"/>
  <c r="F64" i="69"/>
  <c r="F63" i="69"/>
  <c r="F28" i="69"/>
  <c r="F24" i="69"/>
  <c r="F23" i="69"/>
  <c r="F51" i="69"/>
  <c r="F50" i="69"/>
  <c r="F39" i="69"/>
  <c r="F38" i="69"/>
  <c r="F22" i="69"/>
  <c r="F20" i="69"/>
  <c r="F58" i="69"/>
  <c r="F34" i="69"/>
  <c r="D20" i="69"/>
  <c r="F68" i="69"/>
  <c r="F66" i="69"/>
  <c r="F53" i="69"/>
  <c r="F52" i="69"/>
  <c r="F41" i="69"/>
  <c r="F40" i="69"/>
  <c r="F29" i="69"/>
  <c r="F25" i="69"/>
  <c r="F43" i="69"/>
  <c r="F42" i="69"/>
  <c r="F35" i="69"/>
  <c r="X24" i="70"/>
  <c r="Z24" i="70" s="1"/>
  <c r="X38" i="59"/>
  <c r="L44" i="59"/>
  <c r="R52" i="59"/>
  <c r="R53" i="59"/>
  <c r="R65" i="59"/>
  <c r="R68" i="59"/>
  <c r="V14" i="60"/>
  <c r="V16" i="60"/>
  <c r="V18" i="60"/>
  <c r="R23" i="60"/>
  <c r="R27" i="60"/>
  <c r="R28" i="60"/>
  <c r="V30" i="60"/>
  <c r="F34" i="60"/>
  <c r="F35" i="60"/>
  <c r="V38" i="60"/>
  <c r="J42" i="60"/>
  <c r="L43" i="60"/>
  <c r="V46" i="60"/>
  <c r="V48" i="60"/>
  <c r="V50" i="60"/>
  <c r="F54" i="60"/>
  <c r="L37" i="61"/>
  <c r="N37" i="61" s="1"/>
  <c r="V40" i="61"/>
  <c r="L47" i="61"/>
  <c r="R51" i="61"/>
  <c r="F92" i="63"/>
  <c r="F98" i="63"/>
  <c r="F89" i="63"/>
  <c r="F88" i="63"/>
  <c r="L14" i="63"/>
  <c r="L18" i="63"/>
  <c r="R34" i="63"/>
  <c r="V41" i="63"/>
  <c r="F45" i="63"/>
  <c r="F46" i="63"/>
  <c r="V49" i="63"/>
  <c r="F53" i="63"/>
  <c r="F54" i="63"/>
  <c r="J55" i="63"/>
  <c r="R58" i="63"/>
  <c r="R59" i="63"/>
  <c r="V61" i="63"/>
  <c r="F65" i="63"/>
  <c r="F66" i="63"/>
  <c r="J67" i="63"/>
  <c r="V69" i="63"/>
  <c r="J73" i="63"/>
  <c r="R74" i="63"/>
  <c r="F78" i="63"/>
  <c r="V81" i="63"/>
  <c r="L88" i="63"/>
  <c r="N88" i="63" s="1"/>
  <c r="F91" i="63"/>
  <c r="F94" i="63"/>
  <c r="R109" i="63"/>
  <c r="V41" i="67"/>
  <c r="F102" i="68"/>
  <c r="F101" i="68"/>
  <c r="F86" i="68"/>
  <c r="F85" i="68"/>
  <c r="F120" i="68"/>
  <c r="F118" i="68"/>
  <c r="F109" i="68"/>
  <c r="F93" i="68"/>
  <c r="F92" i="68"/>
  <c r="F81" i="68"/>
  <c r="F77" i="68"/>
  <c r="F76" i="68"/>
  <c r="F122" i="68"/>
  <c r="F117" i="68"/>
  <c r="F75" i="68"/>
  <c r="F73" i="68"/>
  <c r="F68" i="68"/>
  <c r="F64" i="68"/>
  <c r="F60" i="68"/>
  <c r="F56" i="68"/>
  <c r="F52" i="68"/>
  <c r="F51" i="68"/>
  <c r="F103" i="68"/>
  <c r="F95" i="68"/>
  <c r="F94" i="68"/>
  <c r="F87" i="68"/>
  <c r="D73" i="68"/>
  <c r="F110" i="68"/>
  <c r="F82" i="68"/>
  <c r="F78" i="68"/>
  <c r="F127" i="68"/>
  <c r="F124" i="68"/>
  <c r="F105" i="68"/>
  <c r="F104" i="68"/>
  <c r="F69" i="68"/>
  <c r="F65" i="68"/>
  <c r="F61" i="68"/>
  <c r="F57" i="68"/>
  <c r="F53" i="68"/>
  <c r="F111" i="68"/>
  <c r="F83" i="68"/>
  <c r="F79" i="68"/>
  <c r="F106" i="68"/>
  <c r="F98" i="68"/>
  <c r="F97" i="68"/>
  <c r="F70" i="68"/>
  <c r="F66" i="68"/>
  <c r="F62" i="68"/>
  <c r="F58" i="68"/>
  <c r="F54" i="68"/>
  <c r="F113" i="68"/>
  <c r="F112" i="68"/>
  <c r="F89" i="68"/>
  <c r="F115" i="68"/>
  <c r="F114" i="68"/>
  <c r="F91" i="68"/>
  <c r="F90" i="68"/>
  <c r="F71" i="68"/>
  <c r="F67" i="68"/>
  <c r="F63" i="68"/>
  <c r="F59" i="68"/>
  <c r="F55" i="68"/>
  <c r="Z46" i="68"/>
  <c r="Z76" i="68"/>
  <c r="F84" i="68"/>
  <c r="Z92" i="68"/>
  <c r="F100" i="68"/>
  <c r="F108" i="68"/>
  <c r="J61" i="69"/>
  <c r="J55" i="69"/>
  <c r="J45" i="69"/>
  <c r="J17" i="69"/>
  <c r="J56" i="69"/>
  <c r="J46" i="69"/>
  <c r="J36" i="69"/>
  <c r="N12" i="69"/>
  <c r="J47" i="69"/>
  <c r="J31" i="69"/>
  <c r="J27" i="69"/>
  <c r="J62" i="69"/>
  <c r="J48" i="69"/>
  <c r="J32" i="69"/>
  <c r="J18" i="69"/>
  <c r="J63" i="69"/>
  <c r="J57" i="69"/>
  <c r="J49" i="69"/>
  <c r="J37" i="69"/>
  <c r="J33" i="69"/>
  <c r="J23" i="69"/>
  <c r="J64" i="69"/>
  <c r="J50" i="69"/>
  <c r="J38" i="69"/>
  <c r="J28" i="69"/>
  <c r="J24" i="69"/>
  <c r="J22" i="69"/>
  <c r="J20" i="69"/>
  <c r="J51" i="69"/>
  <c r="J39" i="69"/>
  <c r="H20" i="69"/>
  <c r="J66" i="69"/>
  <c r="J58" i="69"/>
  <c r="J52" i="69"/>
  <c r="J40" i="69"/>
  <c r="J34" i="69"/>
  <c r="J59" i="69"/>
  <c r="J53" i="69"/>
  <c r="J41" i="69"/>
  <c r="J29" i="69"/>
  <c r="J25" i="69"/>
  <c r="J70" i="69"/>
  <c r="J60" i="69"/>
  <c r="J42" i="69"/>
  <c r="J54" i="69"/>
  <c r="J44" i="69"/>
  <c r="J30" i="69"/>
  <c r="J26" i="69"/>
  <c r="J16" i="69"/>
  <c r="Z55" i="69"/>
  <c r="F62" i="70"/>
  <c r="F55" i="70"/>
  <c r="F51" i="70"/>
  <c r="F47" i="70"/>
  <c r="F43" i="70"/>
  <c r="F42" i="70"/>
  <c r="F109" i="70"/>
  <c r="F111" i="70"/>
  <c r="F110" i="70"/>
  <c r="F87" i="70"/>
  <c r="F86" i="70"/>
  <c r="F79" i="70"/>
  <c r="F75" i="70"/>
  <c r="F98" i="70"/>
  <c r="F97" i="70"/>
  <c r="F122" i="70"/>
  <c r="F117" i="70"/>
  <c r="F116" i="70"/>
  <c r="F99" i="70"/>
  <c r="F91" i="70"/>
  <c r="F90" i="70"/>
  <c r="F71" i="70"/>
  <c r="F67" i="70"/>
  <c r="F108" i="70"/>
  <c r="F107" i="70"/>
  <c r="F92" i="70"/>
  <c r="F84" i="70"/>
  <c r="F83" i="70"/>
  <c r="F72" i="70"/>
  <c r="F68" i="70"/>
  <c r="F64" i="70"/>
  <c r="F63" i="70"/>
  <c r="F102" i="70"/>
  <c r="F73" i="70"/>
  <c r="F46" i="70"/>
  <c r="F93" i="70"/>
  <c r="F76" i="70"/>
  <c r="F66" i="70"/>
  <c r="F115" i="70"/>
  <c r="F82" i="70"/>
  <c r="F74" i="70"/>
  <c r="F58" i="70"/>
  <c r="F52" i="70"/>
  <c r="F49" i="70"/>
  <c r="F105" i="70"/>
  <c r="F88" i="70"/>
  <c r="F118" i="70"/>
  <c r="F103" i="70"/>
  <c r="F94" i="70"/>
  <c r="F85" i="70"/>
  <c r="F44" i="70"/>
  <c r="F112" i="70"/>
  <c r="F100" i="70"/>
  <c r="F69" i="70"/>
  <c r="F50" i="70"/>
  <c r="F89" i="70"/>
  <c r="F77" i="70"/>
  <c r="F56" i="70"/>
  <c r="F53" i="70"/>
  <c r="F113" i="70"/>
  <c r="F104" i="70"/>
  <c r="F101" i="70"/>
  <c r="F95" i="70"/>
  <c r="D60" i="70"/>
  <c r="F60" i="70" s="1"/>
  <c r="F106" i="70"/>
  <c r="F80" i="70"/>
  <c r="F70" i="70"/>
  <c r="F65" i="70"/>
  <c r="F48" i="70"/>
  <c r="F45" i="70"/>
  <c r="F96" i="70"/>
  <c r="F81" i="70"/>
  <c r="F57" i="70"/>
  <c r="R21" i="59"/>
  <c r="R25" i="59"/>
  <c r="R29" i="59"/>
  <c r="R30" i="59"/>
  <c r="F33" i="59"/>
  <c r="F40" i="59"/>
  <c r="F41" i="59"/>
  <c r="R45" i="59"/>
  <c r="F48" i="59"/>
  <c r="F49" i="59"/>
  <c r="X12" i="60"/>
  <c r="V19" i="60"/>
  <c r="V23" i="60"/>
  <c r="V27" i="60"/>
  <c r="R36" i="60"/>
  <c r="R37" i="60"/>
  <c r="R44" i="60"/>
  <c r="V21" i="61"/>
  <c r="V25" i="61"/>
  <c r="J29" i="61"/>
  <c r="R30" i="61"/>
  <c r="F33" i="61"/>
  <c r="J35" i="61"/>
  <c r="R38" i="61"/>
  <c r="V51" i="61"/>
  <c r="V53" i="61"/>
  <c r="J92" i="63"/>
  <c r="J109" i="63"/>
  <c r="J106" i="63"/>
  <c r="J90" i="63"/>
  <c r="F23" i="63"/>
  <c r="F27" i="63"/>
  <c r="V30" i="63"/>
  <c r="V34" i="63"/>
  <c r="R39" i="63"/>
  <c r="R40" i="63"/>
  <c r="J46" i="63"/>
  <c r="R47" i="63"/>
  <c r="R48" i="63"/>
  <c r="J54" i="63"/>
  <c r="V58" i="63"/>
  <c r="J66" i="63"/>
  <c r="F71" i="63"/>
  <c r="J72" i="63"/>
  <c r="V74" i="63"/>
  <c r="J78" i="63"/>
  <c r="F83" i="63"/>
  <c r="F87" i="63"/>
  <c r="J91" i="63"/>
  <c r="N94" i="63"/>
  <c r="H97" i="63"/>
  <c r="L97" i="63" s="1"/>
  <c r="J99" i="63"/>
  <c r="J100" i="63"/>
  <c r="V102" i="63"/>
  <c r="F14" i="67"/>
  <c r="T16" i="67"/>
  <c r="V27" i="67"/>
  <c r="Z36" i="67"/>
  <c r="Z17" i="68"/>
  <c r="Z26" i="68"/>
  <c r="Z33" i="68"/>
  <c r="L37" i="68"/>
  <c r="N37" i="68" s="1"/>
  <c r="J35" i="69"/>
  <c r="Z48" i="69"/>
  <c r="X17" i="70"/>
  <c r="Z17" i="70" s="1"/>
  <c r="F78" i="70"/>
  <c r="J52" i="67"/>
  <c r="N34" i="68"/>
  <c r="N38" i="68"/>
  <c r="N42" i="68"/>
  <c r="N46" i="68"/>
  <c r="N30" i="70"/>
  <c r="N63" i="70"/>
  <c r="L90" i="70"/>
  <c r="N90" i="70" s="1"/>
  <c r="N71" i="72"/>
  <c r="L71" i="72"/>
  <c r="J71" i="72"/>
  <c r="P12" i="73"/>
  <c r="Z16" i="73"/>
  <c r="X34" i="73"/>
  <c r="Z34" i="73" s="1"/>
  <c r="N80" i="73"/>
  <c r="L80" i="73"/>
  <c r="H12" i="74"/>
  <c r="Z23" i="74"/>
  <c r="Z37" i="74"/>
  <c r="P117" i="68"/>
  <c r="N118" i="68"/>
  <c r="X93" i="70"/>
  <c r="Z93" i="70" s="1"/>
  <c r="N27" i="73"/>
  <c r="L27" i="73"/>
  <c r="Z53" i="73"/>
  <c r="L42" i="74"/>
  <c r="N42" i="74" s="1"/>
  <c r="Z44" i="74"/>
  <c r="Z48" i="74"/>
  <c r="Z94" i="76"/>
  <c r="X94" i="76"/>
  <c r="H72" i="79"/>
  <c r="H16" i="67"/>
  <c r="P12" i="70"/>
  <c r="N26" i="70"/>
  <c r="Z27" i="70"/>
  <c r="L35" i="70"/>
  <c r="Z39" i="70"/>
  <c r="X73" i="70"/>
  <c r="Z73" i="70" s="1"/>
  <c r="X90" i="70"/>
  <c r="Z90" i="70" s="1"/>
  <c r="N116" i="70"/>
  <c r="Z15" i="72"/>
  <c r="L23" i="73"/>
  <c r="N23" i="73" s="1"/>
  <c r="Z31" i="73"/>
  <c r="N78" i="73"/>
  <c r="V125" i="74"/>
  <c r="V117" i="74"/>
  <c r="V85" i="74"/>
  <c r="V81" i="74"/>
  <c r="V126" i="74"/>
  <c r="V118" i="74"/>
  <c r="V114" i="74"/>
  <c r="V106" i="74"/>
  <c r="V98" i="74"/>
  <c r="V86" i="74"/>
  <c r="V82" i="74"/>
  <c r="V113" i="74"/>
  <c r="V105" i="74"/>
  <c r="V97" i="74"/>
  <c r="V134" i="74"/>
  <c r="V120" i="74"/>
  <c r="V108" i="74"/>
  <c r="V92" i="74"/>
  <c r="V122" i="74"/>
  <c r="V121" i="74"/>
  <c r="V109" i="74"/>
  <c r="V101" i="74"/>
  <c r="V93" i="74"/>
  <c r="V89" i="74"/>
  <c r="V110" i="74"/>
  <c r="V102" i="74"/>
  <c r="V94" i="74"/>
  <c r="V90" i="74"/>
  <c r="T77" i="74"/>
  <c r="V77" i="74" s="1"/>
  <c r="V116" i="74"/>
  <c r="V111" i="74"/>
  <c r="V69" i="74"/>
  <c r="V56" i="74"/>
  <c r="V95" i="74"/>
  <c r="V88" i="74"/>
  <c r="V74" i="74"/>
  <c r="V66" i="74"/>
  <c r="V53" i="74"/>
  <c r="V123" i="74"/>
  <c r="V63" i="74"/>
  <c r="V60" i="74"/>
  <c r="V104" i="74"/>
  <c r="V96" i="74"/>
  <c r="V91" i="74"/>
  <c r="V84" i="74"/>
  <c r="V79" i="74"/>
  <c r="V72" i="74"/>
  <c r="V57" i="74"/>
  <c r="V124" i="74"/>
  <c r="V80" i="74"/>
  <c r="V70" i="74"/>
  <c r="V67" i="74"/>
  <c r="V64" i="74"/>
  <c r="V54" i="74"/>
  <c r="V129" i="74"/>
  <c r="V119" i="74"/>
  <c r="V112" i="74"/>
  <c r="V107" i="74"/>
  <c r="V75" i="74"/>
  <c r="V61" i="74"/>
  <c r="V99" i="74"/>
  <c r="V58" i="74"/>
  <c r="V115" i="74"/>
  <c r="V87" i="74"/>
  <c r="V73" i="74"/>
  <c r="V68" i="74"/>
  <c r="V130" i="74"/>
  <c r="V65" i="74"/>
  <c r="V55" i="74"/>
  <c r="V52" i="74"/>
  <c r="V100" i="74"/>
  <c r="V59" i="74"/>
  <c r="N38" i="74"/>
  <c r="L38" i="74"/>
  <c r="V71" i="74"/>
  <c r="X46" i="79"/>
  <c r="Z46" i="79" s="1"/>
  <c r="T117" i="68"/>
  <c r="L95" i="70"/>
  <c r="N95" i="70" s="1"/>
  <c r="N110" i="70"/>
  <c r="N19" i="73"/>
  <c r="L19" i="73"/>
  <c r="N26" i="74"/>
  <c r="L26" i="74"/>
  <c r="N30" i="74"/>
  <c r="L30" i="74"/>
  <c r="L34" i="74"/>
  <c r="N34" i="74" s="1"/>
  <c r="T128" i="74"/>
  <c r="Z130" i="74"/>
  <c r="P115" i="70"/>
  <c r="X115" i="70" s="1"/>
  <c r="Z115" i="70" s="1"/>
  <c r="X116" i="70"/>
  <c r="Z116" i="70" s="1"/>
  <c r="H12" i="73"/>
  <c r="L12" i="73" s="1"/>
  <c r="N15" i="73"/>
  <c r="L15" i="73"/>
  <c r="L22" i="74"/>
  <c r="N22" i="74" s="1"/>
  <c r="Z38" i="74"/>
  <c r="N49" i="74"/>
  <c r="X52" i="74"/>
  <c r="Z52" i="74" s="1"/>
  <c r="J40" i="67"/>
  <c r="J60" i="67"/>
  <c r="X13" i="68"/>
  <c r="L13" i="69"/>
  <c r="N22" i="70"/>
  <c r="Z23" i="70"/>
  <c r="X35" i="70"/>
  <c r="Z35" i="70" s="1"/>
  <c r="X81" i="70"/>
  <c r="Z81" i="70" s="1"/>
  <c r="N83" i="70"/>
  <c r="L86" i="70"/>
  <c r="N46" i="72"/>
  <c r="Z19" i="73"/>
  <c r="N76" i="73"/>
  <c r="N14" i="74"/>
  <c r="L14" i="74"/>
  <c r="N18" i="74"/>
  <c r="L18" i="74"/>
  <c r="Z34" i="74"/>
  <c r="J27" i="67"/>
  <c r="J39" i="67"/>
  <c r="N13" i="69"/>
  <c r="X14" i="69"/>
  <c r="L14" i="70"/>
  <c r="N14" i="70" s="1"/>
  <c r="N52" i="72"/>
  <c r="Z69" i="73"/>
  <c r="P12" i="74"/>
  <c r="V83" i="74"/>
  <c r="J38" i="67"/>
  <c r="J48" i="67"/>
  <c r="J56" i="67"/>
  <c r="N107" i="70"/>
  <c r="L107" i="70"/>
  <c r="D115" i="70"/>
  <c r="Z58" i="72"/>
  <c r="N24" i="73"/>
  <c r="Z32" i="73"/>
  <c r="Z54" i="73"/>
  <c r="Z22" i="75"/>
  <c r="L117" i="70"/>
  <c r="N117" i="70" s="1"/>
  <c r="X27" i="72"/>
  <c r="Z27" i="72" s="1"/>
  <c r="Z43" i="74"/>
  <c r="X43" i="74"/>
  <c r="X31" i="70"/>
  <c r="D12" i="72"/>
  <c r="L13" i="72"/>
  <c r="N13" i="72" s="1"/>
  <c r="Z16" i="72"/>
  <c r="X74" i="73"/>
  <c r="Z74" i="73" s="1"/>
  <c r="V62" i="74"/>
  <c r="Z89" i="74"/>
  <c r="Z31" i="70"/>
  <c r="Z100" i="70"/>
  <c r="X16" i="72"/>
  <c r="F123" i="74"/>
  <c r="F122" i="74"/>
  <c r="F75" i="74"/>
  <c r="F71" i="74"/>
  <c r="F110" i="74"/>
  <c r="F102" i="74"/>
  <c r="F101" i="74"/>
  <c r="F94" i="74"/>
  <c r="F90" i="74"/>
  <c r="F89" i="74"/>
  <c r="F125" i="74"/>
  <c r="F124" i="74"/>
  <c r="F117" i="74"/>
  <c r="F126" i="74"/>
  <c r="F118" i="74"/>
  <c r="F86" i="74"/>
  <c r="F82" i="74"/>
  <c r="F130" i="74"/>
  <c r="F128" i="74"/>
  <c r="F119" i="74"/>
  <c r="F115" i="74"/>
  <c r="F114" i="74"/>
  <c r="F107" i="74"/>
  <c r="F106" i="74"/>
  <c r="F99" i="74"/>
  <c r="F98" i="74"/>
  <c r="F87" i="74"/>
  <c r="F83" i="74"/>
  <c r="F105" i="74"/>
  <c r="F92" i="74"/>
  <c r="F73" i="74"/>
  <c r="F97" i="74"/>
  <c r="F68" i="74"/>
  <c r="F55" i="74"/>
  <c r="F120" i="74"/>
  <c r="F108" i="74"/>
  <c r="F81" i="74"/>
  <c r="F65" i="74"/>
  <c r="F62" i="74"/>
  <c r="F113" i="74"/>
  <c r="F103" i="74"/>
  <c r="F77" i="74"/>
  <c r="F59" i="74"/>
  <c r="L12" i="74"/>
  <c r="F134" i="74"/>
  <c r="F100" i="74"/>
  <c r="D77" i="74"/>
  <c r="F74" i="74"/>
  <c r="F69" i="74"/>
  <c r="F116" i="74"/>
  <c r="F111" i="74"/>
  <c r="F95" i="74"/>
  <c r="F93" i="74"/>
  <c r="F88" i="74"/>
  <c r="F66" i="74"/>
  <c r="F56" i="74"/>
  <c r="F52" i="74"/>
  <c r="F109" i="74"/>
  <c r="F91" i="74"/>
  <c r="F63" i="74"/>
  <c r="F53" i="74"/>
  <c r="F121" i="74"/>
  <c r="F104" i="74"/>
  <c r="F84" i="74"/>
  <c r="F72" i="74"/>
  <c r="F60" i="74"/>
  <c r="F79" i="74"/>
  <c r="F70" i="74"/>
  <c r="F57" i="74"/>
  <c r="F112" i="74"/>
  <c r="F96" i="74"/>
  <c r="F67" i="74"/>
  <c r="F54" i="74"/>
  <c r="F129" i="74"/>
  <c r="F85" i="74"/>
  <c r="F80" i="74"/>
  <c r="F61" i="74"/>
  <c r="F58" i="74"/>
  <c r="N35" i="75"/>
  <c r="N103" i="70"/>
  <c r="P12" i="72"/>
  <c r="J21" i="72"/>
  <c r="J49" i="72"/>
  <c r="J57" i="72"/>
  <c r="J75" i="72"/>
  <c r="F37" i="73"/>
  <c r="F41" i="73"/>
  <c r="F45" i="73"/>
  <c r="F49" i="73"/>
  <c r="N72" i="73"/>
  <c r="Z78" i="73"/>
  <c r="F80" i="73"/>
  <c r="F81" i="73"/>
  <c r="Z101" i="74"/>
  <c r="N122" i="74"/>
  <c r="X130" i="74"/>
  <c r="Z16" i="75"/>
  <c r="Z18" i="75"/>
  <c r="X22" i="75"/>
  <c r="L35" i="75"/>
  <c r="Z17" i="76"/>
  <c r="V50" i="76"/>
  <c r="T12" i="73"/>
  <c r="F78" i="73"/>
  <c r="F79" i="73"/>
  <c r="Z120" i="74"/>
  <c r="V42" i="76"/>
  <c r="F97" i="76"/>
  <c r="H115" i="70"/>
  <c r="J46" i="72"/>
  <c r="J56" i="72"/>
  <c r="F36" i="73"/>
  <c r="F40" i="73"/>
  <c r="F44" i="73"/>
  <c r="F48" i="73"/>
  <c r="F67" i="73"/>
  <c r="F68" i="73"/>
  <c r="Z50" i="74"/>
  <c r="Z108" i="74"/>
  <c r="N13" i="75"/>
  <c r="H12" i="75"/>
  <c r="Z82" i="75"/>
  <c r="N77" i="76"/>
  <c r="X14" i="78"/>
  <c r="P12" i="78"/>
  <c r="J29" i="72"/>
  <c r="J33" i="72"/>
  <c r="J45" i="72"/>
  <c r="J69" i="72"/>
  <c r="F57" i="73"/>
  <c r="F61" i="73"/>
  <c r="F76" i="73"/>
  <c r="F77" i="73"/>
  <c r="Z46" i="74"/>
  <c r="X80" i="74"/>
  <c r="Z80" i="74" s="1"/>
  <c r="N17" i="75"/>
  <c r="F105" i="76"/>
  <c r="V47" i="78"/>
  <c r="V39" i="78"/>
  <c r="V19" i="78"/>
  <c r="V49" i="78"/>
  <c r="V41" i="78"/>
  <c r="V33" i="78"/>
  <c r="V29" i="78"/>
  <c r="V61" i="78"/>
  <c r="V65" i="78"/>
  <c r="V57" i="78"/>
  <c r="V31" i="78"/>
  <c r="V27" i="78"/>
  <c r="V50" i="78"/>
  <c r="V34" i="78"/>
  <c r="V22" i="78"/>
  <c r="V53" i="78"/>
  <c r="V35" i="78"/>
  <c r="V45" i="78"/>
  <c r="V42" i="78"/>
  <c r="T24" i="78"/>
  <c r="V24" i="78" s="1"/>
  <c r="V46" i="78"/>
  <c r="V43" i="78"/>
  <c r="V38" i="78"/>
  <c r="V32" i="78"/>
  <c r="V26" i="78"/>
  <c r="V58" i="78"/>
  <c r="V51" i="78"/>
  <c r="V20" i="78"/>
  <c r="V17" i="78"/>
  <c r="V59" i="78"/>
  <c r="V54" i="78"/>
  <c r="V36" i="78"/>
  <c r="V30" i="78"/>
  <c r="V60" i="78"/>
  <c r="V48" i="78"/>
  <c r="V21" i="78"/>
  <c r="V18" i="78"/>
  <c r="V52" i="78"/>
  <c r="V37" i="78"/>
  <c r="V28" i="78"/>
  <c r="F89" i="73"/>
  <c r="F92" i="73"/>
  <c r="L41" i="74"/>
  <c r="Z42" i="74"/>
  <c r="X46" i="74"/>
  <c r="Z124" i="74"/>
  <c r="X124" i="74"/>
  <c r="L17" i="75"/>
  <c r="Z60" i="75"/>
  <c r="Z24" i="76"/>
  <c r="X24" i="76"/>
  <c r="X28" i="76"/>
  <c r="Z28" i="76" s="1"/>
  <c r="X32" i="76"/>
  <c r="Z32" i="76" s="1"/>
  <c r="Z67" i="76"/>
  <c r="N105" i="76"/>
  <c r="N43" i="78"/>
  <c r="L43" i="78"/>
  <c r="H24" i="72"/>
  <c r="J43" i="72"/>
  <c r="J55" i="72"/>
  <c r="J67" i="72"/>
  <c r="F34" i="73"/>
  <c r="F35" i="73"/>
  <c r="F39" i="73"/>
  <c r="F43" i="73"/>
  <c r="F47" i="73"/>
  <c r="F74" i="73"/>
  <c r="F75" i="73"/>
  <c r="N13" i="74"/>
  <c r="X14" i="74"/>
  <c r="N128" i="74"/>
  <c r="T12" i="75"/>
  <c r="Z13" i="75"/>
  <c r="X13" i="75"/>
  <c r="L21" i="75"/>
  <c r="N21" i="75" s="1"/>
  <c r="Z44" i="75"/>
  <c r="X20" i="76"/>
  <c r="Z20" i="76" s="1"/>
  <c r="Z36" i="76"/>
  <c r="X36" i="76"/>
  <c r="J24" i="72"/>
  <c r="J26" i="72"/>
  <c r="J28" i="72"/>
  <c r="J32" i="72"/>
  <c r="J42" i="72"/>
  <c r="J54" i="72"/>
  <c r="J66" i="72"/>
  <c r="F56" i="73"/>
  <c r="F60" i="73"/>
  <c r="X96" i="74"/>
  <c r="Z96" i="74" s="1"/>
  <c r="X17" i="75"/>
  <c r="Z17" i="75" s="1"/>
  <c r="L25" i="75"/>
  <c r="L30" i="75"/>
  <c r="N30" i="75"/>
  <c r="Z16" i="76"/>
  <c r="X16" i="76"/>
  <c r="N57" i="76"/>
  <c r="X75" i="76"/>
  <c r="Z75" i="76" s="1"/>
  <c r="J41" i="72"/>
  <c r="J53" i="72"/>
  <c r="J61" i="72"/>
  <c r="J65" i="72"/>
  <c r="D51" i="73"/>
  <c r="F65" i="73"/>
  <c r="F72" i="73"/>
  <c r="F73" i="73"/>
  <c r="F87" i="73"/>
  <c r="D12" i="75"/>
  <c r="L14" i="75"/>
  <c r="Z21" i="75"/>
  <c r="X21" i="75"/>
  <c r="V102" i="76"/>
  <c r="V80" i="76"/>
  <c r="V82" i="76"/>
  <c r="V109" i="76"/>
  <c r="V101" i="76"/>
  <c r="V91" i="76"/>
  <c r="V81" i="76"/>
  <c r="V76" i="76"/>
  <c r="V64" i="76"/>
  <c r="V60" i="76"/>
  <c r="V103" i="76"/>
  <c r="V95" i="76"/>
  <c r="V51" i="76"/>
  <c r="V47" i="76"/>
  <c r="V43" i="76"/>
  <c r="V39" i="76"/>
  <c r="V104" i="76"/>
  <c r="V96" i="76"/>
  <c r="V87" i="76"/>
  <c r="V70" i="76"/>
  <c r="V105" i="76"/>
  <c r="V92" i="76"/>
  <c r="V88" i="76"/>
  <c r="V65" i="76"/>
  <c r="V61" i="76"/>
  <c r="V57" i="76"/>
  <c r="V84" i="76"/>
  <c r="V83" i="76"/>
  <c r="V79" i="76"/>
  <c r="V78" i="76"/>
  <c r="V56" i="76"/>
  <c r="V52" i="76"/>
  <c r="V48" i="76"/>
  <c r="V44" i="76"/>
  <c r="V40" i="76"/>
  <c r="V71" i="76"/>
  <c r="V67" i="76"/>
  <c r="T54" i="76"/>
  <c r="V54" i="76" s="1"/>
  <c r="V97" i="76"/>
  <c r="V66" i="76"/>
  <c r="V62" i="76"/>
  <c r="V58" i="76"/>
  <c r="V98" i="76"/>
  <c r="V89" i="76"/>
  <c r="V73" i="76"/>
  <c r="V49" i="76"/>
  <c r="V45" i="76"/>
  <c r="V41" i="76"/>
  <c r="V93" i="76"/>
  <c r="V90" i="76"/>
  <c r="V72" i="76"/>
  <c r="V68" i="76"/>
  <c r="V94" i="76"/>
  <c r="V85" i="76"/>
  <c r="V75" i="76"/>
  <c r="V63" i="76"/>
  <c r="V59" i="76"/>
  <c r="V99" i="76"/>
  <c r="V77" i="76"/>
  <c r="V69" i="76"/>
  <c r="D12" i="78"/>
  <c r="L13" i="78"/>
  <c r="J22" i="72"/>
  <c r="J36" i="72"/>
  <c r="J52" i="72"/>
  <c r="J60" i="72"/>
  <c r="X14" i="73"/>
  <c r="Z14" i="73" s="1"/>
  <c r="X18" i="73"/>
  <c r="Z18" i="73" s="1"/>
  <c r="X22" i="73"/>
  <c r="Z22" i="73" s="1"/>
  <c r="X26" i="73"/>
  <c r="Z26" i="73" s="1"/>
  <c r="X30" i="73"/>
  <c r="Z30" i="73" s="1"/>
  <c r="F38" i="73"/>
  <c r="F42" i="73"/>
  <c r="F46" i="73"/>
  <c r="F51" i="73"/>
  <c r="F53" i="73"/>
  <c r="F83" i="73"/>
  <c r="F85" i="73"/>
  <c r="X13" i="74"/>
  <c r="X17" i="74"/>
  <c r="X21" i="74"/>
  <c r="Z21" i="74" s="1"/>
  <c r="X25" i="74"/>
  <c r="X29" i="74"/>
  <c r="X33" i="74"/>
  <c r="Z33" i="74" s="1"/>
  <c r="X37" i="74"/>
  <c r="X41" i="74"/>
  <c r="L47" i="74"/>
  <c r="X89" i="74"/>
  <c r="N14" i="75"/>
  <c r="Z25" i="75"/>
  <c r="X25" i="75"/>
  <c r="Z51" i="75"/>
  <c r="N66" i="75"/>
  <c r="Z68" i="75"/>
  <c r="N21" i="76"/>
  <c r="Z16" i="79"/>
  <c r="X16" i="79"/>
  <c r="J31" i="72"/>
  <c r="J35" i="72"/>
  <c r="L36" i="72"/>
  <c r="N36" i="72" s="1"/>
  <c r="X46" i="72"/>
  <c r="Z46" i="72" s="1"/>
  <c r="J51" i="72"/>
  <c r="L52" i="72"/>
  <c r="J59" i="72"/>
  <c r="L60" i="72"/>
  <c r="N60" i="72" s="1"/>
  <c r="F54" i="73"/>
  <c r="F55" i="73"/>
  <c r="F59" i="73"/>
  <c r="X69" i="73"/>
  <c r="F71" i="73"/>
  <c r="Z13" i="74"/>
  <c r="L130" i="74"/>
  <c r="X14" i="75"/>
  <c r="P12" i="75"/>
  <c r="F93" i="76"/>
  <c r="F85" i="76"/>
  <c r="F84" i="76"/>
  <c r="F95" i="76"/>
  <c r="F94" i="76"/>
  <c r="F87" i="76"/>
  <c r="F86" i="76"/>
  <c r="F80" i="76"/>
  <c r="F56" i="76"/>
  <c r="F54" i="76"/>
  <c r="F49" i="76"/>
  <c r="F45" i="76"/>
  <c r="F41" i="76"/>
  <c r="F98" i="76"/>
  <c r="F72" i="76"/>
  <c r="F68" i="76"/>
  <c r="F67" i="76"/>
  <c r="D54" i="76"/>
  <c r="L12" i="76"/>
  <c r="F90" i="76"/>
  <c r="F63" i="76"/>
  <c r="F59" i="76"/>
  <c r="F99" i="76"/>
  <c r="F74" i="76"/>
  <c r="F73" i="76"/>
  <c r="F50" i="76"/>
  <c r="F46" i="76"/>
  <c r="F42" i="76"/>
  <c r="F109" i="76"/>
  <c r="F91" i="76"/>
  <c r="F69" i="76"/>
  <c r="F81" i="76"/>
  <c r="F76" i="76"/>
  <c r="F75" i="76"/>
  <c r="F64" i="76"/>
  <c r="F60" i="76"/>
  <c r="F51" i="76"/>
  <c r="F47" i="76"/>
  <c r="F43" i="76"/>
  <c r="F82" i="76"/>
  <c r="F78" i="76"/>
  <c r="F77" i="76"/>
  <c r="F70" i="76"/>
  <c r="F104" i="76"/>
  <c r="F102" i="76"/>
  <c r="F96" i="76"/>
  <c r="F92" i="76"/>
  <c r="F65" i="76"/>
  <c r="F61" i="76"/>
  <c r="F103" i="76"/>
  <c r="F88" i="76"/>
  <c r="F83" i="76"/>
  <c r="F52" i="76"/>
  <c r="F48" i="76"/>
  <c r="F44" i="76"/>
  <c r="F40" i="76"/>
  <c r="F39" i="76"/>
  <c r="F89" i="76"/>
  <c r="F79" i="76"/>
  <c r="F66" i="76"/>
  <c r="F62" i="76"/>
  <c r="F58" i="76"/>
  <c r="F57" i="76"/>
  <c r="V86" i="76"/>
  <c r="V44" i="78"/>
  <c r="J40" i="72"/>
  <c r="J50" i="72"/>
  <c r="J58" i="72"/>
  <c r="F63" i="73"/>
  <c r="Z14" i="75"/>
  <c r="N22" i="75"/>
  <c r="Z21" i="76"/>
  <c r="Z37" i="76"/>
  <c r="L17" i="78"/>
  <c r="N17" i="78" s="1"/>
  <c r="N22" i="83"/>
  <c r="N34" i="75"/>
  <c r="N62" i="75"/>
  <c r="P12" i="76"/>
  <c r="Z39" i="76"/>
  <c r="J41" i="76"/>
  <c r="J45" i="76"/>
  <c r="J49" i="76"/>
  <c r="H54" i="76"/>
  <c r="J67" i="76"/>
  <c r="N73" i="76"/>
  <c r="J80" i="76"/>
  <c r="J98" i="76"/>
  <c r="L105" i="76"/>
  <c r="N14" i="78"/>
  <c r="Z41" i="78"/>
  <c r="Z61" i="78"/>
  <c r="Z23" i="79"/>
  <c r="N38" i="79"/>
  <c r="Z44" i="79"/>
  <c r="Z14" i="80"/>
  <c r="L83" i="75"/>
  <c r="N83" i="75" s="1"/>
  <c r="J57" i="76"/>
  <c r="J71" i="76"/>
  <c r="J79" i="76"/>
  <c r="J97" i="76"/>
  <c r="F64" i="79"/>
  <c r="F63" i="79"/>
  <c r="F68" i="79"/>
  <c r="F66" i="79"/>
  <c r="F53" i="79"/>
  <c r="F52" i="79"/>
  <c r="F45" i="79"/>
  <c r="F44" i="79"/>
  <c r="F17" i="79"/>
  <c r="F16" i="79"/>
  <c r="F70" i="79"/>
  <c r="F36" i="79"/>
  <c r="L12" i="79"/>
  <c r="N12" i="79" s="1"/>
  <c r="F59" i="79"/>
  <c r="F47" i="79"/>
  <c r="F46" i="79"/>
  <c r="F31" i="79"/>
  <c r="F27" i="79"/>
  <c r="F54" i="79"/>
  <c r="F75" i="79"/>
  <c r="F72" i="79"/>
  <c r="F37" i="79"/>
  <c r="F33" i="79"/>
  <c r="F32" i="79"/>
  <c r="F60" i="79"/>
  <c r="F55" i="79"/>
  <c r="F57" i="79"/>
  <c r="F56" i="79"/>
  <c r="F49" i="79"/>
  <c r="F41" i="79"/>
  <c r="F40" i="79"/>
  <c r="F29" i="79"/>
  <c r="F25" i="79"/>
  <c r="X22" i="79"/>
  <c r="Z22" i="79" s="1"/>
  <c r="F24" i="79"/>
  <c r="F26" i="79"/>
  <c r="N40" i="79"/>
  <c r="L52" i="79"/>
  <c r="N52" i="79" s="1"/>
  <c r="F73" i="80"/>
  <c r="F52" i="80"/>
  <c r="F71" i="80"/>
  <c r="F63" i="80"/>
  <c r="F59" i="80"/>
  <c r="F43" i="80"/>
  <c r="F42" i="80"/>
  <c r="F35" i="80"/>
  <c r="F54" i="80"/>
  <c r="F53" i="80"/>
  <c r="F30" i="80"/>
  <c r="F26" i="80"/>
  <c r="F65" i="80"/>
  <c r="F64" i="80"/>
  <c r="F45" i="80"/>
  <c r="F44" i="80"/>
  <c r="F17" i="80"/>
  <c r="F16" i="80"/>
  <c r="F60" i="80"/>
  <c r="F36" i="80"/>
  <c r="L12" i="80"/>
  <c r="N12" i="80" s="1"/>
  <c r="F66" i="80"/>
  <c r="F55" i="80"/>
  <c r="F47" i="80"/>
  <c r="F46" i="80"/>
  <c r="F31" i="80"/>
  <c r="F27" i="80"/>
  <c r="F18" i="80"/>
  <c r="F67" i="80"/>
  <c r="F61" i="80"/>
  <c r="F49" i="80"/>
  <c r="F48" i="80"/>
  <c r="F37" i="80"/>
  <c r="F33" i="80"/>
  <c r="F32" i="80"/>
  <c r="F75" i="80"/>
  <c r="F56" i="80"/>
  <c r="F28" i="80"/>
  <c r="F24" i="80"/>
  <c r="F23" i="80"/>
  <c r="F51" i="80"/>
  <c r="F50" i="80"/>
  <c r="F39" i="80"/>
  <c r="F38" i="80"/>
  <c r="F22" i="80"/>
  <c r="F20" i="80"/>
  <c r="F69" i="80"/>
  <c r="F41" i="80"/>
  <c r="F40" i="80"/>
  <c r="F29" i="80"/>
  <c r="F25" i="80"/>
  <c r="L16" i="80"/>
  <c r="N16" i="80"/>
  <c r="F34" i="80"/>
  <c r="Z53" i="80"/>
  <c r="P12" i="83"/>
  <c r="X13" i="83"/>
  <c r="Z13" i="83" s="1"/>
  <c r="P82" i="75"/>
  <c r="X82" i="75" s="1"/>
  <c r="J40" i="76"/>
  <c r="J44" i="76"/>
  <c r="J48" i="76"/>
  <c r="J52" i="76"/>
  <c r="J83" i="76"/>
  <c r="N88" i="76"/>
  <c r="D101" i="76"/>
  <c r="L101" i="76" s="1"/>
  <c r="N101" i="76" s="1"/>
  <c r="J105" i="76"/>
  <c r="Z14" i="78"/>
  <c r="L57" i="78"/>
  <c r="Z59" i="78"/>
  <c r="P12" i="79"/>
  <c r="D20" i="79"/>
  <c r="F35" i="79"/>
  <c r="X38" i="79"/>
  <c r="Z38" i="79"/>
  <c r="J40" i="79"/>
  <c r="J63" i="80"/>
  <c r="J59" i="80"/>
  <c r="J53" i="80"/>
  <c r="J43" i="80"/>
  <c r="J35" i="80"/>
  <c r="J64" i="80"/>
  <c r="J54" i="80"/>
  <c r="J44" i="80"/>
  <c r="J30" i="80"/>
  <c r="J26" i="80"/>
  <c r="J16" i="80"/>
  <c r="J65" i="80"/>
  <c r="J45" i="80"/>
  <c r="J73" i="80"/>
  <c r="J66" i="80"/>
  <c r="J60" i="80"/>
  <c r="J46" i="80"/>
  <c r="J36" i="80"/>
  <c r="J55" i="80"/>
  <c r="J47" i="80"/>
  <c r="J31" i="80"/>
  <c r="J27" i="80"/>
  <c r="J48" i="80"/>
  <c r="J32" i="80"/>
  <c r="J18" i="80"/>
  <c r="J67" i="80"/>
  <c r="J61" i="80"/>
  <c r="J49" i="80"/>
  <c r="J37" i="80"/>
  <c r="J33" i="80"/>
  <c r="J23" i="80"/>
  <c r="J56" i="80"/>
  <c r="J50" i="80"/>
  <c r="J38" i="80"/>
  <c r="J28" i="80"/>
  <c r="J24" i="80"/>
  <c r="J22" i="80"/>
  <c r="J20" i="80"/>
  <c r="J57" i="80"/>
  <c r="J51" i="80"/>
  <c r="J39" i="80"/>
  <c r="H20" i="80"/>
  <c r="J69" i="80"/>
  <c r="J62" i="80"/>
  <c r="J58" i="80"/>
  <c r="J40" i="80"/>
  <c r="J34" i="80"/>
  <c r="J52" i="80"/>
  <c r="J42" i="80"/>
  <c r="D20" i="80"/>
  <c r="X46" i="80"/>
  <c r="Z46" i="80" s="1"/>
  <c r="J39" i="76"/>
  <c r="J61" i="76"/>
  <c r="J65" i="76"/>
  <c r="J92" i="76"/>
  <c r="N96" i="76"/>
  <c r="J103" i="76"/>
  <c r="N57" i="78"/>
  <c r="H56" i="78"/>
  <c r="Z60" i="78"/>
  <c r="V59" i="79"/>
  <c r="V47" i="79"/>
  <c r="V31" i="79"/>
  <c r="V27" i="79"/>
  <c r="V23" i="79"/>
  <c r="V54" i="79"/>
  <c r="V60" i="79"/>
  <c r="V56" i="79"/>
  <c r="V48" i="79"/>
  <c r="V40" i="79"/>
  <c r="V28" i="79"/>
  <c r="V24" i="79"/>
  <c r="V63" i="79"/>
  <c r="V55" i="79"/>
  <c r="V39" i="79"/>
  <c r="V62" i="79"/>
  <c r="V50" i="79"/>
  <c r="V42" i="79"/>
  <c r="V34" i="79"/>
  <c r="V57" i="79"/>
  <c r="V49" i="79"/>
  <c r="V41" i="79"/>
  <c r="V66" i="79"/>
  <c r="V64" i="79"/>
  <c r="V52" i="79"/>
  <c r="V44" i="79"/>
  <c r="V16" i="79"/>
  <c r="V58" i="79"/>
  <c r="V46" i="79"/>
  <c r="V70" i="79"/>
  <c r="V36" i="79"/>
  <c r="V32" i="79"/>
  <c r="F20" i="79"/>
  <c r="F28" i="79"/>
  <c r="V38" i="79"/>
  <c r="V43" i="79"/>
  <c r="V45" i="79"/>
  <c r="T71" i="80"/>
  <c r="F62" i="80"/>
  <c r="F78" i="80"/>
  <c r="J70" i="76"/>
  <c r="J87" i="76"/>
  <c r="J102" i="76"/>
  <c r="J104" i="76"/>
  <c r="P56" i="78"/>
  <c r="F30" i="79"/>
  <c r="F42" i="79"/>
  <c r="V61" i="79"/>
  <c r="N40" i="80"/>
  <c r="L40" i="80"/>
  <c r="Z44" i="80"/>
  <c r="R54" i="80"/>
  <c r="F57" i="80"/>
  <c r="T12" i="82"/>
  <c r="Z14" i="82"/>
  <c r="X14" i="82"/>
  <c r="J43" i="76"/>
  <c r="J47" i="76"/>
  <c r="J51" i="76"/>
  <c r="J77" i="76"/>
  <c r="J82" i="76"/>
  <c r="J95" i="76"/>
  <c r="J101" i="76"/>
  <c r="Z43" i="78"/>
  <c r="Z14" i="79"/>
  <c r="V17" i="79"/>
  <c r="F23" i="79"/>
  <c r="V33" i="79"/>
  <c r="F39" i="79"/>
  <c r="F51" i="79"/>
  <c r="J17" i="80"/>
  <c r="N22" i="80"/>
  <c r="F120" i="84"/>
  <c r="F119" i="84"/>
  <c r="F112" i="84"/>
  <c r="F100" i="84"/>
  <c r="F92" i="84"/>
  <c r="F91" i="84"/>
  <c r="F80" i="84"/>
  <c r="F79" i="84"/>
  <c r="F68" i="84"/>
  <c r="F64" i="84"/>
  <c r="F107" i="84"/>
  <c r="F55" i="84"/>
  <c r="F51" i="84"/>
  <c r="F47" i="84"/>
  <c r="F43" i="84"/>
  <c r="F122" i="84"/>
  <c r="F121" i="84"/>
  <c r="F102" i="84"/>
  <c r="F101" i="84"/>
  <c r="F94" i="84"/>
  <c r="F93" i="84"/>
  <c r="F82" i="84"/>
  <c r="F81" i="84"/>
  <c r="F74" i="84"/>
  <c r="F113" i="84"/>
  <c r="F109" i="84"/>
  <c r="F108" i="84"/>
  <c r="F69" i="84"/>
  <c r="F65" i="84"/>
  <c r="F96" i="84"/>
  <c r="F95" i="84"/>
  <c r="F84" i="84"/>
  <c r="F83" i="84"/>
  <c r="F56" i="84"/>
  <c r="F52" i="84"/>
  <c r="F48" i="84"/>
  <c r="F44" i="84"/>
  <c r="F124" i="84"/>
  <c r="F103" i="84"/>
  <c r="F75" i="84"/>
  <c r="F71" i="84"/>
  <c r="F70" i="84"/>
  <c r="F128" i="84"/>
  <c r="F114" i="84"/>
  <c r="F110" i="84"/>
  <c r="F98" i="84"/>
  <c r="F97" i="84"/>
  <c r="F86" i="84"/>
  <c r="F85" i="84"/>
  <c r="F66" i="84"/>
  <c r="F62" i="84"/>
  <c r="F61" i="84"/>
  <c r="F60" i="84"/>
  <c r="F58" i="84"/>
  <c r="F53" i="84"/>
  <c r="F49" i="84"/>
  <c r="F45" i="84"/>
  <c r="F41" i="84"/>
  <c r="F40" i="84"/>
  <c r="F116" i="84"/>
  <c r="F115" i="84"/>
  <c r="F104" i="84"/>
  <c r="F88" i="84"/>
  <c r="F87" i="84"/>
  <c r="F76" i="84"/>
  <c r="F72" i="84"/>
  <c r="D58" i="84"/>
  <c r="L12" i="84"/>
  <c r="F111" i="84"/>
  <c r="F99" i="84"/>
  <c r="F67" i="84"/>
  <c r="F63" i="84"/>
  <c r="F73" i="84"/>
  <c r="F106" i="84"/>
  <c r="F89" i="84"/>
  <c r="F118" i="84"/>
  <c r="F78" i="84"/>
  <c r="F42" i="84"/>
  <c r="F105" i="84"/>
  <c r="F90" i="84"/>
  <c r="F117" i="84"/>
  <c r="F50" i="84"/>
  <c r="F77" i="84"/>
  <c r="F54" i="84"/>
  <c r="F46" i="84"/>
  <c r="L13" i="76"/>
  <c r="J60" i="76"/>
  <c r="J64" i="76"/>
  <c r="J76" i="76"/>
  <c r="J81" i="76"/>
  <c r="H12" i="78"/>
  <c r="D56" i="78"/>
  <c r="N61" i="78"/>
  <c r="J51" i="79"/>
  <c r="J43" i="79"/>
  <c r="J35" i="79"/>
  <c r="J68" i="79"/>
  <c r="J66" i="79"/>
  <c r="J58" i="79"/>
  <c r="J52" i="79"/>
  <c r="J70" i="79"/>
  <c r="J46" i="79"/>
  <c r="J36" i="79"/>
  <c r="J59" i="79"/>
  <c r="J47" i="79"/>
  <c r="J31" i="79"/>
  <c r="J27" i="79"/>
  <c r="J72" i="79"/>
  <c r="J54" i="79"/>
  <c r="J32" i="79"/>
  <c r="J18" i="79"/>
  <c r="J60" i="79"/>
  <c r="J48" i="79"/>
  <c r="J38" i="79"/>
  <c r="J28" i="79"/>
  <c r="J24" i="79"/>
  <c r="J22" i="79"/>
  <c r="J20" i="79"/>
  <c r="J61" i="79"/>
  <c r="J55" i="79"/>
  <c r="J62" i="79"/>
  <c r="J56" i="79"/>
  <c r="J64" i="79"/>
  <c r="J50" i="79"/>
  <c r="J42" i="79"/>
  <c r="T20" i="79"/>
  <c r="N23" i="79"/>
  <c r="J25" i="79"/>
  <c r="V26" i="79"/>
  <c r="L32" i="79"/>
  <c r="V35" i="79"/>
  <c r="V37" i="79"/>
  <c r="J39" i="79"/>
  <c r="J25" i="80"/>
  <c r="N38" i="80"/>
  <c r="Z42" i="80"/>
  <c r="J121" i="84"/>
  <c r="J107" i="84"/>
  <c r="J101" i="84"/>
  <c r="J93" i="84"/>
  <c r="J81" i="84"/>
  <c r="J55" i="84"/>
  <c r="J51" i="84"/>
  <c r="J47" i="84"/>
  <c r="J43" i="84"/>
  <c r="J122" i="84"/>
  <c r="J108" i="84"/>
  <c r="J102" i="84"/>
  <c r="J94" i="84"/>
  <c r="J82" i="84"/>
  <c r="J74" i="84"/>
  <c r="J113" i="84"/>
  <c r="J109" i="84"/>
  <c r="J95" i="84"/>
  <c r="J83" i="84"/>
  <c r="J69" i="84"/>
  <c r="J65" i="84"/>
  <c r="J124" i="84"/>
  <c r="J96" i="84"/>
  <c r="J84" i="84"/>
  <c r="J70" i="84"/>
  <c r="J56" i="84"/>
  <c r="J52" i="84"/>
  <c r="J48" i="84"/>
  <c r="J44" i="84"/>
  <c r="J103" i="84"/>
  <c r="J97" i="84"/>
  <c r="J85" i="84"/>
  <c r="J75" i="84"/>
  <c r="J71" i="84"/>
  <c r="J61" i="84"/>
  <c r="J128" i="84"/>
  <c r="J114" i="84"/>
  <c r="J110" i="84"/>
  <c r="J98" i="84"/>
  <c r="J86" i="84"/>
  <c r="J66" i="84"/>
  <c r="J62" i="84"/>
  <c r="J60" i="84"/>
  <c r="J58" i="84"/>
  <c r="J40" i="84"/>
  <c r="J115" i="84"/>
  <c r="J87" i="84"/>
  <c r="H58" i="84"/>
  <c r="J53" i="84"/>
  <c r="J49" i="84"/>
  <c r="J45" i="84"/>
  <c r="J41" i="84"/>
  <c r="J116" i="84"/>
  <c r="J104" i="84"/>
  <c r="J88" i="84"/>
  <c r="J76" i="84"/>
  <c r="J72" i="84"/>
  <c r="N12" i="84"/>
  <c r="J117" i="84"/>
  <c r="J111" i="84"/>
  <c r="J105" i="84"/>
  <c r="J99" i="84"/>
  <c r="J89" i="84"/>
  <c r="J77" i="84"/>
  <c r="J67" i="84"/>
  <c r="J63" i="84"/>
  <c r="J118" i="84"/>
  <c r="J106" i="84"/>
  <c r="J90" i="84"/>
  <c r="J78" i="84"/>
  <c r="J54" i="84"/>
  <c r="J50" i="84"/>
  <c r="J46" i="84"/>
  <c r="J42" i="84"/>
  <c r="J120" i="84"/>
  <c r="J112" i="84"/>
  <c r="J100" i="84"/>
  <c r="J92" i="84"/>
  <c r="J80" i="84"/>
  <c r="J68" i="84"/>
  <c r="J64" i="84"/>
  <c r="J73" i="84"/>
  <c r="J119" i="84"/>
  <c r="J79" i="84"/>
  <c r="J69" i="76"/>
  <c r="J75" i="76"/>
  <c r="J91" i="76"/>
  <c r="Z104" i="76"/>
  <c r="X57" i="78"/>
  <c r="Z57" i="78" s="1"/>
  <c r="V20" i="79"/>
  <c r="N32" i="79"/>
  <c r="V53" i="79"/>
  <c r="F62" i="79"/>
  <c r="J94" i="76"/>
  <c r="J86" i="76"/>
  <c r="J96" i="76"/>
  <c r="J88" i="76"/>
  <c r="J78" i="76"/>
  <c r="J42" i="76"/>
  <c r="J46" i="76"/>
  <c r="J50" i="76"/>
  <c r="J74" i="76"/>
  <c r="J99" i="76"/>
  <c r="Z35" i="78"/>
  <c r="L16" i="79"/>
  <c r="N16" i="79" s="1"/>
  <c r="F34" i="79"/>
  <c r="L44" i="79"/>
  <c r="N44" i="79" s="1"/>
  <c r="V51" i="79"/>
  <c r="F58" i="79"/>
  <c r="N69" i="80"/>
  <c r="L69" i="80"/>
  <c r="D12" i="82"/>
  <c r="L13" i="82"/>
  <c r="J59" i="76"/>
  <c r="J63" i="76"/>
  <c r="J73" i="76"/>
  <c r="J85" i="76"/>
  <c r="N90" i="76"/>
  <c r="X102" i="76"/>
  <c r="X15" i="78"/>
  <c r="Z15" i="78" s="1"/>
  <c r="J16" i="79"/>
  <c r="F18" i="79"/>
  <c r="F22" i="79"/>
  <c r="V25" i="79"/>
  <c r="V30" i="79"/>
  <c r="F48" i="79"/>
  <c r="L56" i="79"/>
  <c r="N56" i="79" s="1"/>
  <c r="L66" i="79"/>
  <c r="N66" i="79"/>
  <c r="H21" i="82"/>
  <c r="J25" i="82"/>
  <c r="J23" i="82"/>
  <c r="J21" i="82"/>
  <c r="J19" i="82"/>
  <c r="J29" i="82"/>
  <c r="J17" i="82"/>
  <c r="N12" i="76"/>
  <c r="J68" i="76"/>
  <c r="J72" i="76"/>
  <c r="L79" i="76"/>
  <c r="N79" i="76" s="1"/>
  <c r="J90" i="76"/>
  <c r="J93" i="76"/>
  <c r="Z102" i="76"/>
  <c r="L26" i="78"/>
  <c r="N26" i="78" s="1"/>
  <c r="X35" i="78"/>
  <c r="L46" i="78"/>
  <c r="X53" i="78"/>
  <c r="Z53" i="78" s="1"/>
  <c r="T56" i="78"/>
  <c r="N22" i="79"/>
  <c r="F38" i="79"/>
  <c r="F50" i="79"/>
  <c r="R71" i="80"/>
  <c r="R69" i="80"/>
  <c r="R73" i="80"/>
  <c r="R66" i="80"/>
  <c r="R60" i="80"/>
  <c r="R36" i="80"/>
  <c r="X12" i="80"/>
  <c r="R55" i="80"/>
  <c r="R48" i="80"/>
  <c r="R47" i="80"/>
  <c r="R32" i="80"/>
  <c r="R31" i="80"/>
  <c r="R27" i="80"/>
  <c r="R23" i="80"/>
  <c r="R75" i="80"/>
  <c r="R61" i="80"/>
  <c r="R50" i="80"/>
  <c r="R49" i="80"/>
  <c r="R38" i="80"/>
  <c r="R37" i="80"/>
  <c r="R33" i="80"/>
  <c r="R22" i="80"/>
  <c r="R20" i="80"/>
  <c r="R67" i="80"/>
  <c r="R57" i="80"/>
  <c r="R56" i="80"/>
  <c r="R28" i="80"/>
  <c r="R24" i="80"/>
  <c r="P20" i="80"/>
  <c r="R78" i="80"/>
  <c r="R51" i="80"/>
  <c r="R40" i="80"/>
  <c r="R39" i="80"/>
  <c r="R62" i="80"/>
  <c r="R58" i="80"/>
  <c r="R34" i="80"/>
  <c r="R42" i="80"/>
  <c r="R41" i="80"/>
  <c r="R29" i="80"/>
  <c r="R25" i="80"/>
  <c r="R53" i="80"/>
  <c r="R52" i="80"/>
  <c r="R64" i="80"/>
  <c r="R63" i="80"/>
  <c r="R59" i="80"/>
  <c r="R44" i="80"/>
  <c r="R43" i="80"/>
  <c r="R35" i="80"/>
  <c r="R16" i="80"/>
  <c r="R65" i="80"/>
  <c r="R46" i="80"/>
  <c r="R45" i="80"/>
  <c r="R17" i="80"/>
  <c r="N23" i="80"/>
  <c r="N48" i="80"/>
  <c r="F58" i="80"/>
  <c r="H82" i="83"/>
  <c r="Z12" i="80"/>
  <c r="Z22" i="80"/>
  <c r="V32" i="80"/>
  <c r="V36" i="80"/>
  <c r="Z38" i="80"/>
  <c r="N44" i="80"/>
  <c r="V48" i="80"/>
  <c r="Z50" i="80"/>
  <c r="V60" i="80"/>
  <c r="N64" i="80"/>
  <c r="V73" i="80"/>
  <c r="N13" i="83"/>
  <c r="J25" i="83"/>
  <c r="J27" i="83"/>
  <c r="X49" i="83"/>
  <c r="Z49" i="83" s="1"/>
  <c r="N51" i="83"/>
  <c r="J56" i="83"/>
  <c r="J61" i="83"/>
  <c r="J63" i="83"/>
  <c r="Z75" i="83"/>
  <c r="J77" i="83"/>
  <c r="Z101" i="84"/>
  <c r="V26" i="80"/>
  <c r="V30" i="80"/>
  <c r="V46" i="80"/>
  <c r="V54" i="80"/>
  <c r="T12" i="83"/>
  <c r="Z32" i="83"/>
  <c r="N38" i="83"/>
  <c r="Z44" i="83"/>
  <c r="J65" i="83"/>
  <c r="J15" i="85"/>
  <c r="J21" i="85"/>
  <c r="J20" i="85"/>
  <c r="J26" i="85"/>
  <c r="J28" i="85"/>
  <c r="J22" i="85"/>
  <c r="J23" i="85"/>
  <c r="J24" i="85"/>
  <c r="J16" i="85"/>
  <c r="J32" i="85"/>
  <c r="H18" i="85"/>
  <c r="V35" i="80"/>
  <c r="V43" i="80"/>
  <c r="V59" i="80"/>
  <c r="V63" i="80"/>
  <c r="J53" i="83"/>
  <c r="J60" i="83"/>
  <c r="N67" i="83"/>
  <c r="N60" i="84"/>
  <c r="N77" i="84"/>
  <c r="Z93" i="84"/>
  <c r="R95" i="84"/>
  <c r="J25" i="85"/>
  <c r="P12" i="87"/>
  <c r="X13" i="87"/>
  <c r="L61" i="79"/>
  <c r="N61" i="79" s="1"/>
  <c r="L13" i="80"/>
  <c r="V16" i="80"/>
  <c r="V44" i="80"/>
  <c r="V52" i="80"/>
  <c r="L57" i="80"/>
  <c r="N57" i="80" s="1"/>
  <c r="V64" i="80"/>
  <c r="N13" i="82"/>
  <c r="X32" i="83"/>
  <c r="N40" i="83"/>
  <c r="T12" i="84"/>
  <c r="L15" i="84"/>
  <c r="Z95" i="84"/>
  <c r="R102" i="84"/>
  <c r="V72" i="87"/>
  <c r="V68" i="87"/>
  <c r="V73" i="87"/>
  <c r="V69" i="87"/>
  <c r="V57" i="87"/>
  <c r="V45" i="87"/>
  <c r="V37" i="87"/>
  <c r="V17" i="87"/>
  <c r="V76" i="87"/>
  <c r="V64" i="87"/>
  <c r="V56" i="87"/>
  <c r="V48" i="87"/>
  <c r="V36" i="87"/>
  <c r="V32" i="87"/>
  <c r="V75" i="87"/>
  <c r="V59" i="87"/>
  <c r="V47" i="87"/>
  <c r="V39" i="87"/>
  <c r="V31" i="87"/>
  <c r="V27" i="87"/>
  <c r="V23" i="87"/>
  <c r="V60" i="87"/>
  <c r="V52" i="87"/>
  <c r="V61" i="87"/>
  <c r="V53" i="87"/>
  <c r="V29" i="87"/>
  <c r="V25" i="87"/>
  <c r="V66" i="87"/>
  <c r="V41" i="87"/>
  <c r="V34" i="87"/>
  <c r="V54" i="87"/>
  <c r="V44" i="87"/>
  <c r="V79" i="87"/>
  <c r="V71" i="87"/>
  <c r="V26" i="87"/>
  <c r="V74" i="87"/>
  <c r="V18" i="87"/>
  <c r="V24" i="87"/>
  <c r="V16" i="87"/>
  <c r="V81" i="87"/>
  <c r="V77" i="87"/>
  <c r="V62" i="87"/>
  <c r="V51" i="87"/>
  <c r="V38" i="87"/>
  <c r="V35" i="87"/>
  <c r="V85" i="87"/>
  <c r="V67" i="87"/>
  <c r="V42" i="87"/>
  <c r="V33" i="87"/>
  <c r="T20" i="87"/>
  <c r="V63" i="87"/>
  <c r="V55" i="87"/>
  <c r="V78" i="87"/>
  <c r="V43" i="87"/>
  <c r="V30" i="87"/>
  <c r="V22" i="87"/>
  <c r="V65" i="87"/>
  <c r="V49" i="87"/>
  <c r="V46" i="87"/>
  <c r="V70" i="87"/>
  <c r="V50" i="87"/>
  <c r="V40" i="87"/>
  <c r="N57" i="87"/>
  <c r="N13" i="80"/>
  <c r="V25" i="80"/>
  <c r="V29" i="80"/>
  <c r="V41" i="80"/>
  <c r="V53" i="80"/>
  <c r="V71" i="80"/>
  <c r="J75" i="83"/>
  <c r="J69" i="83"/>
  <c r="J55" i="83"/>
  <c r="J45" i="83"/>
  <c r="J17" i="83"/>
  <c r="J78" i="83"/>
  <c r="J70" i="83"/>
  <c r="J58" i="83"/>
  <c r="J46" i="83"/>
  <c r="J47" i="83"/>
  <c r="J37" i="83"/>
  <c r="J33" i="83"/>
  <c r="J23" i="83"/>
  <c r="J82" i="83"/>
  <c r="J80" i="83"/>
  <c r="J64" i="83"/>
  <c r="J48" i="83"/>
  <c r="J38" i="83"/>
  <c r="J28" i="83"/>
  <c r="J24" i="83"/>
  <c r="J22" i="83"/>
  <c r="J20" i="83"/>
  <c r="J84" i="83"/>
  <c r="J66" i="83"/>
  <c r="J50" i="83"/>
  <c r="J40" i="83"/>
  <c r="J34" i="83"/>
  <c r="J67" i="83"/>
  <c r="J51" i="83"/>
  <c r="J74" i="83"/>
  <c r="J62" i="83"/>
  <c r="J54" i="83"/>
  <c r="J44" i="83"/>
  <c r="J30" i="83"/>
  <c r="J26" i="83"/>
  <c r="J16" i="83"/>
  <c r="J71" i="83"/>
  <c r="N15" i="84"/>
  <c r="R83" i="84"/>
  <c r="Z124" i="84"/>
  <c r="X124" i="84"/>
  <c r="F32" i="85"/>
  <c r="F16" i="85"/>
  <c r="F15" i="85"/>
  <c r="F25" i="85"/>
  <c r="F18" i="85"/>
  <c r="D18" i="85"/>
  <c r="F26" i="85"/>
  <c r="F21" i="85"/>
  <c r="F20" i="85"/>
  <c r="F22" i="85"/>
  <c r="F28" i="85"/>
  <c r="F23" i="85"/>
  <c r="F24" i="85"/>
  <c r="L12" i="85"/>
  <c r="N12" i="85" s="1"/>
  <c r="V34" i="80"/>
  <c r="V42" i="80"/>
  <c r="V58" i="80"/>
  <c r="V62" i="80"/>
  <c r="J18" i="83"/>
  <c r="J35" i="83"/>
  <c r="N19" i="84"/>
  <c r="X70" i="84"/>
  <c r="Z70" i="84" s="1"/>
  <c r="Z81" i="84"/>
  <c r="N13" i="85"/>
  <c r="Z23" i="85"/>
  <c r="Z52" i="87"/>
  <c r="V39" i="80"/>
  <c r="V51" i="80"/>
  <c r="V69" i="80"/>
  <c r="L22" i="83"/>
  <c r="X40" i="83"/>
  <c r="Z40" i="83"/>
  <c r="J42" i="83"/>
  <c r="J52" i="83"/>
  <c r="J73" i="83"/>
  <c r="L75" i="83"/>
  <c r="N75" i="83" s="1"/>
  <c r="X15" i="84"/>
  <c r="Z15" i="84" s="1"/>
  <c r="R94" i="84"/>
  <c r="V24" i="80"/>
  <c r="V28" i="80"/>
  <c r="V40" i="80"/>
  <c r="V56" i="80"/>
  <c r="V67" i="80"/>
  <c r="P12" i="82"/>
  <c r="Z55" i="83"/>
  <c r="J57" i="83"/>
  <c r="J59" i="83"/>
  <c r="Z19" i="84"/>
  <c r="X19" i="84"/>
  <c r="X23" i="84"/>
  <c r="Z23" i="84" s="1"/>
  <c r="N40" i="84"/>
  <c r="T12" i="85"/>
  <c r="X13" i="85"/>
  <c r="Z13" i="85" s="1"/>
  <c r="J18" i="85"/>
  <c r="Z43" i="87"/>
  <c r="L39" i="88"/>
  <c r="N39" i="88" s="1"/>
  <c r="V37" i="80"/>
  <c r="V49" i="80"/>
  <c r="V57" i="80"/>
  <c r="V61" i="80"/>
  <c r="L16" i="84"/>
  <c r="N16" i="84" s="1"/>
  <c r="X27" i="84"/>
  <c r="Z27" i="84" s="1"/>
  <c r="Z62" i="91"/>
  <c r="V18" i="80"/>
  <c r="V20" i="80"/>
  <c r="V22" i="80"/>
  <c r="V38" i="80"/>
  <c r="V50" i="80"/>
  <c r="J68" i="83"/>
  <c r="R128" i="84"/>
  <c r="R97" i="84"/>
  <c r="R96" i="84"/>
  <c r="R85" i="84"/>
  <c r="R84" i="84"/>
  <c r="R61" i="84"/>
  <c r="R56" i="84"/>
  <c r="R52" i="84"/>
  <c r="R48" i="84"/>
  <c r="R44" i="84"/>
  <c r="R103" i="84"/>
  <c r="R75" i="84"/>
  <c r="R71" i="84"/>
  <c r="R60" i="84"/>
  <c r="R40" i="84"/>
  <c r="R115" i="84"/>
  <c r="R114" i="84"/>
  <c r="R110" i="84"/>
  <c r="R98" i="84"/>
  <c r="R87" i="84"/>
  <c r="R86" i="84"/>
  <c r="R66" i="84"/>
  <c r="R62" i="84"/>
  <c r="P58" i="84"/>
  <c r="R58" i="84" s="1"/>
  <c r="R53" i="84"/>
  <c r="R49" i="84"/>
  <c r="R45" i="84"/>
  <c r="R41" i="84"/>
  <c r="R117" i="84"/>
  <c r="R116" i="84"/>
  <c r="R105" i="84"/>
  <c r="R104" i="84"/>
  <c r="R89" i="84"/>
  <c r="R88" i="84"/>
  <c r="R77" i="84"/>
  <c r="R76" i="84"/>
  <c r="R72" i="84"/>
  <c r="X12" i="84"/>
  <c r="R111" i="84"/>
  <c r="R99" i="84"/>
  <c r="R67" i="84"/>
  <c r="R63" i="84"/>
  <c r="R119" i="84"/>
  <c r="R118" i="84"/>
  <c r="R106" i="84"/>
  <c r="R91" i="84"/>
  <c r="R90" i="84"/>
  <c r="R79" i="84"/>
  <c r="R78" i="84"/>
  <c r="R54" i="84"/>
  <c r="R50" i="84"/>
  <c r="R46" i="84"/>
  <c r="R42" i="84"/>
  <c r="R73" i="84"/>
  <c r="R121" i="84"/>
  <c r="R120" i="84"/>
  <c r="R112" i="84"/>
  <c r="R101" i="84"/>
  <c r="R100" i="84"/>
  <c r="R93" i="84"/>
  <c r="R92" i="84"/>
  <c r="R81" i="84"/>
  <c r="R80" i="84"/>
  <c r="R68" i="84"/>
  <c r="R64" i="84"/>
  <c r="R108" i="84"/>
  <c r="R107" i="84"/>
  <c r="R55" i="84"/>
  <c r="R51" i="84"/>
  <c r="R47" i="84"/>
  <c r="R43" i="84"/>
  <c r="R124" i="84"/>
  <c r="R113" i="84"/>
  <c r="R109" i="84"/>
  <c r="R70" i="84"/>
  <c r="R69" i="84"/>
  <c r="R65" i="84"/>
  <c r="R122" i="84"/>
  <c r="N15" i="85"/>
  <c r="X19" i="91"/>
  <c r="Z19" i="91" s="1"/>
  <c r="V23" i="80"/>
  <c r="V27" i="80"/>
  <c r="V31" i="80"/>
  <c r="V47" i="80"/>
  <c r="V55" i="80"/>
  <c r="D12" i="83"/>
  <c r="L13" i="83"/>
  <c r="J41" i="83"/>
  <c r="J49" i="83"/>
  <c r="J72" i="83"/>
  <c r="N77" i="83"/>
  <c r="N20" i="84"/>
  <c r="Z31" i="84"/>
  <c r="X31" i="84"/>
  <c r="X35" i="84"/>
  <c r="Z35" i="84" s="1"/>
  <c r="R74" i="84"/>
  <c r="N108" i="84"/>
  <c r="L13" i="87"/>
  <c r="N13" i="87" s="1"/>
  <c r="L16" i="87"/>
  <c r="H20" i="87"/>
  <c r="X22" i="87"/>
  <c r="Z22" i="87" s="1"/>
  <c r="Z23" i="87"/>
  <c r="J30" i="87"/>
  <c r="J52" i="87"/>
  <c r="Z59" i="87"/>
  <c r="J63" i="87"/>
  <c r="J75" i="87"/>
  <c r="N78" i="87"/>
  <c r="N23" i="88"/>
  <c r="N66" i="88"/>
  <c r="V95" i="91"/>
  <c r="V93" i="91"/>
  <c r="V87" i="91"/>
  <c r="V79" i="91"/>
  <c r="V75" i="91"/>
  <c r="V91" i="91"/>
  <c r="V89" i="91"/>
  <c r="V81" i="91"/>
  <c r="V65" i="91"/>
  <c r="V84" i="91"/>
  <c r="V76" i="91"/>
  <c r="V72" i="91"/>
  <c r="V102" i="91"/>
  <c r="V99" i="91"/>
  <c r="V97" i="91"/>
  <c r="V83" i="91"/>
  <c r="V69" i="91"/>
  <c r="V74" i="91"/>
  <c r="V59" i="91"/>
  <c r="V52" i="91"/>
  <c r="V28" i="91"/>
  <c r="V24" i="91"/>
  <c r="V20" i="91"/>
  <c r="V88" i="91"/>
  <c r="V82" i="91"/>
  <c r="V51" i="91"/>
  <c r="V92" i="91"/>
  <c r="V63" i="91"/>
  <c r="V54" i="91"/>
  <c r="V42" i="91"/>
  <c r="V34" i="91"/>
  <c r="V30" i="91"/>
  <c r="V53" i="91"/>
  <c r="V25" i="91"/>
  <c r="V21" i="91"/>
  <c r="V77" i="91"/>
  <c r="V70" i="91"/>
  <c r="V60" i="91"/>
  <c r="V56" i="91"/>
  <c r="V44" i="91"/>
  <c r="V36" i="91"/>
  <c r="V86" i="91"/>
  <c r="V80" i="91"/>
  <c r="V66" i="91"/>
  <c r="V55" i="91"/>
  <c r="V43" i="91"/>
  <c r="V35" i="91"/>
  <c r="V31" i="91"/>
  <c r="V73" i="91"/>
  <c r="V46" i="91"/>
  <c r="V38" i="91"/>
  <c r="V26" i="91"/>
  <c r="V22" i="91"/>
  <c r="V64" i="91"/>
  <c r="V45" i="91"/>
  <c r="V37" i="91"/>
  <c r="V71" i="91"/>
  <c r="V61" i="91"/>
  <c r="V58" i="91"/>
  <c r="V57" i="91"/>
  <c r="V48" i="91"/>
  <c r="V40" i="91"/>
  <c r="V32" i="91"/>
  <c r="Z12" i="91"/>
  <c r="V68" i="91"/>
  <c r="V67" i="91"/>
  <c r="V62" i="91"/>
  <c r="V47" i="91"/>
  <c r="V39" i="91"/>
  <c r="V27" i="91"/>
  <c r="V23" i="91"/>
  <c r="V19" i="91"/>
  <c r="X12" i="91"/>
  <c r="V85" i="91"/>
  <c r="V49" i="91"/>
  <c r="V41" i="91"/>
  <c r="V33" i="91"/>
  <c r="V29" i="91"/>
  <c r="T16" i="91"/>
  <c r="V16" i="91"/>
  <c r="N16" i="87"/>
  <c r="F48" i="87"/>
  <c r="F51" i="87"/>
  <c r="F60" i="87"/>
  <c r="F62" i="87"/>
  <c r="J67" i="87"/>
  <c r="F74" i="87"/>
  <c r="Z78" i="87"/>
  <c r="F85" i="87"/>
  <c r="F90" i="87"/>
  <c r="J16" i="87"/>
  <c r="J24" i="87"/>
  <c r="F32" i="87"/>
  <c r="F35" i="87"/>
  <c r="J51" i="87"/>
  <c r="J57" i="87"/>
  <c r="J62" i="87"/>
  <c r="X63" i="87"/>
  <c r="Z63" i="87"/>
  <c r="J69" i="87"/>
  <c r="N13" i="88"/>
  <c r="J22" i="88"/>
  <c r="N32" i="88"/>
  <c r="X39" i="88"/>
  <c r="J41" i="88"/>
  <c r="N45" i="88"/>
  <c r="L77" i="84"/>
  <c r="X83" i="84"/>
  <c r="Z83" i="84" s="1"/>
  <c r="L89" i="84"/>
  <c r="N89" i="84" s="1"/>
  <c r="X95" i="84"/>
  <c r="L105" i="84"/>
  <c r="L117" i="84"/>
  <c r="N117" i="84" s="1"/>
  <c r="R23" i="85"/>
  <c r="R22" i="85"/>
  <c r="P18" i="85"/>
  <c r="R25" i="85"/>
  <c r="R24" i="85"/>
  <c r="X12" i="85"/>
  <c r="X21" i="85"/>
  <c r="Z21" i="85" s="1"/>
  <c r="J78" i="87"/>
  <c r="J66" i="87"/>
  <c r="J60" i="87"/>
  <c r="J81" i="87"/>
  <c r="J61" i="87"/>
  <c r="J53" i="87"/>
  <c r="J43" i="87"/>
  <c r="J29" i="87"/>
  <c r="J25" i="87"/>
  <c r="J72" i="87"/>
  <c r="J68" i="87"/>
  <c r="J54" i="87"/>
  <c r="J44" i="87"/>
  <c r="J85" i="87"/>
  <c r="J55" i="87"/>
  <c r="J35" i="87"/>
  <c r="J74" i="87"/>
  <c r="J64" i="87"/>
  <c r="J56" i="87"/>
  <c r="J46" i="87"/>
  <c r="J77" i="87"/>
  <c r="J65" i="87"/>
  <c r="J59" i="87"/>
  <c r="J49" i="87"/>
  <c r="J39" i="87"/>
  <c r="J33" i="87"/>
  <c r="J23" i="87"/>
  <c r="Z13" i="87"/>
  <c r="J18" i="87"/>
  <c r="J48" i="87"/>
  <c r="F54" i="87"/>
  <c r="F71" i="87"/>
  <c r="J18" i="88"/>
  <c r="J32" i="88"/>
  <c r="Z39" i="88"/>
  <c r="J57" i="88"/>
  <c r="V65" i="92"/>
  <c r="V53" i="92"/>
  <c r="V41" i="92"/>
  <c r="V29" i="92"/>
  <c r="V64" i="92"/>
  <c r="V60" i="92"/>
  <c r="V44" i="92"/>
  <c r="V16" i="92"/>
  <c r="V67" i="92"/>
  <c r="V55" i="92"/>
  <c r="V43" i="92"/>
  <c r="V35" i="92"/>
  <c r="V31" i="92"/>
  <c r="V66" i="92"/>
  <c r="V54" i="92"/>
  <c r="V46" i="92"/>
  <c r="V30" i="92"/>
  <c r="V26" i="92"/>
  <c r="V22" i="92"/>
  <c r="V61" i="92"/>
  <c r="V45" i="92"/>
  <c r="V21" i="92"/>
  <c r="V17" i="92"/>
  <c r="V70" i="92"/>
  <c r="V68" i="92"/>
  <c r="V56" i="92"/>
  <c r="V48" i="92"/>
  <c r="V36" i="92"/>
  <c r="V32" i="92"/>
  <c r="T19" i="92"/>
  <c r="V19" i="92" s="1"/>
  <c r="V62" i="92"/>
  <c r="V58" i="92"/>
  <c r="V50" i="92"/>
  <c r="V38" i="92"/>
  <c r="V57" i="92"/>
  <c r="V49" i="92"/>
  <c r="V37" i="92"/>
  <c r="V33" i="92"/>
  <c r="V42" i="92"/>
  <c r="V34" i="92"/>
  <c r="V40" i="92"/>
  <c r="V23" i="92"/>
  <c r="V51" i="92"/>
  <c r="V25" i="92"/>
  <c r="V59" i="92"/>
  <c r="V47" i="92"/>
  <c r="V27" i="92"/>
  <c r="V52" i="92"/>
  <c r="V39" i="92"/>
  <c r="V24" i="92"/>
  <c r="V74" i="92"/>
  <c r="V28" i="92"/>
  <c r="R32" i="85"/>
  <c r="L12" i="87"/>
  <c r="N12" i="87" s="1"/>
  <c r="F26" i="87"/>
  <c r="J32" i="87"/>
  <c r="Z39" i="87"/>
  <c r="N41" i="87"/>
  <c r="J71" i="87"/>
  <c r="F79" i="87"/>
  <c r="P12" i="88"/>
  <c r="X13" i="88"/>
  <c r="J35" i="88"/>
  <c r="P95" i="91"/>
  <c r="X16" i="91"/>
  <c r="R16" i="85"/>
  <c r="F23" i="87"/>
  <c r="J26" i="87"/>
  <c r="J37" i="87"/>
  <c r="J41" i="87"/>
  <c r="F47" i="87"/>
  <c r="F50" i="87"/>
  <c r="X52" i="87"/>
  <c r="F59" i="87"/>
  <c r="F64" i="87"/>
  <c r="F66" i="87"/>
  <c r="J79" i="87"/>
  <c r="T12" i="88"/>
  <c r="Z13" i="88"/>
  <c r="X32" i="88"/>
  <c r="Z32" i="88" s="1"/>
  <c r="J49" i="88"/>
  <c r="N80" i="91"/>
  <c r="L93" i="91"/>
  <c r="D91" i="91"/>
  <c r="F31" i="87"/>
  <c r="F40" i="87"/>
  <c r="L41" i="87"/>
  <c r="J47" i="87"/>
  <c r="F56" i="87"/>
  <c r="J73" i="87"/>
  <c r="J40" i="88"/>
  <c r="Z41" i="88"/>
  <c r="Z45" i="88"/>
  <c r="Z51" i="88"/>
  <c r="J63" i="88"/>
  <c r="J71" i="88"/>
  <c r="V18" i="91"/>
  <c r="L20" i="85"/>
  <c r="N20" i="85" s="1"/>
  <c r="F22" i="87"/>
  <c r="F28" i="87"/>
  <c r="J31" i="87"/>
  <c r="J34" i="87"/>
  <c r="J40" i="87"/>
  <c r="F46" i="87"/>
  <c r="J50" i="87"/>
  <c r="J76" i="87"/>
  <c r="F87" i="87"/>
  <c r="L14" i="88"/>
  <c r="D12" i="88"/>
  <c r="H20" i="88"/>
  <c r="Z60" i="88"/>
  <c r="X60" i="88"/>
  <c r="X68" i="91"/>
  <c r="Z68" i="91" s="1"/>
  <c r="L31" i="92"/>
  <c r="N31" i="92"/>
  <c r="V63" i="92"/>
  <c r="J70" i="87"/>
  <c r="J75" i="88"/>
  <c r="J51" i="88"/>
  <c r="J39" i="88"/>
  <c r="J29" i="88"/>
  <c r="J25" i="88"/>
  <c r="J64" i="88"/>
  <c r="J52" i="88"/>
  <c r="J59" i="88"/>
  <c r="J53" i="88"/>
  <c r="J60" i="88"/>
  <c r="J54" i="88"/>
  <c r="J42" i="88"/>
  <c r="J30" i="88"/>
  <c r="J26" i="88"/>
  <c r="J16" i="88"/>
  <c r="J65" i="88"/>
  <c r="J61" i="88"/>
  <c r="J43" i="88"/>
  <c r="J17" i="88"/>
  <c r="J66" i="88"/>
  <c r="J44" i="88"/>
  <c r="J36" i="88"/>
  <c r="J67" i="88"/>
  <c r="J55" i="88"/>
  <c r="J45" i="88"/>
  <c r="J31" i="88"/>
  <c r="J27" i="88"/>
  <c r="J68" i="88"/>
  <c r="J62" i="88"/>
  <c r="J69" i="88"/>
  <c r="J47" i="88"/>
  <c r="J37" i="88"/>
  <c r="J33" i="88"/>
  <c r="J23" i="88"/>
  <c r="J56" i="88"/>
  <c r="J48" i="88"/>
  <c r="J28" i="88"/>
  <c r="J58" i="88"/>
  <c r="J50" i="88"/>
  <c r="J38" i="88"/>
  <c r="J34" i="88"/>
  <c r="N14" i="88"/>
  <c r="J46" i="88"/>
  <c r="L13" i="85"/>
  <c r="N21" i="85"/>
  <c r="F77" i="87"/>
  <c r="F76" i="87"/>
  <c r="F65" i="87"/>
  <c r="F42" i="87"/>
  <c r="F41" i="87"/>
  <c r="F34" i="87"/>
  <c r="D20" i="87"/>
  <c r="F61" i="87"/>
  <c r="F53" i="87"/>
  <c r="F52" i="87"/>
  <c r="F29" i="87"/>
  <c r="F25" i="87"/>
  <c r="F83" i="87"/>
  <c r="F81" i="87"/>
  <c r="F72" i="87"/>
  <c r="F68" i="87"/>
  <c r="F44" i="87"/>
  <c r="F43" i="87"/>
  <c r="F73" i="87"/>
  <c r="F69" i="87"/>
  <c r="F45" i="87"/>
  <c r="F70" i="87"/>
  <c r="F58" i="87"/>
  <c r="F57" i="87"/>
  <c r="F38" i="87"/>
  <c r="F37" i="87"/>
  <c r="F18" i="87"/>
  <c r="F17" i="87"/>
  <c r="J22" i="87"/>
  <c r="J36" i="87"/>
  <c r="Z41" i="87"/>
  <c r="L46" i="87"/>
  <c r="J58" i="87"/>
  <c r="F63" i="87"/>
  <c r="Z66" i="87"/>
  <c r="F78" i="87"/>
  <c r="N68" i="88"/>
  <c r="X51" i="94"/>
  <c r="Z51" i="94" s="1"/>
  <c r="X28" i="85"/>
  <c r="J17" i="87"/>
  <c r="F20" i="87"/>
  <c r="N22" i="87"/>
  <c r="F30" i="87"/>
  <c r="F39" i="87"/>
  <c r="F49" i="87"/>
  <c r="Z50" i="87"/>
  <c r="F75" i="87"/>
  <c r="Z68" i="88"/>
  <c r="R95" i="91"/>
  <c r="R93" i="91"/>
  <c r="R92" i="91"/>
  <c r="R89" i="91"/>
  <c r="R82" i="91"/>
  <c r="R81" i="91"/>
  <c r="R65" i="91"/>
  <c r="R91" i="91"/>
  <c r="R76" i="91"/>
  <c r="R72" i="91"/>
  <c r="R60" i="91"/>
  <c r="R86" i="91"/>
  <c r="R78" i="91"/>
  <c r="R74" i="91"/>
  <c r="R19" i="91"/>
  <c r="J37" i="91"/>
  <c r="J45" i="91"/>
  <c r="R62" i="91"/>
  <c r="R68" i="91"/>
  <c r="F80" i="91"/>
  <c r="J84" i="91"/>
  <c r="R87" i="91"/>
  <c r="J95" i="91"/>
  <c r="F16" i="92"/>
  <c r="F31" i="92"/>
  <c r="J57" i="93"/>
  <c r="R61" i="93"/>
  <c r="Z65" i="93"/>
  <c r="X65" i="93"/>
  <c r="X14" i="91"/>
  <c r="J31" i="91"/>
  <c r="J35" i="91"/>
  <c r="J43" i="91"/>
  <c r="J55" i="91"/>
  <c r="J66" i="91"/>
  <c r="J80" i="91"/>
  <c r="J89" i="91"/>
  <c r="F78" i="93"/>
  <c r="F75" i="93"/>
  <c r="F62" i="93"/>
  <c r="F58" i="93"/>
  <c r="F69" i="93"/>
  <c r="F30" i="93"/>
  <c r="F26" i="93"/>
  <c r="F53" i="93"/>
  <c r="F52" i="93"/>
  <c r="F45" i="93"/>
  <c r="F44" i="93"/>
  <c r="F17" i="93"/>
  <c r="F16" i="93"/>
  <c r="F71" i="93"/>
  <c r="F65" i="93"/>
  <c r="F61" i="93"/>
  <c r="F36" i="93"/>
  <c r="L12" i="93"/>
  <c r="N12" i="93" s="1"/>
  <c r="F47" i="93"/>
  <c r="F46" i="93"/>
  <c r="F31" i="93"/>
  <c r="F27" i="93"/>
  <c r="F54" i="93"/>
  <c r="F18" i="93"/>
  <c r="F66" i="93"/>
  <c r="F49" i="93"/>
  <c r="F48" i="93"/>
  <c r="F37" i="93"/>
  <c r="F33" i="93"/>
  <c r="F32" i="93"/>
  <c r="F59" i="93"/>
  <c r="F28" i="93"/>
  <c r="F24" i="93"/>
  <c r="F23" i="93"/>
  <c r="F73" i="93"/>
  <c r="F55" i="93"/>
  <c r="F39" i="93"/>
  <c r="F38" i="93"/>
  <c r="F22" i="93"/>
  <c r="F20" i="93"/>
  <c r="F63" i="93"/>
  <c r="F50" i="93"/>
  <c r="F34" i="93"/>
  <c r="D20" i="93"/>
  <c r="F57" i="93"/>
  <c r="F51" i="93"/>
  <c r="F43" i="93"/>
  <c r="F42" i="93"/>
  <c r="F35" i="93"/>
  <c r="N38" i="93"/>
  <c r="F40" i="93"/>
  <c r="N42" i="93"/>
  <c r="J54" i="91"/>
  <c r="J83" i="91"/>
  <c r="J86" i="91"/>
  <c r="F62" i="92"/>
  <c r="F72" i="92"/>
  <c r="F70" i="92"/>
  <c r="F57" i="92"/>
  <c r="F49" i="92"/>
  <c r="F48" i="92"/>
  <c r="F37" i="92"/>
  <c r="F33" i="92"/>
  <c r="D19" i="92"/>
  <c r="F74" i="92"/>
  <c r="F28" i="92"/>
  <c r="F24" i="92"/>
  <c r="F63" i="92"/>
  <c r="F59" i="92"/>
  <c r="F58" i="92"/>
  <c r="F51" i="92"/>
  <c r="F50" i="92"/>
  <c r="F39" i="92"/>
  <c r="F38" i="92"/>
  <c r="F34" i="92"/>
  <c r="F79" i="92"/>
  <c r="F76" i="92"/>
  <c r="F53" i="92"/>
  <c r="F52" i="92"/>
  <c r="F41" i="92"/>
  <c r="F40" i="92"/>
  <c r="F29" i="92"/>
  <c r="F25" i="92"/>
  <c r="F64" i="92"/>
  <c r="F60" i="92"/>
  <c r="F43" i="92"/>
  <c r="F42" i="92"/>
  <c r="F35" i="92"/>
  <c r="F66" i="92"/>
  <c r="F65" i="92"/>
  <c r="F54" i="92"/>
  <c r="F30" i="92"/>
  <c r="F26" i="92"/>
  <c r="F47" i="92"/>
  <c r="F46" i="92"/>
  <c r="F27" i="92"/>
  <c r="F23" i="92"/>
  <c r="F22" i="92"/>
  <c r="X13" i="92"/>
  <c r="Z13" i="92" s="1"/>
  <c r="N22" i="92"/>
  <c r="F45" i="92"/>
  <c r="Z48" i="92"/>
  <c r="Z52" i="92"/>
  <c r="Z58" i="92"/>
  <c r="J63" i="93"/>
  <c r="J64" i="93"/>
  <c r="J65" i="93"/>
  <c r="J53" i="93"/>
  <c r="J45" i="93"/>
  <c r="J17" i="93"/>
  <c r="J61" i="93"/>
  <c r="J46" i="93"/>
  <c r="J36" i="93"/>
  <c r="J58" i="93"/>
  <c r="J47" i="93"/>
  <c r="J31" i="93"/>
  <c r="J27" i="93"/>
  <c r="J54" i="93"/>
  <c r="J48" i="93"/>
  <c r="J32" i="93"/>
  <c r="J18" i="93"/>
  <c r="J66" i="93"/>
  <c r="J49" i="93"/>
  <c r="J37" i="93"/>
  <c r="J33" i="93"/>
  <c r="J23" i="93"/>
  <c r="J62" i="93"/>
  <c r="J59" i="93"/>
  <c r="J38" i="93"/>
  <c r="J28" i="93"/>
  <c r="J24" i="93"/>
  <c r="J22" i="93"/>
  <c r="J73" i="93"/>
  <c r="J55" i="93"/>
  <c r="J39" i="93"/>
  <c r="H20" i="93"/>
  <c r="J20" i="93" s="1"/>
  <c r="J50" i="93"/>
  <c r="J40" i="93"/>
  <c r="J34" i="93"/>
  <c r="J68" i="93"/>
  <c r="J56" i="93"/>
  <c r="J41" i="93"/>
  <c r="J29" i="93"/>
  <c r="J25" i="93"/>
  <c r="J52" i="93"/>
  <c r="J44" i="93"/>
  <c r="J30" i="93"/>
  <c r="J26" i="93"/>
  <c r="J16" i="93"/>
  <c r="R36" i="93"/>
  <c r="N40" i="93"/>
  <c r="J42" i="93"/>
  <c r="Z48" i="93"/>
  <c r="J51" i="93"/>
  <c r="F60" i="93"/>
  <c r="Z68" i="93"/>
  <c r="D16" i="91"/>
  <c r="J21" i="91"/>
  <c r="J25" i="91"/>
  <c r="J53" i="91"/>
  <c r="J60" i="91"/>
  <c r="J92" i="91"/>
  <c r="J93" i="91"/>
  <c r="Z50" i="92"/>
  <c r="R46" i="93"/>
  <c r="L32" i="94"/>
  <c r="N32" i="94"/>
  <c r="J30" i="91"/>
  <c r="J34" i="91"/>
  <c r="J42" i="91"/>
  <c r="J52" i="91"/>
  <c r="R55" i="91"/>
  <c r="R56" i="91"/>
  <c r="R66" i="91"/>
  <c r="R70" i="91"/>
  <c r="R75" i="91"/>
  <c r="J82" i="91"/>
  <c r="N88" i="91"/>
  <c r="L92" i="91"/>
  <c r="N92" i="91" s="1"/>
  <c r="J97" i="91"/>
  <c r="N55" i="92"/>
  <c r="L55" i="92"/>
  <c r="F67" i="92"/>
  <c r="Z42" i="93"/>
  <c r="Z44" i="93"/>
  <c r="Z46" i="93"/>
  <c r="R53" i="93"/>
  <c r="N16" i="94"/>
  <c r="J32" i="94"/>
  <c r="H16" i="91"/>
  <c r="F19" i="91"/>
  <c r="F20" i="91"/>
  <c r="F24" i="91"/>
  <c r="F28" i="91"/>
  <c r="J29" i="91"/>
  <c r="J51" i="91"/>
  <c r="J63" i="91"/>
  <c r="F72" i="91"/>
  <c r="R77" i="91"/>
  <c r="L82" i="91"/>
  <c r="R83" i="91"/>
  <c r="J88" i="91"/>
  <c r="H91" i="91"/>
  <c r="R34" i="92"/>
  <c r="R53" i="92"/>
  <c r="R42" i="92"/>
  <c r="R41" i="92"/>
  <c r="R29" i="92"/>
  <c r="R25" i="92"/>
  <c r="R65" i="92"/>
  <c r="R64" i="92"/>
  <c r="R60" i="92"/>
  <c r="R44" i="92"/>
  <c r="R43" i="92"/>
  <c r="R35" i="92"/>
  <c r="R16" i="92"/>
  <c r="R67" i="92"/>
  <c r="R66" i="92"/>
  <c r="R55" i="92"/>
  <c r="R54" i="92"/>
  <c r="R31" i="92"/>
  <c r="R30" i="92"/>
  <c r="R26" i="92"/>
  <c r="R61" i="92"/>
  <c r="R46" i="92"/>
  <c r="R45" i="92"/>
  <c r="R22" i="92"/>
  <c r="R17" i="92"/>
  <c r="R68" i="92"/>
  <c r="R56" i="92"/>
  <c r="R72" i="92"/>
  <c r="R70" i="92"/>
  <c r="R48" i="92"/>
  <c r="R47" i="92"/>
  <c r="R27" i="92"/>
  <c r="R23" i="92"/>
  <c r="P19" i="92"/>
  <c r="R62" i="92"/>
  <c r="R79" i="92"/>
  <c r="R76" i="92"/>
  <c r="R63" i="92"/>
  <c r="R59" i="92"/>
  <c r="R52" i="92"/>
  <c r="R51" i="92"/>
  <c r="R40" i="92"/>
  <c r="R39" i="92"/>
  <c r="F21" i="92"/>
  <c r="Z22" i="92"/>
  <c r="F36" i="92"/>
  <c r="L42" i="92"/>
  <c r="N42" i="92" s="1"/>
  <c r="R57" i="92"/>
  <c r="N67" i="92"/>
  <c r="L67" i="92"/>
  <c r="N22" i="93"/>
  <c r="F68" i="93"/>
  <c r="Z39" i="94"/>
  <c r="J14" i="91"/>
  <c r="J16" i="91"/>
  <c r="J18" i="91"/>
  <c r="J20" i="91"/>
  <c r="R21" i="91"/>
  <c r="J24" i="91"/>
  <c r="R25" i="91"/>
  <c r="J28" i="91"/>
  <c r="J50" i="91"/>
  <c r="R53" i="91"/>
  <c r="R54" i="91"/>
  <c r="L58" i="91"/>
  <c r="N58" i="91" s="1"/>
  <c r="F59" i="91"/>
  <c r="J72" i="91"/>
  <c r="J91" i="91"/>
  <c r="T91" i="91"/>
  <c r="X91" i="91" s="1"/>
  <c r="Z93" i="91"/>
  <c r="J43" i="93"/>
  <c r="F56" i="93"/>
  <c r="N68" i="93"/>
  <c r="R49" i="94"/>
  <c r="R48" i="94"/>
  <c r="R28" i="94"/>
  <c r="R24" i="94"/>
  <c r="R72" i="94"/>
  <c r="R66" i="94"/>
  <c r="R73" i="94"/>
  <c r="R62" i="94"/>
  <c r="R61" i="94"/>
  <c r="R29" i="94"/>
  <c r="R25" i="94"/>
  <c r="R75" i="94"/>
  <c r="R53" i="94"/>
  <c r="R52" i="94"/>
  <c r="R41" i="94"/>
  <c r="R40" i="94"/>
  <c r="R67" i="94"/>
  <c r="R63" i="94"/>
  <c r="R35" i="94"/>
  <c r="R16" i="94"/>
  <c r="R54" i="94"/>
  <c r="R43" i="94"/>
  <c r="R42" i="94"/>
  <c r="R30" i="94"/>
  <c r="R26" i="94"/>
  <c r="R56" i="94"/>
  <c r="R55" i="94"/>
  <c r="R32" i="94"/>
  <c r="R31" i="94"/>
  <c r="R27" i="94"/>
  <c r="R64" i="94"/>
  <c r="R46" i="94"/>
  <c r="R60" i="94"/>
  <c r="R33" i="94"/>
  <c r="R47" i="94"/>
  <c r="X12" i="94"/>
  <c r="Z12" i="94" s="1"/>
  <c r="R69" i="94"/>
  <c r="R57" i="94"/>
  <c r="R38" i="94"/>
  <c r="R79" i="94"/>
  <c r="R65" i="94"/>
  <c r="R58" i="94"/>
  <c r="R36" i="94"/>
  <c r="R70" i="94"/>
  <c r="R44" i="94"/>
  <c r="P20" i="94"/>
  <c r="R50" i="94"/>
  <c r="R45" i="94"/>
  <c r="R39" i="94"/>
  <c r="R34" i="94"/>
  <c r="R17" i="94"/>
  <c r="R22" i="94"/>
  <c r="R71" i="94"/>
  <c r="R18" i="94"/>
  <c r="R23" i="94"/>
  <c r="F102" i="91"/>
  <c r="F99" i="91"/>
  <c r="F86" i="91"/>
  <c r="F78" i="91"/>
  <c r="F74" i="91"/>
  <c r="F69" i="91"/>
  <c r="F68" i="91"/>
  <c r="F64" i="91"/>
  <c r="F91" i="91"/>
  <c r="F66" i="91"/>
  <c r="J19" i="91"/>
  <c r="R30" i="91"/>
  <c r="J33" i="91"/>
  <c r="R34" i="91"/>
  <c r="J41" i="91"/>
  <c r="R42" i="91"/>
  <c r="J49" i="91"/>
  <c r="F58" i="91"/>
  <c r="R63" i="91"/>
  <c r="F65" i="91"/>
  <c r="J68" i="91"/>
  <c r="R69" i="91"/>
  <c r="F76" i="91"/>
  <c r="R79" i="91"/>
  <c r="F85" i="91"/>
  <c r="R88" i="91"/>
  <c r="X93" i="91"/>
  <c r="R97" i="91"/>
  <c r="X12" i="92"/>
  <c r="Z12" i="92" s="1"/>
  <c r="F17" i="92"/>
  <c r="F32" i="92"/>
  <c r="N40" i="92"/>
  <c r="F44" i="92"/>
  <c r="N65" i="92"/>
  <c r="N14" i="93"/>
  <c r="N32" i="93"/>
  <c r="F41" i="93"/>
  <c r="N56" i="93"/>
  <c r="L56" i="93"/>
  <c r="J69" i="91"/>
  <c r="J57" i="91"/>
  <c r="J70" i="91"/>
  <c r="J64" i="91"/>
  <c r="J87" i="91"/>
  <c r="J79" i="91"/>
  <c r="J75" i="91"/>
  <c r="J71" i="91"/>
  <c r="J59" i="91"/>
  <c r="J102" i="91"/>
  <c r="J99" i="91"/>
  <c r="J85" i="91"/>
  <c r="J77" i="91"/>
  <c r="J73" i="91"/>
  <c r="J61" i="91"/>
  <c r="J40" i="91"/>
  <c r="J48" i="91"/>
  <c r="J62" i="91"/>
  <c r="J65" i="91"/>
  <c r="J76" i="91"/>
  <c r="R65" i="93"/>
  <c r="R64" i="93"/>
  <c r="R71" i="93"/>
  <c r="R69" i="93"/>
  <c r="R66" i="93"/>
  <c r="R68" i="93"/>
  <c r="R78" i="93"/>
  <c r="R75" i="93"/>
  <c r="R54" i="93"/>
  <c r="R23" i="93"/>
  <c r="R18" i="93"/>
  <c r="R49" i="93"/>
  <c r="R38" i="93"/>
  <c r="R37" i="93"/>
  <c r="R33" i="93"/>
  <c r="R22" i="93"/>
  <c r="R20" i="93"/>
  <c r="R62" i="93"/>
  <c r="R59" i="93"/>
  <c r="R28" i="93"/>
  <c r="R24" i="93"/>
  <c r="P20" i="93"/>
  <c r="R55" i="93"/>
  <c r="R40" i="93"/>
  <c r="R39" i="93"/>
  <c r="R73" i="93"/>
  <c r="R63" i="93"/>
  <c r="R56" i="93"/>
  <c r="R50" i="93"/>
  <c r="R34" i="93"/>
  <c r="R42" i="93"/>
  <c r="R41" i="93"/>
  <c r="R29" i="93"/>
  <c r="R25" i="93"/>
  <c r="R60" i="93"/>
  <c r="R57" i="93"/>
  <c r="R52" i="93"/>
  <c r="R51" i="93"/>
  <c r="R44" i="93"/>
  <c r="R43" i="93"/>
  <c r="R35" i="93"/>
  <c r="R16" i="93"/>
  <c r="R30" i="93"/>
  <c r="R26" i="93"/>
  <c r="R58" i="93"/>
  <c r="R48" i="93"/>
  <c r="R47" i="93"/>
  <c r="R32" i="93"/>
  <c r="R31" i="93"/>
  <c r="R27" i="93"/>
  <c r="R45" i="93"/>
  <c r="J23" i="91"/>
  <c r="J27" i="91"/>
  <c r="J39" i="91"/>
  <c r="J47" i="91"/>
  <c r="J58" i="91"/>
  <c r="J78" i="91"/>
  <c r="J81" i="91"/>
  <c r="Z40" i="92"/>
  <c r="Z32" i="93"/>
  <c r="N12" i="91"/>
  <c r="J32" i="91"/>
  <c r="J38" i="91"/>
  <c r="J46" i="91"/>
  <c r="X62" i="91"/>
  <c r="J67" i="91"/>
  <c r="L80" i="91"/>
  <c r="R85" i="91"/>
  <c r="R102" i="91"/>
  <c r="L13" i="92"/>
  <c r="N13" i="92" s="1"/>
  <c r="H12" i="92"/>
  <c r="Z38" i="92"/>
  <c r="F56" i="92"/>
  <c r="X12" i="93"/>
  <c r="T12" i="93"/>
  <c r="F17" i="94"/>
  <c r="V27" i="94"/>
  <c r="L39" i="94"/>
  <c r="N39" i="94" s="1"/>
  <c r="V49" i="94"/>
  <c r="J56" i="94"/>
  <c r="V60" i="94"/>
  <c r="V64" i="94"/>
  <c r="F73" i="94"/>
  <c r="Z32" i="95"/>
  <c r="R45" i="95"/>
  <c r="L50" i="95"/>
  <c r="N50" i="95" s="1"/>
  <c r="F16" i="94"/>
  <c r="N53" i="94"/>
  <c r="Z56" i="94"/>
  <c r="F61" i="94"/>
  <c r="X13" i="95"/>
  <c r="Z13" i="95" s="1"/>
  <c r="N63" i="93"/>
  <c r="F77" i="94"/>
  <c r="F75" i="94"/>
  <c r="F68" i="94"/>
  <c r="F64" i="94"/>
  <c r="F44" i="94"/>
  <c r="F43" i="94"/>
  <c r="F36" i="94"/>
  <c r="F84" i="94"/>
  <c r="F81" i="94"/>
  <c r="F69" i="94"/>
  <c r="F65" i="94"/>
  <c r="F57" i="94"/>
  <c r="F56" i="94"/>
  <c r="F37" i="94"/>
  <c r="F33" i="94"/>
  <c r="F32" i="94"/>
  <c r="F48" i="94"/>
  <c r="F47" i="94"/>
  <c r="F28" i="94"/>
  <c r="F24" i="94"/>
  <c r="F23" i="94"/>
  <c r="F71" i="94"/>
  <c r="F70" i="94"/>
  <c r="F59" i="94"/>
  <c r="F58" i="94"/>
  <c r="F22" i="94"/>
  <c r="F20" i="94"/>
  <c r="F66" i="94"/>
  <c r="F50" i="94"/>
  <c r="F49" i="94"/>
  <c r="F38" i="94"/>
  <c r="F34" i="94"/>
  <c r="D20" i="94"/>
  <c r="F67" i="94"/>
  <c r="F63" i="94"/>
  <c r="F62" i="94"/>
  <c r="F35" i="94"/>
  <c r="V69" i="94"/>
  <c r="V71" i="94"/>
  <c r="V59" i="94"/>
  <c r="V51" i="94"/>
  <c r="V39" i="94"/>
  <c r="V75" i="94"/>
  <c r="V73" i="94"/>
  <c r="V61" i="94"/>
  <c r="V52" i="94"/>
  <c r="V40" i="94"/>
  <c r="V16" i="94"/>
  <c r="V67" i="94"/>
  <c r="V63" i="94"/>
  <c r="V43" i="94"/>
  <c r="V35" i="94"/>
  <c r="V54" i="94"/>
  <c r="V42" i="94"/>
  <c r="V30" i="94"/>
  <c r="V26" i="94"/>
  <c r="V79" i="94"/>
  <c r="V45" i="94"/>
  <c r="V17" i="94"/>
  <c r="V70" i="94"/>
  <c r="V58" i="94"/>
  <c r="V46" i="94"/>
  <c r="V22" i="94"/>
  <c r="V18" i="94"/>
  <c r="F26" i="94"/>
  <c r="V48" i="94"/>
  <c r="J53" i="94"/>
  <c r="F55" i="94"/>
  <c r="V56" i="94"/>
  <c r="F72" i="94"/>
  <c r="J79" i="94"/>
  <c r="J55" i="94"/>
  <c r="J45" i="94"/>
  <c r="J31" i="94"/>
  <c r="J27" i="94"/>
  <c r="J69" i="94"/>
  <c r="J65" i="94"/>
  <c r="J70" i="94"/>
  <c r="J58" i="94"/>
  <c r="J48" i="94"/>
  <c r="J28" i="94"/>
  <c r="J24" i="94"/>
  <c r="J22" i="94"/>
  <c r="J71" i="94"/>
  <c r="J59" i="94"/>
  <c r="J49" i="94"/>
  <c r="H20" i="94"/>
  <c r="J20" i="94" s="1"/>
  <c r="J72" i="94"/>
  <c r="J66" i="94"/>
  <c r="J60" i="94"/>
  <c r="J50" i="94"/>
  <c r="J38" i="94"/>
  <c r="J34" i="94"/>
  <c r="J73" i="94"/>
  <c r="J61" i="94"/>
  <c r="J51" i="94"/>
  <c r="J39" i="94"/>
  <c r="J29" i="94"/>
  <c r="J25" i="94"/>
  <c r="J54" i="94"/>
  <c r="J42" i="94"/>
  <c r="J30" i="94"/>
  <c r="J26" i="94"/>
  <c r="J16" i="94"/>
  <c r="X13" i="94"/>
  <c r="Z13" i="94" s="1"/>
  <c r="X22" i="94"/>
  <c r="Z22" i="94" s="1"/>
  <c r="V28" i="94"/>
  <c r="Z32" i="94"/>
  <c r="V34" i="94"/>
  <c r="F41" i="94"/>
  <c r="Z45" i="94"/>
  <c r="J47" i="94"/>
  <c r="V50" i="94"/>
  <c r="J67" i="94"/>
  <c r="D12" i="95"/>
  <c r="L14" i="95"/>
  <c r="N14" i="95" s="1"/>
  <c r="L63" i="95"/>
  <c r="N63" i="95" s="1"/>
  <c r="N84" i="95"/>
  <c r="L13" i="93"/>
  <c r="X56" i="93"/>
  <c r="Z56" i="93" s="1"/>
  <c r="X68" i="93"/>
  <c r="X69" i="93"/>
  <c r="Z69" i="93" s="1"/>
  <c r="L12" i="94"/>
  <c r="N12" i="94" s="1"/>
  <c r="F31" i="94"/>
  <c r="V32" i="94"/>
  <c r="X39" i="94"/>
  <c r="N41" i="94"/>
  <c r="V44" i="94"/>
  <c r="F52" i="94"/>
  <c r="J57" i="94"/>
  <c r="F60" i="94"/>
  <c r="J75" i="94"/>
  <c r="X23" i="95"/>
  <c r="Z23" i="95" s="1"/>
  <c r="N41" i="95"/>
  <c r="R72" i="95"/>
  <c r="N13" i="93"/>
  <c r="X14" i="93"/>
  <c r="Z14" i="93" s="1"/>
  <c r="T20" i="94"/>
  <c r="V20" i="94" s="1"/>
  <c r="V36" i="94"/>
  <c r="J41" i="94"/>
  <c r="F46" i="94"/>
  <c r="J52" i="94"/>
  <c r="V55" i="94"/>
  <c r="V65" i="94"/>
  <c r="T12" i="95"/>
  <c r="N39" i="95"/>
  <c r="L65" i="93"/>
  <c r="L14" i="94"/>
  <c r="F18" i="94"/>
  <c r="V24" i="94"/>
  <c r="F29" i="94"/>
  <c r="J33" i="94"/>
  <c r="V38" i="94"/>
  <c r="J46" i="94"/>
  <c r="V53" i="94"/>
  <c r="L62" i="94"/>
  <c r="N14" i="94"/>
  <c r="J18" i="94"/>
  <c r="F27" i="94"/>
  <c r="V31" i="94"/>
  <c r="J35" i="94"/>
  <c r="F40" i="94"/>
  <c r="J43" i="94"/>
  <c r="L51" i="94"/>
  <c r="V57" i="94"/>
  <c r="N62" i="94"/>
  <c r="J64" i="94"/>
  <c r="V72" i="94"/>
  <c r="N32" i="95"/>
  <c r="N65" i="93"/>
  <c r="J23" i="94"/>
  <c r="V29" i="94"/>
  <c r="J40" i="94"/>
  <c r="Z47" i="94"/>
  <c r="X49" i="94"/>
  <c r="Z49" i="94" s="1"/>
  <c r="F51" i="94"/>
  <c r="L56" i="94"/>
  <c r="N56" i="94" s="1"/>
  <c r="J62" i="94"/>
  <c r="X82" i="95"/>
  <c r="Z82" i="95" s="1"/>
  <c r="Z84" i="97"/>
  <c r="T83" i="97"/>
  <c r="Z83" i="97" s="1"/>
  <c r="F25" i="94"/>
  <c r="V33" i="94"/>
  <c r="J37" i="94"/>
  <c r="V41" i="94"/>
  <c r="F45" i="94"/>
  <c r="V47" i="94"/>
  <c r="N51" i="94"/>
  <c r="F54" i="94"/>
  <c r="J68" i="94"/>
  <c r="N16" i="95"/>
  <c r="Z22" i="95"/>
  <c r="R65" i="95"/>
  <c r="R84" i="95"/>
  <c r="R83" i="95"/>
  <c r="R67" i="95"/>
  <c r="R78" i="95"/>
  <c r="R74" i="95"/>
  <c r="R63" i="95"/>
  <c r="R62" i="95"/>
  <c r="R86" i="95"/>
  <c r="R85" i="95"/>
  <c r="R58" i="95"/>
  <c r="R57" i="95"/>
  <c r="R89" i="95"/>
  <c r="R70" i="95"/>
  <c r="R18" i="95"/>
  <c r="R23" i="95"/>
  <c r="J43" i="95"/>
  <c r="R46" i="95"/>
  <c r="J51" i="95"/>
  <c r="N56" i="95"/>
  <c r="R61" i="95"/>
  <c r="L69" i="95"/>
  <c r="N69" i="95" s="1"/>
  <c r="R77" i="95"/>
  <c r="V28" i="97"/>
  <c r="V33" i="97"/>
  <c r="J36" i="97"/>
  <c r="F52" i="97"/>
  <c r="V64" i="97"/>
  <c r="L67" i="97"/>
  <c r="N67" i="97" s="1"/>
  <c r="R28" i="98"/>
  <c r="R43" i="98"/>
  <c r="R34" i="98"/>
  <c r="R40" i="98"/>
  <c r="R35" i="98"/>
  <c r="R32" i="98"/>
  <c r="R52" i="98"/>
  <c r="R48" i="98"/>
  <c r="R36" i="98"/>
  <c r="R22" i="98"/>
  <c r="R21" i="98"/>
  <c r="P19" i="98"/>
  <c r="R19" i="98" s="1"/>
  <c r="R44" i="98"/>
  <c r="R41" i="98"/>
  <c r="R29" i="98"/>
  <c r="R26" i="98"/>
  <c r="R45" i="98"/>
  <c r="R33" i="98"/>
  <c r="R23" i="98"/>
  <c r="R42" i="98"/>
  <c r="R37" i="98"/>
  <c r="R16" i="98"/>
  <c r="R38" i="98"/>
  <c r="R30" i="98"/>
  <c r="R31" i="98"/>
  <c r="R27" i="98"/>
  <c r="R24" i="98"/>
  <c r="R25" i="98"/>
  <c r="R17" i="95"/>
  <c r="J40" i="95"/>
  <c r="J49" i="95"/>
  <c r="R51" i="95"/>
  <c r="L54" i="95"/>
  <c r="N54" i="95" s="1"/>
  <c r="J55" i="95"/>
  <c r="J63" i="95"/>
  <c r="R64" i="95"/>
  <c r="J69" i="95"/>
  <c r="J76" i="95"/>
  <c r="J84" i="95"/>
  <c r="X83" i="97"/>
  <c r="N16" i="98"/>
  <c r="J25" i="95"/>
  <c r="R26" i="95"/>
  <c r="J29" i="95"/>
  <c r="R30" i="95"/>
  <c r="J39" i="95"/>
  <c r="R42" i="95"/>
  <c r="R43" i="95"/>
  <c r="R56" i="95"/>
  <c r="R81" i="95"/>
  <c r="R87" i="95"/>
  <c r="J94" i="95"/>
  <c r="N12" i="97"/>
  <c r="F17" i="97"/>
  <c r="T20" i="97"/>
  <c r="V48" i="97"/>
  <c r="N17" i="99"/>
  <c r="H43" i="99"/>
  <c r="V61" i="100"/>
  <c r="V43" i="100"/>
  <c r="V53" i="100"/>
  <c r="V45" i="100"/>
  <c r="V65" i="100"/>
  <c r="V47" i="100"/>
  <c r="V54" i="100"/>
  <c r="V46" i="100"/>
  <c r="V50" i="100"/>
  <c r="V40" i="100"/>
  <c r="V24" i="100"/>
  <c r="V56" i="100"/>
  <c r="V44" i="100"/>
  <c r="V39" i="100"/>
  <c r="V51" i="100"/>
  <c r="V30" i="100"/>
  <c r="V26" i="100"/>
  <c r="V57" i="100"/>
  <c r="V25" i="100"/>
  <c r="V48" i="100"/>
  <c r="V32" i="100"/>
  <c r="V16" i="100"/>
  <c r="V31" i="100"/>
  <c r="V27" i="100"/>
  <c r="V49" i="100"/>
  <c r="V41" i="100"/>
  <c r="V34" i="100"/>
  <c r="V52" i="100"/>
  <c r="V42" i="100"/>
  <c r="V33" i="100"/>
  <c r="V17" i="100"/>
  <c r="V58" i="100"/>
  <c r="V55" i="100"/>
  <c r="V36" i="100"/>
  <c r="V28" i="100"/>
  <c r="Z12" i="100"/>
  <c r="V60" i="100"/>
  <c r="V37" i="100"/>
  <c r="V29" i="100"/>
  <c r="T20" i="100"/>
  <c r="V20" i="100" s="1"/>
  <c r="V38" i="100"/>
  <c r="V22" i="100"/>
  <c r="V18" i="100"/>
  <c r="V35" i="100"/>
  <c r="R16" i="95"/>
  <c r="J34" i="95"/>
  <c r="R35" i="95"/>
  <c r="J38" i="95"/>
  <c r="J48" i="95"/>
  <c r="R55" i="95"/>
  <c r="R60" i="95"/>
  <c r="R66" i="95"/>
  <c r="R71" i="95"/>
  <c r="J78" i="95"/>
  <c r="J90" i="95"/>
  <c r="R75" i="97"/>
  <c r="R71" i="97"/>
  <c r="R48" i="97"/>
  <c r="R47" i="97"/>
  <c r="R88" i="97"/>
  <c r="R59" i="97"/>
  <c r="R58" i="97"/>
  <c r="R39" i="97"/>
  <c r="R38" i="97"/>
  <c r="R34" i="97"/>
  <c r="R90" i="97"/>
  <c r="R65" i="97"/>
  <c r="R50" i="97"/>
  <c r="R49" i="97"/>
  <c r="R29" i="97"/>
  <c r="R25" i="97"/>
  <c r="R76" i="97"/>
  <c r="R72" i="97"/>
  <c r="R60" i="97"/>
  <c r="R41" i="97"/>
  <c r="R40" i="97"/>
  <c r="R93" i="97"/>
  <c r="R52" i="97"/>
  <c r="R51" i="97"/>
  <c r="R35" i="97"/>
  <c r="R16" i="97"/>
  <c r="R67" i="97"/>
  <c r="R66" i="97"/>
  <c r="R43" i="97"/>
  <c r="R42" i="97"/>
  <c r="R30" i="97"/>
  <c r="R26" i="97"/>
  <c r="R78" i="97"/>
  <c r="R77" i="97"/>
  <c r="R73" i="97"/>
  <c r="R61" i="97"/>
  <c r="R54" i="97"/>
  <c r="R53" i="97"/>
  <c r="R17" i="97"/>
  <c r="R68" i="97"/>
  <c r="R45" i="97"/>
  <c r="R44" i="97"/>
  <c r="R36" i="97"/>
  <c r="X12" i="97"/>
  <c r="R80" i="97"/>
  <c r="R79" i="97"/>
  <c r="R56" i="97"/>
  <c r="R55" i="97"/>
  <c r="R32" i="97"/>
  <c r="R31" i="97"/>
  <c r="R27" i="97"/>
  <c r="R83" i="97"/>
  <c r="R64" i="97"/>
  <c r="R28" i="97"/>
  <c r="R24" i="97"/>
  <c r="P20" i="97"/>
  <c r="J17" i="97"/>
  <c r="F41" i="97"/>
  <c r="N43" i="97"/>
  <c r="F61" i="97"/>
  <c r="R74" i="97"/>
  <c r="X12" i="100"/>
  <c r="X24" i="101"/>
  <c r="Z24" i="101" s="1"/>
  <c r="H20" i="95"/>
  <c r="R40" i="95"/>
  <c r="R41" i="95"/>
  <c r="J47" i="95"/>
  <c r="R49" i="95"/>
  <c r="R50" i="95"/>
  <c r="J59" i="95"/>
  <c r="J62" i="95"/>
  <c r="R69" i="95"/>
  <c r="R76" i="95"/>
  <c r="L90" i="95"/>
  <c r="F30" i="97"/>
  <c r="J43" i="97"/>
  <c r="F53" i="97"/>
  <c r="J61" i="97"/>
  <c r="N63" i="97"/>
  <c r="F66" i="97"/>
  <c r="J68" i="97"/>
  <c r="T12" i="98"/>
  <c r="Z13" i="98"/>
  <c r="R39" i="98"/>
  <c r="Z50" i="95"/>
  <c r="J80" i="95"/>
  <c r="X89" i="95"/>
  <c r="R94" i="95"/>
  <c r="F79" i="97"/>
  <c r="F78" i="97"/>
  <c r="F55" i="97"/>
  <c r="F54" i="97"/>
  <c r="F31" i="97"/>
  <c r="F27" i="97"/>
  <c r="F74" i="97"/>
  <c r="F62" i="97"/>
  <c r="F46" i="97"/>
  <c r="F45" i="97"/>
  <c r="F18" i="97"/>
  <c r="F81" i="97"/>
  <c r="F80" i="97"/>
  <c r="F69" i="97"/>
  <c r="F57" i="97"/>
  <c r="F56" i="97"/>
  <c r="F37" i="97"/>
  <c r="F33" i="97"/>
  <c r="F32" i="97"/>
  <c r="F64" i="97"/>
  <c r="F63" i="97"/>
  <c r="F28" i="97"/>
  <c r="F24" i="97"/>
  <c r="F23" i="97"/>
  <c r="F86" i="97"/>
  <c r="F84" i="97"/>
  <c r="F75" i="97"/>
  <c r="F71" i="97"/>
  <c r="F70" i="97"/>
  <c r="F47" i="97"/>
  <c r="F22" i="97"/>
  <c r="F20" i="97"/>
  <c r="F88" i="97"/>
  <c r="F83" i="97"/>
  <c r="F58" i="97"/>
  <c r="F38" i="97"/>
  <c r="F34" i="97"/>
  <c r="D20" i="97"/>
  <c r="F65" i="97"/>
  <c r="F49" i="97"/>
  <c r="F48" i="97"/>
  <c r="F29" i="97"/>
  <c r="F25" i="97"/>
  <c r="F76" i="97"/>
  <c r="F72" i="97"/>
  <c r="F60" i="97"/>
  <c r="F59" i="97"/>
  <c r="F40" i="97"/>
  <c r="F39" i="97"/>
  <c r="F93" i="97"/>
  <c r="F90" i="97"/>
  <c r="F51" i="97"/>
  <c r="F50" i="97"/>
  <c r="F35" i="97"/>
  <c r="F68" i="97"/>
  <c r="F67" i="97"/>
  <c r="F44" i="97"/>
  <c r="F43" i="97"/>
  <c r="F36" i="97"/>
  <c r="L12" i="97"/>
  <c r="V24" i="97"/>
  <c r="J53" i="97"/>
  <c r="R90" i="95"/>
  <c r="J80" i="97"/>
  <c r="J74" i="97"/>
  <c r="J62" i="97"/>
  <c r="J56" i="97"/>
  <c r="J46" i="97"/>
  <c r="J32" i="97"/>
  <c r="J18" i="97"/>
  <c r="J81" i="97"/>
  <c r="J69" i="97"/>
  <c r="J63" i="97"/>
  <c r="J57" i="97"/>
  <c r="J37" i="97"/>
  <c r="J33" i="97"/>
  <c r="J23" i="97"/>
  <c r="J84" i="97"/>
  <c r="J70" i="97"/>
  <c r="J64" i="97"/>
  <c r="J28" i="97"/>
  <c r="J24" i="97"/>
  <c r="J22" i="97"/>
  <c r="J83" i="97"/>
  <c r="J75" i="97"/>
  <c r="J71" i="97"/>
  <c r="J47" i="97"/>
  <c r="H20" i="97"/>
  <c r="J20" i="97" s="1"/>
  <c r="J88" i="97"/>
  <c r="J58" i="97"/>
  <c r="J48" i="97"/>
  <c r="J38" i="97"/>
  <c r="J34" i="97"/>
  <c r="J65" i="97"/>
  <c r="J59" i="97"/>
  <c r="J49" i="97"/>
  <c r="J39" i="97"/>
  <c r="J29" i="97"/>
  <c r="J25" i="97"/>
  <c r="J76" i="97"/>
  <c r="J72" i="97"/>
  <c r="J60" i="97"/>
  <c r="J50" i="97"/>
  <c r="J40" i="97"/>
  <c r="J51" i="97"/>
  <c r="J41" i="97"/>
  <c r="J35" i="97"/>
  <c r="J66" i="97"/>
  <c r="J52" i="97"/>
  <c r="J42" i="97"/>
  <c r="J30" i="97"/>
  <c r="J26" i="97"/>
  <c r="J16" i="97"/>
  <c r="J79" i="97"/>
  <c r="J55" i="97"/>
  <c r="J45" i="97"/>
  <c r="J31" i="97"/>
  <c r="J27" i="97"/>
  <c r="X22" i="97"/>
  <c r="Z22" i="97" s="1"/>
  <c r="V37" i="97"/>
  <c r="J86" i="95"/>
  <c r="J68" i="95"/>
  <c r="J64" i="95"/>
  <c r="J71" i="95"/>
  <c r="J72" i="95"/>
  <c r="J66" i="95"/>
  <c r="J81" i="95"/>
  <c r="J77" i="95"/>
  <c r="J73" i="95"/>
  <c r="J61" i="95"/>
  <c r="J53" i="95"/>
  <c r="J82" i="95"/>
  <c r="J54" i="95"/>
  <c r="J85" i="95"/>
  <c r="J18" i="95"/>
  <c r="J32" i="95"/>
  <c r="J46" i="95"/>
  <c r="R47" i="95"/>
  <c r="R48" i="95"/>
  <c r="R59" i="95"/>
  <c r="L82" i="95"/>
  <c r="N82" i="95" s="1"/>
  <c r="L16" i="97"/>
  <c r="N16" i="97" s="1"/>
  <c r="R22" i="97"/>
  <c r="R70" i="97"/>
  <c r="F73" i="97"/>
  <c r="R81" i="97"/>
  <c r="P96" i="95"/>
  <c r="R96" i="95" s="1"/>
  <c r="L32" i="95"/>
  <c r="R80" i="95"/>
  <c r="V88" i="97"/>
  <c r="V58" i="97"/>
  <c r="V50" i="97"/>
  <c r="V38" i="97"/>
  <c r="V34" i="97"/>
  <c r="V65" i="97"/>
  <c r="V49" i="97"/>
  <c r="V41" i="97"/>
  <c r="V29" i="97"/>
  <c r="V25" i="97"/>
  <c r="V76" i="97"/>
  <c r="V72" i="97"/>
  <c r="V60" i="97"/>
  <c r="V52" i="97"/>
  <c r="V40" i="97"/>
  <c r="V16" i="97"/>
  <c r="V67" i="97"/>
  <c r="V51" i="97"/>
  <c r="V43" i="97"/>
  <c r="V35" i="97"/>
  <c r="V78" i="97"/>
  <c r="V66" i="97"/>
  <c r="V54" i="97"/>
  <c r="V42" i="97"/>
  <c r="V30" i="97"/>
  <c r="V26" i="97"/>
  <c r="V77" i="97"/>
  <c r="V73" i="97"/>
  <c r="V61" i="97"/>
  <c r="V53" i="97"/>
  <c r="V45" i="97"/>
  <c r="V17" i="97"/>
  <c r="V80" i="97"/>
  <c r="V68" i="97"/>
  <c r="V56" i="97"/>
  <c r="V44" i="97"/>
  <c r="V36" i="97"/>
  <c r="V32" i="97"/>
  <c r="Z12" i="97"/>
  <c r="V79" i="97"/>
  <c r="V63" i="97"/>
  <c r="V55" i="97"/>
  <c r="V31" i="97"/>
  <c r="V27" i="97"/>
  <c r="V23" i="97"/>
  <c r="V84" i="97"/>
  <c r="V74" i="97"/>
  <c r="V70" i="97"/>
  <c r="V62" i="97"/>
  <c r="V46" i="97"/>
  <c r="V22" i="97"/>
  <c r="V20" i="97"/>
  <c r="V18" i="97"/>
  <c r="V75" i="97"/>
  <c r="V71" i="97"/>
  <c r="V59" i="97"/>
  <c r="V47" i="97"/>
  <c r="V39" i="97"/>
  <c r="F42" i="97"/>
  <c r="J44" i="97"/>
  <c r="Z70" i="97"/>
  <c r="J73" i="97"/>
  <c r="V81" i="97"/>
  <c r="Z31" i="99"/>
  <c r="R20" i="95"/>
  <c r="R75" i="95"/>
  <c r="Z89" i="95"/>
  <c r="L52" i="97"/>
  <c r="X84" i="97"/>
  <c r="F16" i="98"/>
  <c r="F24" i="98"/>
  <c r="F30" i="98"/>
  <c r="F34" i="98"/>
  <c r="Z19" i="99"/>
  <c r="Z23" i="100"/>
  <c r="Z62" i="101"/>
  <c r="X90" i="95"/>
  <c r="Z90" i="95" s="1"/>
  <c r="F26" i="98"/>
  <c r="F29" i="98"/>
  <c r="Z31" i="98"/>
  <c r="F33" i="98"/>
  <c r="F36" i="98"/>
  <c r="F43" i="99"/>
  <c r="F41" i="99"/>
  <c r="F28" i="99"/>
  <c r="F24" i="99"/>
  <c r="F45" i="99"/>
  <c r="F40" i="99"/>
  <c r="F30" i="99"/>
  <c r="F29" i="99"/>
  <c r="F50" i="99"/>
  <c r="F47" i="99"/>
  <c r="F32" i="99"/>
  <c r="F31" i="99"/>
  <c r="F19" i="99"/>
  <c r="F17" i="99"/>
  <c r="D17" i="99"/>
  <c r="F34" i="99"/>
  <c r="F33" i="99"/>
  <c r="F26" i="99"/>
  <c r="F22" i="99"/>
  <c r="F36" i="99"/>
  <c r="F35" i="99"/>
  <c r="L12" i="99"/>
  <c r="P43" i="99"/>
  <c r="N20" i="99"/>
  <c r="Z37" i="99"/>
  <c r="N26" i="100"/>
  <c r="X16" i="98"/>
  <c r="F41" i="98"/>
  <c r="J45" i="99"/>
  <c r="J29" i="99"/>
  <c r="J15" i="99"/>
  <c r="J30" i="99"/>
  <c r="J50" i="99"/>
  <c r="J47" i="99"/>
  <c r="J31" i="99"/>
  <c r="J25" i="99"/>
  <c r="J21" i="99"/>
  <c r="J19" i="99"/>
  <c r="J17" i="99"/>
  <c r="J32" i="99"/>
  <c r="J33" i="99"/>
  <c r="J34" i="99"/>
  <c r="J26" i="99"/>
  <c r="J22" i="99"/>
  <c r="J35" i="99"/>
  <c r="J36" i="99"/>
  <c r="N12" i="99"/>
  <c r="J37" i="99"/>
  <c r="J27" i="99"/>
  <c r="J23" i="99"/>
  <c r="J40" i="99"/>
  <c r="J28" i="99"/>
  <c r="J24" i="99"/>
  <c r="J14" i="99"/>
  <c r="J20" i="99"/>
  <c r="N41" i="99"/>
  <c r="J55" i="100"/>
  <c r="J49" i="100"/>
  <c r="J51" i="100"/>
  <c r="J41" i="100"/>
  <c r="J57" i="100"/>
  <c r="J58" i="100"/>
  <c r="J44" i="100"/>
  <c r="J42" i="100"/>
  <c r="J34" i="100"/>
  <c r="J28" i="100"/>
  <c r="J46" i="100"/>
  <c r="J35" i="100"/>
  <c r="J60" i="100"/>
  <c r="J53" i="100"/>
  <c r="J36" i="100"/>
  <c r="J18" i="100"/>
  <c r="J65" i="100"/>
  <c r="J43" i="100"/>
  <c r="J37" i="100"/>
  <c r="J29" i="100"/>
  <c r="J23" i="100"/>
  <c r="J56" i="100"/>
  <c r="J50" i="100"/>
  <c r="J47" i="100"/>
  <c r="J38" i="100"/>
  <c r="J24" i="100"/>
  <c r="J22" i="100"/>
  <c r="J20" i="100"/>
  <c r="J61" i="100"/>
  <c r="J39" i="100"/>
  <c r="H20" i="100"/>
  <c r="J40" i="100"/>
  <c r="J30" i="100"/>
  <c r="J54" i="100"/>
  <c r="J25" i="100"/>
  <c r="J48" i="100"/>
  <c r="J45" i="100"/>
  <c r="J26" i="100"/>
  <c r="J33" i="100"/>
  <c r="J17" i="100"/>
  <c r="N16" i="100"/>
  <c r="Z22" i="100"/>
  <c r="N32" i="100"/>
  <c r="L18" i="102"/>
  <c r="N18" i="102" s="1"/>
  <c r="D46" i="102"/>
  <c r="D19" i="98"/>
  <c r="F19" i="98" s="1"/>
  <c r="X45" i="98"/>
  <c r="Z45" i="98" s="1"/>
  <c r="Z17" i="99"/>
  <c r="F38" i="99"/>
  <c r="J41" i="99"/>
  <c r="J16" i="100"/>
  <c r="J32" i="100"/>
  <c r="X36" i="100"/>
  <c r="Z36" i="100" s="1"/>
  <c r="L13" i="101"/>
  <c r="F40" i="101"/>
  <c r="F36" i="101"/>
  <c r="F35" i="101"/>
  <c r="D22" i="101"/>
  <c r="F71" i="101"/>
  <c r="F67" i="101"/>
  <c r="F59" i="101"/>
  <c r="F51" i="101"/>
  <c r="F50" i="101"/>
  <c r="F85" i="101"/>
  <c r="F61" i="101"/>
  <c r="F60" i="101"/>
  <c r="F53" i="101"/>
  <c r="F52" i="101"/>
  <c r="F41" i="101"/>
  <c r="F37" i="101"/>
  <c r="F88" i="101"/>
  <c r="F72" i="101"/>
  <c r="F68" i="101"/>
  <c r="F63" i="101"/>
  <c r="F62" i="101"/>
  <c r="F55" i="101"/>
  <c r="F54" i="101"/>
  <c r="F43" i="101"/>
  <c r="F42" i="101"/>
  <c r="F19" i="101"/>
  <c r="F18" i="101"/>
  <c r="F74" i="101"/>
  <c r="F73" i="101"/>
  <c r="F38" i="101"/>
  <c r="F69" i="101"/>
  <c r="F57" i="101"/>
  <c r="F56" i="101"/>
  <c r="F45" i="101"/>
  <c r="F44" i="101"/>
  <c r="F33" i="101"/>
  <c r="F29" i="101"/>
  <c r="F76" i="101"/>
  <c r="F75" i="101"/>
  <c r="F64" i="101"/>
  <c r="F20" i="101"/>
  <c r="F83" i="101"/>
  <c r="F78" i="101"/>
  <c r="F79" i="101"/>
  <c r="F48" i="101"/>
  <c r="F39" i="101"/>
  <c r="F46" i="101"/>
  <c r="F31" i="101"/>
  <c r="F24" i="101"/>
  <c r="F66" i="101"/>
  <c r="F27" i="101"/>
  <c r="F25" i="101"/>
  <c r="F49" i="101"/>
  <c r="F81" i="101"/>
  <c r="F70" i="101"/>
  <c r="F32" i="101"/>
  <c r="F47" i="101"/>
  <c r="F34" i="101"/>
  <c r="F30" i="101"/>
  <c r="F28" i="101"/>
  <c r="Z16" i="98"/>
  <c r="Z26" i="100"/>
  <c r="H12" i="101"/>
  <c r="N13" i="101"/>
  <c r="F25" i="98"/>
  <c r="N19" i="99"/>
  <c r="X40" i="99"/>
  <c r="P67" i="100"/>
  <c r="L13" i="97"/>
  <c r="N13" i="97" s="1"/>
  <c r="X43" i="97"/>
  <c r="Z43" i="97" s="1"/>
  <c r="X67" i="97"/>
  <c r="Z67" i="97" s="1"/>
  <c r="L83" i="97"/>
  <c r="F44" i="98"/>
  <c r="F32" i="98"/>
  <c r="F31" i="98"/>
  <c r="F48" i="98"/>
  <c r="F39" i="98"/>
  <c r="F38" i="98"/>
  <c r="F27" i="98"/>
  <c r="F23" i="98"/>
  <c r="F22" i="98"/>
  <c r="F52" i="98"/>
  <c r="F21" i="98"/>
  <c r="F43" i="98"/>
  <c r="X14" i="98"/>
  <c r="Z14" i="98" s="1"/>
  <c r="X36" i="98"/>
  <c r="Z36" i="98" s="1"/>
  <c r="Z42" i="98"/>
  <c r="L19" i="99"/>
  <c r="H12" i="98"/>
  <c r="L13" i="98"/>
  <c r="N13" i="98" s="1"/>
  <c r="X31" i="99"/>
  <c r="L37" i="99"/>
  <c r="N37" i="99" s="1"/>
  <c r="J43" i="99"/>
  <c r="D12" i="100"/>
  <c r="L14" i="100"/>
  <c r="N14" i="100" s="1"/>
  <c r="V32" i="99"/>
  <c r="R57" i="100"/>
  <c r="R56" i="100"/>
  <c r="R52" i="100"/>
  <c r="R63" i="100"/>
  <c r="R61" i="100"/>
  <c r="R58" i="100"/>
  <c r="R65" i="100"/>
  <c r="Z13" i="100"/>
  <c r="R18" i="100"/>
  <c r="R23" i="100"/>
  <c r="Z47" i="100"/>
  <c r="R53" i="100"/>
  <c r="L16" i="101"/>
  <c r="N16" i="101" s="1"/>
  <c r="V18" i="101"/>
  <c r="V29" i="101"/>
  <c r="R31" i="101"/>
  <c r="V33" i="101"/>
  <c r="R41" i="101"/>
  <c r="R71" i="101"/>
  <c r="V73" i="101"/>
  <c r="V15" i="99"/>
  <c r="V17" i="99"/>
  <c r="V19" i="99"/>
  <c r="R24" i="99"/>
  <c r="R28" i="99"/>
  <c r="R29" i="99"/>
  <c r="V31" i="99"/>
  <c r="V45" i="99"/>
  <c r="V47" i="99"/>
  <c r="V50" i="99"/>
  <c r="R17" i="100"/>
  <c r="R33" i="100"/>
  <c r="R34" i="100"/>
  <c r="R49" i="100"/>
  <c r="L61" i="100"/>
  <c r="V35" i="101"/>
  <c r="N54" i="101"/>
  <c r="V62" i="101"/>
  <c r="N65" i="101"/>
  <c r="R14" i="99"/>
  <c r="X17" i="99"/>
  <c r="V20" i="99"/>
  <c r="V24" i="99"/>
  <c r="V28" i="99"/>
  <c r="R40" i="99"/>
  <c r="R41" i="100"/>
  <c r="Z49" i="100"/>
  <c r="N51" i="100"/>
  <c r="Z16" i="101"/>
  <c r="P22" i="101"/>
  <c r="X54" i="101"/>
  <c r="R60" i="101"/>
  <c r="R67" i="101"/>
  <c r="V29" i="99"/>
  <c r="R38" i="99"/>
  <c r="T40" i="99"/>
  <c r="T43" i="99" s="1"/>
  <c r="R41" i="99"/>
  <c r="R43" i="99"/>
  <c r="R16" i="100"/>
  <c r="R27" i="100"/>
  <c r="R31" i="100"/>
  <c r="R32" i="100"/>
  <c r="N61" i="100"/>
  <c r="R19" i="101"/>
  <c r="T22" i="101"/>
  <c r="L25" i="101"/>
  <c r="V45" i="101"/>
  <c r="Z54" i="101"/>
  <c r="H78" i="101"/>
  <c r="L78" i="101" s="1"/>
  <c r="N17" i="105"/>
  <c r="V14" i="99"/>
  <c r="V38" i="99"/>
  <c r="V40" i="99"/>
  <c r="R45" i="100"/>
  <c r="R48" i="100"/>
  <c r="R67" i="100"/>
  <c r="V28" i="101"/>
  <c r="V32" i="101"/>
  <c r="R38" i="101"/>
  <c r="L42" i="101"/>
  <c r="R52" i="101"/>
  <c r="V54" i="101"/>
  <c r="X38" i="104"/>
  <c r="Z38" i="104" s="1"/>
  <c r="V27" i="99"/>
  <c r="V41" i="99"/>
  <c r="V43" i="99"/>
  <c r="R51" i="100"/>
  <c r="R54" i="100"/>
  <c r="X60" i="100"/>
  <c r="Z60" i="100" s="1"/>
  <c r="N25" i="101"/>
  <c r="N44" i="101"/>
  <c r="N60" i="100"/>
  <c r="R42" i="101"/>
  <c r="V61" i="101"/>
  <c r="X37" i="102"/>
  <c r="Z37" i="102" s="1"/>
  <c r="R34" i="99"/>
  <c r="V37" i="99"/>
  <c r="R39" i="100"/>
  <c r="R40" i="100"/>
  <c r="L42" i="100"/>
  <c r="N42" i="100" s="1"/>
  <c r="X61" i="100"/>
  <c r="Z61" i="100" s="1"/>
  <c r="X18" i="101"/>
  <c r="Z18" i="101" s="1"/>
  <c r="R25" i="101"/>
  <c r="Z42" i="101"/>
  <c r="L48" i="101"/>
  <c r="N19" i="102"/>
  <c r="Z23" i="104"/>
  <c r="L31" i="99"/>
  <c r="V34" i="99"/>
  <c r="X37" i="99"/>
  <c r="X26" i="100"/>
  <c r="L36" i="100"/>
  <c r="N36" i="100" s="1"/>
  <c r="Z40" i="100"/>
  <c r="R43" i="100"/>
  <c r="R50" i="100"/>
  <c r="X51" i="100"/>
  <c r="Z51" i="100" s="1"/>
  <c r="L60" i="100"/>
  <c r="R88" i="101"/>
  <c r="R85" i="101"/>
  <c r="R73" i="101"/>
  <c r="R72" i="101"/>
  <c r="R68" i="101"/>
  <c r="R32" i="101"/>
  <c r="R28" i="101"/>
  <c r="R63" i="101"/>
  <c r="R56" i="101"/>
  <c r="R55" i="101"/>
  <c r="R44" i="101"/>
  <c r="R43" i="101"/>
  <c r="R75" i="101"/>
  <c r="R74" i="101"/>
  <c r="R69" i="101"/>
  <c r="R57" i="101"/>
  <c r="R46" i="101"/>
  <c r="R45" i="101"/>
  <c r="R33" i="101"/>
  <c r="R29" i="101"/>
  <c r="R81" i="101"/>
  <c r="R79" i="101"/>
  <c r="R76" i="101"/>
  <c r="R65" i="101"/>
  <c r="R64" i="101"/>
  <c r="R78" i="101"/>
  <c r="R48" i="101"/>
  <c r="R47" i="101"/>
  <c r="R39" i="101"/>
  <c r="R24" i="101"/>
  <c r="R22" i="101"/>
  <c r="R70" i="101"/>
  <c r="R66" i="101"/>
  <c r="R58" i="101"/>
  <c r="R35" i="101"/>
  <c r="R34" i="101"/>
  <c r="R30" i="101"/>
  <c r="R26" i="101"/>
  <c r="R50" i="101"/>
  <c r="R49" i="101"/>
  <c r="R83" i="101"/>
  <c r="R40" i="101"/>
  <c r="R36" i="101"/>
  <c r="X12" i="101"/>
  <c r="R62" i="101"/>
  <c r="R61" i="101"/>
  <c r="R54" i="101"/>
  <c r="R53" i="101"/>
  <c r="R18" i="101"/>
  <c r="R20" i="101"/>
  <c r="N24" i="101"/>
  <c r="N35" i="101"/>
  <c r="R51" i="101"/>
  <c r="J79" i="103"/>
  <c r="J76" i="103"/>
  <c r="J67" i="103"/>
  <c r="J61" i="103"/>
  <c r="J51" i="103"/>
  <c r="J87" i="103"/>
  <c r="J77" i="103"/>
  <c r="J68" i="103"/>
  <c r="J52" i="103"/>
  <c r="J40" i="103"/>
  <c r="J36" i="103"/>
  <c r="J78" i="103"/>
  <c r="J72" i="103"/>
  <c r="J53" i="103"/>
  <c r="J41" i="103"/>
  <c r="J62" i="103"/>
  <c r="J54" i="103"/>
  <c r="J42" i="103"/>
  <c r="J69" i="103"/>
  <c r="J63" i="103"/>
  <c r="J55" i="103"/>
  <c r="J80" i="103"/>
  <c r="J73" i="103"/>
  <c r="J64" i="103"/>
  <c r="J56" i="103"/>
  <c r="J44" i="103"/>
  <c r="J32" i="103"/>
  <c r="J28" i="103"/>
  <c r="J57" i="103"/>
  <c r="J45" i="103"/>
  <c r="J19" i="103"/>
  <c r="J81" i="103"/>
  <c r="J70" i="103"/>
  <c r="J58" i="103"/>
  <c r="J46" i="103"/>
  <c r="J38" i="103"/>
  <c r="J24" i="103"/>
  <c r="J74" i="103"/>
  <c r="J65" i="103"/>
  <c r="J59" i="103"/>
  <c r="J47" i="103"/>
  <c r="J33" i="103"/>
  <c r="J29" i="103"/>
  <c r="J25" i="103"/>
  <c r="J23" i="103"/>
  <c r="J75" i="103"/>
  <c r="J66" i="103"/>
  <c r="J50" i="103"/>
  <c r="J30" i="103"/>
  <c r="J26" i="103"/>
  <c r="J49" i="103"/>
  <c r="J27" i="103"/>
  <c r="J17" i="103"/>
  <c r="J43" i="103"/>
  <c r="J37" i="103"/>
  <c r="J39" i="103"/>
  <c r="J35" i="103"/>
  <c r="J31" i="103"/>
  <c r="L12" i="103"/>
  <c r="N12" i="103" s="1"/>
  <c r="J83" i="103"/>
  <c r="J60" i="103"/>
  <c r="H21" i="103"/>
  <c r="J21" i="103" s="1"/>
  <c r="J18" i="103"/>
  <c r="J71" i="103"/>
  <c r="J48" i="103"/>
  <c r="R47" i="100"/>
  <c r="R60" i="100"/>
  <c r="V75" i="101"/>
  <c r="V63" i="101"/>
  <c r="V55" i="101"/>
  <c r="V43" i="101"/>
  <c r="V19" i="101"/>
  <c r="V74" i="101"/>
  <c r="V46" i="101"/>
  <c r="V38" i="101"/>
  <c r="V79" i="101"/>
  <c r="V69" i="101"/>
  <c r="V65" i="101"/>
  <c r="V57" i="101"/>
  <c r="V78" i="101"/>
  <c r="V76" i="101"/>
  <c r="V64" i="101"/>
  <c r="V48" i="101"/>
  <c r="V24" i="101"/>
  <c r="V22" i="101"/>
  <c r="V20" i="101"/>
  <c r="V47" i="101"/>
  <c r="V70" i="101"/>
  <c r="V66" i="101"/>
  <c r="V58" i="101"/>
  <c r="V50" i="101"/>
  <c r="V34" i="101"/>
  <c r="V30" i="101"/>
  <c r="V26" i="101"/>
  <c r="V49" i="101"/>
  <c r="V83" i="101"/>
  <c r="V60" i="101"/>
  <c r="V52" i="101"/>
  <c r="V40" i="101"/>
  <c r="V36" i="101"/>
  <c r="Z12" i="101"/>
  <c r="V71" i="101"/>
  <c r="V67" i="101"/>
  <c r="V59" i="101"/>
  <c r="V51" i="101"/>
  <c r="V31" i="101"/>
  <c r="V27" i="101"/>
  <c r="V72" i="101"/>
  <c r="V68" i="101"/>
  <c r="V56" i="101"/>
  <c r="V25" i="101"/>
  <c r="R27" i="101"/>
  <c r="V44" i="101"/>
  <c r="N48" i="101"/>
  <c r="V53" i="101"/>
  <c r="Z73" i="101"/>
  <c r="H12" i="104"/>
  <c r="L12" i="104" s="1"/>
  <c r="N13" i="104"/>
  <c r="L13" i="104"/>
  <c r="F23" i="102"/>
  <c r="F33" i="102"/>
  <c r="N23" i="103"/>
  <c r="L34" i="103"/>
  <c r="N34" i="103" s="1"/>
  <c r="F59" i="103"/>
  <c r="Z63" i="103"/>
  <c r="N23" i="104"/>
  <c r="F16" i="102"/>
  <c r="J19" i="102"/>
  <c r="F25" i="102"/>
  <c r="F28" i="102"/>
  <c r="R30" i="102"/>
  <c r="F32" i="102"/>
  <c r="R33" i="102"/>
  <c r="L41" i="102"/>
  <c r="J46" i="102"/>
  <c r="H50" i="102"/>
  <c r="P12" i="103"/>
  <c r="X13" i="103"/>
  <c r="Z13" i="103" s="1"/>
  <c r="Z23" i="103"/>
  <c r="X53" i="103"/>
  <c r="Z59" i="103"/>
  <c r="L79" i="101"/>
  <c r="N79" i="101" s="1"/>
  <c r="F14" i="102"/>
  <c r="R20" i="102"/>
  <c r="F22" i="102"/>
  <c r="R39" i="102"/>
  <c r="F41" i="102"/>
  <c r="J50" i="102"/>
  <c r="D85" i="103"/>
  <c r="D29" i="106"/>
  <c r="J63" i="107"/>
  <c r="J53" i="107"/>
  <c r="J75" i="107"/>
  <c r="J65" i="107"/>
  <c r="J55" i="107"/>
  <c r="J43" i="107"/>
  <c r="J37" i="107"/>
  <c r="J76" i="107"/>
  <c r="J56" i="107"/>
  <c r="J44" i="107"/>
  <c r="J78" i="107"/>
  <c r="J66" i="107"/>
  <c r="J58" i="107"/>
  <c r="J46" i="107"/>
  <c r="J38" i="107"/>
  <c r="J24" i="107"/>
  <c r="J79" i="107"/>
  <c r="J59" i="107"/>
  <c r="J47" i="107"/>
  <c r="J33" i="107"/>
  <c r="J29" i="107"/>
  <c r="J25" i="107"/>
  <c r="J23" i="107"/>
  <c r="J80" i="107"/>
  <c r="J72" i="107"/>
  <c r="J60" i="107"/>
  <c r="J48" i="107"/>
  <c r="J34" i="107"/>
  <c r="H21" i="107"/>
  <c r="J67" i="107"/>
  <c r="J61" i="107"/>
  <c r="J49" i="107"/>
  <c r="J39" i="107"/>
  <c r="J35" i="107"/>
  <c r="J86" i="107"/>
  <c r="J52" i="107"/>
  <c r="J40" i="107"/>
  <c r="J36" i="107"/>
  <c r="J64" i="107"/>
  <c r="J50" i="107"/>
  <c r="J30" i="107"/>
  <c r="J18" i="107"/>
  <c r="J62" i="107"/>
  <c r="J28" i="107"/>
  <c r="J68" i="107"/>
  <c r="J41" i="107"/>
  <c r="J82" i="107"/>
  <c r="J26" i="107"/>
  <c r="J77" i="107"/>
  <c r="J74" i="107"/>
  <c r="J70" i="107"/>
  <c r="J51" i="107"/>
  <c r="J31" i="107"/>
  <c r="J19" i="107"/>
  <c r="J17" i="107"/>
  <c r="J73" i="107"/>
  <c r="J54" i="107"/>
  <c r="J57" i="107"/>
  <c r="J32" i="107"/>
  <c r="J27" i="107"/>
  <c r="J69" i="107"/>
  <c r="J42" i="107"/>
  <c r="J71" i="107"/>
  <c r="J45" i="107"/>
  <c r="J28" i="102"/>
  <c r="R29" i="102"/>
  <c r="J32" i="102"/>
  <c r="F72" i="103"/>
  <c r="F85" i="103"/>
  <c r="F75" i="103"/>
  <c r="F66" i="103"/>
  <c r="F50" i="103"/>
  <c r="F49" i="103"/>
  <c r="F30" i="103"/>
  <c r="F26" i="103"/>
  <c r="F61" i="103"/>
  <c r="F87" i="103"/>
  <c r="F77" i="103"/>
  <c r="F76" i="103"/>
  <c r="F68" i="103"/>
  <c r="F67" i="103"/>
  <c r="F52" i="103"/>
  <c r="F51" i="103"/>
  <c r="F40" i="103"/>
  <c r="F31" i="103"/>
  <c r="F27" i="103"/>
  <c r="F79" i="103"/>
  <c r="F78" i="103"/>
  <c r="F62" i="103"/>
  <c r="F69" i="103"/>
  <c r="F37" i="103"/>
  <c r="F89" i="103"/>
  <c r="F73" i="103"/>
  <c r="F64" i="103"/>
  <c r="F63" i="103"/>
  <c r="F56" i="103"/>
  <c r="F55" i="103"/>
  <c r="F44" i="103"/>
  <c r="F43" i="103"/>
  <c r="F32" i="103"/>
  <c r="F28" i="103"/>
  <c r="F92" i="103"/>
  <c r="F80" i="103"/>
  <c r="F19" i="103"/>
  <c r="F81" i="103"/>
  <c r="F70" i="103"/>
  <c r="F58" i="103"/>
  <c r="F57" i="103"/>
  <c r="F46" i="103"/>
  <c r="F45" i="103"/>
  <c r="F38" i="103"/>
  <c r="F83" i="103"/>
  <c r="F71" i="103"/>
  <c r="F39" i="103"/>
  <c r="F35" i="103"/>
  <c r="F34" i="103"/>
  <c r="F21" i="103"/>
  <c r="X34" i="103"/>
  <c r="Z34" i="103" s="1"/>
  <c r="Z53" i="103"/>
  <c r="F60" i="103"/>
  <c r="L17" i="104"/>
  <c r="R25" i="102"/>
  <c r="X41" i="102"/>
  <c r="Z41" i="102" s="1"/>
  <c r="R50" i="102"/>
  <c r="L14" i="103"/>
  <c r="Z15" i="103"/>
  <c r="F33" i="103"/>
  <c r="F74" i="103"/>
  <c r="F46" i="102"/>
  <c r="F44" i="102"/>
  <c r="F35" i="102"/>
  <c r="F34" i="102"/>
  <c r="F53" i="102"/>
  <c r="F50" i="102"/>
  <c r="F38" i="102"/>
  <c r="F37" i="102"/>
  <c r="F40" i="102"/>
  <c r="F39" i="102"/>
  <c r="F24" i="102"/>
  <c r="F20" i="102"/>
  <c r="F19" i="102"/>
  <c r="R41" i="102"/>
  <c r="N14" i="103"/>
  <c r="D12" i="105"/>
  <c r="L15" i="105"/>
  <c r="J35" i="102"/>
  <c r="J48" i="102"/>
  <c r="J26" i="102"/>
  <c r="J22" i="102"/>
  <c r="J38" i="102"/>
  <c r="J39" i="102"/>
  <c r="J29" i="102"/>
  <c r="J40" i="102"/>
  <c r="J41" i="102"/>
  <c r="J31" i="102"/>
  <c r="P16" i="102"/>
  <c r="R18" i="102"/>
  <c r="F21" i="102"/>
  <c r="J24" i="102"/>
  <c r="F31" i="102"/>
  <c r="Z32" i="102"/>
  <c r="R38" i="102"/>
  <c r="F48" i="102"/>
  <c r="T12" i="103"/>
  <c r="F17" i="103"/>
  <c r="F41" i="103"/>
  <c r="F47" i="103"/>
  <c r="F65" i="103"/>
  <c r="X78" i="103"/>
  <c r="Z78" i="103" s="1"/>
  <c r="L54" i="101"/>
  <c r="L62" i="101"/>
  <c r="N62" i="101" s="1"/>
  <c r="X78" i="101"/>
  <c r="Z78" i="101" s="1"/>
  <c r="L12" i="102"/>
  <c r="J34" i="102"/>
  <c r="N17" i="103"/>
  <c r="X24" i="103"/>
  <c r="Z24" i="103" s="1"/>
  <c r="F29" i="103"/>
  <c r="N41" i="103"/>
  <c r="N13" i="105"/>
  <c r="F26" i="102"/>
  <c r="L23" i="103"/>
  <c r="X41" i="103"/>
  <c r="Z41" i="103" s="1"/>
  <c r="N49" i="103"/>
  <c r="P12" i="104"/>
  <c r="X14" i="104"/>
  <c r="R37" i="102"/>
  <c r="R36" i="102"/>
  <c r="R28" i="102"/>
  <c r="R27" i="102"/>
  <c r="R23" i="102"/>
  <c r="R32" i="102"/>
  <c r="R31" i="102"/>
  <c r="R42" i="102"/>
  <c r="R46" i="102"/>
  <c r="R44" i="102"/>
  <c r="R21" i="102"/>
  <c r="R24" i="102"/>
  <c r="F30" i="102"/>
  <c r="R40" i="102"/>
  <c r="F42" i="102"/>
  <c r="R48" i="102"/>
  <c r="X17" i="103"/>
  <c r="Z17" i="103" s="1"/>
  <c r="Z43" i="103"/>
  <c r="L59" i="103"/>
  <c r="T12" i="104"/>
  <c r="Z14" i="104"/>
  <c r="R91" i="105"/>
  <c r="R82" i="105"/>
  <c r="R81" i="105"/>
  <c r="R84" i="105"/>
  <c r="R83" i="105"/>
  <c r="R87" i="105"/>
  <c r="R24" i="105"/>
  <c r="R19" i="105"/>
  <c r="R75" i="105"/>
  <c r="R69" i="105"/>
  <c r="R59" i="105"/>
  <c r="R58" i="105"/>
  <c r="R47" i="105"/>
  <c r="R46" i="105"/>
  <c r="R38" i="105"/>
  <c r="R23" i="105"/>
  <c r="R65" i="105"/>
  <c r="R34" i="105"/>
  <c r="R33" i="105"/>
  <c r="R29" i="105"/>
  <c r="R25" i="105"/>
  <c r="R78" i="105"/>
  <c r="R73" i="105"/>
  <c r="R70" i="105"/>
  <c r="R60" i="105"/>
  <c r="R49" i="105"/>
  <c r="R48" i="105"/>
  <c r="R39" i="105"/>
  <c r="R35" i="105"/>
  <c r="R66" i="105"/>
  <c r="R51" i="105"/>
  <c r="R50" i="105"/>
  <c r="R30" i="105"/>
  <c r="R26" i="105"/>
  <c r="R76" i="105"/>
  <c r="R61" i="105"/>
  <c r="R71" i="105"/>
  <c r="R53" i="105"/>
  <c r="R52" i="105"/>
  <c r="R41" i="105"/>
  <c r="R40" i="105"/>
  <c r="R36" i="105"/>
  <c r="R17" i="105"/>
  <c r="X12" i="105"/>
  <c r="Z12" i="105" s="1"/>
  <c r="R79" i="105"/>
  <c r="R74" i="105"/>
  <c r="R31" i="105"/>
  <c r="R27" i="105"/>
  <c r="R80" i="105"/>
  <c r="R77" i="105"/>
  <c r="R72" i="105"/>
  <c r="R64" i="105"/>
  <c r="R57" i="105"/>
  <c r="R56" i="105"/>
  <c r="R45" i="105"/>
  <c r="R44" i="105"/>
  <c r="R32" i="105"/>
  <c r="R28" i="105"/>
  <c r="R67" i="105"/>
  <c r="R85" i="105"/>
  <c r="R62" i="105"/>
  <c r="R54" i="105"/>
  <c r="R18" i="105"/>
  <c r="R68" i="105"/>
  <c r="R42" i="105"/>
  <c r="R63" i="105"/>
  <c r="R55" i="105"/>
  <c r="P21" i="105"/>
  <c r="R21" i="105" s="1"/>
  <c r="R43" i="105"/>
  <c r="R37" i="105"/>
  <c r="L23" i="104"/>
  <c r="Z36" i="104"/>
  <c r="Z45" i="105"/>
  <c r="J61" i="105"/>
  <c r="V35" i="102"/>
  <c r="N15" i="105"/>
  <c r="J52" i="105"/>
  <c r="Z57" i="105"/>
  <c r="R23" i="108"/>
  <c r="F45" i="104"/>
  <c r="F37" i="104"/>
  <c r="F36" i="104"/>
  <c r="F29" i="104"/>
  <c r="F28" i="104"/>
  <c r="F47" i="104"/>
  <c r="F46" i="104"/>
  <c r="F39" i="104"/>
  <c r="F38" i="104"/>
  <c r="F19" i="104"/>
  <c r="F30" i="104"/>
  <c r="F53" i="104"/>
  <c r="F43" i="104"/>
  <c r="F42" i="104"/>
  <c r="F31" i="104"/>
  <c r="D21" i="104"/>
  <c r="F34" i="104"/>
  <c r="F44" i="104"/>
  <c r="V57" i="105"/>
  <c r="N82" i="105"/>
  <c r="V25" i="102"/>
  <c r="V33" i="102"/>
  <c r="F26" i="104"/>
  <c r="X13" i="105"/>
  <c r="Z13" i="105" s="1"/>
  <c r="J18" i="105"/>
  <c r="V28" i="105"/>
  <c r="V42" i="102"/>
  <c r="V44" i="102"/>
  <c r="V46" i="102"/>
  <c r="L15" i="104"/>
  <c r="X17" i="104"/>
  <c r="Z17" i="104" s="1"/>
  <c r="Z24" i="104"/>
  <c r="L34" i="104"/>
  <c r="X40" i="104"/>
  <c r="Z40" i="104" s="1"/>
  <c r="Z80" i="105"/>
  <c r="Z24" i="107"/>
  <c r="N61" i="107"/>
  <c r="R37" i="108"/>
  <c r="R39" i="108"/>
  <c r="R24" i="108"/>
  <c r="R20" i="108"/>
  <c r="P16" i="108"/>
  <c r="R42" i="108"/>
  <c r="R31" i="108"/>
  <c r="R33" i="108"/>
  <c r="R32" i="108"/>
  <c r="R25" i="108"/>
  <c r="R21" i="108"/>
  <c r="R35" i="108"/>
  <c r="R27" i="108"/>
  <c r="R26" i="108"/>
  <c r="R22" i="108"/>
  <c r="R28" i="108"/>
  <c r="X12" i="108"/>
  <c r="R29" i="108"/>
  <c r="R18" i="108"/>
  <c r="R16" i="108"/>
  <c r="R14" i="108"/>
  <c r="F41" i="104"/>
  <c r="F49" i="104"/>
  <c r="J91" i="105"/>
  <c r="J69" i="105"/>
  <c r="J79" i="105"/>
  <c r="J80" i="105"/>
  <c r="J83" i="105"/>
  <c r="J85" i="105"/>
  <c r="J67" i="105"/>
  <c r="J62" i="105"/>
  <c r="J54" i="105"/>
  <c r="J42" i="105"/>
  <c r="J68" i="105"/>
  <c r="J63" i="105"/>
  <c r="J55" i="105"/>
  <c r="J43" i="105"/>
  <c r="J37" i="105"/>
  <c r="J77" i="105"/>
  <c r="J72" i="105"/>
  <c r="J64" i="105"/>
  <c r="J56" i="105"/>
  <c r="J44" i="105"/>
  <c r="J32" i="105"/>
  <c r="J28" i="105"/>
  <c r="J87" i="105"/>
  <c r="J75" i="105"/>
  <c r="J57" i="105"/>
  <c r="J45" i="105"/>
  <c r="J19" i="105"/>
  <c r="J58" i="105"/>
  <c r="J46" i="105"/>
  <c r="J38" i="105"/>
  <c r="J24" i="105"/>
  <c r="J81" i="105"/>
  <c r="J73" i="105"/>
  <c r="J65" i="105"/>
  <c r="J59" i="105"/>
  <c r="J47" i="105"/>
  <c r="J33" i="105"/>
  <c r="J29" i="105"/>
  <c r="J25" i="105"/>
  <c r="J23" i="105"/>
  <c r="J21" i="105"/>
  <c r="J84" i="105"/>
  <c r="J78" i="105"/>
  <c r="J70" i="105"/>
  <c r="J60" i="105"/>
  <c r="J48" i="105"/>
  <c r="J34" i="105"/>
  <c r="H21" i="105"/>
  <c r="J49" i="105"/>
  <c r="J39" i="105"/>
  <c r="J35" i="105"/>
  <c r="J82" i="105"/>
  <c r="J76" i="105"/>
  <c r="J66" i="105"/>
  <c r="J50" i="105"/>
  <c r="J30" i="105"/>
  <c r="J26" i="105"/>
  <c r="J53" i="105"/>
  <c r="J41" i="105"/>
  <c r="J31" i="105"/>
  <c r="J27" i="105"/>
  <c r="J17" i="105"/>
  <c r="L51" i="105"/>
  <c r="J71" i="105"/>
  <c r="D67" i="109"/>
  <c r="F67" i="109" s="1"/>
  <c r="X23" i="104"/>
  <c r="Z34" i="104"/>
  <c r="Z16" i="106"/>
  <c r="T22" i="106"/>
  <c r="V14" i="102"/>
  <c r="V16" i="102"/>
  <c r="V18" i="102"/>
  <c r="V30" i="102"/>
  <c r="V38" i="102"/>
  <c r="F25" i="104"/>
  <c r="F27" i="104"/>
  <c r="X28" i="104"/>
  <c r="F32" i="104"/>
  <c r="F55" i="104"/>
  <c r="X14" i="105"/>
  <c r="Z14" i="105" s="1"/>
  <c r="J51" i="105"/>
  <c r="J74" i="105"/>
  <c r="Z28" i="104"/>
  <c r="F35" i="104"/>
  <c r="X36" i="104"/>
  <c r="V80" i="105"/>
  <c r="V81" i="105"/>
  <c r="V84" i="105"/>
  <c r="V76" i="105"/>
  <c r="V83" i="105"/>
  <c r="V66" i="105"/>
  <c r="V75" i="105"/>
  <c r="V69" i="105"/>
  <c r="V58" i="105"/>
  <c r="V46" i="105"/>
  <c r="V38" i="105"/>
  <c r="V34" i="105"/>
  <c r="T21" i="105"/>
  <c r="V70" i="105"/>
  <c r="V65" i="105"/>
  <c r="V49" i="105"/>
  <c r="V33" i="105"/>
  <c r="V29" i="105"/>
  <c r="V25" i="105"/>
  <c r="V91" i="105"/>
  <c r="V78" i="105"/>
  <c r="V73" i="105"/>
  <c r="V60" i="105"/>
  <c r="V48" i="105"/>
  <c r="V51" i="105"/>
  <c r="V39" i="105"/>
  <c r="V35" i="105"/>
  <c r="V82" i="105"/>
  <c r="V50" i="105"/>
  <c r="V30" i="105"/>
  <c r="V26" i="105"/>
  <c r="V61" i="105"/>
  <c r="V53" i="105"/>
  <c r="V41" i="105"/>
  <c r="V17" i="105"/>
  <c r="V71" i="105"/>
  <c r="V52" i="105"/>
  <c r="V40" i="105"/>
  <c r="V36" i="105"/>
  <c r="V79" i="105"/>
  <c r="V74" i="105"/>
  <c r="V68" i="105"/>
  <c r="V63" i="105"/>
  <c r="V55" i="105"/>
  <c r="V43" i="105"/>
  <c r="V31" i="105"/>
  <c r="V27" i="105"/>
  <c r="V85" i="105"/>
  <c r="V67" i="105"/>
  <c r="V62" i="105"/>
  <c r="V54" i="105"/>
  <c r="V42" i="105"/>
  <c r="V18" i="105"/>
  <c r="V87" i="105"/>
  <c r="V59" i="105"/>
  <c r="V47" i="105"/>
  <c r="V23" i="105"/>
  <c r="V21" i="105"/>
  <c r="V19" i="105"/>
  <c r="X45" i="105"/>
  <c r="N43" i="105"/>
  <c r="V14" i="106"/>
  <c r="D21" i="107"/>
  <c r="F32" i="107"/>
  <c r="V37" i="107"/>
  <c r="L61" i="107"/>
  <c r="F67" i="107"/>
  <c r="T16" i="108"/>
  <c r="L70" i="105"/>
  <c r="N70" i="105" s="1"/>
  <c r="L84" i="105"/>
  <c r="X12" i="106"/>
  <c r="R22" i="106"/>
  <c r="R20" i="106"/>
  <c r="R18" i="106"/>
  <c r="R16" i="106"/>
  <c r="R14" i="106"/>
  <c r="P16" i="106"/>
  <c r="R24" i="106"/>
  <c r="L17" i="107"/>
  <c r="N17" i="107" s="1"/>
  <c r="T21" i="107"/>
  <c r="F34" i="107"/>
  <c r="F49" i="107"/>
  <c r="X55" i="107"/>
  <c r="Z55" i="107" s="1"/>
  <c r="X59" i="107"/>
  <c r="Z59" i="107" s="1"/>
  <c r="V67" i="107"/>
  <c r="F75" i="107"/>
  <c r="V31" i="108"/>
  <c r="V42" i="108"/>
  <c r="V33" i="108"/>
  <c r="V32" i="108"/>
  <c r="V25" i="108"/>
  <c r="V21" i="108"/>
  <c r="V35" i="108"/>
  <c r="V27" i="108"/>
  <c r="V26" i="108"/>
  <c r="V22" i="108"/>
  <c r="V28" i="108"/>
  <c r="Z12" i="108"/>
  <c r="V23" i="108"/>
  <c r="V19" i="108"/>
  <c r="V39" i="108"/>
  <c r="V24" i="108"/>
  <c r="V20" i="108"/>
  <c r="Z19" i="108"/>
  <c r="V29" i="106"/>
  <c r="V26" i="106"/>
  <c r="V24" i="106"/>
  <c r="H16" i="106"/>
  <c r="L12" i="107"/>
  <c r="N12" i="107" s="1"/>
  <c r="N14" i="107"/>
  <c r="V21" i="107"/>
  <c r="F36" i="107"/>
  <c r="Z43" i="107"/>
  <c r="N49" i="107"/>
  <c r="V54" i="107"/>
  <c r="Z57" i="107"/>
  <c r="N18" i="108"/>
  <c r="Z12" i="106"/>
  <c r="L20" i="106"/>
  <c r="P12" i="107"/>
  <c r="X14" i="107"/>
  <c r="Z14" i="107" s="1"/>
  <c r="F31" i="107"/>
  <c r="V38" i="107"/>
  <c r="V42" i="107"/>
  <c r="Z45" i="107"/>
  <c r="L53" i="107"/>
  <c r="F56" i="107"/>
  <c r="V57" i="107"/>
  <c r="L82" i="107"/>
  <c r="X18" i="108"/>
  <c r="Z82" i="105"/>
  <c r="L14" i="106"/>
  <c r="V79" i="107"/>
  <c r="V71" i="107"/>
  <c r="V59" i="107"/>
  <c r="V47" i="107"/>
  <c r="V61" i="107"/>
  <c r="V49" i="107"/>
  <c r="V33" i="107"/>
  <c r="V29" i="107"/>
  <c r="V25" i="107"/>
  <c r="V82" i="107"/>
  <c r="V80" i="107"/>
  <c r="V72" i="107"/>
  <c r="V68" i="107"/>
  <c r="V60" i="107"/>
  <c r="V48" i="107"/>
  <c r="V62" i="107"/>
  <c r="V50" i="107"/>
  <c r="V30" i="107"/>
  <c r="V26" i="107"/>
  <c r="V73" i="107"/>
  <c r="V69" i="107"/>
  <c r="V53" i="107"/>
  <c r="V41" i="107"/>
  <c r="V17" i="107"/>
  <c r="V86" i="107"/>
  <c r="V64" i="107"/>
  <c r="V52" i="107"/>
  <c r="V40" i="107"/>
  <c r="V36" i="107"/>
  <c r="V75" i="107"/>
  <c r="V63" i="107"/>
  <c r="V55" i="107"/>
  <c r="V43" i="107"/>
  <c r="V31" i="107"/>
  <c r="V27" i="107"/>
  <c r="V76" i="107"/>
  <c r="V56" i="107"/>
  <c r="V44" i="107"/>
  <c r="V32" i="107"/>
  <c r="V28" i="107"/>
  <c r="V24" i="107"/>
  <c r="F26" i="107"/>
  <c r="L41" i="107"/>
  <c r="N41" i="107" s="1"/>
  <c r="V45" i="107"/>
  <c r="L68" i="107"/>
  <c r="N68" i="107" s="1"/>
  <c r="X75" i="107"/>
  <c r="Z75" i="107" s="1"/>
  <c r="Z18" i="108"/>
  <c r="Z49" i="107"/>
  <c r="X14" i="108"/>
  <c r="H35" i="108"/>
  <c r="F65" i="109"/>
  <c r="F56" i="109"/>
  <c r="F55" i="109"/>
  <c r="F48" i="109"/>
  <c r="F47" i="109"/>
  <c r="F32" i="109"/>
  <c r="L12" i="109"/>
  <c r="F69" i="109"/>
  <c r="F64" i="109"/>
  <c r="F39" i="109"/>
  <c r="F38" i="109"/>
  <c r="F27" i="109"/>
  <c r="F23" i="109"/>
  <c r="F58" i="109"/>
  <c r="F57" i="109"/>
  <c r="F50" i="109"/>
  <c r="F49" i="109"/>
  <c r="F41" i="109"/>
  <c r="F40" i="109"/>
  <c r="F33" i="109"/>
  <c r="F52" i="109"/>
  <c r="F51" i="109"/>
  <c r="F28" i="109"/>
  <c r="F24" i="109"/>
  <c r="F59" i="109"/>
  <c r="F43" i="109"/>
  <c r="F42" i="109"/>
  <c r="F34" i="109"/>
  <c r="F53" i="109"/>
  <c r="F29" i="109"/>
  <c r="F25" i="109"/>
  <c r="F21" i="109"/>
  <c r="F20" i="109"/>
  <c r="F60" i="109"/>
  <c r="F44" i="109"/>
  <c r="F19" i="109"/>
  <c r="F17" i="109"/>
  <c r="F15" i="109"/>
  <c r="F35" i="109"/>
  <c r="F31" i="109"/>
  <c r="F30" i="109"/>
  <c r="F37" i="109"/>
  <c r="F36" i="109"/>
  <c r="F61" i="109"/>
  <c r="F46" i="109"/>
  <c r="F26" i="109"/>
  <c r="F54" i="109"/>
  <c r="F45" i="109"/>
  <c r="F22" i="109"/>
  <c r="F62" i="109"/>
  <c r="L64" i="109"/>
  <c r="N64" i="109" s="1"/>
  <c r="L18" i="106"/>
  <c r="X20" i="106"/>
  <c r="N13" i="107"/>
  <c r="F86" i="107"/>
  <c r="F52" i="107"/>
  <c r="F51" i="107"/>
  <c r="F74" i="107"/>
  <c r="F70" i="107"/>
  <c r="F54" i="107"/>
  <c r="F53" i="107"/>
  <c r="F42" i="107"/>
  <c r="F41" i="107"/>
  <c r="F18" i="107"/>
  <c r="F17" i="107"/>
  <c r="F91" i="107"/>
  <c r="F88" i="107"/>
  <c r="F65" i="107"/>
  <c r="F64" i="107"/>
  <c r="F71" i="107"/>
  <c r="F19" i="107"/>
  <c r="F78" i="107"/>
  <c r="F77" i="107"/>
  <c r="F66" i="107"/>
  <c r="F58" i="107"/>
  <c r="F57" i="107"/>
  <c r="F46" i="107"/>
  <c r="F45" i="107"/>
  <c r="F38" i="107"/>
  <c r="F33" i="107"/>
  <c r="F29" i="107"/>
  <c r="F25" i="107"/>
  <c r="F24" i="107"/>
  <c r="F80" i="107"/>
  <c r="F79" i="107"/>
  <c r="F72" i="107"/>
  <c r="F60" i="107"/>
  <c r="F59" i="107"/>
  <c r="F48" i="107"/>
  <c r="F47" i="107"/>
  <c r="F23" i="107"/>
  <c r="F21" i="107"/>
  <c r="F84" i="107"/>
  <c r="F82" i="107"/>
  <c r="F73" i="107"/>
  <c r="F69" i="107"/>
  <c r="F68" i="107"/>
  <c r="V19" i="107"/>
  <c r="X23" i="107"/>
  <c r="Z23" i="107" s="1"/>
  <c r="X24" i="107"/>
  <c r="F37" i="107"/>
  <c r="F55" i="107"/>
  <c r="V58" i="107"/>
  <c r="V66" i="107"/>
  <c r="X68" i="107"/>
  <c r="Z68" i="107" s="1"/>
  <c r="V70" i="107"/>
  <c r="Z77" i="107"/>
  <c r="V14" i="108"/>
  <c r="L80" i="105"/>
  <c r="N80" i="105" s="1"/>
  <c r="X87" i="105"/>
  <c r="V39" i="107"/>
  <c r="F43" i="107"/>
  <c r="V46" i="107"/>
  <c r="F50" i="107"/>
  <c r="V51" i="107"/>
  <c r="V74" i="107"/>
  <c r="F76" i="107"/>
  <c r="V77" i="107"/>
  <c r="L15" i="107"/>
  <c r="N15" i="107" s="1"/>
  <c r="N27" i="108"/>
  <c r="P12" i="109"/>
  <c r="X13" i="109"/>
  <c r="Z13" i="109" s="1"/>
  <c r="J24" i="106"/>
  <c r="N12" i="108"/>
  <c r="J28" i="108"/>
  <c r="L13" i="109"/>
  <c r="N13" i="109" s="1"/>
  <c r="F33" i="108"/>
  <c r="J35" i="108"/>
  <c r="H17" i="109"/>
  <c r="X42" i="109"/>
  <c r="H31" i="108"/>
  <c r="N32" i="108"/>
  <c r="F42" i="108"/>
  <c r="J69" i="109"/>
  <c r="J57" i="109"/>
  <c r="J49" i="109"/>
  <c r="J39" i="109"/>
  <c r="J27" i="109"/>
  <c r="J23" i="109"/>
  <c r="J58" i="109"/>
  <c r="J50" i="109"/>
  <c r="J40" i="109"/>
  <c r="J51" i="109"/>
  <c r="J41" i="109"/>
  <c r="J33" i="109"/>
  <c r="J52" i="109"/>
  <c r="J42" i="109"/>
  <c r="J28" i="109"/>
  <c r="J24" i="109"/>
  <c r="J59" i="109"/>
  <c r="J43" i="109"/>
  <c r="J34" i="109"/>
  <c r="J20" i="109"/>
  <c r="J53" i="109"/>
  <c r="J29" i="109"/>
  <c r="J25" i="109"/>
  <c r="J21" i="109"/>
  <c r="J19" i="109"/>
  <c r="J15" i="109"/>
  <c r="J60" i="109"/>
  <c r="J44" i="109"/>
  <c r="J30" i="109"/>
  <c r="J61" i="109"/>
  <c r="J45" i="109"/>
  <c r="J35" i="109"/>
  <c r="J31" i="109"/>
  <c r="J62" i="109"/>
  <c r="J54" i="109"/>
  <c r="J46" i="109"/>
  <c r="J36" i="109"/>
  <c r="J26" i="109"/>
  <c r="J22" i="109"/>
  <c r="J64" i="109"/>
  <c r="J56" i="109"/>
  <c r="J48" i="109"/>
  <c r="J38" i="109"/>
  <c r="J32" i="109"/>
  <c r="Z65" i="109"/>
  <c r="L12" i="106"/>
  <c r="L14" i="107"/>
  <c r="D16" i="108"/>
  <c r="J21" i="108"/>
  <c r="J25" i="108"/>
  <c r="F31" i="108"/>
  <c r="J32" i="108"/>
  <c r="J33" i="108"/>
  <c r="N12" i="109"/>
  <c r="N36" i="109"/>
  <c r="N51" i="109"/>
  <c r="J31" i="108"/>
  <c r="N33" i="108"/>
  <c r="J42" i="108"/>
  <c r="N47" i="109"/>
  <c r="Z57" i="109"/>
  <c r="V59" i="109"/>
  <c r="V43" i="109"/>
  <c r="V19" i="109"/>
  <c r="V17" i="109"/>
  <c r="V15" i="109"/>
  <c r="V34" i="109"/>
  <c r="V30" i="109"/>
  <c r="V61" i="109"/>
  <c r="V53" i="109"/>
  <c r="V45" i="109"/>
  <c r="V29" i="109"/>
  <c r="V25" i="109"/>
  <c r="V60" i="109"/>
  <c r="V44" i="109"/>
  <c r="V36" i="109"/>
  <c r="V65" i="109"/>
  <c r="V55" i="109"/>
  <c r="V47" i="109"/>
  <c r="V35" i="109"/>
  <c r="V31" i="109"/>
  <c r="V64" i="109"/>
  <c r="V62" i="109"/>
  <c r="V54" i="109"/>
  <c r="V46" i="109"/>
  <c r="V38" i="109"/>
  <c r="V26" i="109"/>
  <c r="V22" i="109"/>
  <c r="V57" i="109"/>
  <c r="V49" i="109"/>
  <c r="V37" i="109"/>
  <c r="V56" i="109"/>
  <c r="V48" i="109"/>
  <c r="V40" i="109"/>
  <c r="V32" i="109"/>
  <c r="V69" i="109"/>
  <c r="V51" i="109"/>
  <c r="V39" i="109"/>
  <c r="V27" i="109"/>
  <c r="V23" i="109"/>
  <c r="V58" i="109"/>
  <c r="V50" i="109"/>
  <c r="V42" i="109"/>
  <c r="V52" i="109"/>
  <c r="V28" i="109"/>
  <c r="V24" i="109"/>
  <c r="T17" i="109"/>
  <c r="N20" i="109"/>
  <c r="J14" i="108"/>
  <c r="J16" i="108"/>
  <c r="J18" i="108"/>
  <c r="J20" i="108"/>
  <c r="J24" i="108"/>
  <c r="J39" i="108"/>
  <c r="L15" i="109"/>
  <c r="F37" i="108"/>
  <c r="F32" i="108"/>
  <c r="J19" i="108"/>
  <c r="J29" i="108"/>
  <c r="Z20" i="109"/>
  <c r="V41" i="109"/>
  <c r="Z45" i="109"/>
  <c r="Z47" i="109"/>
  <c r="L12" i="108"/>
  <c r="J23" i="108"/>
  <c r="X32" i="108"/>
  <c r="Z32" i="108" s="1"/>
  <c r="N19" i="109"/>
  <c r="L55" i="109"/>
  <c r="N65" i="109"/>
  <c r="L20" i="109"/>
  <c r="X38" i="109"/>
  <c r="Z38" i="109" s="1"/>
  <c r="X47" i="109"/>
  <c r="T47" i="99" l="1"/>
  <c r="H98" i="45"/>
  <c r="T26" i="106"/>
  <c r="Z22" i="106"/>
  <c r="X16" i="106"/>
  <c r="P22" i="106"/>
  <c r="L21" i="103"/>
  <c r="N21" i="103" s="1"/>
  <c r="P81" i="101"/>
  <c r="X22" i="101"/>
  <c r="D43" i="99"/>
  <c r="L17" i="99"/>
  <c r="V83" i="97"/>
  <c r="L91" i="91"/>
  <c r="N91" i="91" s="1"/>
  <c r="R61" i="87"/>
  <c r="R90" i="87"/>
  <c r="R87" i="87"/>
  <c r="R63" i="87"/>
  <c r="R62" i="87"/>
  <c r="R30" i="87"/>
  <c r="R26" i="87"/>
  <c r="R74" i="87"/>
  <c r="R73" i="87"/>
  <c r="R69" i="87"/>
  <c r="R46" i="87"/>
  <c r="R45" i="87"/>
  <c r="R17" i="87"/>
  <c r="R64" i="87"/>
  <c r="R57" i="87"/>
  <c r="R56" i="87"/>
  <c r="R37" i="87"/>
  <c r="R36" i="87"/>
  <c r="X12" i="87"/>
  <c r="Z12" i="87" s="1"/>
  <c r="R78" i="87"/>
  <c r="R77" i="87"/>
  <c r="R66" i="87"/>
  <c r="R65" i="87"/>
  <c r="R50" i="87"/>
  <c r="R49" i="87"/>
  <c r="R83" i="87"/>
  <c r="R81" i="87"/>
  <c r="R43" i="87"/>
  <c r="R42" i="87"/>
  <c r="R34" i="87"/>
  <c r="R70" i="87"/>
  <c r="R68" i="87"/>
  <c r="R59" i="87"/>
  <c r="R53" i="87"/>
  <c r="R40" i="87"/>
  <c r="R31" i="87"/>
  <c r="R23" i="87"/>
  <c r="R47" i="87"/>
  <c r="R44" i="87"/>
  <c r="R41" i="87"/>
  <c r="R32" i="87"/>
  <c r="R79" i="87"/>
  <c r="R71" i="87"/>
  <c r="R54" i="87"/>
  <c r="R48" i="87"/>
  <c r="R29" i="87"/>
  <c r="R18" i="87"/>
  <c r="R24" i="87"/>
  <c r="R60" i="87"/>
  <c r="R51" i="87"/>
  <c r="R38" i="87"/>
  <c r="R35" i="87"/>
  <c r="R27" i="87"/>
  <c r="R16" i="87"/>
  <c r="R85" i="87"/>
  <c r="R67" i="87"/>
  <c r="R52" i="87"/>
  <c r="R39" i="87"/>
  <c r="R33" i="87"/>
  <c r="R20" i="87"/>
  <c r="R75" i="87"/>
  <c r="R72" i="87"/>
  <c r="R55" i="87"/>
  <c r="P20" i="87"/>
  <c r="R76" i="87"/>
  <c r="R58" i="87"/>
  <c r="R28" i="87"/>
  <c r="R25" i="87"/>
  <c r="R22" i="87"/>
  <c r="L58" i="84"/>
  <c r="D126" i="84"/>
  <c r="D85" i="73"/>
  <c r="V75" i="73"/>
  <c r="V67" i="73"/>
  <c r="V47" i="73"/>
  <c r="V43" i="73"/>
  <c r="V39" i="73"/>
  <c r="V35" i="73"/>
  <c r="V78" i="73"/>
  <c r="V66" i="73"/>
  <c r="V77" i="73"/>
  <c r="V69" i="73"/>
  <c r="V61" i="73"/>
  <c r="V57" i="73"/>
  <c r="V80" i="73"/>
  <c r="V68" i="73"/>
  <c r="V48" i="73"/>
  <c r="V44" i="73"/>
  <c r="V40" i="73"/>
  <c r="V36" i="73"/>
  <c r="V79" i="73"/>
  <c r="V63" i="73"/>
  <c r="V70" i="73"/>
  <c r="V62" i="73"/>
  <c r="V58" i="73"/>
  <c r="V54" i="73"/>
  <c r="V83" i="73"/>
  <c r="V81" i="73"/>
  <c r="V53" i="73"/>
  <c r="V49" i="73"/>
  <c r="V45" i="73"/>
  <c r="V41" i="73"/>
  <c r="V37" i="73"/>
  <c r="V72" i="73"/>
  <c r="V64" i="73"/>
  <c r="T51" i="73"/>
  <c r="V51" i="73" s="1"/>
  <c r="V71" i="73"/>
  <c r="V59" i="73"/>
  <c r="V55" i="73"/>
  <c r="V74" i="73"/>
  <c r="V46" i="73"/>
  <c r="V42" i="73"/>
  <c r="V38" i="73"/>
  <c r="V34" i="73"/>
  <c r="V76" i="73"/>
  <c r="V60" i="73"/>
  <c r="V56" i="73"/>
  <c r="V65" i="73"/>
  <c r="V87" i="73"/>
  <c r="V73" i="73"/>
  <c r="X117" i="68"/>
  <c r="V116" i="70"/>
  <c r="V98" i="70"/>
  <c r="V90" i="70"/>
  <c r="V70" i="70"/>
  <c r="V66" i="70"/>
  <c r="V122" i="70"/>
  <c r="V106" i="70"/>
  <c r="V82" i="70"/>
  <c r="V62" i="70"/>
  <c r="V60" i="70"/>
  <c r="V58" i="70"/>
  <c r="V54" i="70"/>
  <c r="V50" i="70"/>
  <c r="V46" i="70"/>
  <c r="V42" i="70"/>
  <c r="V101" i="70"/>
  <c r="V93" i="70"/>
  <c r="V77" i="70"/>
  <c r="V103" i="70"/>
  <c r="V110" i="70"/>
  <c r="V102" i="70"/>
  <c r="V94" i="70"/>
  <c r="V86" i="70"/>
  <c r="V78" i="70"/>
  <c r="V74" i="70"/>
  <c r="V117" i="70"/>
  <c r="V111" i="70"/>
  <c r="V87" i="70"/>
  <c r="V79" i="70"/>
  <c r="V75" i="70"/>
  <c r="V109" i="70"/>
  <c r="V105" i="70"/>
  <c r="V85" i="70"/>
  <c r="V64" i="70"/>
  <c r="V91" i="70"/>
  <c r="V69" i="70"/>
  <c r="V47" i="70"/>
  <c r="V44" i="70"/>
  <c r="V95" i="70"/>
  <c r="V89" i="70"/>
  <c r="V83" i="70"/>
  <c r="V53" i="70"/>
  <c r="V67" i="70"/>
  <c r="T60" i="70"/>
  <c r="V56" i="70"/>
  <c r="V81" i="70"/>
  <c r="V80" i="70"/>
  <c r="V72" i="70"/>
  <c r="V45" i="70"/>
  <c r="V113" i="70"/>
  <c r="V92" i="70"/>
  <c r="V73" i="70"/>
  <c r="V65" i="70"/>
  <c r="V108" i="70"/>
  <c r="V104" i="70"/>
  <c r="V57" i="70"/>
  <c r="V51" i="70"/>
  <c r="V48" i="70"/>
  <c r="V84" i="70"/>
  <c r="V63" i="70"/>
  <c r="V96" i="70"/>
  <c r="V68" i="70"/>
  <c r="V43" i="70"/>
  <c r="V88" i="70"/>
  <c r="V76" i="70"/>
  <c r="V49" i="70"/>
  <c r="V115" i="70"/>
  <c r="V112" i="70"/>
  <c r="V107" i="70"/>
  <c r="V100" i="70"/>
  <c r="V71" i="70"/>
  <c r="V55" i="70"/>
  <c r="V52" i="70"/>
  <c r="V99" i="70"/>
  <c r="V118" i="70"/>
  <c r="V97" i="70"/>
  <c r="V119" i="42"/>
  <c r="V117" i="42"/>
  <c r="V109" i="42"/>
  <c r="V93" i="42"/>
  <c r="V89" i="42"/>
  <c r="V90" i="42"/>
  <c r="V113" i="42"/>
  <c r="V105" i="42"/>
  <c r="V101" i="42"/>
  <c r="V97" i="42"/>
  <c r="V85" i="42"/>
  <c r="V77" i="42"/>
  <c r="V69" i="42"/>
  <c r="V96" i="42"/>
  <c r="V84" i="42"/>
  <c r="V80" i="42"/>
  <c r="V120" i="42"/>
  <c r="V110" i="42"/>
  <c r="V94" i="42"/>
  <c r="V82" i="42"/>
  <c r="V74" i="42"/>
  <c r="V61" i="42"/>
  <c r="V53" i="42"/>
  <c r="V45" i="42"/>
  <c r="V41" i="42"/>
  <c r="T28" i="42"/>
  <c r="V126" i="42"/>
  <c r="V122" i="42"/>
  <c r="V98" i="42"/>
  <c r="V95" i="42"/>
  <c r="V87" i="42"/>
  <c r="V60" i="42"/>
  <c r="V52" i="42"/>
  <c r="V40" i="42"/>
  <c r="V36" i="42"/>
  <c r="V32" i="42"/>
  <c r="V88" i="42"/>
  <c r="V73" i="42"/>
  <c r="V68" i="42"/>
  <c r="V63" i="42"/>
  <c r="V55" i="42"/>
  <c r="V107" i="42"/>
  <c r="V79" i="42"/>
  <c r="V62" i="42"/>
  <c r="V54" i="42"/>
  <c r="V46" i="42"/>
  <c r="V42" i="42"/>
  <c r="V115" i="42"/>
  <c r="V37" i="42"/>
  <c r="V33" i="42"/>
  <c r="V108" i="42"/>
  <c r="V103" i="42"/>
  <c r="V64" i="42"/>
  <c r="V56" i="42"/>
  <c r="V24" i="42"/>
  <c r="V116" i="42"/>
  <c r="V91" i="42"/>
  <c r="V76" i="42"/>
  <c r="V70" i="42"/>
  <c r="V65" i="42"/>
  <c r="V47" i="42"/>
  <c r="V43" i="42"/>
  <c r="V111" i="42"/>
  <c r="V99" i="42"/>
  <c r="V86" i="42"/>
  <c r="V75" i="42"/>
  <c r="V38" i="42"/>
  <c r="V34" i="42"/>
  <c r="V106" i="42"/>
  <c r="V83" i="42"/>
  <c r="V57" i="42"/>
  <c r="V49" i="42"/>
  <c r="V25" i="42"/>
  <c r="V114" i="42"/>
  <c r="V112" i="42"/>
  <c r="V104" i="42"/>
  <c r="V48" i="42"/>
  <c r="V44" i="42"/>
  <c r="Z12" i="42"/>
  <c r="V100" i="42"/>
  <c r="V92" i="42"/>
  <c r="V78" i="42"/>
  <c r="V67" i="42"/>
  <c r="V66" i="42"/>
  <c r="V58" i="42"/>
  <c r="V50" i="42"/>
  <c r="V30" i="42"/>
  <c r="V28" i="42"/>
  <c r="V26" i="42"/>
  <c r="V35" i="42"/>
  <c r="V51" i="42"/>
  <c r="V72" i="42"/>
  <c r="V31" i="42"/>
  <c r="V121" i="42"/>
  <c r="V81" i="42"/>
  <c r="V102" i="42"/>
  <c r="V39" i="42"/>
  <c r="V59" i="42"/>
  <c r="V71" i="42"/>
  <c r="X12" i="42"/>
  <c r="V123" i="36"/>
  <c r="V118" i="36"/>
  <c r="V110" i="36"/>
  <c r="V94" i="36"/>
  <c r="V90" i="36"/>
  <c r="V74" i="36"/>
  <c r="V62" i="36"/>
  <c r="V54" i="36"/>
  <c r="V46" i="36"/>
  <c r="V42" i="36"/>
  <c r="V117" i="36"/>
  <c r="V109" i="36"/>
  <c r="V105" i="36"/>
  <c r="V101" i="36"/>
  <c r="V89" i="36"/>
  <c r="V73" i="36"/>
  <c r="V65" i="36"/>
  <c r="V37" i="36"/>
  <c r="V33" i="36"/>
  <c r="V122" i="36"/>
  <c r="V112" i="36"/>
  <c r="V96" i="36"/>
  <c r="V84" i="36"/>
  <c r="V76" i="36"/>
  <c r="V64" i="36"/>
  <c r="V56" i="36"/>
  <c r="V24" i="36"/>
  <c r="V124" i="36"/>
  <c r="V121" i="36"/>
  <c r="V119" i="36"/>
  <c r="V111" i="36"/>
  <c r="V95" i="36"/>
  <c r="V91" i="36"/>
  <c r="V75" i="36"/>
  <c r="V67" i="36"/>
  <c r="V47" i="36"/>
  <c r="V43" i="36"/>
  <c r="V114" i="36"/>
  <c r="V106" i="36"/>
  <c r="V102" i="36"/>
  <c r="V78" i="36"/>
  <c r="V66" i="36"/>
  <c r="V38" i="36"/>
  <c r="V34" i="36"/>
  <c r="V113" i="36"/>
  <c r="V97" i="36"/>
  <c r="V85" i="36"/>
  <c r="V77" i="36"/>
  <c r="V69" i="36"/>
  <c r="V57" i="36"/>
  <c r="V49" i="36"/>
  <c r="V25" i="36"/>
  <c r="V92" i="36"/>
  <c r="V80" i="36"/>
  <c r="V68" i="36"/>
  <c r="V48" i="36"/>
  <c r="V44" i="36"/>
  <c r="V115" i="36"/>
  <c r="V107" i="36"/>
  <c r="V103" i="36"/>
  <c r="V99" i="36"/>
  <c r="V87" i="36"/>
  <c r="V79" i="36"/>
  <c r="V59" i="36"/>
  <c r="V51" i="36"/>
  <c r="V39" i="36"/>
  <c r="V35" i="36"/>
  <c r="V31" i="36"/>
  <c r="V98" i="36"/>
  <c r="V86" i="36"/>
  <c r="V82" i="36"/>
  <c r="V70" i="36"/>
  <c r="V58" i="36"/>
  <c r="V50" i="36"/>
  <c r="V30" i="36"/>
  <c r="V28" i="36"/>
  <c r="V26" i="36"/>
  <c r="V93" i="36"/>
  <c r="V81" i="36"/>
  <c r="V61" i="36"/>
  <c r="V53" i="36"/>
  <c r="V45" i="36"/>
  <c r="V41" i="36"/>
  <c r="T28" i="36"/>
  <c r="V128" i="36"/>
  <c r="V83" i="36"/>
  <c r="V71" i="36"/>
  <c r="V63" i="36"/>
  <c r="V55" i="36"/>
  <c r="V108" i="36"/>
  <c r="V72" i="36"/>
  <c r="V40" i="36"/>
  <c r="V104" i="36"/>
  <c r="V60" i="36"/>
  <c r="V88" i="36"/>
  <c r="V36" i="36"/>
  <c r="V116" i="36"/>
  <c r="V52" i="36"/>
  <c r="V32" i="36"/>
  <c r="V100" i="36"/>
  <c r="F156" i="30"/>
  <c r="F166" i="30"/>
  <c r="F161" i="30"/>
  <c r="F151" i="30"/>
  <c r="F137" i="30"/>
  <c r="F136" i="30"/>
  <c r="F97" i="30"/>
  <c r="F93" i="30"/>
  <c r="F162" i="30"/>
  <c r="F147" i="30"/>
  <c r="F144" i="30"/>
  <c r="F143" i="30"/>
  <c r="F120" i="30"/>
  <c r="F119" i="30"/>
  <c r="F112" i="30"/>
  <c r="F111" i="30"/>
  <c r="F84" i="30"/>
  <c r="F80" i="30"/>
  <c r="F76" i="30"/>
  <c r="F72" i="30"/>
  <c r="F68" i="30"/>
  <c r="F64" i="30"/>
  <c r="F60" i="30"/>
  <c r="F158" i="30"/>
  <c r="F131" i="30"/>
  <c r="F103" i="30"/>
  <c r="F99" i="30"/>
  <c r="F98" i="30"/>
  <c r="F152" i="30"/>
  <c r="F138" i="30"/>
  <c r="F122" i="30"/>
  <c r="F121" i="30"/>
  <c r="F94" i="30"/>
  <c r="F90" i="30"/>
  <c r="F89" i="30"/>
  <c r="F153" i="30"/>
  <c r="F148" i="30"/>
  <c r="F113" i="30"/>
  <c r="F88" i="30"/>
  <c r="F81" i="30"/>
  <c r="F77" i="30"/>
  <c r="F73" i="30"/>
  <c r="F69" i="30"/>
  <c r="F65" i="30"/>
  <c r="F61" i="30"/>
  <c r="F57" i="30"/>
  <c r="F56" i="30"/>
  <c r="F145" i="30"/>
  <c r="F132" i="30"/>
  <c r="F124" i="30"/>
  <c r="F123" i="30"/>
  <c r="F104" i="30"/>
  <c r="F100" i="30"/>
  <c r="D86" i="30"/>
  <c r="L12" i="30"/>
  <c r="N12" i="30" s="1"/>
  <c r="F160" i="30"/>
  <c r="F139" i="30"/>
  <c r="F115" i="30"/>
  <c r="F114" i="30"/>
  <c r="F95" i="30"/>
  <c r="F91" i="30"/>
  <c r="F134" i="30"/>
  <c r="F133" i="30"/>
  <c r="F126" i="30"/>
  <c r="F125" i="30"/>
  <c r="F106" i="30"/>
  <c r="F105" i="30"/>
  <c r="F82" i="30"/>
  <c r="F78" i="30"/>
  <c r="F74" i="30"/>
  <c r="F70" i="30"/>
  <c r="F66" i="30"/>
  <c r="F62" i="30"/>
  <c r="F58" i="30"/>
  <c r="F154" i="30"/>
  <c r="F149" i="30"/>
  <c r="F141" i="30"/>
  <c r="F140" i="30"/>
  <c r="F117" i="30"/>
  <c r="F116" i="30"/>
  <c r="F101" i="30"/>
  <c r="F146" i="30"/>
  <c r="F128" i="30"/>
  <c r="F127" i="30"/>
  <c r="F108" i="30"/>
  <c r="F107" i="30"/>
  <c r="F96" i="30"/>
  <c r="F92" i="30"/>
  <c r="F155" i="30"/>
  <c r="F150" i="30"/>
  <c r="F142" i="30"/>
  <c r="F130" i="30"/>
  <c r="F129" i="30"/>
  <c r="F118" i="30"/>
  <c r="F110" i="30"/>
  <c r="F109" i="30"/>
  <c r="F102" i="30"/>
  <c r="F79" i="30"/>
  <c r="F63" i="30"/>
  <c r="F71" i="30"/>
  <c r="F157" i="30"/>
  <c r="F135" i="30"/>
  <c r="F83" i="30"/>
  <c r="F59" i="30"/>
  <c r="F67" i="30"/>
  <c r="F75" i="30"/>
  <c r="J110" i="27"/>
  <c r="J104" i="27"/>
  <c r="J96" i="27"/>
  <c r="J86" i="27"/>
  <c r="J70" i="27"/>
  <c r="J66" i="27"/>
  <c r="J111" i="27"/>
  <c r="J105" i="27"/>
  <c r="J97" i="27"/>
  <c r="J87" i="27"/>
  <c r="J57" i="27"/>
  <c r="J53" i="27"/>
  <c r="J49" i="27"/>
  <c r="J45" i="27"/>
  <c r="J112" i="27"/>
  <c r="J98" i="27"/>
  <c r="J88" i="27"/>
  <c r="J80" i="27"/>
  <c r="J76" i="27"/>
  <c r="J119" i="27"/>
  <c r="J113" i="27"/>
  <c r="J99" i="27"/>
  <c r="J89" i="27"/>
  <c r="J71" i="27"/>
  <c r="J67" i="27"/>
  <c r="J118" i="27"/>
  <c r="J114" i="27"/>
  <c r="J106" i="27"/>
  <c r="J90" i="27"/>
  <c r="J58" i="27"/>
  <c r="J54" i="27"/>
  <c r="J50" i="27"/>
  <c r="J46" i="27"/>
  <c r="J123" i="27"/>
  <c r="J117" i="27"/>
  <c r="J91" i="27"/>
  <c r="J81" i="27"/>
  <c r="J77" i="27"/>
  <c r="J116" i="27"/>
  <c r="J100" i="27"/>
  <c r="J92" i="27"/>
  <c r="J82" i="27"/>
  <c r="J72" i="27"/>
  <c r="J68" i="27"/>
  <c r="J107" i="27"/>
  <c r="J101" i="27"/>
  <c r="J83" i="27"/>
  <c r="J59" i="27"/>
  <c r="J55" i="27"/>
  <c r="J51" i="27"/>
  <c r="J47" i="27"/>
  <c r="J108" i="27"/>
  <c r="J102" i="27"/>
  <c r="J84" i="27"/>
  <c r="J78" i="27"/>
  <c r="J64" i="27"/>
  <c r="J109" i="27"/>
  <c r="J93" i="27"/>
  <c r="J85" i="27"/>
  <c r="J73" i="27"/>
  <c r="J69" i="27"/>
  <c r="J65" i="27"/>
  <c r="J63" i="27"/>
  <c r="J61" i="27"/>
  <c r="J43" i="27"/>
  <c r="J103" i="27"/>
  <c r="J95" i="27"/>
  <c r="J79" i="27"/>
  <c r="J75" i="27"/>
  <c r="J56" i="27"/>
  <c r="J74" i="27"/>
  <c r="J44" i="27"/>
  <c r="J52" i="27"/>
  <c r="H61" i="27"/>
  <c r="J94" i="27"/>
  <c r="J48" i="27"/>
  <c r="V117" i="24"/>
  <c r="V109" i="24"/>
  <c r="V97" i="24"/>
  <c r="V93" i="24"/>
  <c r="T80" i="24"/>
  <c r="V124" i="24"/>
  <c r="V116" i="24"/>
  <c r="V108" i="24"/>
  <c r="V100" i="24"/>
  <c r="V88" i="24"/>
  <c r="V84" i="24"/>
  <c r="V126" i="24"/>
  <c r="V118" i="24"/>
  <c r="V110" i="24"/>
  <c r="V102" i="24"/>
  <c r="V94" i="24"/>
  <c r="V125" i="24"/>
  <c r="V101" i="24"/>
  <c r="V89" i="24"/>
  <c r="V85" i="24"/>
  <c r="V128" i="24"/>
  <c r="V120" i="24"/>
  <c r="V112" i="24"/>
  <c r="V132" i="24"/>
  <c r="V114" i="24"/>
  <c r="V90" i="24"/>
  <c r="V86" i="24"/>
  <c r="V131" i="24"/>
  <c r="V129" i="24"/>
  <c r="V121" i="24"/>
  <c r="V113" i="24"/>
  <c r="V105" i="24"/>
  <c r="V77" i="24"/>
  <c r="V73" i="24"/>
  <c r="V104" i="24"/>
  <c r="V96" i="24"/>
  <c r="V92" i="24"/>
  <c r="V136" i="24"/>
  <c r="V122" i="24"/>
  <c r="V106" i="24"/>
  <c r="V98" i="24"/>
  <c r="V82" i="24"/>
  <c r="V80" i="24"/>
  <c r="V78" i="24"/>
  <c r="V74" i="24"/>
  <c r="V70" i="24"/>
  <c r="V66" i="24"/>
  <c r="V62" i="24"/>
  <c r="V58" i="24"/>
  <c r="V99" i="24"/>
  <c r="V67" i="24"/>
  <c r="V63" i="24"/>
  <c r="V59" i="24"/>
  <c r="V119" i="24"/>
  <c r="V103" i="24"/>
  <c r="V76" i="24"/>
  <c r="V55" i="24"/>
  <c r="V72" i="24"/>
  <c r="V68" i="24"/>
  <c r="V123" i="24"/>
  <c r="V64" i="24"/>
  <c r="V60" i="24"/>
  <c r="V127" i="24"/>
  <c r="V111" i="24"/>
  <c r="V115" i="24"/>
  <c r="V83" i="24"/>
  <c r="V56" i="24"/>
  <c r="V87" i="24"/>
  <c r="V91" i="24"/>
  <c r="V69" i="24"/>
  <c r="V71" i="24"/>
  <c r="V57" i="24"/>
  <c r="V65" i="24"/>
  <c r="V75" i="24"/>
  <c r="V61" i="24"/>
  <c r="V107" i="24"/>
  <c r="V95" i="24"/>
  <c r="F90" i="24"/>
  <c r="F86" i="24"/>
  <c r="F129" i="24"/>
  <c r="F128" i="24"/>
  <c r="F121" i="24"/>
  <c r="F113" i="24"/>
  <c r="F77" i="24"/>
  <c r="F73" i="24"/>
  <c r="F69" i="24"/>
  <c r="F65" i="24"/>
  <c r="F61" i="24"/>
  <c r="F57" i="24"/>
  <c r="F134" i="24"/>
  <c r="F132" i="24"/>
  <c r="F115" i="24"/>
  <c r="F114" i="24"/>
  <c r="F91" i="24"/>
  <c r="F87" i="24"/>
  <c r="F136" i="24"/>
  <c r="F131" i="24"/>
  <c r="F122" i="24"/>
  <c r="F106" i="24"/>
  <c r="F105" i="24"/>
  <c r="F78" i="24"/>
  <c r="F74" i="24"/>
  <c r="F70" i="24"/>
  <c r="F66" i="24"/>
  <c r="F62" i="24"/>
  <c r="F58" i="24"/>
  <c r="F97" i="24"/>
  <c r="F141" i="24"/>
  <c r="F138" i="24"/>
  <c r="F123" i="24"/>
  <c r="F99" i="24"/>
  <c r="F98" i="24"/>
  <c r="F82" i="24"/>
  <c r="F80" i="24"/>
  <c r="F75" i="24"/>
  <c r="F71" i="24"/>
  <c r="F67" i="24"/>
  <c r="F63" i="24"/>
  <c r="F59" i="24"/>
  <c r="F118" i="24"/>
  <c r="F117" i="24"/>
  <c r="F110" i="24"/>
  <c r="F109" i="24"/>
  <c r="F94" i="24"/>
  <c r="D80" i="24"/>
  <c r="F125" i="24"/>
  <c r="F124" i="24"/>
  <c r="F101" i="24"/>
  <c r="F100" i="24"/>
  <c r="F89" i="24"/>
  <c r="F85" i="24"/>
  <c r="F127" i="24"/>
  <c r="F126" i="24"/>
  <c r="F103" i="24"/>
  <c r="F102" i="24"/>
  <c r="F95" i="24"/>
  <c r="L12" i="24"/>
  <c r="F116" i="24"/>
  <c r="F112" i="24"/>
  <c r="F107" i="24"/>
  <c r="F84" i="24"/>
  <c r="F92" i="24"/>
  <c r="F88" i="24"/>
  <c r="F119" i="24"/>
  <c r="F76" i="24"/>
  <c r="F108" i="24"/>
  <c r="F96" i="24"/>
  <c r="F72" i="24"/>
  <c r="F68" i="24"/>
  <c r="F64" i="24"/>
  <c r="F60" i="24"/>
  <c r="F55" i="24"/>
  <c r="F120" i="24"/>
  <c r="F83" i="24"/>
  <c r="F56" i="24"/>
  <c r="F111" i="24"/>
  <c r="F104" i="24"/>
  <c r="F93" i="24"/>
  <c r="H102" i="21"/>
  <c r="H91" i="9"/>
  <c r="N16" i="9"/>
  <c r="L16" i="9"/>
  <c r="H27" i="111"/>
  <c r="N18" i="111"/>
  <c r="L18" i="112"/>
  <c r="D27" i="112"/>
  <c r="T27" i="52"/>
  <c r="Z18" i="52"/>
  <c r="D27" i="46"/>
  <c r="L18" i="46"/>
  <c r="X18" i="35"/>
  <c r="P27" i="35"/>
  <c r="T27" i="34"/>
  <c r="Z18" i="34"/>
  <c r="H27" i="26"/>
  <c r="N18" i="26"/>
  <c r="L18" i="26"/>
  <c r="D27" i="26"/>
  <c r="T27" i="16"/>
  <c r="Z18" i="16"/>
  <c r="D27" i="17"/>
  <c r="L18" i="17"/>
  <c r="T27" i="17"/>
  <c r="Z18" i="17"/>
  <c r="T27" i="47"/>
  <c r="Z18" i="47"/>
  <c r="X18" i="40"/>
  <c r="P27" i="40"/>
  <c r="L18" i="34"/>
  <c r="D27" i="34"/>
  <c r="H27" i="28"/>
  <c r="N18" i="28"/>
  <c r="H27" i="14"/>
  <c r="N18" i="14"/>
  <c r="D27" i="11"/>
  <c r="L18" i="11"/>
  <c r="R83" i="103"/>
  <c r="R63" i="103"/>
  <c r="R62" i="103"/>
  <c r="R55" i="103"/>
  <c r="R54" i="103"/>
  <c r="R43" i="103"/>
  <c r="R42" i="103"/>
  <c r="R18" i="103"/>
  <c r="R79" i="103"/>
  <c r="R69" i="103"/>
  <c r="R37" i="103"/>
  <c r="R80" i="103"/>
  <c r="R73" i="103"/>
  <c r="R64" i="103"/>
  <c r="R57" i="103"/>
  <c r="R56" i="103"/>
  <c r="R45" i="103"/>
  <c r="R44" i="103"/>
  <c r="R24" i="103"/>
  <c r="R81" i="103"/>
  <c r="R70" i="103"/>
  <c r="R59" i="103"/>
  <c r="R58" i="103"/>
  <c r="R74" i="103"/>
  <c r="R65" i="103"/>
  <c r="R34" i="103"/>
  <c r="R33" i="103"/>
  <c r="R29" i="103"/>
  <c r="R25" i="103"/>
  <c r="P21" i="103"/>
  <c r="R60" i="103"/>
  <c r="R49" i="103"/>
  <c r="R48" i="103"/>
  <c r="R71" i="103"/>
  <c r="R39" i="103"/>
  <c r="R35" i="103"/>
  <c r="R76" i="103"/>
  <c r="R75" i="103"/>
  <c r="R67" i="103"/>
  <c r="R66" i="103"/>
  <c r="R51" i="103"/>
  <c r="R50" i="103"/>
  <c r="R30" i="103"/>
  <c r="R26" i="103"/>
  <c r="R72" i="103"/>
  <c r="R31" i="103"/>
  <c r="R27" i="103"/>
  <c r="R47" i="103"/>
  <c r="R41" i="103"/>
  <c r="R78" i="103"/>
  <c r="X12" i="103"/>
  <c r="Z12" i="103" s="1"/>
  <c r="R52" i="103"/>
  <c r="R28" i="103"/>
  <c r="R53" i="103"/>
  <c r="R46" i="103"/>
  <c r="R38" i="103"/>
  <c r="R87" i="103"/>
  <c r="R36" i="103"/>
  <c r="R19" i="103"/>
  <c r="R17" i="103"/>
  <c r="R40" i="103"/>
  <c r="R32" i="103"/>
  <c r="R77" i="103"/>
  <c r="R23" i="103"/>
  <c r="R68" i="103"/>
  <c r="R61" i="103"/>
  <c r="V43" i="98"/>
  <c r="V34" i="98"/>
  <c r="V45" i="98"/>
  <c r="V29" i="98"/>
  <c r="V25" i="98"/>
  <c r="V48" i="98"/>
  <c r="V46" i="98"/>
  <c r="V52" i="98"/>
  <c r="V44" i="98"/>
  <c r="V41" i="98"/>
  <c r="V26" i="98"/>
  <c r="V42" i="98"/>
  <c r="V33" i="98"/>
  <c r="V23" i="98"/>
  <c r="V16" i="98"/>
  <c r="V38" i="98"/>
  <c r="V37" i="98"/>
  <c r="V31" i="98"/>
  <c r="V30" i="98"/>
  <c r="V27" i="98"/>
  <c r="V24" i="98"/>
  <c r="V17" i="98"/>
  <c r="V36" i="98"/>
  <c r="V35" i="98"/>
  <c r="V32" i="98"/>
  <c r="V28" i="98"/>
  <c r="V22" i="98"/>
  <c r="V21" i="98"/>
  <c r="T19" i="98"/>
  <c r="V39" i="98"/>
  <c r="V40" i="98"/>
  <c r="P99" i="91"/>
  <c r="T83" i="87"/>
  <c r="X56" i="78"/>
  <c r="R75" i="75"/>
  <c r="R74" i="75"/>
  <c r="R70" i="75"/>
  <c r="R55" i="75"/>
  <c r="R54" i="75"/>
  <c r="R46" i="75"/>
  <c r="R77" i="75"/>
  <c r="R76" i="75"/>
  <c r="R64" i="75"/>
  <c r="R57" i="75"/>
  <c r="R56" i="75"/>
  <c r="R71" i="75"/>
  <c r="R47" i="75"/>
  <c r="R79" i="75"/>
  <c r="R78" i="75"/>
  <c r="R58" i="75"/>
  <c r="R42" i="75"/>
  <c r="R38" i="75"/>
  <c r="R66" i="75"/>
  <c r="R65" i="75"/>
  <c r="R83" i="75"/>
  <c r="R80" i="75"/>
  <c r="R72" i="75"/>
  <c r="R82" i="75"/>
  <c r="R68" i="75"/>
  <c r="R67" i="75"/>
  <c r="R60" i="75"/>
  <c r="R59" i="75"/>
  <c r="R44" i="75"/>
  <c r="R43" i="75"/>
  <c r="R39" i="75"/>
  <c r="R51" i="75"/>
  <c r="R50" i="75"/>
  <c r="R35" i="75"/>
  <c r="R87" i="75"/>
  <c r="R73" i="75"/>
  <c r="R69" i="75"/>
  <c r="R62" i="75"/>
  <c r="R61" i="75"/>
  <c r="R45" i="75"/>
  <c r="R34" i="75"/>
  <c r="R32" i="75"/>
  <c r="R30" i="75"/>
  <c r="R63" i="75"/>
  <c r="R49" i="75"/>
  <c r="R53" i="75"/>
  <c r="R36" i="75"/>
  <c r="R40" i="75"/>
  <c r="R37" i="75"/>
  <c r="P32" i="75"/>
  <c r="R41" i="75"/>
  <c r="X12" i="75"/>
  <c r="R48" i="75"/>
  <c r="R52" i="75"/>
  <c r="R65" i="78"/>
  <c r="R32" i="78"/>
  <c r="R28" i="78"/>
  <c r="P24" i="78"/>
  <c r="R39" i="78"/>
  <c r="R38" i="78"/>
  <c r="R59" i="78"/>
  <c r="R53" i="78"/>
  <c r="R52" i="78"/>
  <c r="R44" i="78"/>
  <c r="R36" i="78"/>
  <c r="R17" i="78"/>
  <c r="X12" i="78"/>
  <c r="Z12" i="78" s="1"/>
  <c r="R61" i="78"/>
  <c r="R49" i="78"/>
  <c r="R41" i="78"/>
  <c r="R37" i="78"/>
  <c r="R31" i="78"/>
  <c r="R56" i="78"/>
  <c r="R34" i="78"/>
  <c r="R22" i="78"/>
  <c r="R19" i="78"/>
  <c r="R70" i="78"/>
  <c r="R50" i="78"/>
  <c r="R35" i="78"/>
  <c r="R29" i="78"/>
  <c r="R45" i="78"/>
  <c r="R42" i="78"/>
  <c r="R24" i="78"/>
  <c r="R57" i="78"/>
  <c r="R63" i="78"/>
  <c r="R51" i="78"/>
  <c r="R46" i="78"/>
  <c r="R43" i="78"/>
  <c r="R26" i="78"/>
  <c r="R20" i="78"/>
  <c r="R58" i="78"/>
  <c r="R67" i="78"/>
  <c r="R54" i="78"/>
  <c r="R33" i="78"/>
  <c r="R30" i="78"/>
  <c r="R27" i="78"/>
  <c r="R47" i="78"/>
  <c r="R21" i="78"/>
  <c r="R40" i="78"/>
  <c r="R48" i="78"/>
  <c r="R18" i="78"/>
  <c r="R60" i="78"/>
  <c r="L20" i="69"/>
  <c r="D68" i="69"/>
  <c r="Z16" i="59"/>
  <c r="T61" i="59"/>
  <c r="N101" i="51"/>
  <c r="J84" i="51"/>
  <c r="J74" i="51"/>
  <c r="J50" i="51"/>
  <c r="J46" i="51"/>
  <c r="J42" i="51"/>
  <c r="J94" i="51"/>
  <c r="J86" i="51"/>
  <c r="J76" i="51"/>
  <c r="J64" i="51"/>
  <c r="J60" i="51"/>
  <c r="J95" i="51"/>
  <c r="J87" i="51"/>
  <c r="J77" i="51"/>
  <c r="J51" i="51"/>
  <c r="J47" i="51"/>
  <c r="J96" i="51"/>
  <c r="J88" i="51"/>
  <c r="J78" i="51"/>
  <c r="J70" i="51"/>
  <c r="J105" i="51"/>
  <c r="J97" i="51"/>
  <c r="J89" i="51"/>
  <c r="J79" i="51"/>
  <c r="J65" i="51"/>
  <c r="J61" i="51"/>
  <c r="J109" i="51"/>
  <c r="J103" i="51"/>
  <c r="J99" i="51"/>
  <c r="J91" i="51"/>
  <c r="J71" i="51"/>
  <c r="J57" i="51"/>
  <c r="J102" i="51"/>
  <c r="J66" i="51"/>
  <c r="J62" i="51"/>
  <c r="J58" i="51"/>
  <c r="J56" i="51"/>
  <c r="J101" i="51"/>
  <c r="J83" i="51"/>
  <c r="J73" i="51"/>
  <c r="J63" i="51"/>
  <c r="J59" i="51"/>
  <c r="J92" i="51"/>
  <c r="H54" i="51"/>
  <c r="J54" i="51" s="1"/>
  <c r="J39" i="51"/>
  <c r="J81" i="51"/>
  <c r="J75" i="51"/>
  <c r="J49" i="51"/>
  <c r="J104" i="51"/>
  <c r="J67" i="51"/>
  <c r="J45" i="51"/>
  <c r="J40" i="51"/>
  <c r="J82" i="51"/>
  <c r="J69" i="51"/>
  <c r="J52" i="51"/>
  <c r="J43" i="51"/>
  <c r="J80" i="51"/>
  <c r="J93" i="51"/>
  <c r="J48" i="51"/>
  <c r="J85" i="51"/>
  <c r="J41" i="51"/>
  <c r="J98" i="51"/>
  <c r="J72" i="51"/>
  <c r="J44" i="51"/>
  <c r="J68" i="51"/>
  <c r="J90" i="51"/>
  <c r="P111" i="51"/>
  <c r="V116" i="27"/>
  <c r="F100" i="21"/>
  <c r="F91" i="21"/>
  <c r="F87" i="21"/>
  <c r="F35" i="21"/>
  <c r="F31" i="21"/>
  <c r="F30" i="21"/>
  <c r="F104" i="21"/>
  <c r="F74" i="21"/>
  <c r="F66" i="21"/>
  <c r="F65" i="21"/>
  <c r="F54" i="21"/>
  <c r="F29" i="21"/>
  <c r="F27" i="21"/>
  <c r="F81" i="21"/>
  <c r="F45" i="21"/>
  <c r="F41" i="21"/>
  <c r="D27" i="21"/>
  <c r="F92" i="21"/>
  <c r="F88" i="21"/>
  <c r="F76" i="21"/>
  <c r="F75" i="21"/>
  <c r="F68" i="21"/>
  <c r="F67" i="21"/>
  <c r="F56" i="21"/>
  <c r="F55" i="21"/>
  <c r="F36" i="21"/>
  <c r="F32" i="21"/>
  <c r="F83" i="21"/>
  <c r="F82" i="21"/>
  <c r="F47" i="21"/>
  <c r="F46" i="21"/>
  <c r="F94" i="21"/>
  <c r="F93" i="21"/>
  <c r="F78" i="21"/>
  <c r="F77" i="21"/>
  <c r="F70" i="21"/>
  <c r="F69" i="21"/>
  <c r="F58" i="21"/>
  <c r="F57" i="21"/>
  <c r="F42" i="21"/>
  <c r="F89" i="21"/>
  <c r="F85" i="21"/>
  <c r="F84" i="21"/>
  <c r="F49" i="21"/>
  <c r="F48" i="21"/>
  <c r="F37" i="21"/>
  <c r="F33" i="21"/>
  <c r="F96" i="21"/>
  <c r="F95" i="21"/>
  <c r="F72" i="21"/>
  <c r="F71" i="21"/>
  <c r="F60" i="21"/>
  <c r="F59" i="21"/>
  <c r="F24" i="21"/>
  <c r="F23" i="21"/>
  <c r="F79" i="21"/>
  <c r="F51" i="21"/>
  <c r="F50" i="21"/>
  <c r="F43" i="21"/>
  <c r="F98" i="21"/>
  <c r="F97" i="21"/>
  <c r="F90" i="21"/>
  <c r="F86" i="21"/>
  <c r="F62" i="21"/>
  <c r="F61" i="21"/>
  <c r="F38" i="21"/>
  <c r="F34" i="21"/>
  <c r="F80" i="21"/>
  <c r="F64" i="21"/>
  <c r="F63" i="21"/>
  <c r="F44" i="21"/>
  <c r="F40" i="21"/>
  <c r="F39" i="21"/>
  <c r="L12" i="21"/>
  <c r="N12" i="21" s="1"/>
  <c r="F52" i="21"/>
  <c r="F73" i="21"/>
  <c r="F25" i="21"/>
  <c r="F53" i="21"/>
  <c r="P91" i="9"/>
  <c r="X16" i="9"/>
  <c r="L16" i="6"/>
  <c r="D22" i="6"/>
  <c r="F266" i="12"/>
  <c r="F257" i="12"/>
  <c r="F245" i="12"/>
  <c r="F241" i="12"/>
  <c r="F240" i="12"/>
  <c r="F229" i="12"/>
  <c r="F213" i="12"/>
  <c r="F212" i="12"/>
  <c r="F177" i="12"/>
  <c r="F173" i="12"/>
  <c r="F265" i="12"/>
  <c r="F224" i="12"/>
  <c r="F204" i="12"/>
  <c r="F203" i="12"/>
  <c r="F196" i="12"/>
  <c r="F195" i="12"/>
  <c r="F164" i="12"/>
  <c r="F264" i="12"/>
  <c r="F259" i="12"/>
  <c r="F258" i="12"/>
  <c r="F251" i="12"/>
  <c r="F235" i="12"/>
  <c r="F263" i="12"/>
  <c r="F246" i="12"/>
  <c r="F242" i="12"/>
  <c r="F230" i="12"/>
  <c r="F206" i="12"/>
  <c r="F205" i="12"/>
  <c r="F178" i="12"/>
  <c r="F174" i="12"/>
  <c r="F170" i="12"/>
  <c r="F169" i="12"/>
  <c r="F262" i="12"/>
  <c r="F253" i="12"/>
  <c r="F252" i="12"/>
  <c r="F225" i="12"/>
  <c r="F217" i="12"/>
  <c r="F216" i="12"/>
  <c r="F197" i="12"/>
  <c r="F189" i="12"/>
  <c r="F188" i="12"/>
  <c r="F168" i="12"/>
  <c r="F161" i="12"/>
  <c r="F157" i="12"/>
  <c r="F153" i="12"/>
  <c r="F149" i="12"/>
  <c r="F145" i="12"/>
  <c r="F141" i="12"/>
  <c r="F137" i="12"/>
  <c r="F133" i="12"/>
  <c r="F129" i="12"/>
  <c r="F261" i="12"/>
  <c r="F236" i="12"/>
  <c r="F232" i="12"/>
  <c r="F231" i="12"/>
  <c r="F208" i="12"/>
  <c r="F207" i="12"/>
  <c r="F238" i="12"/>
  <c r="F237" i="12"/>
  <c r="F226" i="12"/>
  <c r="F162" i="12"/>
  <c r="F158" i="12"/>
  <c r="F154" i="12"/>
  <c r="F150" i="12"/>
  <c r="F146" i="12"/>
  <c r="F142" i="12"/>
  <c r="F138" i="12"/>
  <c r="F134" i="12"/>
  <c r="F130" i="12"/>
  <c r="F126" i="12"/>
  <c r="F122" i="12"/>
  <c r="F118" i="12"/>
  <c r="F114" i="12"/>
  <c r="F270" i="12"/>
  <c r="F233" i="12"/>
  <c r="F221" i="12"/>
  <c r="F220" i="12"/>
  <c r="F209" i="12"/>
  <c r="F185" i="12"/>
  <c r="F181" i="12"/>
  <c r="F180" i="12"/>
  <c r="F274" i="12"/>
  <c r="F269" i="12"/>
  <c r="F256" i="12"/>
  <c r="F248" i="12"/>
  <c r="F244" i="12"/>
  <c r="F228" i="12"/>
  <c r="F227" i="12"/>
  <c r="F200" i="12"/>
  <c r="F192" i="12"/>
  <c r="F176" i="12"/>
  <c r="F172" i="12"/>
  <c r="F267" i="12"/>
  <c r="F250" i="12"/>
  <c r="F249" i="12"/>
  <c r="F234" i="12"/>
  <c r="F202" i="12"/>
  <c r="F201" i="12"/>
  <c r="F194" i="12"/>
  <c r="F193" i="12"/>
  <c r="F186" i="12"/>
  <c r="F182" i="12"/>
  <c r="F215" i="12"/>
  <c r="F156" i="12"/>
  <c r="F136" i="12"/>
  <c r="F113" i="12"/>
  <c r="F239" i="12"/>
  <c r="F222" i="12"/>
  <c r="F211" i="12"/>
  <c r="F190" i="12"/>
  <c r="F147" i="12"/>
  <c r="F255" i="12"/>
  <c r="F132" i="12"/>
  <c r="F123" i="12"/>
  <c r="F243" i="12"/>
  <c r="F171" i="12"/>
  <c r="F152" i="12"/>
  <c r="F143" i="12"/>
  <c r="F121" i="12"/>
  <c r="F116" i="12"/>
  <c r="F198" i="12"/>
  <c r="D166" i="12"/>
  <c r="F166" i="12" s="1"/>
  <c r="F163" i="12"/>
  <c r="F128" i="12"/>
  <c r="F183" i="12"/>
  <c r="F175" i="12"/>
  <c r="F159" i="12"/>
  <c r="F139" i="12"/>
  <c r="F268" i="12"/>
  <c r="F223" i="12"/>
  <c r="F218" i="12"/>
  <c r="F191" i="12"/>
  <c r="F179" i="12"/>
  <c r="F148" i="12"/>
  <c r="F119" i="12"/>
  <c r="F187" i="12"/>
  <c r="F135" i="12"/>
  <c r="F124" i="12"/>
  <c r="F117" i="12"/>
  <c r="L12" i="12"/>
  <c r="F254" i="12"/>
  <c r="F214" i="12"/>
  <c r="F210" i="12"/>
  <c r="F155" i="12"/>
  <c r="F144" i="12"/>
  <c r="F247" i="12"/>
  <c r="F219" i="12"/>
  <c r="F199" i="12"/>
  <c r="F131" i="12"/>
  <c r="F184" i="12"/>
  <c r="F151" i="12"/>
  <c r="F127" i="12"/>
  <c r="F125" i="12"/>
  <c r="F120" i="12"/>
  <c r="F115" i="12"/>
  <c r="F160" i="12"/>
  <c r="F140" i="12"/>
  <c r="F112" i="12"/>
  <c r="T272" i="12"/>
  <c r="D314" i="3"/>
  <c r="X18" i="112"/>
  <c r="P27" i="112"/>
  <c r="X18" i="111"/>
  <c r="P27" i="111"/>
  <c r="X18" i="53"/>
  <c r="P27" i="53"/>
  <c r="H27" i="47"/>
  <c r="N18" i="47"/>
  <c r="D27" i="47"/>
  <c r="L18" i="47"/>
  <c r="D27" i="43"/>
  <c r="L18" i="43"/>
  <c r="H27" i="41"/>
  <c r="N18" i="41"/>
  <c r="X18" i="38"/>
  <c r="P27" i="38"/>
  <c r="X18" i="37"/>
  <c r="P27" i="37"/>
  <c r="T27" i="37"/>
  <c r="Z18" i="37"/>
  <c r="T27" i="25"/>
  <c r="Z18" i="25"/>
  <c r="L18" i="25"/>
  <c r="D27" i="25"/>
  <c r="P27" i="16"/>
  <c r="X18" i="16"/>
  <c r="H27" i="5"/>
  <c r="N18" i="5"/>
  <c r="D27" i="8"/>
  <c r="L18" i="8"/>
  <c r="T27" i="13"/>
  <c r="Z18" i="13"/>
  <c r="R104" i="76"/>
  <c r="R98" i="76"/>
  <c r="R97" i="76"/>
  <c r="R90" i="76"/>
  <c r="R89" i="76"/>
  <c r="R109" i="76"/>
  <c r="R102" i="76"/>
  <c r="R99" i="76"/>
  <c r="R91" i="76"/>
  <c r="R86" i="76"/>
  <c r="R69" i="76"/>
  <c r="R101" i="76"/>
  <c r="R82" i="76"/>
  <c r="R81" i="76"/>
  <c r="R77" i="76"/>
  <c r="R76" i="76"/>
  <c r="R64" i="76"/>
  <c r="R60" i="76"/>
  <c r="R95" i="76"/>
  <c r="R51" i="76"/>
  <c r="R47" i="76"/>
  <c r="R43" i="76"/>
  <c r="R103" i="76"/>
  <c r="R87" i="76"/>
  <c r="R70" i="76"/>
  <c r="R39" i="76"/>
  <c r="R96" i="76"/>
  <c r="R92" i="76"/>
  <c r="R65" i="76"/>
  <c r="R61" i="76"/>
  <c r="R105" i="76"/>
  <c r="R88" i="76"/>
  <c r="R83" i="76"/>
  <c r="R78" i="76"/>
  <c r="R57" i="76"/>
  <c r="R52" i="76"/>
  <c r="R48" i="76"/>
  <c r="R44" i="76"/>
  <c r="R40" i="76"/>
  <c r="R84" i="76"/>
  <c r="R79" i="76"/>
  <c r="R71" i="76"/>
  <c r="R56" i="76"/>
  <c r="R67" i="76"/>
  <c r="R66" i="76"/>
  <c r="R62" i="76"/>
  <c r="R58" i="76"/>
  <c r="P54" i="76"/>
  <c r="R54" i="76" s="1"/>
  <c r="R49" i="76"/>
  <c r="R45" i="76"/>
  <c r="R41" i="76"/>
  <c r="R93" i="76"/>
  <c r="R80" i="76"/>
  <c r="R73" i="76"/>
  <c r="R72" i="76"/>
  <c r="R68" i="76"/>
  <c r="X12" i="76"/>
  <c r="Z12" i="76" s="1"/>
  <c r="R94" i="76"/>
  <c r="R75" i="76"/>
  <c r="R74" i="76"/>
  <c r="R50" i="76"/>
  <c r="R46" i="76"/>
  <c r="R42" i="76"/>
  <c r="R63" i="76"/>
  <c r="R59" i="76"/>
  <c r="R85" i="76"/>
  <c r="H27" i="50"/>
  <c r="N18" i="50"/>
  <c r="D27" i="49"/>
  <c r="L18" i="49"/>
  <c r="X18" i="5"/>
  <c r="P27" i="5"/>
  <c r="L18" i="14"/>
  <c r="D27" i="14"/>
  <c r="L31" i="108"/>
  <c r="N31" i="108" s="1"/>
  <c r="D84" i="107"/>
  <c r="L21" i="107"/>
  <c r="H89" i="105"/>
  <c r="P46" i="102"/>
  <c r="X16" i="102"/>
  <c r="F85" i="105"/>
  <c r="F84" i="105"/>
  <c r="F77" i="105"/>
  <c r="F87" i="105"/>
  <c r="F78" i="105"/>
  <c r="F74" i="105"/>
  <c r="F91" i="105"/>
  <c r="F79" i="105"/>
  <c r="F75" i="105"/>
  <c r="F71" i="105"/>
  <c r="F70" i="105"/>
  <c r="F76" i="105"/>
  <c r="F72" i="105"/>
  <c r="F31" i="105"/>
  <c r="F27" i="105"/>
  <c r="F83" i="105"/>
  <c r="F67" i="105"/>
  <c r="F62" i="105"/>
  <c r="F54" i="105"/>
  <c r="F53" i="105"/>
  <c r="F42" i="105"/>
  <c r="F41" i="105"/>
  <c r="F18" i="105"/>
  <c r="F17" i="105"/>
  <c r="F80" i="105"/>
  <c r="F37" i="105"/>
  <c r="F68" i="105"/>
  <c r="F64" i="105"/>
  <c r="F63" i="105"/>
  <c r="F56" i="105"/>
  <c r="F55" i="105"/>
  <c r="F44" i="105"/>
  <c r="F43" i="105"/>
  <c r="F32" i="105"/>
  <c r="F28" i="105"/>
  <c r="F69" i="105"/>
  <c r="F19" i="105"/>
  <c r="F58" i="105"/>
  <c r="F57" i="105"/>
  <c r="F46" i="105"/>
  <c r="F45" i="105"/>
  <c r="F38" i="105"/>
  <c r="F81" i="105"/>
  <c r="F73" i="105"/>
  <c r="F65" i="105"/>
  <c r="F33" i="105"/>
  <c r="F29" i="105"/>
  <c r="F25" i="105"/>
  <c r="F24" i="105"/>
  <c r="F60" i="105"/>
  <c r="F59" i="105"/>
  <c r="F48" i="105"/>
  <c r="F47" i="105"/>
  <c r="F23" i="105"/>
  <c r="F21" i="105"/>
  <c r="F39" i="105"/>
  <c r="F35" i="105"/>
  <c r="F34" i="105"/>
  <c r="D21" i="105"/>
  <c r="F52" i="105"/>
  <c r="F51" i="105"/>
  <c r="F40" i="105"/>
  <c r="F36" i="105"/>
  <c r="L12" i="105"/>
  <c r="N12" i="105" s="1"/>
  <c r="F61" i="105"/>
  <c r="F49" i="105"/>
  <c r="F50" i="105"/>
  <c r="F26" i="105"/>
  <c r="F82" i="105"/>
  <c r="F66" i="105"/>
  <c r="F30" i="105"/>
  <c r="H53" i="102"/>
  <c r="J71" i="101"/>
  <c r="J67" i="101"/>
  <c r="J59" i="101"/>
  <c r="J51" i="101"/>
  <c r="J31" i="101"/>
  <c r="J27" i="101"/>
  <c r="J60" i="101"/>
  <c r="J52" i="101"/>
  <c r="J61" i="101"/>
  <c r="J53" i="101"/>
  <c r="J72" i="101"/>
  <c r="J68" i="101"/>
  <c r="J62" i="101"/>
  <c r="J54" i="101"/>
  <c r="J42" i="101"/>
  <c r="J32" i="101"/>
  <c r="J28" i="101"/>
  <c r="J18" i="101"/>
  <c r="J73" i="101"/>
  <c r="J63" i="101"/>
  <c r="J55" i="101"/>
  <c r="J74" i="101"/>
  <c r="J56" i="101"/>
  <c r="J44" i="101"/>
  <c r="J38" i="101"/>
  <c r="J75" i="101"/>
  <c r="J69" i="101"/>
  <c r="J57" i="101"/>
  <c r="J45" i="101"/>
  <c r="J33" i="101"/>
  <c r="J29" i="101"/>
  <c r="J76" i="101"/>
  <c r="J64" i="101"/>
  <c r="J46" i="101"/>
  <c r="J20" i="101"/>
  <c r="J79" i="101"/>
  <c r="J65" i="101"/>
  <c r="J47" i="101"/>
  <c r="J39" i="101"/>
  <c r="J25" i="101"/>
  <c r="J37" i="101"/>
  <c r="J35" i="101"/>
  <c r="J24" i="101"/>
  <c r="J41" i="101"/>
  <c r="J66" i="101"/>
  <c r="J83" i="101"/>
  <c r="J78" i="101"/>
  <c r="J49" i="101"/>
  <c r="J36" i="101"/>
  <c r="J70" i="101"/>
  <c r="J40" i="101"/>
  <c r="J34" i="101"/>
  <c r="J30" i="101"/>
  <c r="J26" i="101"/>
  <c r="J48" i="101"/>
  <c r="J43" i="101"/>
  <c r="H22" i="101"/>
  <c r="J50" i="101"/>
  <c r="J58" i="101"/>
  <c r="J19" i="101"/>
  <c r="L12" i="101"/>
  <c r="N12" i="101" s="1"/>
  <c r="D81" i="101"/>
  <c r="V94" i="95"/>
  <c r="V80" i="95"/>
  <c r="V76" i="95"/>
  <c r="V72" i="95"/>
  <c r="V83" i="95"/>
  <c r="V86" i="95"/>
  <c r="V78" i="95"/>
  <c r="V74" i="95"/>
  <c r="V85" i="95"/>
  <c r="V69" i="95"/>
  <c r="V57" i="95"/>
  <c r="V90" i="95"/>
  <c r="V68" i="95"/>
  <c r="V64" i="95"/>
  <c r="V65" i="95"/>
  <c r="V53" i="95"/>
  <c r="V48" i="95"/>
  <c r="V28" i="95"/>
  <c r="V24" i="95"/>
  <c r="V59" i="95"/>
  <c r="V54" i="95"/>
  <c r="V47" i="95"/>
  <c r="V39" i="95"/>
  <c r="V73" i="95"/>
  <c r="V38" i="95"/>
  <c r="V34" i="95"/>
  <c r="V63" i="95"/>
  <c r="V62" i="95"/>
  <c r="V50" i="95"/>
  <c r="V41" i="95"/>
  <c r="V29" i="95"/>
  <c r="V25" i="95"/>
  <c r="V84" i="95"/>
  <c r="V49" i="95"/>
  <c r="V40" i="95"/>
  <c r="V16" i="95"/>
  <c r="V71" i="95"/>
  <c r="V66" i="95"/>
  <c r="V60" i="95"/>
  <c r="V56" i="95"/>
  <c r="V55" i="95"/>
  <c r="V43" i="95"/>
  <c r="V35" i="95"/>
  <c r="V87" i="95"/>
  <c r="V81" i="95"/>
  <c r="V42" i="95"/>
  <c r="V30" i="95"/>
  <c r="V26" i="95"/>
  <c r="V52" i="95"/>
  <c r="V51" i="95"/>
  <c r="V45" i="95"/>
  <c r="V17" i="95"/>
  <c r="V82" i="95"/>
  <c r="V79" i="95"/>
  <c r="V44" i="95"/>
  <c r="V36" i="95"/>
  <c r="V32" i="95"/>
  <c r="Z12" i="95"/>
  <c r="V89" i="95"/>
  <c r="V75" i="95"/>
  <c r="V70" i="95"/>
  <c r="V37" i="95"/>
  <c r="V33" i="95"/>
  <c r="T20" i="95"/>
  <c r="V61" i="95"/>
  <c r="V23" i="95"/>
  <c r="X12" i="95"/>
  <c r="V77" i="95"/>
  <c r="V46" i="95"/>
  <c r="V27" i="95"/>
  <c r="V58" i="95"/>
  <c r="V31" i="95"/>
  <c r="V20" i="95"/>
  <c r="V67" i="95"/>
  <c r="V22" i="95"/>
  <c r="V18" i="95"/>
  <c r="D72" i="92"/>
  <c r="D30" i="85"/>
  <c r="L18" i="85"/>
  <c r="N18" i="85" s="1"/>
  <c r="H30" i="85"/>
  <c r="H27" i="82"/>
  <c r="J121" i="74"/>
  <c r="J109" i="74"/>
  <c r="J93" i="74"/>
  <c r="J124" i="74"/>
  <c r="J110" i="74"/>
  <c r="J102" i="74"/>
  <c r="J94" i="74"/>
  <c r="J90" i="74"/>
  <c r="J80" i="74"/>
  <c r="J125" i="74"/>
  <c r="J117" i="74"/>
  <c r="J111" i="74"/>
  <c r="J103" i="74"/>
  <c r="J85" i="74"/>
  <c r="J81" i="74"/>
  <c r="J79" i="74"/>
  <c r="J112" i="74"/>
  <c r="J104" i="74"/>
  <c r="J130" i="74"/>
  <c r="J126" i="74"/>
  <c r="J118" i="74"/>
  <c r="J129" i="74"/>
  <c r="J113" i="74"/>
  <c r="J105" i="74"/>
  <c r="J97" i="74"/>
  <c r="J73" i="74"/>
  <c r="J69" i="74"/>
  <c r="J134" i="74"/>
  <c r="J128" i="74"/>
  <c r="J120" i="74"/>
  <c r="J108" i="74"/>
  <c r="J74" i="74"/>
  <c r="J70" i="74"/>
  <c r="J66" i="74"/>
  <c r="J62" i="74"/>
  <c r="J58" i="74"/>
  <c r="J54" i="74"/>
  <c r="J115" i="74"/>
  <c r="J68" i="74"/>
  <c r="J55" i="74"/>
  <c r="J83" i="74"/>
  <c r="J71" i="74"/>
  <c r="J65" i="74"/>
  <c r="H77" i="74"/>
  <c r="J77" i="74" s="1"/>
  <c r="J59" i="74"/>
  <c r="N12" i="74"/>
  <c r="J100" i="74"/>
  <c r="J52" i="74"/>
  <c r="J123" i="74"/>
  <c r="J116" i="74"/>
  <c r="J106" i="74"/>
  <c r="J95" i="74"/>
  <c r="J88" i="74"/>
  <c r="J86" i="74"/>
  <c r="J56" i="74"/>
  <c r="J101" i="74"/>
  <c r="J98" i="74"/>
  <c r="J91" i="74"/>
  <c r="J63" i="74"/>
  <c r="J53" i="74"/>
  <c r="J84" i="74"/>
  <c r="J72" i="74"/>
  <c r="J60" i="74"/>
  <c r="J114" i="74"/>
  <c r="J96" i="74"/>
  <c r="J89" i="74"/>
  <c r="J82" i="74"/>
  <c r="J57" i="74"/>
  <c r="J67" i="74"/>
  <c r="J119" i="74"/>
  <c r="J107" i="74"/>
  <c r="J75" i="74"/>
  <c r="J64" i="74"/>
  <c r="J92" i="74"/>
  <c r="J87" i="74"/>
  <c r="J122" i="74"/>
  <c r="J61" i="74"/>
  <c r="J99" i="74"/>
  <c r="T68" i="69"/>
  <c r="X16" i="61"/>
  <c r="P49" i="61"/>
  <c r="X16" i="59"/>
  <c r="H79" i="58"/>
  <c r="P33" i="55"/>
  <c r="X16" i="55"/>
  <c r="P76" i="58"/>
  <c r="T72" i="58"/>
  <c r="Z16" i="58"/>
  <c r="D67" i="48"/>
  <c r="J53" i="48"/>
  <c r="J29" i="48"/>
  <c r="J25" i="48"/>
  <c r="J21" i="48"/>
  <c r="J19" i="48"/>
  <c r="J17" i="48"/>
  <c r="J15" i="48"/>
  <c r="J60" i="48"/>
  <c r="J44" i="48"/>
  <c r="J30" i="48"/>
  <c r="H17" i="48"/>
  <c r="J61" i="48"/>
  <c r="J45" i="48"/>
  <c r="J35" i="48"/>
  <c r="J31" i="48"/>
  <c r="J62" i="48"/>
  <c r="J54" i="48"/>
  <c r="J46" i="48"/>
  <c r="J36" i="48"/>
  <c r="J26" i="48"/>
  <c r="J22" i="48"/>
  <c r="J65" i="48"/>
  <c r="J55" i="48"/>
  <c r="J47" i="48"/>
  <c r="J37" i="48"/>
  <c r="J64" i="48"/>
  <c r="J56" i="48"/>
  <c r="J48" i="48"/>
  <c r="J38" i="48"/>
  <c r="J32" i="48"/>
  <c r="J69" i="48"/>
  <c r="J57" i="48"/>
  <c r="J49" i="48"/>
  <c r="J39" i="48"/>
  <c r="J27" i="48"/>
  <c r="J23" i="48"/>
  <c r="L12" i="48"/>
  <c r="N12" i="48" s="1"/>
  <c r="J58" i="48"/>
  <c r="J50" i="48"/>
  <c r="J40" i="48"/>
  <c r="J51" i="48"/>
  <c r="J41" i="48"/>
  <c r="J33" i="48"/>
  <c r="J52" i="48"/>
  <c r="J42" i="48"/>
  <c r="J28" i="48"/>
  <c r="J24" i="48"/>
  <c r="J34" i="48"/>
  <c r="J20" i="48"/>
  <c r="J43" i="48"/>
  <c r="J59" i="48"/>
  <c r="F122" i="39"/>
  <c r="F114" i="39"/>
  <c r="F110" i="39"/>
  <c r="F106" i="39"/>
  <c r="F94" i="39"/>
  <c r="F78" i="39"/>
  <c r="F70" i="39"/>
  <c r="F69" i="39"/>
  <c r="F62" i="39"/>
  <c r="F61" i="39"/>
  <c r="F89" i="39"/>
  <c r="F53" i="39"/>
  <c r="F49" i="39"/>
  <c r="F129" i="39"/>
  <c r="F124" i="39"/>
  <c r="F123" i="39"/>
  <c r="F116" i="39"/>
  <c r="F115" i="39"/>
  <c r="F100" i="39"/>
  <c r="F96" i="39"/>
  <c r="F95" i="39"/>
  <c r="F80" i="39"/>
  <c r="F79" i="39"/>
  <c r="F72" i="39"/>
  <c r="F71" i="39"/>
  <c r="F133" i="39"/>
  <c r="F128" i="39"/>
  <c r="F111" i="39"/>
  <c r="F107" i="39"/>
  <c r="F63" i="39"/>
  <c r="F31" i="39"/>
  <c r="F30" i="39"/>
  <c r="F127" i="39"/>
  <c r="F118" i="39"/>
  <c r="F117" i="39"/>
  <c r="F102" i="39"/>
  <c r="F101" i="39"/>
  <c r="F90" i="39"/>
  <c r="F82" i="39"/>
  <c r="F81" i="39"/>
  <c r="F74" i="39"/>
  <c r="F73" i="39"/>
  <c r="F54" i="39"/>
  <c r="F50" i="39"/>
  <c r="F126" i="39"/>
  <c r="F97" i="39"/>
  <c r="F45" i="39"/>
  <c r="F41" i="39"/>
  <c r="F103" i="39"/>
  <c r="F91" i="39"/>
  <c r="F75" i="39"/>
  <c r="F51" i="39"/>
  <c r="F98" i="39"/>
  <c r="F86" i="39"/>
  <c r="F85" i="39"/>
  <c r="F66" i="39"/>
  <c r="F65" i="39"/>
  <c r="F58" i="39"/>
  <c r="F57" i="39"/>
  <c r="F46" i="39"/>
  <c r="F42" i="39"/>
  <c r="F38" i="39"/>
  <c r="F37" i="39"/>
  <c r="F121" i="39"/>
  <c r="F113" i="39"/>
  <c r="F109" i="39"/>
  <c r="F105" i="39"/>
  <c r="F104" i="39"/>
  <c r="F93" i="39"/>
  <c r="F92" i="39"/>
  <c r="F77" i="39"/>
  <c r="F76" i="39"/>
  <c r="F36" i="39"/>
  <c r="F99" i="39"/>
  <c r="F43" i="39"/>
  <c r="F39" i="39"/>
  <c r="F84" i="39"/>
  <c r="F44" i="39"/>
  <c r="F88" i="39"/>
  <c r="F64" i="39"/>
  <c r="F48" i="39"/>
  <c r="F32" i="39"/>
  <c r="L12" i="39"/>
  <c r="N12" i="39" s="1"/>
  <c r="F112" i="39"/>
  <c r="F119" i="39"/>
  <c r="F68" i="39"/>
  <c r="F59" i="39"/>
  <c r="F55" i="39"/>
  <c r="F83" i="39"/>
  <c r="F52" i="39"/>
  <c r="F40" i="39"/>
  <c r="F87" i="39"/>
  <c r="F108" i="39"/>
  <c r="F67" i="39"/>
  <c r="F56" i="39"/>
  <c r="F120" i="39"/>
  <c r="F47" i="39"/>
  <c r="D34" i="39"/>
  <c r="F60" i="39"/>
  <c r="N121" i="36"/>
  <c r="L121" i="36"/>
  <c r="R60" i="33"/>
  <c r="R59" i="33"/>
  <c r="R47" i="33"/>
  <c r="R43" i="33"/>
  <c r="P39" i="33"/>
  <c r="R82" i="33"/>
  <c r="R78" i="33"/>
  <c r="R71" i="33"/>
  <c r="R70" i="33"/>
  <c r="R34" i="33"/>
  <c r="R72" i="33"/>
  <c r="R48" i="33"/>
  <c r="R44" i="33"/>
  <c r="R84" i="33"/>
  <c r="R83" i="33"/>
  <c r="R79" i="33"/>
  <c r="R64" i="33"/>
  <c r="R63" i="33"/>
  <c r="R35" i="33"/>
  <c r="R97" i="33"/>
  <c r="R54" i="33"/>
  <c r="R96" i="33"/>
  <c r="R95" i="33"/>
  <c r="R80" i="33"/>
  <c r="R36" i="33"/>
  <c r="R101" i="33"/>
  <c r="R94" i="33"/>
  <c r="R88" i="33"/>
  <c r="R87" i="33"/>
  <c r="R56" i="33"/>
  <c r="R55" i="33"/>
  <c r="R32" i="33"/>
  <c r="R93" i="33"/>
  <c r="R75" i="33"/>
  <c r="R74" i="33"/>
  <c r="R67" i="33"/>
  <c r="R66" i="33"/>
  <c r="R51" i="33"/>
  <c r="R50" i="33"/>
  <c r="R46" i="33"/>
  <c r="R91" i="33"/>
  <c r="R77" i="33"/>
  <c r="R76" i="33"/>
  <c r="R69" i="33"/>
  <c r="R68" i="33"/>
  <c r="R52" i="33"/>
  <c r="R41" i="33"/>
  <c r="X12" i="33"/>
  <c r="R57" i="33"/>
  <c r="R62" i="33"/>
  <c r="R37" i="33"/>
  <c r="R89" i="33"/>
  <c r="R58" i="33"/>
  <c r="R92" i="33"/>
  <c r="R45" i="33"/>
  <c r="R81" i="33"/>
  <c r="R85" i="33"/>
  <c r="R65" i="33"/>
  <c r="R42" i="33"/>
  <c r="R86" i="33"/>
  <c r="R61" i="33"/>
  <c r="R49" i="33"/>
  <c r="R73" i="33"/>
  <c r="R53" i="33"/>
  <c r="R33" i="33"/>
  <c r="P164" i="30"/>
  <c r="X86" i="30"/>
  <c r="T121" i="27"/>
  <c r="J129" i="24"/>
  <c r="J121" i="24"/>
  <c r="J113" i="24"/>
  <c r="J77" i="24"/>
  <c r="J73" i="24"/>
  <c r="J69" i="24"/>
  <c r="J65" i="24"/>
  <c r="J61" i="24"/>
  <c r="J132" i="24"/>
  <c r="J114" i="24"/>
  <c r="J104" i="24"/>
  <c r="J96" i="24"/>
  <c r="J136" i="24"/>
  <c r="J122" i="24"/>
  <c r="J106" i="24"/>
  <c r="J92" i="24"/>
  <c r="J78" i="24"/>
  <c r="J74" i="24"/>
  <c r="J70" i="24"/>
  <c r="J66" i="24"/>
  <c r="J62" i="24"/>
  <c r="J58" i="24"/>
  <c r="J107" i="24"/>
  <c r="J97" i="24"/>
  <c r="J93" i="24"/>
  <c r="J83" i="24"/>
  <c r="J116" i="24"/>
  <c r="J108" i="24"/>
  <c r="J98" i="24"/>
  <c r="J124" i="24"/>
  <c r="J118" i="24"/>
  <c r="J110" i="24"/>
  <c r="J100" i="24"/>
  <c r="J94" i="24"/>
  <c r="J125" i="24"/>
  <c r="J119" i="24"/>
  <c r="J111" i="24"/>
  <c r="J101" i="24"/>
  <c r="J89" i="24"/>
  <c r="J85" i="24"/>
  <c r="J126" i="24"/>
  <c r="J120" i="24"/>
  <c r="J112" i="24"/>
  <c r="J102" i="24"/>
  <c r="J128" i="24"/>
  <c r="J90" i="24"/>
  <c r="J86" i="24"/>
  <c r="J95" i="24"/>
  <c r="H80" i="24"/>
  <c r="J75" i="24"/>
  <c r="J71" i="24"/>
  <c r="J131" i="24"/>
  <c r="J105" i="24"/>
  <c r="J99" i="24"/>
  <c r="J84" i="24"/>
  <c r="J67" i="24"/>
  <c r="J63" i="24"/>
  <c r="J59" i="24"/>
  <c r="J103" i="24"/>
  <c r="J88" i="24"/>
  <c r="J57" i="24"/>
  <c r="J82" i="24"/>
  <c r="J76" i="24"/>
  <c r="J72" i="24"/>
  <c r="J55" i="24"/>
  <c r="J127" i="24"/>
  <c r="J123" i="24"/>
  <c r="J117" i="24"/>
  <c r="J68" i="24"/>
  <c r="J64" i="24"/>
  <c r="J60" i="24"/>
  <c r="J115" i="24"/>
  <c r="J109" i="24"/>
  <c r="J91" i="24"/>
  <c r="N12" i="24"/>
  <c r="J56" i="24"/>
  <c r="J87" i="24"/>
  <c r="J286" i="18"/>
  <c r="J242" i="18"/>
  <c r="J232" i="18"/>
  <c r="J222" i="18"/>
  <c r="J214" i="18"/>
  <c r="J206" i="18"/>
  <c r="J202" i="18"/>
  <c r="J285" i="18"/>
  <c r="J253" i="18"/>
  <c r="J233" i="18"/>
  <c r="J223" i="18"/>
  <c r="J215" i="18"/>
  <c r="J197" i="18"/>
  <c r="J193" i="18"/>
  <c r="J127" i="18"/>
  <c r="J284" i="18"/>
  <c r="J272" i="18"/>
  <c r="J264" i="18"/>
  <c r="J260" i="18"/>
  <c r="J254" i="18"/>
  <c r="J248" i="18"/>
  <c r="J234" i="18"/>
  <c r="J224" i="18"/>
  <c r="J216" i="18"/>
  <c r="J184" i="18"/>
  <c r="J180" i="18"/>
  <c r="J176" i="18"/>
  <c r="J172" i="18"/>
  <c r="J168" i="18"/>
  <c r="J164" i="18"/>
  <c r="J160" i="18"/>
  <c r="J156" i="18"/>
  <c r="J152" i="18"/>
  <c r="J148" i="18"/>
  <c r="J144" i="18"/>
  <c r="J140" i="18"/>
  <c r="J136" i="18"/>
  <c r="J132" i="18"/>
  <c r="J128" i="18"/>
  <c r="J283" i="18"/>
  <c r="J265" i="18"/>
  <c r="J255" i="18"/>
  <c r="J249" i="18"/>
  <c r="J243" i="18"/>
  <c r="J235" i="18"/>
  <c r="J225" i="18"/>
  <c r="J207" i="18"/>
  <c r="J203" i="18"/>
  <c r="J189" i="18"/>
  <c r="J282" i="18"/>
  <c r="J266" i="18"/>
  <c r="J250" i="18"/>
  <c r="J236" i="18"/>
  <c r="J226" i="18"/>
  <c r="J208" i="18"/>
  <c r="J198" i="18"/>
  <c r="J194" i="18"/>
  <c r="J190" i="18"/>
  <c r="J188" i="18"/>
  <c r="J281" i="18"/>
  <c r="J273" i="18"/>
  <c r="J261" i="18"/>
  <c r="J237" i="18"/>
  <c r="J227" i="18"/>
  <c r="J217" i="18"/>
  <c r="J209" i="18"/>
  <c r="H186" i="18"/>
  <c r="J186" i="18" s="1"/>
  <c r="J181" i="18"/>
  <c r="J177" i="18"/>
  <c r="J173" i="18"/>
  <c r="J169" i="18"/>
  <c r="J165" i="18"/>
  <c r="J161" i="18"/>
  <c r="J157" i="18"/>
  <c r="J153" i="18"/>
  <c r="J149" i="18"/>
  <c r="J145" i="18"/>
  <c r="J141" i="18"/>
  <c r="J137" i="18"/>
  <c r="J133" i="18"/>
  <c r="J129" i="18"/>
  <c r="J280" i="18"/>
  <c r="J274" i="18"/>
  <c r="J256" i="18"/>
  <c r="J244" i="18"/>
  <c r="J238" i="18"/>
  <c r="J279" i="18"/>
  <c r="J275" i="18"/>
  <c r="J267" i="18"/>
  <c r="J257" i="18"/>
  <c r="J251" i="18"/>
  <c r="J245" i="18"/>
  <c r="J239" i="18"/>
  <c r="J219" i="18"/>
  <c r="J211" i="18"/>
  <c r="J199" i="18"/>
  <c r="J195" i="18"/>
  <c r="J191" i="18"/>
  <c r="J278" i="18"/>
  <c r="J268" i="18"/>
  <c r="J262" i="18"/>
  <c r="J258" i="18"/>
  <c r="J246" i="18"/>
  <c r="J240" i="18"/>
  <c r="J200" i="18"/>
  <c r="J182" i="18"/>
  <c r="J178" i="18"/>
  <c r="J174" i="18"/>
  <c r="J170" i="18"/>
  <c r="J166" i="18"/>
  <c r="J162" i="18"/>
  <c r="J158" i="18"/>
  <c r="J154" i="18"/>
  <c r="J150" i="18"/>
  <c r="J146" i="18"/>
  <c r="J142" i="18"/>
  <c r="J138" i="18"/>
  <c r="J134" i="18"/>
  <c r="J130" i="18"/>
  <c r="J289" i="18"/>
  <c r="J277" i="18"/>
  <c r="J269" i="18"/>
  <c r="J241" i="18"/>
  <c r="J229" i="18"/>
  <c r="J205" i="18"/>
  <c r="J201" i="18"/>
  <c r="J293" i="18"/>
  <c r="J287" i="18"/>
  <c r="J271" i="18"/>
  <c r="J263" i="18"/>
  <c r="J259" i="18"/>
  <c r="J247" i="18"/>
  <c r="J231" i="18"/>
  <c r="J221" i="18"/>
  <c r="J213" i="18"/>
  <c r="J183" i="18"/>
  <c r="J179" i="18"/>
  <c r="J175" i="18"/>
  <c r="J171" i="18"/>
  <c r="J167" i="18"/>
  <c r="J163" i="18"/>
  <c r="J159" i="18"/>
  <c r="J155" i="18"/>
  <c r="J151" i="18"/>
  <c r="J147" i="18"/>
  <c r="J143" i="18"/>
  <c r="J139" i="18"/>
  <c r="J135" i="18"/>
  <c r="J131" i="18"/>
  <c r="J218" i="18"/>
  <c r="J288" i="18"/>
  <c r="J192" i="18"/>
  <c r="J220" i="18"/>
  <c r="J204" i="18"/>
  <c r="J210" i="18"/>
  <c r="J196" i="18"/>
  <c r="J270" i="18"/>
  <c r="J252" i="18"/>
  <c r="J230" i="18"/>
  <c r="J228" i="18"/>
  <c r="J212" i="18"/>
  <c r="T291" i="18"/>
  <c r="H27" i="37"/>
  <c r="N18" i="37"/>
  <c r="L18" i="35"/>
  <c r="D27" i="35"/>
  <c r="P27" i="34"/>
  <c r="X18" i="34"/>
  <c r="X18" i="28"/>
  <c r="P27" i="28"/>
  <c r="L18" i="29"/>
  <c r="D27" i="29"/>
  <c r="L18" i="19"/>
  <c r="D27" i="19"/>
  <c r="L18" i="22"/>
  <c r="D27" i="22"/>
  <c r="H27" i="16"/>
  <c r="N18" i="16"/>
  <c r="T27" i="10"/>
  <c r="Z18" i="10"/>
  <c r="R19" i="82"/>
  <c r="X12" i="82"/>
  <c r="R29" i="82"/>
  <c r="P21" i="82"/>
  <c r="R17" i="82"/>
  <c r="R23" i="82"/>
  <c r="R25" i="82"/>
  <c r="R18" i="82"/>
  <c r="L16" i="63"/>
  <c r="D102" i="63"/>
  <c r="D95" i="9"/>
  <c r="L91" i="9"/>
  <c r="T27" i="112"/>
  <c r="Z18" i="112"/>
  <c r="N18" i="38"/>
  <c r="H27" i="38"/>
  <c r="X18" i="29"/>
  <c r="P27" i="29"/>
  <c r="H27" i="19"/>
  <c r="N18" i="19"/>
  <c r="R77" i="107"/>
  <c r="R76" i="107"/>
  <c r="R57" i="107"/>
  <c r="R56" i="107"/>
  <c r="R45" i="107"/>
  <c r="R44" i="107"/>
  <c r="R79" i="107"/>
  <c r="R78" i="107"/>
  <c r="R66" i="107"/>
  <c r="R59" i="107"/>
  <c r="R58" i="107"/>
  <c r="R47" i="107"/>
  <c r="R46" i="107"/>
  <c r="R38" i="107"/>
  <c r="R23" i="107"/>
  <c r="R21" i="107"/>
  <c r="R84" i="107"/>
  <c r="R82" i="107"/>
  <c r="R68" i="107"/>
  <c r="R67" i="107"/>
  <c r="R39" i="107"/>
  <c r="R35" i="107"/>
  <c r="R62" i="107"/>
  <c r="R51" i="107"/>
  <c r="R50" i="107"/>
  <c r="R30" i="107"/>
  <c r="R26" i="107"/>
  <c r="R73" i="107"/>
  <c r="R69" i="107"/>
  <c r="R86" i="107"/>
  <c r="R53" i="107"/>
  <c r="R52" i="107"/>
  <c r="R41" i="107"/>
  <c r="R40" i="107"/>
  <c r="R36" i="107"/>
  <c r="R17" i="107"/>
  <c r="X12" i="107"/>
  <c r="Z12" i="107" s="1"/>
  <c r="R65" i="107"/>
  <c r="R37" i="107"/>
  <c r="R48" i="107"/>
  <c r="R33" i="107"/>
  <c r="R91" i="107"/>
  <c r="R74" i="107"/>
  <c r="R31" i="107"/>
  <c r="R72" i="107"/>
  <c r="R70" i="107"/>
  <c r="R60" i="107"/>
  <c r="R19" i="107"/>
  <c r="R75" i="107"/>
  <c r="R24" i="107"/>
  <c r="R88" i="107"/>
  <c r="R49" i="107"/>
  <c r="R34" i="107"/>
  <c r="R29" i="107"/>
  <c r="R63" i="107"/>
  <c r="R27" i="107"/>
  <c r="R61" i="107"/>
  <c r="R42" i="107"/>
  <c r="R32" i="107"/>
  <c r="R71" i="107"/>
  <c r="R54" i="107"/>
  <c r="R43" i="107"/>
  <c r="R28" i="107"/>
  <c r="R25" i="107"/>
  <c r="R18" i="107"/>
  <c r="P21" i="107"/>
  <c r="R80" i="107"/>
  <c r="R64" i="107"/>
  <c r="R55" i="107"/>
  <c r="N16" i="106"/>
  <c r="H22" i="106"/>
  <c r="X43" i="99"/>
  <c r="Z43" i="99" s="1"/>
  <c r="P47" i="99"/>
  <c r="H47" i="99"/>
  <c r="J57" i="92"/>
  <c r="J49" i="92"/>
  <c r="J37" i="92"/>
  <c r="J33" i="92"/>
  <c r="J74" i="92"/>
  <c r="J58" i="92"/>
  <c r="J50" i="92"/>
  <c r="J38" i="92"/>
  <c r="J28" i="92"/>
  <c r="J24" i="92"/>
  <c r="J63" i="92"/>
  <c r="J59" i="92"/>
  <c r="J51" i="92"/>
  <c r="J39" i="92"/>
  <c r="J52" i="92"/>
  <c r="J40" i="92"/>
  <c r="J34" i="92"/>
  <c r="J53" i="92"/>
  <c r="J41" i="92"/>
  <c r="J29" i="92"/>
  <c r="J25" i="92"/>
  <c r="J64" i="92"/>
  <c r="J60" i="92"/>
  <c r="J42" i="92"/>
  <c r="J65" i="92"/>
  <c r="J66" i="92"/>
  <c r="J54" i="92"/>
  <c r="J44" i="92"/>
  <c r="J30" i="92"/>
  <c r="J26" i="92"/>
  <c r="J67" i="92"/>
  <c r="J61" i="92"/>
  <c r="J55" i="92"/>
  <c r="J45" i="92"/>
  <c r="J31" i="92"/>
  <c r="J17" i="92"/>
  <c r="J70" i="92"/>
  <c r="J62" i="92"/>
  <c r="J48" i="92"/>
  <c r="H19" i="92"/>
  <c r="J46" i="92"/>
  <c r="J32" i="92"/>
  <c r="J23" i="92"/>
  <c r="J21" i="92"/>
  <c r="J36" i="92"/>
  <c r="N12" i="92"/>
  <c r="J27" i="92"/>
  <c r="J22" i="92"/>
  <c r="L12" i="92"/>
  <c r="J47" i="92"/>
  <c r="J19" i="92"/>
  <c r="J16" i="92"/>
  <c r="J56" i="92"/>
  <c r="J35" i="92"/>
  <c r="J43" i="92"/>
  <c r="J68" i="92"/>
  <c r="P77" i="94"/>
  <c r="X20" i="94"/>
  <c r="V25" i="85"/>
  <c r="V22" i="85"/>
  <c r="V15" i="85"/>
  <c r="V23" i="85"/>
  <c r="V16" i="85"/>
  <c r="V32" i="85"/>
  <c r="V24" i="85"/>
  <c r="Z12" i="85"/>
  <c r="V18" i="85"/>
  <c r="V20" i="85"/>
  <c r="T18" i="85"/>
  <c r="V21" i="85"/>
  <c r="V28" i="85"/>
  <c r="V26" i="85"/>
  <c r="H86" i="83"/>
  <c r="Z56" i="78"/>
  <c r="H71" i="80"/>
  <c r="V77" i="75"/>
  <c r="V57" i="75"/>
  <c r="V41" i="75"/>
  <c r="V37" i="75"/>
  <c r="V76" i="75"/>
  <c r="V64" i="75"/>
  <c r="V56" i="75"/>
  <c r="V79" i="75"/>
  <c r="V71" i="75"/>
  <c r="V47" i="75"/>
  <c r="V78" i="75"/>
  <c r="V66" i="75"/>
  <c r="V58" i="75"/>
  <c r="V42" i="75"/>
  <c r="V38" i="75"/>
  <c r="V83" i="75"/>
  <c r="V65" i="75"/>
  <c r="V49" i="75"/>
  <c r="V82" i="75"/>
  <c r="V80" i="75"/>
  <c r="V72" i="75"/>
  <c r="V68" i="75"/>
  <c r="V60" i="75"/>
  <c r="V48" i="75"/>
  <c r="V44" i="75"/>
  <c r="Z12" i="75"/>
  <c r="V67" i="75"/>
  <c r="V62" i="75"/>
  <c r="V50" i="75"/>
  <c r="V34" i="75"/>
  <c r="V32" i="75"/>
  <c r="V30" i="75"/>
  <c r="V87" i="75"/>
  <c r="V73" i="75"/>
  <c r="V69" i="75"/>
  <c r="V61" i="75"/>
  <c r="V53" i="75"/>
  <c r="V45" i="75"/>
  <c r="T32" i="75"/>
  <c r="V52" i="75"/>
  <c r="V40" i="75"/>
  <c r="V36" i="75"/>
  <c r="V74" i="75"/>
  <c r="V70" i="75"/>
  <c r="V54" i="75"/>
  <c r="V46" i="75"/>
  <c r="V55" i="75"/>
  <c r="V51" i="75"/>
  <c r="V43" i="75"/>
  <c r="V59" i="75"/>
  <c r="V75" i="75"/>
  <c r="V63" i="75"/>
  <c r="V35" i="75"/>
  <c r="V39" i="75"/>
  <c r="V105" i="68"/>
  <c r="V97" i="68"/>
  <c r="V69" i="68"/>
  <c r="V65" i="68"/>
  <c r="V61" i="68"/>
  <c r="V57" i="68"/>
  <c r="V53" i="68"/>
  <c r="V112" i="68"/>
  <c r="V96" i="68"/>
  <c r="V88" i="68"/>
  <c r="V111" i="68"/>
  <c r="V107" i="68"/>
  <c r="V99" i="68"/>
  <c r="V83" i="68"/>
  <c r="V79" i="68"/>
  <c r="V114" i="68"/>
  <c r="V106" i="68"/>
  <c r="V98" i="68"/>
  <c r="V90" i="68"/>
  <c r="V70" i="68"/>
  <c r="V66" i="68"/>
  <c r="V62" i="68"/>
  <c r="V58" i="68"/>
  <c r="V54" i="68"/>
  <c r="V113" i="68"/>
  <c r="V101" i="68"/>
  <c r="V89" i="68"/>
  <c r="V85" i="68"/>
  <c r="V118" i="68"/>
  <c r="V108" i="68"/>
  <c r="V100" i="68"/>
  <c r="V92" i="68"/>
  <c r="V84" i="68"/>
  <c r="V80" i="68"/>
  <c r="V76" i="68"/>
  <c r="V117" i="68"/>
  <c r="V115" i="68"/>
  <c r="V102" i="68"/>
  <c r="V94" i="68"/>
  <c r="V86" i="68"/>
  <c r="T73" i="68"/>
  <c r="V109" i="68"/>
  <c r="V93" i="68"/>
  <c r="V81" i="68"/>
  <c r="V77" i="68"/>
  <c r="V122" i="68"/>
  <c r="V104" i="68"/>
  <c r="V68" i="68"/>
  <c r="V64" i="68"/>
  <c r="V60" i="68"/>
  <c r="V56" i="68"/>
  <c r="V52" i="68"/>
  <c r="V110" i="68"/>
  <c r="V82" i="68"/>
  <c r="V78" i="68"/>
  <c r="V73" i="68"/>
  <c r="V67" i="68"/>
  <c r="V55" i="68"/>
  <c r="V103" i="68"/>
  <c r="V71" i="68"/>
  <c r="V87" i="68"/>
  <c r="V75" i="68"/>
  <c r="V59" i="68"/>
  <c r="V95" i="68"/>
  <c r="V91" i="68"/>
  <c r="V51" i="68"/>
  <c r="V63" i="68"/>
  <c r="N16" i="55"/>
  <c r="H33" i="55"/>
  <c r="P67" i="48"/>
  <c r="X17" i="48"/>
  <c r="V82" i="33"/>
  <c r="V78" i="33"/>
  <c r="V70" i="33"/>
  <c r="V62" i="33"/>
  <c r="V34" i="33"/>
  <c r="V61" i="33"/>
  <c r="V53" i="33"/>
  <c r="V84" i="33"/>
  <c r="V72" i="33"/>
  <c r="V97" i="33"/>
  <c r="V83" i="33"/>
  <c r="V79" i="33"/>
  <c r="V63" i="33"/>
  <c r="V35" i="33"/>
  <c r="V96" i="33"/>
  <c r="V86" i="33"/>
  <c r="V54" i="33"/>
  <c r="V95" i="33"/>
  <c r="V85" i="33"/>
  <c r="V73" i="33"/>
  <c r="V65" i="33"/>
  <c r="V49" i="33"/>
  <c r="V45" i="33"/>
  <c r="V94" i="33"/>
  <c r="V101" i="33"/>
  <c r="V93" i="33"/>
  <c r="V87" i="33"/>
  <c r="V75" i="33"/>
  <c r="V67" i="33"/>
  <c r="V55" i="33"/>
  <c r="V51" i="33"/>
  <c r="V92" i="33"/>
  <c r="V74" i="33"/>
  <c r="V66" i="33"/>
  <c r="V58" i="33"/>
  <c r="V50" i="33"/>
  <c r="V46" i="33"/>
  <c r="V42" i="33"/>
  <c r="V91" i="33"/>
  <c r="V89" i="33"/>
  <c r="V81" i="33"/>
  <c r="V77" i="33"/>
  <c r="V69" i="33"/>
  <c r="V57" i="33"/>
  <c r="V41" i="33"/>
  <c r="V71" i="33"/>
  <c r="V59" i="33"/>
  <c r="V47" i="33"/>
  <c r="V43" i="33"/>
  <c r="V64" i="33"/>
  <c r="V37" i="33"/>
  <c r="V68" i="33"/>
  <c r="V60" i="33"/>
  <c r="V48" i="33"/>
  <c r="V52" i="33"/>
  <c r="V32" i="33"/>
  <c r="V56" i="33"/>
  <c r="V76" i="33"/>
  <c r="V88" i="33"/>
  <c r="Z12" i="33"/>
  <c r="T39" i="33"/>
  <c r="V36" i="33"/>
  <c r="V80" i="33"/>
  <c r="V44" i="33"/>
  <c r="V33" i="33"/>
  <c r="V260" i="15"/>
  <c r="V246" i="15"/>
  <c r="V265" i="15"/>
  <c r="V257" i="15"/>
  <c r="V247" i="15"/>
  <c r="V239" i="15"/>
  <c r="V255" i="15"/>
  <c r="V249" i="15"/>
  <c r="V252" i="15"/>
  <c r="V250" i="15"/>
  <c r="V242" i="15"/>
  <c r="V261" i="15"/>
  <c r="V219" i="15"/>
  <c r="V215" i="15"/>
  <c r="V203" i="15"/>
  <c r="V179" i="15"/>
  <c r="V175" i="15"/>
  <c r="V256" i="15"/>
  <c r="V243" i="15"/>
  <c r="V232" i="15"/>
  <c r="V231" i="15"/>
  <c r="V226" i="15"/>
  <c r="V214" i="15"/>
  <c r="V194" i="15"/>
  <c r="V186" i="15"/>
  <c r="V174" i="15"/>
  <c r="V170" i="15"/>
  <c r="V166" i="15"/>
  <c r="V240" i="15"/>
  <c r="V221" i="15"/>
  <c r="V205" i="15"/>
  <c r="V157" i="15"/>
  <c r="V153" i="15"/>
  <c r="V149" i="15"/>
  <c r="V145" i="15"/>
  <c r="V141" i="15"/>
  <c r="V137" i="15"/>
  <c r="V133" i="15"/>
  <c r="V129" i="15"/>
  <c r="V125" i="15"/>
  <c r="V121" i="15"/>
  <c r="V117" i="15"/>
  <c r="V113" i="15"/>
  <c r="V109" i="15"/>
  <c r="V236" i="15"/>
  <c r="V216" i="15"/>
  <c r="V204" i="15"/>
  <c r="V196" i="15"/>
  <c r="V188" i="15"/>
  <c r="V180" i="15"/>
  <c r="V176" i="15"/>
  <c r="Z12" i="15"/>
  <c r="V258" i="15"/>
  <c r="V233" i="15"/>
  <c r="V227" i="15"/>
  <c r="V207" i="15"/>
  <c r="V195" i="15"/>
  <c r="V187" i="15"/>
  <c r="V171" i="15"/>
  <c r="V167" i="15"/>
  <c r="V259" i="15"/>
  <c r="V222" i="15"/>
  <c r="V206" i="15"/>
  <c r="V198" i="15"/>
  <c r="V190" i="15"/>
  <c r="V158" i="15"/>
  <c r="V154" i="15"/>
  <c r="V150" i="15"/>
  <c r="V146" i="15"/>
  <c r="V142" i="15"/>
  <c r="V138" i="15"/>
  <c r="V134" i="15"/>
  <c r="V130" i="15"/>
  <c r="V126" i="15"/>
  <c r="V122" i="15"/>
  <c r="V118" i="15"/>
  <c r="V114" i="15"/>
  <c r="V110" i="15"/>
  <c r="V244" i="15"/>
  <c r="V241" i="15"/>
  <c r="V237" i="15"/>
  <c r="V229" i="15"/>
  <c r="V217" i="15"/>
  <c r="V209" i="15"/>
  <c r="V197" i="15"/>
  <c r="V189" i="15"/>
  <c r="V181" i="15"/>
  <c r="V177" i="15"/>
  <c r="V245" i="15"/>
  <c r="V234" i="15"/>
  <c r="V228" i="15"/>
  <c r="V224" i="15"/>
  <c r="V208" i="15"/>
  <c r="V200" i="15"/>
  <c r="V172" i="15"/>
  <c r="V168" i="15"/>
  <c r="V164" i="15"/>
  <c r="V253" i="15"/>
  <c r="V223" i="15"/>
  <c r="V211" i="15"/>
  <c r="V199" i="15"/>
  <c r="V191" i="15"/>
  <c r="V183" i="15"/>
  <c r="V163" i="15"/>
  <c r="V159" i="15"/>
  <c r="V155" i="15"/>
  <c r="V151" i="15"/>
  <c r="V147" i="15"/>
  <c r="V143" i="15"/>
  <c r="V139" i="15"/>
  <c r="V135" i="15"/>
  <c r="V131" i="15"/>
  <c r="V127" i="15"/>
  <c r="V123" i="15"/>
  <c r="V119" i="15"/>
  <c r="V115" i="15"/>
  <c r="V111" i="15"/>
  <c r="V248" i="15"/>
  <c r="V238" i="15"/>
  <c r="V230" i="15"/>
  <c r="V218" i="15"/>
  <c r="V210" i="15"/>
  <c r="V202" i="15"/>
  <c r="V182" i="15"/>
  <c r="V178" i="15"/>
  <c r="T161" i="15"/>
  <c r="V161" i="15" s="1"/>
  <c r="V235" i="15"/>
  <c r="V220" i="15"/>
  <c r="V212" i="15"/>
  <c r="V192" i="15"/>
  <c r="V184" i="15"/>
  <c r="V156" i="15"/>
  <c r="V152" i="15"/>
  <c r="V148" i="15"/>
  <c r="V144" i="15"/>
  <c r="V140" i="15"/>
  <c r="V136" i="15"/>
  <c r="V132" i="15"/>
  <c r="V128" i="15"/>
  <c r="V124" i="15"/>
  <c r="V120" i="15"/>
  <c r="V116" i="15"/>
  <c r="V112" i="15"/>
  <c r="V193" i="15"/>
  <c r="V173" i="15"/>
  <c r="V185" i="15"/>
  <c r="V254" i="15"/>
  <c r="V213" i="15"/>
  <c r="V169" i="15"/>
  <c r="V165" i="15"/>
  <c r="V201" i="15"/>
  <c r="V225" i="15"/>
  <c r="X277" i="18"/>
  <c r="Z277" i="18" s="1"/>
  <c r="J264" i="12"/>
  <c r="J258" i="12"/>
  <c r="J224" i="12"/>
  <c r="J214" i="12"/>
  <c r="J204" i="12"/>
  <c r="J196" i="12"/>
  <c r="J164" i="12"/>
  <c r="J160" i="12"/>
  <c r="J156" i="12"/>
  <c r="J152" i="12"/>
  <c r="J148" i="12"/>
  <c r="J144" i="12"/>
  <c r="J140" i="12"/>
  <c r="J136" i="12"/>
  <c r="J132" i="12"/>
  <c r="J128" i="12"/>
  <c r="J124" i="12"/>
  <c r="J120" i="12"/>
  <c r="J116" i="12"/>
  <c r="J263" i="12"/>
  <c r="J259" i="12"/>
  <c r="J251" i="12"/>
  <c r="J235" i="12"/>
  <c r="J215" i="12"/>
  <c r="J205" i="12"/>
  <c r="J187" i="12"/>
  <c r="J183" i="12"/>
  <c r="J169" i="12"/>
  <c r="J262" i="12"/>
  <c r="J252" i="12"/>
  <c r="J246" i="12"/>
  <c r="J242" i="12"/>
  <c r="J230" i="12"/>
  <c r="J261" i="12"/>
  <c r="J253" i="12"/>
  <c r="J231" i="12"/>
  <c r="J225" i="12"/>
  <c r="J217" i="12"/>
  <c r="J207" i="12"/>
  <c r="J197" i="12"/>
  <c r="J189" i="12"/>
  <c r="H166" i="12"/>
  <c r="J161" i="12"/>
  <c r="J157" i="12"/>
  <c r="J153" i="12"/>
  <c r="J149" i="12"/>
  <c r="J145" i="12"/>
  <c r="J141" i="12"/>
  <c r="J137" i="12"/>
  <c r="J133" i="12"/>
  <c r="J129" i="12"/>
  <c r="J125" i="12"/>
  <c r="J121" i="12"/>
  <c r="J117" i="12"/>
  <c r="J113" i="12"/>
  <c r="J254" i="12"/>
  <c r="J236" i="12"/>
  <c r="J232" i="12"/>
  <c r="J218" i="12"/>
  <c r="J208" i="12"/>
  <c r="J198" i="12"/>
  <c r="J190" i="12"/>
  <c r="J184" i="12"/>
  <c r="J255" i="12"/>
  <c r="J247" i="12"/>
  <c r="J243" i="12"/>
  <c r="J237" i="12"/>
  <c r="J219" i="12"/>
  <c r="J199" i="12"/>
  <c r="J191" i="12"/>
  <c r="J269" i="12"/>
  <c r="J233" i="12"/>
  <c r="J227" i="12"/>
  <c r="J221" i="12"/>
  <c r="J209" i="12"/>
  <c r="J185" i="12"/>
  <c r="J181" i="12"/>
  <c r="J274" i="12"/>
  <c r="J268" i="12"/>
  <c r="J256" i="12"/>
  <c r="J248" i="12"/>
  <c r="J244" i="12"/>
  <c r="J228" i="12"/>
  <c r="J222" i="12"/>
  <c r="J210" i="12"/>
  <c r="J200" i="12"/>
  <c r="J192" i="12"/>
  <c r="J176" i="12"/>
  <c r="J172" i="12"/>
  <c r="J267" i="12"/>
  <c r="J249" i="12"/>
  <c r="J239" i="12"/>
  <c r="J223" i="12"/>
  <c r="J211" i="12"/>
  <c r="J201" i="12"/>
  <c r="J193" i="12"/>
  <c r="J265" i="12"/>
  <c r="J257" i="12"/>
  <c r="J245" i="12"/>
  <c r="J241" i="12"/>
  <c r="J229" i="12"/>
  <c r="J213" i="12"/>
  <c r="J203" i="12"/>
  <c r="J195" i="12"/>
  <c r="J177" i="12"/>
  <c r="J173" i="12"/>
  <c r="J220" i="12"/>
  <c r="J147" i="12"/>
  <c r="J134" i="12"/>
  <c r="J118" i="12"/>
  <c r="J194" i="12"/>
  <c r="J186" i="12"/>
  <c r="J154" i="12"/>
  <c r="J123" i="12"/>
  <c r="J171" i="12"/>
  <c r="J143" i="12"/>
  <c r="J130" i="12"/>
  <c r="J270" i="12"/>
  <c r="J234" i="12"/>
  <c r="J163" i="12"/>
  <c r="J216" i="12"/>
  <c r="J202" i="12"/>
  <c r="J175" i="12"/>
  <c r="J159" i="12"/>
  <c r="J150" i="12"/>
  <c r="J139" i="12"/>
  <c r="J126" i="12"/>
  <c r="J266" i="12"/>
  <c r="J238" i="12"/>
  <c r="J226" i="12"/>
  <c r="J206" i="12"/>
  <c r="J179" i="12"/>
  <c r="J119" i="12"/>
  <c r="J114" i="12"/>
  <c r="J250" i="12"/>
  <c r="J240" i="12"/>
  <c r="J212" i="12"/>
  <c r="J146" i="12"/>
  <c r="J135" i="12"/>
  <c r="N12" i="12"/>
  <c r="J155" i="12"/>
  <c r="J170" i="12"/>
  <c r="J142" i="12"/>
  <c r="J131" i="12"/>
  <c r="J122" i="12"/>
  <c r="J112" i="12"/>
  <c r="J180" i="12"/>
  <c r="J168" i="12"/>
  <c r="J162" i="12"/>
  <c r="J188" i="12"/>
  <c r="J178" i="12"/>
  <c r="J174" i="12"/>
  <c r="J151" i="12"/>
  <c r="J127" i="12"/>
  <c r="J115" i="12"/>
  <c r="J182" i="12"/>
  <c r="J158" i="12"/>
  <c r="J138" i="12"/>
  <c r="T26" i="6"/>
  <c r="Z22" i="6"/>
  <c r="X22" i="6"/>
  <c r="D27" i="53"/>
  <c r="L18" i="53"/>
  <c r="H27" i="52"/>
  <c r="N18" i="52"/>
  <c r="L18" i="41"/>
  <c r="D27" i="41"/>
  <c r="L18" i="40"/>
  <c r="D27" i="40"/>
  <c r="T27" i="38"/>
  <c r="Z18" i="38"/>
  <c r="H27" i="22"/>
  <c r="N18" i="22"/>
  <c r="T27" i="20"/>
  <c r="Z18" i="20"/>
  <c r="L18" i="5"/>
  <c r="D27" i="5"/>
  <c r="F74" i="83"/>
  <c r="F73" i="83"/>
  <c r="F62" i="83"/>
  <c r="F61" i="83"/>
  <c r="F54" i="83"/>
  <c r="F53" i="83"/>
  <c r="F30" i="83"/>
  <c r="F26" i="83"/>
  <c r="F63" i="83"/>
  <c r="F78" i="83"/>
  <c r="F77" i="83"/>
  <c r="F70" i="83"/>
  <c r="F58" i="83"/>
  <c r="F57" i="83"/>
  <c r="F46" i="83"/>
  <c r="F18" i="83"/>
  <c r="F37" i="83"/>
  <c r="F33" i="83"/>
  <c r="F32" i="83"/>
  <c r="F82" i="83"/>
  <c r="F80" i="83"/>
  <c r="F71" i="83"/>
  <c r="F59" i="83"/>
  <c r="F39" i="83"/>
  <c r="F38" i="83"/>
  <c r="F84" i="83"/>
  <c r="F66" i="83"/>
  <c r="F65" i="83"/>
  <c r="F50" i="83"/>
  <c r="F49" i="83"/>
  <c r="F89" i="83"/>
  <c r="F86" i="83"/>
  <c r="F43" i="83"/>
  <c r="F42" i="83"/>
  <c r="F35" i="83"/>
  <c r="F56" i="83"/>
  <c r="F27" i="83"/>
  <c r="F25" i="83"/>
  <c r="D20" i="83"/>
  <c r="F72" i="83"/>
  <c r="F51" i="83"/>
  <c r="F41" i="83"/>
  <c r="F17" i="83"/>
  <c r="F68" i="83"/>
  <c r="F44" i="83"/>
  <c r="F75" i="83"/>
  <c r="F22" i="83"/>
  <c r="F52" i="83"/>
  <c r="F28" i="83"/>
  <c r="F23" i="83"/>
  <c r="L12" i="83"/>
  <c r="N12" i="83" s="1"/>
  <c r="F69" i="83"/>
  <c r="F64" i="83"/>
  <c r="F47" i="83"/>
  <c r="F55" i="83"/>
  <c r="F45" i="83"/>
  <c r="F24" i="83"/>
  <c r="F76" i="83"/>
  <c r="F40" i="83"/>
  <c r="F60" i="83"/>
  <c r="F48" i="83"/>
  <c r="F36" i="83"/>
  <c r="F34" i="83"/>
  <c r="F20" i="83"/>
  <c r="F67" i="83"/>
  <c r="F16" i="83"/>
  <c r="F29" i="83"/>
  <c r="F31" i="83"/>
  <c r="P126" i="84"/>
  <c r="V17" i="82"/>
  <c r="Z12" i="82"/>
  <c r="T21" i="82"/>
  <c r="V29" i="82"/>
  <c r="V23" i="82"/>
  <c r="V25" i="82"/>
  <c r="V18" i="82"/>
  <c r="V19" i="82"/>
  <c r="D68" i="79"/>
  <c r="L20" i="79"/>
  <c r="N20" i="79" s="1"/>
  <c r="X128" i="74"/>
  <c r="Z128" i="74" s="1"/>
  <c r="Z117" i="68"/>
  <c r="R118" i="70"/>
  <c r="R112" i="70"/>
  <c r="R111" i="70"/>
  <c r="R88" i="70"/>
  <c r="R87" i="70"/>
  <c r="R79" i="70"/>
  <c r="R75" i="70"/>
  <c r="R116" i="70"/>
  <c r="R113" i="70"/>
  <c r="R105" i="70"/>
  <c r="R100" i="70"/>
  <c r="R99" i="70"/>
  <c r="R91" i="70"/>
  <c r="R71" i="70"/>
  <c r="R67" i="70"/>
  <c r="R107" i="70"/>
  <c r="R106" i="70"/>
  <c r="R83" i="70"/>
  <c r="R82" i="70"/>
  <c r="R108" i="70"/>
  <c r="R104" i="70"/>
  <c r="R97" i="70"/>
  <c r="R96" i="70"/>
  <c r="R56" i="70"/>
  <c r="R52" i="70"/>
  <c r="R48" i="70"/>
  <c r="R44" i="70"/>
  <c r="R115" i="70"/>
  <c r="R103" i="70"/>
  <c r="R55" i="70"/>
  <c r="R122" i="70"/>
  <c r="R109" i="70"/>
  <c r="R94" i="70"/>
  <c r="R85" i="70"/>
  <c r="R64" i="70"/>
  <c r="R50" i="70"/>
  <c r="R77" i="70"/>
  <c r="R69" i="70"/>
  <c r="R47" i="70"/>
  <c r="R89" i="70"/>
  <c r="R86" i="70"/>
  <c r="R53" i="70"/>
  <c r="R110" i="70"/>
  <c r="R101" i="70"/>
  <c r="R95" i="70"/>
  <c r="R42" i="70"/>
  <c r="R98" i="70"/>
  <c r="R80" i="70"/>
  <c r="R72" i="70"/>
  <c r="P60" i="70"/>
  <c r="R60" i="70" s="1"/>
  <c r="R45" i="70"/>
  <c r="R92" i="70"/>
  <c r="R81" i="70"/>
  <c r="R70" i="70"/>
  <c r="R65" i="70"/>
  <c r="R54" i="70"/>
  <c r="X12" i="70"/>
  <c r="Z12" i="70" s="1"/>
  <c r="R90" i="70"/>
  <c r="R78" i="70"/>
  <c r="R73" i="70"/>
  <c r="R62" i="70"/>
  <c r="R57" i="70"/>
  <c r="R51" i="70"/>
  <c r="R93" i="70"/>
  <c r="R84" i="70"/>
  <c r="R46" i="70"/>
  <c r="R102" i="70"/>
  <c r="R68" i="70"/>
  <c r="R63" i="70"/>
  <c r="R43" i="70"/>
  <c r="R74" i="70"/>
  <c r="R58" i="70"/>
  <c r="R66" i="70"/>
  <c r="R117" i="70"/>
  <c r="R49" i="70"/>
  <c r="R76" i="70"/>
  <c r="L16" i="67"/>
  <c r="D58" i="67"/>
  <c r="P58" i="67"/>
  <c r="X16" i="67"/>
  <c r="J117" i="68"/>
  <c r="J109" i="68"/>
  <c r="J93" i="68"/>
  <c r="J81" i="68"/>
  <c r="J77" i="68"/>
  <c r="J75" i="68"/>
  <c r="J51" i="68"/>
  <c r="J122" i="68"/>
  <c r="J94" i="68"/>
  <c r="H73" i="68"/>
  <c r="J68" i="68"/>
  <c r="J64" i="68"/>
  <c r="J60" i="68"/>
  <c r="J56" i="68"/>
  <c r="J52" i="68"/>
  <c r="J103" i="68"/>
  <c r="J95" i="68"/>
  <c r="J87" i="68"/>
  <c r="J110" i="68"/>
  <c r="J104" i="68"/>
  <c r="J82" i="68"/>
  <c r="J78" i="68"/>
  <c r="J105" i="68"/>
  <c r="J69" i="68"/>
  <c r="J65" i="68"/>
  <c r="J61" i="68"/>
  <c r="J57" i="68"/>
  <c r="J53" i="68"/>
  <c r="J96" i="68"/>
  <c r="J88" i="68"/>
  <c r="N12" i="68"/>
  <c r="J111" i="68"/>
  <c r="J112" i="68"/>
  <c r="J106" i="68"/>
  <c r="J98" i="68"/>
  <c r="J70" i="68"/>
  <c r="J66" i="68"/>
  <c r="J62" i="68"/>
  <c r="J58" i="68"/>
  <c r="J54" i="68"/>
  <c r="J113" i="68"/>
  <c r="J107" i="68"/>
  <c r="J99" i="68"/>
  <c r="J89" i="68"/>
  <c r="J114" i="68"/>
  <c r="J108" i="68"/>
  <c r="J100" i="68"/>
  <c r="J90" i="68"/>
  <c r="J84" i="68"/>
  <c r="J80" i="68"/>
  <c r="J118" i="68"/>
  <c r="J102" i="68"/>
  <c r="J92" i="68"/>
  <c r="J86" i="68"/>
  <c r="J76" i="68"/>
  <c r="J91" i="68"/>
  <c r="J115" i="68"/>
  <c r="J63" i="68"/>
  <c r="J79" i="68"/>
  <c r="J67" i="68"/>
  <c r="J101" i="68"/>
  <c r="J85" i="68"/>
  <c r="J55" i="68"/>
  <c r="J83" i="68"/>
  <c r="J71" i="68"/>
  <c r="J97" i="68"/>
  <c r="J59" i="68"/>
  <c r="T102" i="63"/>
  <c r="Z16" i="63"/>
  <c r="Z16" i="54"/>
  <c r="T22" i="54"/>
  <c r="H70" i="56"/>
  <c r="N16" i="56"/>
  <c r="H53" i="61"/>
  <c r="F83" i="51"/>
  <c r="F82" i="51"/>
  <c r="F63" i="51"/>
  <c r="F59" i="51"/>
  <c r="F93" i="51"/>
  <c r="F85" i="51"/>
  <c r="F84" i="51"/>
  <c r="F69" i="51"/>
  <c r="F76" i="51"/>
  <c r="F75" i="51"/>
  <c r="F64" i="51"/>
  <c r="F60" i="51"/>
  <c r="F95" i="51"/>
  <c r="F94" i="51"/>
  <c r="F87" i="51"/>
  <c r="F86" i="51"/>
  <c r="F51" i="51"/>
  <c r="F47" i="51"/>
  <c r="F43" i="51"/>
  <c r="F78" i="51"/>
  <c r="F77" i="51"/>
  <c r="F70" i="51"/>
  <c r="F105" i="51"/>
  <c r="F80" i="51"/>
  <c r="F79" i="51"/>
  <c r="F52" i="51"/>
  <c r="F48" i="51"/>
  <c r="F109" i="51"/>
  <c r="F104" i="51"/>
  <c r="F99" i="51"/>
  <c r="F98" i="51"/>
  <c r="F91" i="51"/>
  <c r="F90" i="51"/>
  <c r="F71" i="51"/>
  <c r="F103" i="51"/>
  <c r="F101" i="51"/>
  <c r="F92" i="51"/>
  <c r="F72" i="51"/>
  <c r="F68" i="51"/>
  <c r="F67" i="51"/>
  <c r="D54" i="51"/>
  <c r="F88" i="51"/>
  <c r="F42" i="51"/>
  <c r="F61" i="51"/>
  <c r="F54" i="51"/>
  <c r="F81" i="51"/>
  <c r="F49" i="51"/>
  <c r="F39" i="51"/>
  <c r="F58" i="51"/>
  <c r="F45" i="51"/>
  <c r="F40" i="51"/>
  <c r="F97" i="51"/>
  <c r="F73" i="51"/>
  <c r="F65" i="51"/>
  <c r="F50" i="51"/>
  <c r="F89" i="51"/>
  <c r="F56" i="51"/>
  <c r="F102" i="51"/>
  <c r="F62" i="51"/>
  <c r="F46" i="51"/>
  <c r="L12" i="51"/>
  <c r="N12" i="51" s="1"/>
  <c r="F41" i="51"/>
  <c r="F96" i="51"/>
  <c r="F66" i="51"/>
  <c r="F44" i="51"/>
  <c r="F74" i="51"/>
  <c r="F57" i="51"/>
  <c r="T94" i="45"/>
  <c r="J94" i="45"/>
  <c r="F103" i="27"/>
  <c r="F95" i="27"/>
  <c r="F94" i="27"/>
  <c r="F79" i="27"/>
  <c r="F75" i="27"/>
  <c r="F74" i="27"/>
  <c r="D61" i="27"/>
  <c r="F110" i="27"/>
  <c r="F86" i="27"/>
  <c r="F70" i="27"/>
  <c r="F66" i="27"/>
  <c r="F105" i="27"/>
  <c r="F104" i="27"/>
  <c r="F97" i="27"/>
  <c r="F96" i="27"/>
  <c r="F57" i="27"/>
  <c r="F53" i="27"/>
  <c r="F49" i="27"/>
  <c r="F45" i="27"/>
  <c r="F112" i="27"/>
  <c r="F111" i="27"/>
  <c r="F88" i="27"/>
  <c r="F87" i="27"/>
  <c r="F80" i="27"/>
  <c r="F76" i="27"/>
  <c r="L12" i="27"/>
  <c r="N12" i="27" s="1"/>
  <c r="F99" i="27"/>
  <c r="F98" i="27"/>
  <c r="F71" i="27"/>
  <c r="F67" i="27"/>
  <c r="F119" i="27"/>
  <c r="F114" i="27"/>
  <c r="F113" i="27"/>
  <c r="F106" i="27"/>
  <c r="F90" i="27"/>
  <c r="F89" i="27"/>
  <c r="F58" i="27"/>
  <c r="F54" i="27"/>
  <c r="F50" i="27"/>
  <c r="F46" i="27"/>
  <c r="F123" i="27"/>
  <c r="F118" i="27"/>
  <c r="F81" i="27"/>
  <c r="F77" i="27"/>
  <c r="F117" i="27"/>
  <c r="F100" i="27"/>
  <c r="F92" i="27"/>
  <c r="F91" i="27"/>
  <c r="F72" i="27"/>
  <c r="F68" i="27"/>
  <c r="F116" i="27"/>
  <c r="F107" i="27"/>
  <c r="F83" i="27"/>
  <c r="F82" i="27"/>
  <c r="F59" i="27"/>
  <c r="F55" i="27"/>
  <c r="F51" i="27"/>
  <c r="F47" i="27"/>
  <c r="F102" i="27"/>
  <c r="F101" i="27"/>
  <c r="F78" i="27"/>
  <c r="F63" i="27"/>
  <c r="F61" i="27"/>
  <c r="F56" i="27"/>
  <c r="F52" i="27"/>
  <c r="F48" i="27"/>
  <c r="F44" i="27"/>
  <c r="F43" i="27"/>
  <c r="F84" i="27"/>
  <c r="F69" i="27"/>
  <c r="F109" i="27"/>
  <c r="F93" i="27"/>
  <c r="F65" i="27"/>
  <c r="F108" i="27"/>
  <c r="F85" i="27"/>
  <c r="F64" i="27"/>
  <c r="F73" i="27"/>
  <c r="L116" i="27"/>
  <c r="N116" i="27" s="1"/>
  <c r="N160" i="30"/>
  <c r="P291" i="18"/>
  <c r="X186" i="18"/>
  <c r="Z186" i="18" s="1"/>
  <c r="V306" i="3"/>
  <c r="V260" i="3"/>
  <c r="V252" i="3"/>
  <c r="V232" i="3"/>
  <c r="V224" i="3"/>
  <c r="V208" i="3"/>
  <c r="V204" i="3"/>
  <c r="V305" i="3"/>
  <c r="V287" i="3"/>
  <c r="V271" i="3"/>
  <c r="V267" i="3"/>
  <c r="V251" i="3"/>
  <c r="V243" i="3"/>
  <c r="V227" i="3"/>
  <c r="V304" i="3"/>
  <c r="V294" i="3"/>
  <c r="V286" i="3"/>
  <c r="V282" i="3"/>
  <c r="V278" i="3"/>
  <c r="V266" i="3"/>
  <c r="V254" i="3"/>
  <c r="V242" i="3"/>
  <c r="V234" i="3"/>
  <c r="V226" i="3"/>
  <c r="V218" i="3"/>
  <c r="V214" i="3"/>
  <c r="V303" i="3"/>
  <c r="V273" i="3"/>
  <c r="V261" i="3"/>
  <c r="V253" i="3"/>
  <c r="V233" i="3"/>
  <c r="V209" i="3"/>
  <c r="V205" i="3"/>
  <c r="V201" i="3"/>
  <c r="V302" i="3"/>
  <c r="V296" i="3"/>
  <c r="V288" i="3"/>
  <c r="V272" i="3"/>
  <c r="V268" i="3"/>
  <c r="V256" i="3"/>
  <c r="V244" i="3"/>
  <c r="V236" i="3"/>
  <c r="V228" i="3"/>
  <c r="V220" i="3"/>
  <c r="V200" i="3"/>
  <c r="V196" i="3"/>
  <c r="V192" i="3"/>
  <c r="V188" i="3"/>
  <c r="V184" i="3"/>
  <c r="V180" i="3"/>
  <c r="V176" i="3"/>
  <c r="V301" i="3"/>
  <c r="V295" i="3"/>
  <c r="V283" i="3"/>
  <c r="V279" i="3"/>
  <c r="V263" i="3"/>
  <c r="V255" i="3"/>
  <c r="V235" i="3"/>
  <c r="V219" i="3"/>
  <c r="V215" i="3"/>
  <c r="T198" i="3"/>
  <c r="V311" i="3"/>
  <c r="V299" i="3"/>
  <c r="V297" i="3"/>
  <c r="V289" i="3"/>
  <c r="V269" i="3"/>
  <c r="V257" i="3"/>
  <c r="V245" i="3"/>
  <c r="V237" i="3"/>
  <c r="V229" i="3"/>
  <c r="V221" i="3"/>
  <c r="V193" i="3"/>
  <c r="V189" i="3"/>
  <c r="V185" i="3"/>
  <c r="V181" i="3"/>
  <c r="V177" i="3"/>
  <c r="V173" i="3"/>
  <c r="V169" i="3"/>
  <c r="V165" i="3"/>
  <c r="V161" i="3"/>
  <c r="V157" i="3"/>
  <c r="V153" i="3"/>
  <c r="V149" i="3"/>
  <c r="V145" i="3"/>
  <c r="V141" i="3"/>
  <c r="V137" i="3"/>
  <c r="V310" i="3"/>
  <c r="V292" i="3"/>
  <c r="V284" i="3"/>
  <c r="V280" i="3"/>
  <c r="V276" i="3"/>
  <c r="V264" i="3"/>
  <c r="V248" i="3"/>
  <c r="V240" i="3"/>
  <c r="V216" i="3"/>
  <c r="V212" i="3"/>
  <c r="V309" i="3"/>
  <c r="V291" i="3"/>
  <c r="V275" i="3"/>
  <c r="V259" i="3"/>
  <c r="V247" i="3"/>
  <c r="V239" i="3"/>
  <c r="V231" i="3"/>
  <c r="V223" i="3"/>
  <c r="V211" i="3"/>
  <c r="V207" i="3"/>
  <c r="V203" i="3"/>
  <c r="V307" i="3"/>
  <c r="V293" i="3"/>
  <c r="V285" i="3"/>
  <c r="V281" i="3"/>
  <c r="V277" i="3"/>
  <c r="V265" i="3"/>
  <c r="V249" i="3"/>
  <c r="V241" i="3"/>
  <c r="V225" i="3"/>
  <c r="V217" i="3"/>
  <c r="V213" i="3"/>
  <c r="V238" i="3"/>
  <c r="V162" i="3"/>
  <c r="V151" i="3"/>
  <c r="V147" i="3"/>
  <c r="V290" i="3"/>
  <c r="V206" i="3"/>
  <c r="V179" i="3"/>
  <c r="V168" i="3"/>
  <c r="V143" i="3"/>
  <c r="V139" i="3"/>
  <c r="V195" i="3"/>
  <c r="V320" i="3"/>
  <c r="V300" i="3"/>
  <c r="V258" i="3"/>
  <c r="V166" i="3"/>
  <c r="V155" i="3"/>
  <c r="V250" i="3"/>
  <c r="V194" i="3"/>
  <c r="V172" i="3"/>
  <c r="V146" i="3"/>
  <c r="V312" i="3"/>
  <c r="V246" i="3"/>
  <c r="V210" i="3"/>
  <c r="V186" i="3"/>
  <c r="V170" i="3"/>
  <c r="V159" i="3"/>
  <c r="V150" i="3"/>
  <c r="V144" i="3"/>
  <c r="V158" i="3"/>
  <c r="V191" i="3"/>
  <c r="V183" i="3"/>
  <c r="V174" i="3"/>
  <c r="V152" i="3"/>
  <c r="V148" i="3"/>
  <c r="V140" i="3"/>
  <c r="V190" i="3"/>
  <c r="V270" i="3"/>
  <c r="V163" i="3"/>
  <c r="V308" i="3"/>
  <c r="V262" i="3"/>
  <c r="V156" i="3"/>
  <c r="V142" i="3"/>
  <c r="V138" i="3"/>
  <c r="V321" i="3"/>
  <c r="V230" i="3"/>
  <c r="V178" i="3"/>
  <c r="V167" i="3"/>
  <c r="V154" i="3"/>
  <c r="V274" i="3"/>
  <c r="V202" i="3"/>
  <c r="V160" i="3"/>
  <c r="V171" i="3"/>
  <c r="V316" i="3"/>
  <c r="V222" i="3"/>
  <c r="V187" i="3"/>
  <c r="V182" i="3"/>
  <c r="V175" i="3"/>
  <c r="V164" i="3"/>
  <c r="T27" i="53"/>
  <c r="Z18" i="53"/>
  <c r="X18" i="41"/>
  <c r="P27" i="41"/>
  <c r="X18" i="26"/>
  <c r="P27" i="26"/>
  <c r="T27" i="31"/>
  <c r="Z18" i="31"/>
  <c r="X18" i="17"/>
  <c r="P27" i="17"/>
  <c r="T27" i="23"/>
  <c r="Z18" i="23"/>
  <c r="X18" i="13"/>
  <c r="P27" i="13"/>
  <c r="T27" i="4"/>
  <c r="Z18" i="4"/>
  <c r="N18" i="11"/>
  <c r="H27" i="11"/>
  <c r="N18" i="8"/>
  <c r="H27" i="8"/>
  <c r="H84" i="107"/>
  <c r="N21" i="107"/>
  <c r="R84" i="21"/>
  <c r="R83" i="21"/>
  <c r="R48" i="21"/>
  <c r="R47" i="21"/>
  <c r="R95" i="21"/>
  <c r="R94" i="21"/>
  <c r="R78" i="21"/>
  <c r="R71" i="21"/>
  <c r="R70" i="21"/>
  <c r="R59" i="21"/>
  <c r="R58" i="21"/>
  <c r="R42" i="21"/>
  <c r="R23" i="21"/>
  <c r="R89" i="21"/>
  <c r="R85" i="21"/>
  <c r="R50" i="21"/>
  <c r="R49" i="21"/>
  <c r="R37" i="21"/>
  <c r="R33" i="21"/>
  <c r="R97" i="21"/>
  <c r="R96" i="21"/>
  <c r="R72" i="21"/>
  <c r="R61" i="21"/>
  <c r="R60" i="21"/>
  <c r="R24" i="21"/>
  <c r="R79" i="21"/>
  <c r="R52" i="21"/>
  <c r="R51" i="21"/>
  <c r="R43" i="21"/>
  <c r="R98" i="21"/>
  <c r="R90" i="21"/>
  <c r="R86" i="21"/>
  <c r="R63" i="21"/>
  <c r="R62" i="21"/>
  <c r="R39" i="21"/>
  <c r="R38" i="21"/>
  <c r="R34" i="21"/>
  <c r="R100" i="21"/>
  <c r="R73" i="21"/>
  <c r="R53" i="21"/>
  <c r="R30" i="21"/>
  <c r="R25" i="21"/>
  <c r="R80" i="21"/>
  <c r="R65" i="21"/>
  <c r="R64" i="21"/>
  <c r="R44" i="21"/>
  <c r="R40" i="21"/>
  <c r="R29" i="21"/>
  <c r="X12" i="21"/>
  <c r="R91" i="21"/>
  <c r="R87" i="21"/>
  <c r="R35" i="21"/>
  <c r="R31" i="21"/>
  <c r="P27" i="21"/>
  <c r="R27" i="21" s="1"/>
  <c r="R104" i="21"/>
  <c r="R75" i="21"/>
  <c r="R74" i="21"/>
  <c r="R67" i="21"/>
  <c r="R66" i="21"/>
  <c r="R55" i="21"/>
  <c r="R54" i="21"/>
  <c r="R93" i="21"/>
  <c r="R92" i="21"/>
  <c r="R88" i="21"/>
  <c r="R77" i="21"/>
  <c r="R76" i="21"/>
  <c r="R69" i="21"/>
  <c r="R68" i="21"/>
  <c r="R57" i="21"/>
  <c r="R56" i="21"/>
  <c r="R36" i="21"/>
  <c r="R32" i="21"/>
  <c r="R81" i="21"/>
  <c r="R45" i="21"/>
  <c r="R41" i="21"/>
  <c r="R82" i="21"/>
  <c r="R46" i="21"/>
  <c r="T27" i="110"/>
  <c r="Z18" i="110"/>
  <c r="X18" i="47"/>
  <c r="P27" i="47"/>
  <c r="H67" i="109"/>
  <c r="T67" i="109"/>
  <c r="D51" i="104"/>
  <c r="V80" i="103"/>
  <c r="V79" i="103"/>
  <c r="V69" i="103"/>
  <c r="V57" i="103"/>
  <c r="V45" i="103"/>
  <c r="V37" i="103"/>
  <c r="V73" i="103"/>
  <c r="V64" i="103"/>
  <c r="V56" i="103"/>
  <c r="V44" i="103"/>
  <c r="V32" i="103"/>
  <c r="V28" i="103"/>
  <c r="V24" i="103"/>
  <c r="V59" i="103"/>
  <c r="V47" i="103"/>
  <c r="V81" i="103"/>
  <c r="V70" i="103"/>
  <c r="V58" i="103"/>
  <c r="V46" i="103"/>
  <c r="V38" i="103"/>
  <c r="V34" i="103"/>
  <c r="V83" i="103"/>
  <c r="V74" i="103"/>
  <c r="V65" i="103"/>
  <c r="V60" i="103"/>
  <c r="V48" i="103"/>
  <c r="V76" i="103"/>
  <c r="V71" i="103"/>
  <c r="V67" i="103"/>
  <c r="V51" i="103"/>
  <c r="V39" i="103"/>
  <c r="V35" i="103"/>
  <c r="V75" i="103"/>
  <c r="V66" i="103"/>
  <c r="V50" i="103"/>
  <c r="V30" i="103"/>
  <c r="V26" i="103"/>
  <c r="V78" i="103"/>
  <c r="V61" i="103"/>
  <c r="V53" i="103"/>
  <c r="V41" i="103"/>
  <c r="V17" i="103"/>
  <c r="V62" i="103"/>
  <c r="V54" i="103"/>
  <c r="V42" i="103"/>
  <c r="V29" i="103"/>
  <c r="V72" i="103"/>
  <c r="V31" i="103"/>
  <c r="V21" i="103"/>
  <c r="V52" i="103"/>
  <c r="V33" i="103"/>
  <c r="T21" i="103"/>
  <c r="V18" i="103"/>
  <c r="V55" i="103"/>
  <c r="V87" i="103"/>
  <c r="V36" i="103"/>
  <c r="V23" i="103"/>
  <c r="V68" i="103"/>
  <c r="V49" i="103"/>
  <c r="V40" i="103"/>
  <c r="V43" i="103"/>
  <c r="V77" i="103"/>
  <c r="V19" i="103"/>
  <c r="V63" i="103"/>
  <c r="V27" i="103"/>
  <c r="V25" i="103"/>
  <c r="Z40" i="99"/>
  <c r="J45" i="98"/>
  <c r="J48" i="98"/>
  <c r="J39" i="98"/>
  <c r="J27" i="98"/>
  <c r="J52" i="98"/>
  <c r="J40" i="98"/>
  <c r="H19" i="98"/>
  <c r="J41" i="98"/>
  <c r="J33" i="98"/>
  <c r="J46" i="98"/>
  <c r="J43" i="98"/>
  <c r="J31" i="98"/>
  <c r="J17" i="98"/>
  <c r="J28" i="98"/>
  <c r="J25" i="98"/>
  <c r="J35" i="98"/>
  <c r="J32" i="98"/>
  <c r="J19" i="98"/>
  <c r="J36" i="98"/>
  <c r="J22" i="98"/>
  <c r="J21" i="98"/>
  <c r="J44" i="98"/>
  <c r="J29" i="98"/>
  <c r="J26" i="98"/>
  <c r="J42" i="98"/>
  <c r="J23" i="98"/>
  <c r="J37" i="98"/>
  <c r="N12" i="98"/>
  <c r="J38" i="98"/>
  <c r="J34" i="98"/>
  <c r="J16" i="98"/>
  <c r="J24" i="98"/>
  <c r="L12" i="98"/>
  <c r="J30" i="98"/>
  <c r="D50" i="102"/>
  <c r="L46" i="102"/>
  <c r="N46" i="102" s="1"/>
  <c r="L20" i="97"/>
  <c r="D86" i="97"/>
  <c r="X20" i="97"/>
  <c r="P86" i="97"/>
  <c r="L20" i="94"/>
  <c r="D77" i="94"/>
  <c r="F73" i="88"/>
  <c r="F71" i="88"/>
  <c r="F58" i="88"/>
  <c r="F57" i="88"/>
  <c r="F50" i="88"/>
  <c r="F49" i="88"/>
  <c r="F38" i="88"/>
  <c r="F34" i="88"/>
  <c r="D20" i="88"/>
  <c r="F75" i="88"/>
  <c r="F64" i="88"/>
  <c r="F52" i="88"/>
  <c r="F51" i="88"/>
  <c r="F59" i="88"/>
  <c r="F35" i="88"/>
  <c r="F80" i="88"/>
  <c r="F77" i="88"/>
  <c r="F54" i="88"/>
  <c r="F53" i="88"/>
  <c r="F42" i="88"/>
  <c r="F41" i="88"/>
  <c r="F30" i="88"/>
  <c r="F26" i="88"/>
  <c r="F65" i="88"/>
  <c r="F61" i="88"/>
  <c r="F60" i="88"/>
  <c r="F17" i="88"/>
  <c r="F16" i="88"/>
  <c r="F44" i="88"/>
  <c r="F43" i="88"/>
  <c r="F36" i="88"/>
  <c r="F67" i="88"/>
  <c r="F66" i="88"/>
  <c r="F62" i="88"/>
  <c r="F46" i="88"/>
  <c r="F45" i="88"/>
  <c r="F18" i="88"/>
  <c r="F69" i="88"/>
  <c r="F68" i="88"/>
  <c r="F37" i="88"/>
  <c r="F33" i="88"/>
  <c r="F32" i="88"/>
  <c r="F63" i="88"/>
  <c r="F22" i="88"/>
  <c r="F20" i="88"/>
  <c r="F48" i="88"/>
  <c r="F29" i="88"/>
  <c r="F23" i="88"/>
  <c r="L12" i="88"/>
  <c r="N12" i="88" s="1"/>
  <c r="F56" i="88"/>
  <c r="F31" i="88"/>
  <c r="F24" i="88"/>
  <c r="F40" i="88"/>
  <c r="F28" i="88"/>
  <c r="F55" i="88"/>
  <c r="F47" i="88"/>
  <c r="F39" i="88"/>
  <c r="F27" i="88"/>
  <c r="F25" i="88"/>
  <c r="T72" i="92"/>
  <c r="R70" i="79"/>
  <c r="R36" i="79"/>
  <c r="X12" i="79"/>
  <c r="Z12" i="79" s="1"/>
  <c r="R59" i="79"/>
  <c r="R38" i="79"/>
  <c r="R37" i="79"/>
  <c r="R33" i="79"/>
  <c r="R22" i="79"/>
  <c r="R61" i="79"/>
  <c r="R60" i="79"/>
  <c r="R48" i="79"/>
  <c r="R28" i="79"/>
  <c r="R24" i="79"/>
  <c r="P20" i="79"/>
  <c r="R20" i="79" s="1"/>
  <c r="R56" i="79"/>
  <c r="R55" i="79"/>
  <c r="R40" i="79"/>
  <c r="R39" i="79"/>
  <c r="R63" i="79"/>
  <c r="R62" i="79"/>
  <c r="R57" i="79"/>
  <c r="R50" i="79"/>
  <c r="R49" i="79"/>
  <c r="R42" i="79"/>
  <c r="R41" i="79"/>
  <c r="R29" i="79"/>
  <c r="R25" i="79"/>
  <c r="R64" i="79"/>
  <c r="R66" i="79"/>
  <c r="R52" i="79"/>
  <c r="R51" i="79"/>
  <c r="R44" i="79"/>
  <c r="R53" i="79"/>
  <c r="R46" i="79"/>
  <c r="R45" i="79"/>
  <c r="R17" i="79"/>
  <c r="R32" i="79"/>
  <c r="R23" i="79"/>
  <c r="R30" i="79"/>
  <c r="R47" i="79"/>
  <c r="R35" i="79"/>
  <c r="R26" i="79"/>
  <c r="R43" i="79"/>
  <c r="R31" i="79"/>
  <c r="R58" i="79"/>
  <c r="R34" i="79"/>
  <c r="R27" i="79"/>
  <c r="R18" i="79"/>
  <c r="R16" i="79"/>
  <c r="R54" i="79"/>
  <c r="H73" i="72"/>
  <c r="J87" i="75"/>
  <c r="J73" i="75"/>
  <c r="J69" i="75"/>
  <c r="J61" i="75"/>
  <c r="J51" i="75"/>
  <c r="J45" i="75"/>
  <c r="J35" i="75"/>
  <c r="J62" i="75"/>
  <c r="J52" i="75"/>
  <c r="J63" i="75"/>
  <c r="J53" i="75"/>
  <c r="J74" i="75"/>
  <c r="J70" i="75"/>
  <c r="J54" i="75"/>
  <c r="J46" i="75"/>
  <c r="J75" i="75"/>
  <c r="J55" i="75"/>
  <c r="J41" i="75"/>
  <c r="J37" i="75"/>
  <c r="J76" i="75"/>
  <c r="J64" i="75"/>
  <c r="J56" i="75"/>
  <c r="J77" i="75"/>
  <c r="J71" i="75"/>
  <c r="J78" i="75"/>
  <c r="J58" i="75"/>
  <c r="J42" i="75"/>
  <c r="J38" i="75"/>
  <c r="J79" i="75"/>
  <c r="J65" i="75"/>
  <c r="J80" i="75"/>
  <c r="J72" i="75"/>
  <c r="J66" i="75"/>
  <c r="J48" i="75"/>
  <c r="J82" i="75"/>
  <c r="J68" i="75"/>
  <c r="J60" i="75"/>
  <c r="J50" i="75"/>
  <c r="J44" i="75"/>
  <c r="J39" i="75"/>
  <c r="J43" i="75"/>
  <c r="J30" i="75"/>
  <c r="J83" i="75"/>
  <c r="J57" i="75"/>
  <c r="J49" i="75"/>
  <c r="J36" i="75"/>
  <c r="J34" i="75"/>
  <c r="J47" i="75"/>
  <c r="J59" i="75"/>
  <c r="J40" i="75"/>
  <c r="J67" i="75"/>
  <c r="H32" i="75"/>
  <c r="J32" i="75" s="1"/>
  <c r="H58" i="67"/>
  <c r="N16" i="67"/>
  <c r="N20" i="69"/>
  <c r="H68" i="69"/>
  <c r="D120" i="68"/>
  <c r="L16" i="61"/>
  <c r="D49" i="61"/>
  <c r="X16" i="60"/>
  <c r="P50" i="60"/>
  <c r="P68" i="69"/>
  <c r="X20" i="69"/>
  <c r="Z20" i="69" s="1"/>
  <c r="N16" i="60"/>
  <c r="H50" i="60"/>
  <c r="T73" i="72"/>
  <c r="Z101" i="51"/>
  <c r="P67" i="57"/>
  <c r="X16" i="57"/>
  <c r="X101" i="51"/>
  <c r="Z119" i="42"/>
  <c r="F128" i="36"/>
  <c r="F115" i="36"/>
  <c r="F114" i="36"/>
  <c r="F107" i="36"/>
  <c r="F103" i="36"/>
  <c r="F79" i="36"/>
  <c r="F78" i="36"/>
  <c r="F39" i="36"/>
  <c r="F35" i="36"/>
  <c r="F98" i="36"/>
  <c r="F86" i="36"/>
  <c r="F70" i="36"/>
  <c r="F69" i="36"/>
  <c r="F58" i="36"/>
  <c r="F50" i="36"/>
  <c r="F49" i="36"/>
  <c r="F26" i="36"/>
  <c r="F93" i="36"/>
  <c r="F81" i="36"/>
  <c r="F80" i="36"/>
  <c r="F45" i="36"/>
  <c r="F116" i="36"/>
  <c r="F108" i="36"/>
  <c r="F104" i="36"/>
  <c r="F100" i="36"/>
  <c r="F99" i="36"/>
  <c r="F88" i="36"/>
  <c r="F87" i="36"/>
  <c r="F60" i="36"/>
  <c r="F59" i="36"/>
  <c r="F52" i="36"/>
  <c r="F51" i="36"/>
  <c r="F40" i="36"/>
  <c r="F36" i="36"/>
  <c r="F32" i="36"/>
  <c r="F31" i="36"/>
  <c r="F83" i="36"/>
  <c r="F82" i="36"/>
  <c r="F71" i="36"/>
  <c r="F30" i="36"/>
  <c r="F94" i="36"/>
  <c r="F62" i="36"/>
  <c r="F61" i="36"/>
  <c r="F54" i="36"/>
  <c r="F53" i="36"/>
  <c r="F46" i="36"/>
  <c r="F42" i="36"/>
  <c r="F41" i="36"/>
  <c r="D28" i="36"/>
  <c r="F117" i="36"/>
  <c r="F109" i="36"/>
  <c r="F105" i="36"/>
  <c r="F101" i="36"/>
  <c r="F89" i="36"/>
  <c r="F73" i="36"/>
  <c r="F72" i="36"/>
  <c r="F37" i="36"/>
  <c r="F33" i="36"/>
  <c r="F84" i="36"/>
  <c r="F64" i="36"/>
  <c r="F63" i="36"/>
  <c r="F56" i="36"/>
  <c r="F55" i="36"/>
  <c r="F119" i="36"/>
  <c r="F118" i="36"/>
  <c r="F111" i="36"/>
  <c r="F110" i="36"/>
  <c r="F95" i="36"/>
  <c r="F91" i="36"/>
  <c r="F90" i="36"/>
  <c r="F75" i="36"/>
  <c r="F74" i="36"/>
  <c r="F47" i="36"/>
  <c r="F43" i="36"/>
  <c r="F106" i="36"/>
  <c r="F102" i="36"/>
  <c r="F66" i="36"/>
  <c r="F65" i="36"/>
  <c r="F38" i="36"/>
  <c r="F34" i="36"/>
  <c r="F124" i="36"/>
  <c r="F121" i="36"/>
  <c r="F92" i="36"/>
  <c r="F68" i="36"/>
  <c r="F67" i="36"/>
  <c r="F48" i="36"/>
  <c r="F44" i="36"/>
  <c r="L12" i="36"/>
  <c r="N12" i="36" s="1"/>
  <c r="F122" i="36"/>
  <c r="F85" i="36"/>
  <c r="F113" i="36"/>
  <c r="F97" i="36"/>
  <c r="F77" i="36"/>
  <c r="F123" i="36"/>
  <c r="F24" i="36"/>
  <c r="F112" i="36"/>
  <c r="F96" i="36"/>
  <c r="F76" i="36"/>
  <c r="F57" i="36"/>
  <c r="F25" i="36"/>
  <c r="H164" i="30"/>
  <c r="R160" i="30"/>
  <c r="F293" i="18"/>
  <c r="F288" i="18"/>
  <c r="F271" i="18"/>
  <c r="F270" i="18"/>
  <c r="F263" i="18"/>
  <c r="F259" i="18"/>
  <c r="F247" i="18"/>
  <c r="F231" i="18"/>
  <c r="F230" i="18"/>
  <c r="F183" i="18"/>
  <c r="F179" i="18"/>
  <c r="F175" i="18"/>
  <c r="F171" i="18"/>
  <c r="F167" i="18"/>
  <c r="F163" i="18"/>
  <c r="F159" i="18"/>
  <c r="F155" i="18"/>
  <c r="F151" i="18"/>
  <c r="F147" i="18"/>
  <c r="F143" i="18"/>
  <c r="F139" i="18"/>
  <c r="F135" i="18"/>
  <c r="F131" i="18"/>
  <c r="F287" i="18"/>
  <c r="F242" i="18"/>
  <c r="F222" i="18"/>
  <c r="F221" i="18"/>
  <c r="F214" i="18"/>
  <c r="F213" i="18"/>
  <c r="F206" i="18"/>
  <c r="F202" i="18"/>
  <c r="F286" i="18"/>
  <c r="F253" i="18"/>
  <c r="F233" i="18"/>
  <c r="F232" i="18"/>
  <c r="F197" i="18"/>
  <c r="F193" i="18"/>
  <c r="F285" i="18"/>
  <c r="F272" i="18"/>
  <c r="F264" i="18"/>
  <c r="F260" i="18"/>
  <c r="F248" i="18"/>
  <c r="F224" i="18"/>
  <c r="F223" i="18"/>
  <c r="F216" i="18"/>
  <c r="F215" i="18"/>
  <c r="F184" i="18"/>
  <c r="F180" i="18"/>
  <c r="F176" i="18"/>
  <c r="F172" i="18"/>
  <c r="F168" i="18"/>
  <c r="F164" i="18"/>
  <c r="F160" i="18"/>
  <c r="F156" i="18"/>
  <c r="F152" i="18"/>
  <c r="F148" i="18"/>
  <c r="F144" i="18"/>
  <c r="F140" i="18"/>
  <c r="F136" i="18"/>
  <c r="F132" i="18"/>
  <c r="F128" i="18"/>
  <c r="F127" i="18"/>
  <c r="F284" i="18"/>
  <c r="F255" i="18"/>
  <c r="F254" i="18"/>
  <c r="F243" i="18"/>
  <c r="F235" i="18"/>
  <c r="F234" i="18"/>
  <c r="F207" i="18"/>
  <c r="F203" i="18"/>
  <c r="F283" i="18"/>
  <c r="F266" i="18"/>
  <c r="F265" i="18"/>
  <c r="F250" i="18"/>
  <c r="F249" i="18"/>
  <c r="F226" i="18"/>
  <c r="F225" i="18"/>
  <c r="F198" i="18"/>
  <c r="F194" i="18"/>
  <c r="F190" i="18"/>
  <c r="F189" i="18"/>
  <c r="F282" i="18"/>
  <c r="F273" i="18"/>
  <c r="F261" i="18"/>
  <c r="F237" i="18"/>
  <c r="F236" i="18"/>
  <c r="F281" i="18"/>
  <c r="F256" i="18"/>
  <c r="F244" i="18"/>
  <c r="F228" i="18"/>
  <c r="F227" i="18"/>
  <c r="F204" i="18"/>
  <c r="D186" i="18"/>
  <c r="F186" i="18" s="1"/>
  <c r="F280" i="18"/>
  <c r="F275" i="18"/>
  <c r="F274" i="18"/>
  <c r="F267" i="18"/>
  <c r="F251" i="18"/>
  <c r="F239" i="18"/>
  <c r="F238" i="18"/>
  <c r="F219" i="18"/>
  <c r="F218" i="18"/>
  <c r="F211" i="18"/>
  <c r="F210" i="18"/>
  <c r="F199" i="18"/>
  <c r="F195" i="18"/>
  <c r="F191" i="18"/>
  <c r="F279" i="18"/>
  <c r="F262" i="18"/>
  <c r="F258" i="18"/>
  <c r="F257" i="18"/>
  <c r="F246" i="18"/>
  <c r="F245" i="18"/>
  <c r="F182" i="18"/>
  <c r="F178" i="18"/>
  <c r="F174" i="18"/>
  <c r="F170" i="18"/>
  <c r="F166" i="18"/>
  <c r="F162" i="18"/>
  <c r="F158" i="18"/>
  <c r="F154" i="18"/>
  <c r="F150" i="18"/>
  <c r="F146" i="18"/>
  <c r="F142" i="18"/>
  <c r="F138" i="18"/>
  <c r="F134" i="18"/>
  <c r="F130" i="18"/>
  <c r="F289" i="18"/>
  <c r="F277" i="18"/>
  <c r="F252" i="18"/>
  <c r="F220" i="18"/>
  <c r="F212" i="18"/>
  <c r="F196" i="18"/>
  <c r="F192" i="18"/>
  <c r="F268" i="18"/>
  <c r="F137" i="18"/>
  <c r="F129" i="18"/>
  <c r="L12" i="18"/>
  <c r="N12" i="18" s="1"/>
  <c r="F209" i="18"/>
  <c r="F205" i="18"/>
  <c r="F145" i="18"/>
  <c r="F200" i="18"/>
  <c r="F177" i="18"/>
  <c r="F240" i="18"/>
  <c r="F169" i="18"/>
  <c r="F153" i="18"/>
  <c r="F161" i="18"/>
  <c r="F269" i="18"/>
  <c r="F278" i="18"/>
  <c r="F229" i="18"/>
  <c r="F141" i="18"/>
  <c r="F133" i="18"/>
  <c r="F217" i="18"/>
  <c r="F201" i="18"/>
  <c r="F181" i="18"/>
  <c r="F173" i="18"/>
  <c r="F149" i="18"/>
  <c r="F208" i="18"/>
  <c r="F188" i="18"/>
  <c r="F165" i="18"/>
  <c r="F157" i="18"/>
  <c r="F241" i="18"/>
  <c r="R321" i="3"/>
  <c r="R320" i="3"/>
  <c r="R308" i="3"/>
  <c r="R293" i="3"/>
  <c r="R285" i="3"/>
  <c r="R281" i="3"/>
  <c r="R277" i="3"/>
  <c r="R265" i="3"/>
  <c r="R250" i="3"/>
  <c r="R249" i="3"/>
  <c r="R241" i="3"/>
  <c r="R217" i="3"/>
  <c r="R213" i="3"/>
  <c r="R307" i="3"/>
  <c r="R260" i="3"/>
  <c r="R232" i="3"/>
  <c r="R225" i="3"/>
  <c r="R224" i="3"/>
  <c r="R208" i="3"/>
  <c r="R204" i="3"/>
  <c r="R306" i="3"/>
  <c r="R271" i="3"/>
  <c r="R252" i="3"/>
  <c r="R251" i="3"/>
  <c r="R195" i="3"/>
  <c r="R191" i="3"/>
  <c r="R187" i="3"/>
  <c r="R183" i="3"/>
  <c r="R179" i="3"/>
  <c r="R175" i="3"/>
  <c r="R171" i="3"/>
  <c r="R167" i="3"/>
  <c r="R163" i="3"/>
  <c r="R159" i="3"/>
  <c r="R155" i="3"/>
  <c r="R151" i="3"/>
  <c r="R147" i="3"/>
  <c r="R143" i="3"/>
  <c r="R139" i="3"/>
  <c r="R305" i="3"/>
  <c r="R294" i="3"/>
  <c r="R287" i="3"/>
  <c r="R286" i="3"/>
  <c r="R282" i="3"/>
  <c r="R278" i="3"/>
  <c r="R267" i="3"/>
  <c r="R266" i="3"/>
  <c r="R243" i="3"/>
  <c r="R242" i="3"/>
  <c r="R227" i="3"/>
  <c r="R226" i="3"/>
  <c r="R218" i="3"/>
  <c r="R214" i="3"/>
  <c r="R304" i="3"/>
  <c r="R261" i="3"/>
  <c r="R254" i="3"/>
  <c r="R253" i="3"/>
  <c r="R234" i="3"/>
  <c r="R233" i="3"/>
  <c r="R209" i="3"/>
  <c r="R205" i="3"/>
  <c r="R303" i="3"/>
  <c r="R288" i="3"/>
  <c r="R273" i="3"/>
  <c r="R272" i="3"/>
  <c r="R268" i="3"/>
  <c r="R244" i="3"/>
  <c r="R228" i="3"/>
  <c r="R201" i="3"/>
  <c r="R196" i="3"/>
  <c r="R192" i="3"/>
  <c r="R188" i="3"/>
  <c r="R184" i="3"/>
  <c r="R180" i="3"/>
  <c r="R301" i="3"/>
  <c r="R274" i="3"/>
  <c r="R263" i="3"/>
  <c r="R262" i="3"/>
  <c r="R210" i="3"/>
  <c r="R206" i="3"/>
  <c r="R202" i="3"/>
  <c r="P198" i="3"/>
  <c r="R312" i="3"/>
  <c r="R300" i="3"/>
  <c r="R297" i="3"/>
  <c r="R290" i="3"/>
  <c r="R289" i="3"/>
  <c r="R269" i="3"/>
  <c r="R258" i="3"/>
  <c r="R257" i="3"/>
  <c r="R246" i="3"/>
  <c r="R245" i="3"/>
  <c r="R238" i="3"/>
  <c r="R237" i="3"/>
  <c r="R229" i="3"/>
  <c r="R222" i="3"/>
  <c r="R221" i="3"/>
  <c r="R193" i="3"/>
  <c r="R189" i="3"/>
  <c r="R185" i="3"/>
  <c r="R181" i="3"/>
  <c r="R177" i="3"/>
  <c r="R173" i="3"/>
  <c r="R169" i="3"/>
  <c r="R165" i="3"/>
  <c r="R161" i="3"/>
  <c r="R157" i="3"/>
  <c r="R153" i="3"/>
  <c r="R149" i="3"/>
  <c r="R145" i="3"/>
  <c r="R141" i="3"/>
  <c r="R311" i="3"/>
  <c r="R299" i="3"/>
  <c r="R284" i="3"/>
  <c r="R280" i="3"/>
  <c r="R264" i="3"/>
  <c r="R216" i="3"/>
  <c r="R137" i="3"/>
  <c r="R316" i="3"/>
  <c r="R309" i="3"/>
  <c r="R270" i="3"/>
  <c r="R231" i="3"/>
  <c r="R230" i="3"/>
  <c r="R194" i="3"/>
  <c r="R190" i="3"/>
  <c r="R186" i="3"/>
  <c r="R182" i="3"/>
  <c r="R178" i="3"/>
  <c r="R174" i="3"/>
  <c r="R170" i="3"/>
  <c r="R166" i="3"/>
  <c r="R162" i="3"/>
  <c r="R158" i="3"/>
  <c r="R154" i="3"/>
  <c r="R283" i="3"/>
  <c r="R240" i="3"/>
  <c r="R215" i="3"/>
  <c r="R164" i="3"/>
  <c r="R302" i="3"/>
  <c r="R292" i="3"/>
  <c r="R256" i="3"/>
  <c r="R168" i="3"/>
  <c r="R220" i="3"/>
  <c r="R160" i="3"/>
  <c r="R296" i="3"/>
  <c r="R212" i="3"/>
  <c r="R203" i="3"/>
  <c r="R152" i="3"/>
  <c r="R211" i="3"/>
  <c r="R248" i="3"/>
  <c r="R172" i="3"/>
  <c r="R275" i="3"/>
  <c r="R223" i="3"/>
  <c r="R219" i="3"/>
  <c r="R176" i="3"/>
  <c r="R279" i="3"/>
  <c r="R235" i="3"/>
  <c r="R148" i="3"/>
  <c r="R310" i="3"/>
  <c r="R239" i="3"/>
  <c r="R207" i="3"/>
  <c r="R200" i="3"/>
  <c r="R150" i="3"/>
  <c r="R146" i="3"/>
  <c r="R144" i="3"/>
  <c r="R140" i="3"/>
  <c r="R295" i="3"/>
  <c r="R276" i="3"/>
  <c r="R291" i="3"/>
  <c r="R255" i="3"/>
  <c r="R156" i="3"/>
  <c r="R142" i="3"/>
  <c r="R138" i="3"/>
  <c r="R259" i="3"/>
  <c r="R247" i="3"/>
  <c r="R236" i="3"/>
  <c r="X12" i="3"/>
  <c r="Z12" i="3" s="1"/>
  <c r="R254" i="12"/>
  <c r="R253" i="12"/>
  <c r="R225" i="12"/>
  <c r="R218" i="12"/>
  <c r="R217" i="12"/>
  <c r="R198" i="12"/>
  <c r="R197" i="12"/>
  <c r="R190" i="12"/>
  <c r="R189" i="12"/>
  <c r="R161" i="12"/>
  <c r="R157" i="12"/>
  <c r="R153" i="12"/>
  <c r="R149" i="12"/>
  <c r="R145" i="12"/>
  <c r="R141" i="12"/>
  <c r="R137" i="12"/>
  <c r="R133" i="12"/>
  <c r="R129" i="12"/>
  <c r="R125" i="12"/>
  <c r="R121" i="12"/>
  <c r="R117" i="12"/>
  <c r="R113" i="12"/>
  <c r="R237" i="12"/>
  <c r="R236" i="12"/>
  <c r="R232" i="12"/>
  <c r="R208" i="12"/>
  <c r="R184" i="12"/>
  <c r="R270" i="12"/>
  <c r="R255" i="12"/>
  <c r="R247" i="12"/>
  <c r="R243" i="12"/>
  <c r="R269" i="12"/>
  <c r="R238" i="12"/>
  <c r="R227" i="12"/>
  <c r="R226" i="12"/>
  <c r="R162" i="12"/>
  <c r="R158" i="12"/>
  <c r="R154" i="12"/>
  <c r="R150" i="12"/>
  <c r="R146" i="12"/>
  <c r="R142" i="12"/>
  <c r="R138" i="12"/>
  <c r="R134" i="12"/>
  <c r="R130" i="12"/>
  <c r="R126" i="12"/>
  <c r="R122" i="12"/>
  <c r="R118" i="12"/>
  <c r="R114" i="12"/>
  <c r="R268" i="12"/>
  <c r="R233" i="12"/>
  <c r="R222" i="12"/>
  <c r="R221" i="12"/>
  <c r="R210" i="12"/>
  <c r="R209" i="12"/>
  <c r="R185" i="12"/>
  <c r="R181" i="12"/>
  <c r="R274" i="12"/>
  <c r="R267" i="12"/>
  <c r="R256" i="12"/>
  <c r="R249" i="12"/>
  <c r="R248" i="12"/>
  <c r="R244" i="12"/>
  <c r="R228" i="12"/>
  <c r="R201" i="12"/>
  <c r="R200" i="12"/>
  <c r="R193" i="12"/>
  <c r="R192" i="12"/>
  <c r="R265" i="12"/>
  <c r="R250" i="12"/>
  <c r="R234" i="12"/>
  <c r="R203" i="12"/>
  <c r="R202" i="12"/>
  <c r="R195" i="12"/>
  <c r="R194" i="12"/>
  <c r="R186" i="12"/>
  <c r="R182" i="12"/>
  <c r="R264" i="12"/>
  <c r="R258" i="12"/>
  <c r="R257" i="12"/>
  <c r="R245" i="12"/>
  <c r="R241" i="12"/>
  <c r="R229" i="12"/>
  <c r="R214" i="12"/>
  <c r="R213" i="12"/>
  <c r="R177" i="12"/>
  <c r="R173" i="12"/>
  <c r="R263" i="12"/>
  <c r="R224" i="12"/>
  <c r="R205" i="12"/>
  <c r="R204" i="12"/>
  <c r="R196" i="12"/>
  <c r="R169" i="12"/>
  <c r="R261" i="12"/>
  <c r="R246" i="12"/>
  <c r="R242" i="12"/>
  <c r="R231" i="12"/>
  <c r="R230" i="12"/>
  <c r="R207" i="12"/>
  <c r="R206" i="12"/>
  <c r="R178" i="12"/>
  <c r="R174" i="12"/>
  <c r="R170" i="12"/>
  <c r="P166" i="12"/>
  <c r="R171" i="12"/>
  <c r="R152" i="12"/>
  <c r="R143" i="12"/>
  <c r="R116" i="12"/>
  <c r="R175" i="12"/>
  <c r="R163" i="12"/>
  <c r="R128" i="12"/>
  <c r="R216" i="12"/>
  <c r="R183" i="12"/>
  <c r="R159" i="12"/>
  <c r="R139" i="12"/>
  <c r="R266" i="12"/>
  <c r="R259" i="12"/>
  <c r="R179" i="12"/>
  <c r="R148" i="12"/>
  <c r="R119" i="12"/>
  <c r="X12" i="12"/>
  <c r="Z12" i="12" s="1"/>
  <c r="R252" i="12"/>
  <c r="R240" i="12"/>
  <c r="R223" i="12"/>
  <c r="R212" i="12"/>
  <c r="R191" i="12"/>
  <c r="R187" i="12"/>
  <c r="R155" i="12"/>
  <c r="R135" i="12"/>
  <c r="R124" i="12"/>
  <c r="R144" i="12"/>
  <c r="R112" i="12"/>
  <c r="R219" i="12"/>
  <c r="R180" i="12"/>
  <c r="R172" i="12"/>
  <c r="R131" i="12"/>
  <c r="R262" i="12"/>
  <c r="R235" i="12"/>
  <c r="R199" i="12"/>
  <c r="R176" i="12"/>
  <c r="R168" i="12"/>
  <c r="R164" i="12"/>
  <c r="R160" i="12"/>
  <c r="R151" i="12"/>
  <c r="R140" i="12"/>
  <c r="R115" i="12"/>
  <c r="R127" i="12"/>
  <c r="R120" i="12"/>
  <c r="R220" i="12"/>
  <c r="R215" i="12"/>
  <c r="R188" i="12"/>
  <c r="R156" i="12"/>
  <c r="R136" i="12"/>
  <c r="R239" i="12"/>
  <c r="R211" i="12"/>
  <c r="R132" i="12"/>
  <c r="R123" i="12"/>
  <c r="R251" i="12"/>
  <c r="R147" i="12"/>
  <c r="F299" i="3"/>
  <c r="H27" i="110"/>
  <c r="N18" i="110"/>
  <c r="L18" i="110"/>
  <c r="D27" i="110"/>
  <c r="P27" i="110"/>
  <c r="X18" i="110"/>
  <c r="Z18" i="50"/>
  <c r="T27" i="50"/>
  <c r="L18" i="20"/>
  <c r="D27" i="20"/>
  <c r="P27" i="22"/>
  <c r="X18" i="22"/>
  <c r="P27" i="23"/>
  <c r="X18" i="23"/>
  <c r="T27" i="14"/>
  <c r="Z18" i="14"/>
  <c r="L18" i="16"/>
  <c r="D27" i="16"/>
  <c r="X18" i="11"/>
  <c r="P27" i="11"/>
  <c r="T27" i="7"/>
  <c r="Z18" i="7"/>
  <c r="H120" i="70"/>
  <c r="X18" i="44"/>
  <c r="P27" i="44"/>
  <c r="H73" i="88"/>
  <c r="L16" i="106"/>
  <c r="R46" i="104"/>
  <c r="R45" i="104"/>
  <c r="R38" i="104"/>
  <c r="R37" i="104"/>
  <c r="R47" i="104"/>
  <c r="R51" i="104"/>
  <c r="R49" i="104"/>
  <c r="R30" i="104"/>
  <c r="R42" i="104"/>
  <c r="R41" i="104"/>
  <c r="R25" i="104"/>
  <c r="P21" i="104"/>
  <c r="R53" i="104"/>
  <c r="R43" i="104"/>
  <c r="R32" i="104"/>
  <c r="R31" i="104"/>
  <c r="R58" i="104"/>
  <c r="R55" i="104"/>
  <c r="R26" i="104"/>
  <c r="R36" i="104"/>
  <c r="R35" i="104"/>
  <c r="R28" i="104"/>
  <c r="R27" i="104"/>
  <c r="R33" i="104"/>
  <c r="R19" i="104"/>
  <c r="X12" i="104"/>
  <c r="R34" i="104"/>
  <c r="R44" i="104"/>
  <c r="R39" i="104"/>
  <c r="R21" i="104"/>
  <c r="R17" i="104"/>
  <c r="R23" i="104"/>
  <c r="R24" i="104"/>
  <c r="R40" i="104"/>
  <c r="R29" i="104"/>
  <c r="R18" i="104"/>
  <c r="J21" i="107"/>
  <c r="R20" i="94"/>
  <c r="V65" i="88"/>
  <c r="V61" i="88"/>
  <c r="V45" i="88"/>
  <c r="V17" i="88"/>
  <c r="V68" i="88"/>
  <c r="V67" i="88"/>
  <c r="V55" i="88"/>
  <c r="V62" i="88"/>
  <c r="V46" i="88"/>
  <c r="V22" i="88"/>
  <c r="V20" i="88"/>
  <c r="V18" i="88"/>
  <c r="V71" i="88"/>
  <c r="V69" i="88"/>
  <c r="V57" i="88"/>
  <c r="V49" i="88"/>
  <c r="V37" i="88"/>
  <c r="V33" i="88"/>
  <c r="T20" i="88"/>
  <c r="V56" i="88"/>
  <c r="V48" i="88"/>
  <c r="V28" i="88"/>
  <c r="V24" i="88"/>
  <c r="V63" i="88"/>
  <c r="V51" i="88"/>
  <c r="V39" i="88"/>
  <c r="V58" i="88"/>
  <c r="V75" i="88"/>
  <c r="V53" i="88"/>
  <c r="V41" i="88"/>
  <c r="V29" i="88"/>
  <c r="V25" i="88"/>
  <c r="V64" i="88"/>
  <c r="V60" i="88"/>
  <c r="V52" i="88"/>
  <c r="V40" i="88"/>
  <c r="V66" i="88"/>
  <c r="V54" i="88"/>
  <c r="V42" i="88"/>
  <c r="V30" i="88"/>
  <c r="V26" i="88"/>
  <c r="V44" i="88"/>
  <c r="V31" i="88"/>
  <c r="V47" i="88"/>
  <c r="V38" i="88"/>
  <c r="V43" i="88"/>
  <c r="V35" i="88"/>
  <c r="V32" i="88"/>
  <c r="V16" i="88"/>
  <c r="V23" i="88"/>
  <c r="V27" i="88"/>
  <c r="V34" i="88"/>
  <c r="V50" i="88"/>
  <c r="V36" i="88"/>
  <c r="V59" i="88"/>
  <c r="R54" i="88"/>
  <c r="R43" i="88"/>
  <c r="R42" i="88"/>
  <c r="R30" i="88"/>
  <c r="R26" i="88"/>
  <c r="R66" i="88"/>
  <c r="R65" i="88"/>
  <c r="R61" i="88"/>
  <c r="R68" i="88"/>
  <c r="R67" i="88"/>
  <c r="R55" i="88"/>
  <c r="R32" i="88"/>
  <c r="R31" i="88"/>
  <c r="R27" i="88"/>
  <c r="R62" i="88"/>
  <c r="R47" i="88"/>
  <c r="R46" i="88"/>
  <c r="R23" i="88"/>
  <c r="R18" i="88"/>
  <c r="R69" i="88"/>
  <c r="R37" i="88"/>
  <c r="R33" i="88"/>
  <c r="R22" i="88"/>
  <c r="R20" i="88"/>
  <c r="R73" i="88"/>
  <c r="R71" i="88"/>
  <c r="R57" i="88"/>
  <c r="R56" i="88"/>
  <c r="R49" i="88"/>
  <c r="R48" i="88"/>
  <c r="R28" i="88"/>
  <c r="R24" i="88"/>
  <c r="P20" i="88"/>
  <c r="R63" i="88"/>
  <c r="R58" i="88"/>
  <c r="R51" i="88"/>
  <c r="R50" i="88"/>
  <c r="R39" i="88"/>
  <c r="R38" i="88"/>
  <c r="R34" i="88"/>
  <c r="R75" i="88"/>
  <c r="R29" i="88"/>
  <c r="R60" i="88"/>
  <c r="R59" i="88"/>
  <c r="R35" i="88"/>
  <c r="R16" i="88"/>
  <c r="R52" i="88"/>
  <c r="R36" i="88"/>
  <c r="X12" i="88"/>
  <c r="Z12" i="88" s="1"/>
  <c r="R44" i="88"/>
  <c r="R40" i="88"/>
  <c r="R53" i="88"/>
  <c r="R41" i="88"/>
  <c r="R80" i="88"/>
  <c r="R45" i="88"/>
  <c r="R77" i="88"/>
  <c r="R25" i="88"/>
  <c r="R64" i="88"/>
  <c r="R17" i="88"/>
  <c r="P30" i="85"/>
  <c r="X18" i="85"/>
  <c r="R18" i="85"/>
  <c r="V20" i="87"/>
  <c r="D71" i="80"/>
  <c r="L20" i="80"/>
  <c r="N20" i="80" s="1"/>
  <c r="D107" i="76"/>
  <c r="L54" i="76"/>
  <c r="F83" i="75"/>
  <c r="F50" i="75"/>
  <c r="F49" i="75"/>
  <c r="F87" i="75"/>
  <c r="F82" i="75"/>
  <c r="F73" i="75"/>
  <c r="F69" i="75"/>
  <c r="F68" i="75"/>
  <c r="F61" i="75"/>
  <c r="F60" i="75"/>
  <c r="F52" i="75"/>
  <c r="F51" i="75"/>
  <c r="F40" i="75"/>
  <c r="F36" i="75"/>
  <c r="F35" i="75"/>
  <c r="F63" i="75"/>
  <c r="F62" i="75"/>
  <c r="F34" i="75"/>
  <c r="F30" i="75"/>
  <c r="F74" i="75"/>
  <c r="F70" i="75"/>
  <c r="F54" i="75"/>
  <c r="F53" i="75"/>
  <c r="F46" i="75"/>
  <c r="D32" i="75"/>
  <c r="F32" i="75" s="1"/>
  <c r="F41" i="75"/>
  <c r="F37" i="75"/>
  <c r="F76" i="75"/>
  <c r="F75" i="75"/>
  <c r="F64" i="75"/>
  <c r="F71" i="75"/>
  <c r="F47" i="75"/>
  <c r="F78" i="75"/>
  <c r="F77" i="75"/>
  <c r="F58" i="75"/>
  <c r="F57" i="75"/>
  <c r="F42" i="75"/>
  <c r="F38" i="75"/>
  <c r="F65" i="75"/>
  <c r="F67" i="75"/>
  <c r="F66" i="75"/>
  <c r="F59" i="75"/>
  <c r="F43" i="75"/>
  <c r="F39" i="75"/>
  <c r="L12" i="75"/>
  <c r="N12" i="75" s="1"/>
  <c r="F48" i="75"/>
  <c r="F80" i="75"/>
  <c r="F45" i="75"/>
  <c r="F55" i="75"/>
  <c r="F44" i="75"/>
  <c r="F72" i="75"/>
  <c r="F56" i="75"/>
  <c r="F79" i="75"/>
  <c r="V56" i="78"/>
  <c r="R111" i="74"/>
  <c r="R110" i="74"/>
  <c r="R103" i="74"/>
  <c r="R102" i="74"/>
  <c r="R94" i="74"/>
  <c r="R90" i="74"/>
  <c r="R79" i="74"/>
  <c r="R77" i="74"/>
  <c r="R130" i="74"/>
  <c r="R96" i="74"/>
  <c r="R95" i="74"/>
  <c r="R91" i="74"/>
  <c r="R129" i="74"/>
  <c r="R126" i="74"/>
  <c r="R118" i="74"/>
  <c r="R86" i="74"/>
  <c r="R82" i="74"/>
  <c r="R128" i="74"/>
  <c r="R114" i="74"/>
  <c r="R113" i="74"/>
  <c r="R106" i="74"/>
  <c r="R105" i="74"/>
  <c r="R98" i="74"/>
  <c r="R97" i="74"/>
  <c r="R120" i="74"/>
  <c r="R119" i="74"/>
  <c r="R74" i="74"/>
  <c r="R70" i="74"/>
  <c r="R124" i="74"/>
  <c r="R123" i="74"/>
  <c r="R80" i="74"/>
  <c r="R75" i="74"/>
  <c r="R71" i="74"/>
  <c r="R67" i="74"/>
  <c r="R63" i="74"/>
  <c r="R59" i="74"/>
  <c r="R55" i="74"/>
  <c r="R100" i="74"/>
  <c r="P77" i="74"/>
  <c r="R134" i="74"/>
  <c r="R125" i="74"/>
  <c r="R116" i="74"/>
  <c r="R69" i="74"/>
  <c r="R56" i="74"/>
  <c r="R101" i="74"/>
  <c r="R93" i="74"/>
  <c r="R88" i="74"/>
  <c r="R66" i="74"/>
  <c r="R53" i="74"/>
  <c r="R109" i="74"/>
  <c r="R60" i="74"/>
  <c r="R121" i="74"/>
  <c r="R104" i="74"/>
  <c r="R89" i="74"/>
  <c r="R84" i="74"/>
  <c r="R72" i="74"/>
  <c r="R57" i="74"/>
  <c r="R117" i="74"/>
  <c r="R64" i="74"/>
  <c r="R54" i="74"/>
  <c r="R112" i="74"/>
  <c r="R107" i="74"/>
  <c r="R61" i="74"/>
  <c r="R122" i="74"/>
  <c r="R99" i="74"/>
  <c r="R92" i="74"/>
  <c r="R85" i="74"/>
  <c r="R58" i="74"/>
  <c r="R115" i="74"/>
  <c r="R108" i="74"/>
  <c r="R87" i="74"/>
  <c r="R73" i="74"/>
  <c r="R68" i="74"/>
  <c r="R83" i="74"/>
  <c r="R81" i="74"/>
  <c r="R62" i="74"/>
  <c r="R52" i="74"/>
  <c r="X12" i="74"/>
  <c r="Z12" i="74" s="1"/>
  <c r="R65" i="74"/>
  <c r="P70" i="56"/>
  <c r="X16" i="56"/>
  <c r="T74" i="56"/>
  <c r="R119" i="42"/>
  <c r="H124" i="42"/>
  <c r="H126" i="36"/>
  <c r="J254" i="15"/>
  <c r="J250" i="15"/>
  <c r="J242" i="15"/>
  <c r="J245" i="15"/>
  <c r="J261" i="15"/>
  <c r="J258" i="15"/>
  <c r="J240" i="15"/>
  <c r="J260" i="15"/>
  <c r="J248" i="15"/>
  <c r="J229" i="15"/>
  <c r="J223" i="15"/>
  <c r="J209" i="15"/>
  <c r="J199" i="15"/>
  <c r="J191" i="15"/>
  <c r="J159" i="15"/>
  <c r="J155" i="15"/>
  <c r="J151" i="15"/>
  <c r="J147" i="15"/>
  <c r="J143" i="15"/>
  <c r="J139" i="15"/>
  <c r="J135" i="15"/>
  <c r="J131" i="15"/>
  <c r="J127" i="15"/>
  <c r="J123" i="15"/>
  <c r="J119" i="15"/>
  <c r="J115" i="15"/>
  <c r="J111" i="15"/>
  <c r="J265" i="15"/>
  <c r="J253" i="15"/>
  <c r="J238" i="15"/>
  <c r="J230" i="15"/>
  <c r="J224" i="15"/>
  <c r="J218" i="15"/>
  <c r="J210" i="15"/>
  <c r="J200" i="15"/>
  <c r="J182" i="15"/>
  <c r="J178" i="15"/>
  <c r="J164" i="15"/>
  <c r="J249" i="15"/>
  <c r="J225" i="15"/>
  <c r="J211" i="15"/>
  <c r="J201" i="15"/>
  <c r="J183" i="15"/>
  <c r="J173" i="15"/>
  <c r="J169" i="15"/>
  <c r="J165" i="15"/>
  <c r="J163" i="15"/>
  <c r="J246" i="15"/>
  <c r="J235" i="15"/>
  <c r="J212" i="15"/>
  <c r="J202" i="15"/>
  <c r="J192" i="15"/>
  <c r="J184" i="15"/>
  <c r="H161" i="15"/>
  <c r="J156" i="15"/>
  <c r="J152" i="15"/>
  <c r="J148" i="15"/>
  <c r="J144" i="15"/>
  <c r="J140" i="15"/>
  <c r="J136" i="15"/>
  <c r="J132" i="15"/>
  <c r="J128" i="15"/>
  <c r="J124" i="15"/>
  <c r="J120" i="15"/>
  <c r="J116" i="15"/>
  <c r="J112" i="15"/>
  <c r="J255" i="15"/>
  <c r="J231" i="15"/>
  <c r="J219" i="15"/>
  <c r="J213" i="15"/>
  <c r="J203" i="15"/>
  <c r="J193" i="15"/>
  <c r="J185" i="15"/>
  <c r="J179" i="15"/>
  <c r="J239" i="15"/>
  <c r="J226" i="15"/>
  <c r="J220" i="15"/>
  <c r="J214" i="15"/>
  <c r="J194" i="15"/>
  <c r="J186" i="15"/>
  <c r="J174" i="15"/>
  <c r="J170" i="15"/>
  <c r="J166" i="15"/>
  <c r="J256" i="15"/>
  <c r="J243" i="15"/>
  <c r="J236" i="15"/>
  <c r="J232" i="15"/>
  <c r="J221" i="15"/>
  <c r="J215" i="15"/>
  <c r="J175" i="15"/>
  <c r="J157" i="15"/>
  <c r="J153" i="15"/>
  <c r="J149" i="15"/>
  <c r="J145" i="15"/>
  <c r="J141" i="15"/>
  <c r="J137" i="15"/>
  <c r="J133" i="15"/>
  <c r="J129" i="15"/>
  <c r="J125" i="15"/>
  <c r="J121" i="15"/>
  <c r="J117" i="15"/>
  <c r="J113" i="15"/>
  <c r="J257" i="15"/>
  <c r="J216" i="15"/>
  <c r="J204" i="15"/>
  <c r="J180" i="15"/>
  <c r="J176" i="15"/>
  <c r="J247" i="15"/>
  <c r="J233" i="15"/>
  <c r="J227" i="15"/>
  <c r="J205" i="15"/>
  <c r="J195" i="15"/>
  <c r="J187" i="15"/>
  <c r="J171" i="15"/>
  <c r="J167" i="15"/>
  <c r="J109" i="15"/>
  <c r="J244" i="15"/>
  <c r="J222" i="15"/>
  <c r="J206" i="15"/>
  <c r="J196" i="15"/>
  <c r="J188" i="15"/>
  <c r="J158" i="15"/>
  <c r="J154" i="15"/>
  <c r="J150" i="15"/>
  <c r="J146" i="15"/>
  <c r="J142" i="15"/>
  <c r="J138" i="15"/>
  <c r="J134" i="15"/>
  <c r="J130" i="15"/>
  <c r="J126" i="15"/>
  <c r="J122" i="15"/>
  <c r="J118" i="15"/>
  <c r="J114" i="15"/>
  <c r="J110" i="15"/>
  <c r="J252" i="15"/>
  <c r="J234" i="15"/>
  <c r="J228" i="15"/>
  <c r="J208" i="15"/>
  <c r="J198" i="15"/>
  <c r="J190" i="15"/>
  <c r="J172" i="15"/>
  <c r="J168" i="15"/>
  <c r="J217" i="15"/>
  <c r="J207" i="15"/>
  <c r="J181" i="15"/>
  <c r="J237" i="15"/>
  <c r="J177" i="15"/>
  <c r="J197" i="15"/>
  <c r="J189" i="15"/>
  <c r="J259" i="15"/>
  <c r="J241" i="15"/>
  <c r="X12" i="24"/>
  <c r="Z12" i="24" s="1"/>
  <c r="T91" i="9"/>
  <c r="Z16" i="9"/>
  <c r="N16" i="6"/>
  <c r="H22" i="6"/>
  <c r="L18" i="111"/>
  <c r="D27" i="111"/>
  <c r="H27" i="112"/>
  <c r="N18" i="112"/>
  <c r="T27" i="49"/>
  <c r="Z18" i="49"/>
  <c r="H27" i="35"/>
  <c r="N18" i="35"/>
  <c r="H27" i="23"/>
  <c r="N18" i="23"/>
  <c r="L18" i="32"/>
  <c r="D27" i="32"/>
  <c r="L18" i="13"/>
  <c r="D27" i="13"/>
  <c r="N20" i="97"/>
  <c r="H86" i="97"/>
  <c r="D71" i="93"/>
  <c r="L20" i="93"/>
  <c r="F70" i="100"/>
  <c r="F67" i="100"/>
  <c r="F48" i="100"/>
  <c r="F47" i="100"/>
  <c r="F50" i="100"/>
  <c r="F49" i="100"/>
  <c r="F56" i="100"/>
  <c r="F52" i="100"/>
  <c r="F51" i="100"/>
  <c r="F43" i="100"/>
  <c r="F42" i="100"/>
  <c r="F55" i="100"/>
  <c r="F33" i="100"/>
  <c r="F32" i="100"/>
  <c r="F17" i="100"/>
  <c r="F16" i="100"/>
  <c r="F28" i="100"/>
  <c r="L12" i="100"/>
  <c r="N12" i="100" s="1"/>
  <c r="F46" i="100"/>
  <c r="F35" i="100"/>
  <c r="F34" i="100"/>
  <c r="F53" i="100"/>
  <c r="F18" i="100"/>
  <c r="F65" i="100"/>
  <c r="F60" i="100"/>
  <c r="F37" i="100"/>
  <c r="F36" i="100"/>
  <c r="F29" i="100"/>
  <c r="F24" i="100"/>
  <c r="F23" i="100"/>
  <c r="F39" i="100"/>
  <c r="F38" i="100"/>
  <c r="F22" i="100"/>
  <c r="F20" i="100"/>
  <c r="F61" i="100"/>
  <c r="F30" i="100"/>
  <c r="D20" i="100"/>
  <c r="F57" i="100"/>
  <c r="F54" i="100"/>
  <c r="F44" i="100"/>
  <c r="F40" i="100"/>
  <c r="F25" i="100"/>
  <c r="F63" i="100"/>
  <c r="F58" i="100"/>
  <c r="F45" i="100"/>
  <c r="F31" i="100"/>
  <c r="F27" i="100"/>
  <c r="F26" i="100"/>
  <c r="F41" i="100"/>
  <c r="Z20" i="97"/>
  <c r="T86" i="97"/>
  <c r="X20" i="80"/>
  <c r="Z20" i="80" s="1"/>
  <c r="P71" i="80"/>
  <c r="T68" i="79"/>
  <c r="L56" i="78"/>
  <c r="N56" i="78" s="1"/>
  <c r="N54" i="76"/>
  <c r="H107" i="76"/>
  <c r="J54" i="76"/>
  <c r="T132" i="74"/>
  <c r="H75" i="79"/>
  <c r="N16" i="63"/>
  <c r="H102" i="63"/>
  <c r="D65" i="59"/>
  <c r="D76" i="58"/>
  <c r="L72" i="58"/>
  <c r="N72" i="58" s="1"/>
  <c r="L16" i="56"/>
  <c r="R92" i="45"/>
  <c r="R58" i="45"/>
  <c r="R57" i="45"/>
  <c r="R46" i="45"/>
  <c r="R45" i="45"/>
  <c r="R26" i="45"/>
  <c r="R21" i="45"/>
  <c r="R73" i="45"/>
  <c r="R72" i="45"/>
  <c r="R40" i="45"/>
  <c r="R25" i="45"/>
  <c r="R23" i="45"/>
  <c r="X12" i="45"/>
  <c r="Z12" i="45" s="1"/>
  <c r="R83" i="45"/>
  <c r="R79" i="45"/>
  <c r="R68" i="45"/>
  <c r="R67" i="45"/>
  <c r="R60" i="45"/>
  <c r="R59" i="45"/>
  <c r="R48" i="45"/>
  <c r="R47" i="45"/>
  <c r="R36" i="45"/>
  <c r="R35" i="45"/>
  <c r="R31" i="45"/>
  <c r="R27" i="45"/>
  <c r="P23" i="45"/>
  <c r="R96" i="45"/>
  <c r="R75" i="45"/>
  <c r="R74" i="45"/>
  <c r="R69" i="45"/>
  <c r="R62" i="45"/>
  <c r="R61" i="45"/>
  <c r="R50" i="45"/>
  <c r="R49" i="45"/>
  <c r="R41" i="45"/>
  <c r="R37" i="45"/>
  <c r="R85" i="45"/>
  <c r="R84" i="45"/>
  <c r="R80" i="45"/>
  <c r="R76" i="45"/>
  <c r="R32" i="45"/>
  <c r="R28" i="45"/>
  <c r="R64" i="45"/>
  <c r="R63" i="45"/>
  <c r="R52" i="45"/>
  <c r="R51" i="45"/>
  <c r="R87" i="45"/>
  <c r="R86" i="45"/>
  <c r="R70" i="45"/>
  <c r="R42" i="45"/>
  <c r="R38" i="45"/>
  <c r="R19" i="45"/>
  <c r="R81" i="45"/>
  <c r="R77" i="45"/>
  <c r="R65" i="45"/>
  <c r="R54" i="45"/>
  <c r="R53" i="45"/>
  <c r="R33" i="45"/>
  <c r="R29" i="45"/>
  <c r="R89" i="45"/>
  <c r="R88" i="45"/>
  <c r="R20" i="45"/>
  <c r="R90" i="45"/>
  <c r="R82" i="45"/>
  <c r="R78" i="45"/>
  <c r="R66" i="45"/>
  <c r="R34" i="45"/>
  <c r="R30" i="45"/>
  <c r="R43" i="45"/>
  <c r="R55" i="45"/>
  <c r="R44" i="45"/>
  <c r="R71" i="45"/>
  <c r="R56" i="45"/>
  <c r="R39" i="45"/>
  <c r="V97" i="39"/>
  <c r="V85" i="39"/>
  <c r="V65" i="39"/>
  <c r="V57" i="39"/>
  <c r="V45" i="39"/>
  <c r="V41" i="39"/>
  <c r="V37" i="39"/>
  <c r="V120" i="39"/>
  <c r="V112" i="39"/>
  <c r="V108" i="39"/>
  <c r="V104" i="39"/>
  <c r="V92" i="39"/>
  <c r="V84" i="39"/>
  <c r="V76" i="39"/>
  <c r="V64" i="39"/>
  <c r="V56" i="39"/>
  <c r="V36" i="39"/>
  <c r="V32" i="39"/>
  <c r="V103" i="39"/>
  <c r="V91" i="39"/>
  <c r="V87" i="39"/>
  <c r="V75" i="39"/>
  <c r="V67" i="39"/>
  <c r="V59" i="39"/>
  <c r="V98" i="39"/>
  <c r="V86" i="39"/>
  <c r="V66" i="39"/>
  <c r="V58" i="39"/>
  <c r="V46" i="39"/>
  <c r="V42" i="39"/>
  <c r="V38" i="39"/>
  <c r="V121" i="39"/>
  <c r="V113" i="39"/>
  <c r="V109" i="39"/>
  <c r="V105" i="39"/>
  <c r="V93" i="39"/>
  <c r="V77" i="39"/>
  <c r="V69" i="39"/>
  <c r="V61" i="39"/>
  <c r="V88" i="39"/>
  <c r="V68" i="39"/>
  <c r="V60" i="39"/>
  <c r="V52" i="39"/>
  <c r="V48" i="39"/>
  <c r="V129" i="39"/>
  <c r="V128" i="39"/>
  <c r="V122" i="39"/>
  <c r="V114" i="39"/>
  <c r="V110" i="39"/>
  <c r="V106" i="39"/>
  <c r="V94" i="39"/>
  <c r="V78" i="39"/>
  <c r="V70" i="39"/>
  <c r="V62" i="39"/>
  <c r="V30" i="39"/>
  <c r="V127" i="39"/>
  <c r="V117" i="39"/>
  <c r="V101" i="39"/>
  <c r="V89" i="39"/>
  <c r="V81" i="39"/>
  <c r="V73" i="39"/>
  <c r="V53" i="39"/>
  <c r="V49" i="39"/>
  <c r="V126" i="39"/>
  <c r="V124" i="39"/>
  <c r="V116" i="39"/>
  <c r="V100" i="39"/>
  <c r="V96" i="39"/>
  <c r="V80" i="39"/>
  <c r="V72" i="39"/>
  <c r="V44" i="39"/>
  <c r="V40" i="39"/>
  <c r="V118" i="39"/>
  <c r="V102" i="39"/>
  <c r="V90" i="39"/>
  <c r="V82" i="39"/>
  <c r="V74" i="39"/>
  <c r="V54" i="39"/>
  <c r="V50" i="39"/>
  <c r="V119" i="39"/>
  <c r="V55" i="39"/>
  <c r="V107" i="39"/>
  <c r="V79" i="39"/>
  <c r="V133" i="39"/>
  <c r="V83" i="39"/>
  <c r="V43" i="39"/>
  <c r="V123" i="39"/>
  <c r="V47" i="39"/>
  <c r="V99" i="39"/>
  <c r="V63" i="39"/>
  <c r="V31" i="39"/>
  <c r="V111" i="39"/>
  <c r="V71" i="39"/>
  <c r="T34" i="39"/>
  <c r="V34" i="39" s="1"/>
  <c r="V95" i="39"/>
  <c r="V39" i="39"/>
  <c r="V115" i="39"/>
  <c r="V51" i="39"/>
  <c r="R119" i="39"/>
  <c r="R118" i="39"/>
  <c r="R102" i="39"/>
  <c r="R90" i="39"/>
  <c r="R83" i="39"/>
  <c r="R82" i="39"/>
  <c r="R74" i="39"/>
  <c r="R55" i="39"/>
  <c r="R54" i="39"/>
  <c r="R50" i="39"/>
  <c r="R97" i="39"/>
  <c r="R45" i="39"/>
  <c r="R41" i="39"/>
  <c r="R120" i="39"/>
  <c r="R112" i="39"/>
  <c r="R108" i="39"/>
  <c r="R85" i="39"/>
  <c r="R84" i="39"/>
  <c r="R65" i="39"/>
  <c r="R64" i="39"/>
  <c r="R104" i="39"/>
  <c r="R103" i="39"/>
  <c r="R92" i="39"/>
  <c r="R91" i="39"/>
  <c r="R76" i="39"/>
  <c r="R75" i="39"/>
  <c r="R51" i="39"/>
  <c r="R36" i="39"/>
  <c r="R98" i="39"/>
  <c r="R87" i="39"/>
  <c r="R86" i="39"/>
  <c r="R67" i="39"/>
  <c r="R66" i="39"/>
  <c r="R59" i="39"/>
  <c r="R58" i="39"/>
  <c r="R47" i="39"/>
  <c r="R46" i="39"/>
  <c r="R42" i="39"/>
  <c r="R38" i="39"/>
  <c r="P34" i="39"/>
  <c r="R121" i="39"/>
  <c r="R113" i="39"/>
  <c r="R109" i="39"/>
  <c r="R105" i="39"/>
  <c r="R93" i="39"/>
  <c r="R77" i="39"/>
  <c r="R99" i="39"/>
  <c r="R43" i="39"/>
  <c r="R39" i="39"/>
  <c r="R129" i="39"/>
  <c r="R123" i="39"/>
  <c r="R122" i="39"/>
  <c r="R115" i="39"/>
  <c r="R114" i="39"/>
  <c r="R110" i="39"/>
  <c r="R106" i="39"/>
  <c r="R95" i="39"/>
  <c r="R94" i="39"/>
  <c r="R79" i="39"/>
  <c r="R78" i="39"/>
  <c r="R71" i="39"/>
  <c r="R70" i="39"/>
  <c r="R62" i="39"/>
  <c r="R128" i="39"/>
  <c r="R89" i="39"/>
  <c r="R53" i="39"/>
  <c r="R49" i="39"/>
  <c r="R30" i="39"/>
  <c r="R133" i="39"/>
  <c r="R126" i="39"/>
  <c r="R111" i="39"/>
  <c r="R107" i="39"/>
  <c r="R63" i="39"/>
  <c r="R31" i="39"/>
  <c r="R117" i="39"/>
  <c r="R48" i="39"/>
  <c r="R32" i="39"/>
  <c r="R100" i="39"/>
  <c r="R68" i="39"/>
  <c r="R61" i="39"/>
  <c r="R57" i="39"/>
  <c r="R124" i="39"/>
  <c r="R81" i="39"/>
  <c r="R72" i="39"/>
  <c r="R127" i="39"/>
  <c r="R52" i="39"/>
  <c r="R40" i="39"/>
  <c r="R101" i="39"/>
  <c r="R69" i="39"/>
  <c r="R116" i="39"/>
  <c r="R96" i="39"/>
  <c r="R60" i="39"/>
  <c r="R56" i="39"/>
  <c r="R37" i="39"/>
  <c r="R73" i="39"/>
  <c r="X12" i="39"/>
  <c r="Z12" i="39" s="1"/>
  <c r="R80" i="39"/>
  <c r="R44" i="39"/>
  <c r="R88" i="39"/>
  <c r="P263" i="15"/>
  <c r="X161" i="15"/>
  <c r="R161" i="15"/>
  <c r="H27" i="53"/>
  <c r="N18" i="53"/>
  <c r="X18" i="46"/>
  <c r="P27" i="46"/>
  <c r="N18" i="43"/>
  <c r="H27" i="43"/>
  <c r="T27" i="32"/>
  <c r="Z18" i="32"/>
  <c r="L18" i="37"/>
  <c r="D27" i="37"/>
  <c r="N18" i="32"/>
  <c r="H27" i="32"/>
  <c r="H27" i="31"/>
  <c r="N18" i="31"/>
  <c r="H27" i="20"/>
  <c r="N18" i="20"/>
  <c r="Z18" i="22"/>
  <c r="T27" i="22"/>
  <c r="H27" i="13"/>
  <c r="N18" i="13"/>
  <c r="X18" i="4"/>
  <c r="P27" i="4"/>
  <c r="T27" i="8"/>
  <c r="Z18" i="8"/>
  <c r="L18" i="4"/>
  <c r="D27" i="4"/>
  <c r="L18" i="7"/>
  <c r="D27" i="7"/>
  <c r="R52" i="109"/>
  <c r="R28" i="109"/>
  <c r="R24" i="109"/>
  <c r="R59" i="109"/>
  <c r="R43" i="109"/>
  <c r="R20" i="109"/>
  <c r="R34" i="109"/>
  <c r="R53" i="109"/>
  <c r="R30" i="109"/>
  <c r="R29" i="109"/>
  <c r="R25" i="109"/>
  <c r="R21" i="109"/>
  <c r="R61" i="109"/>
  <c r="R60" i="109"/>
  <c r="R45" i="109"/>
  <c r="R44" i="109"/>
  <c r="R36" i="109"/>
  <c r="R35" i="109"/>
  <c r="R31" i="109"/>
  <c r="R65" i="109"/>
  <c r="R62" i="109"/>
  <c r="R55" i="109"/>
  <c r="R54" i="109"/>
  <c r="R47" i="109"/>
  <c r="R46" i="109"/>
  <c r="R26" i="109"/>
  <c r="R22" i="109"/>
  <c r="R64" i="109"/>
  <c r="R38" i="109"/>
  <c r="R37" i="109"/>
  <c r="R57" i="109"/>
  <c r="R56" i="109"/>
  <c r="R49" i="109"/>
  <c r="R48" i="109"/>
  <c r="R32" i="109"/>
  <c r="X12" i="109"/>
  <c r="Z12" i="109" s="1"/>
  <c r="R69" i="109"/>
  <c r="R40" i="109"/>
  <c r="R39" i="109"/>
  <c r="R27" i="109"/>
  <c r="R23" i="109"/>
  <c r="R42" i="109"/>
  <c r="R41" i="109"/>
  <c r="R33" i="109"/>
  <c r="R58" i="109"/>
  <c r="R15" i="109"/>
  <c r="R51" i="109"/>
  <c r="R17" i="109"/>
  <c r="P17" i="109"/>
  <c r="R19" i="109"/>
  <c r="R50" i="109"/>
  <c r="D89" i="103"/>
  <c r="L85" i="103"/>
  <c r="D120" i="70"/>
  <c r="L60" i="70"/>
  <c r="N60" i="70" s="1"/>
  <c r="T37" i="55"/>
  <c r="N78" i="101"/>
  <c r="D50" i="98"/>
  <c r="L19" i="98"/>
  <c r="J17" i="109"/>
  <c r="H39" i="108"/>
  <c r="T84" i="107"/>
  <c r="T35" i="108"/>
  <c r="Z16" i="108"/>
  <c r="L17" i="109"/>
  <c r="N17" i="109" s="1"/>
  <c r="P89" i="105"/>
  <c r="X21" i="105"/>
  <c r="T81" i="101"/>
  <c r="Z22" i="101"/>
  <c r="P70" i="100"/>
  <c r="P99" i="95"/>
  <c r="H92" i="95"/>
  <c r="J20" i="95"/>
  <c r="T63" i="100"/>
  <c r="Z20" i="100"/>
  <c r="X20" i="100"/>
  <c r="P71" i="93"/>
  <c r="H95" i="91"/>
  <c r="N16" i="91"/>
  <c r="J20" i="88"/>
  <c r="N58" i="84"/>
  <c r="H126" i="84"/>
  <c r="J65" i="78"/>
  <c r="J59" i="78"/>
  <c r="J53" i="78"/>
  <c r="J31" i="78"/>
  <c r="J17" i="78"/>
  <c r="J58" i="78"/>
  <c r="J54" i="78"/>
  <c r="J70" i="78"/>
  <c r="J67" i="78"/>
  <c r="J57" i="78"/>
  <c r="J45" i="78"/>
  <c r="J37" i="78"/>
  <c r="J27" i="78"/>
  <c r="J51" i="78"/>
  <c r="J41" i="78"/>
  <c r="J47" i="78"/>
  <c r="J21" i="78"/>
  <c r="J44" i="78"/>
  <c r="J18" i="78"/>
  <c r="J60" i="78"/>
  <c r="J56" i="78"/>
  <c r="J52" i="78"/>
  <c r="J48" i="78"/>
  <c r="J40" i="78"/>
  <c r="J28" i="78"/>
  <c r="J61" i="78"/>
  <c r="J49" i="78"/>
  <c r="N12" i="78"/>
  <c r="J34" i="78"/>
  <c r="J22" i="78"/>
  <c r="J19" i="78"/>
  <c r="J50" i="78"/>
  <c r="J35" i="78"/>
  <c r="J29" i="78"/>
  <c r="J24" i="78"/>
  <c r="J42" i="78"/>
  <c r="J38" i="78"/>
  <c r="J32" i="78"/>
  <c r="H24" i="78"/>
  <c r="J63" i="78"/>
  <c r="J46" i="78"/>
  <c r="J43" i="78"/>
  <c r="J26" i="78"/>
  <c r="J20" i="78"/>
  <c r="J33" i="78"/>
  <c r="J30" i="78"/>
  <c r="J39" i="78"/>
  <c r="J36" i="78"/>
  <c r="F101" i="76"/>
  <c r="Z16" i="67"/>
  <c r="T58" i="67"/>
  <c r="Z16" i="61"/>
  <c r="T49" i="61"/>
  <c r="Z16" i="57"/>
  <c r="T67" i="57"/>
  <c r="H61" i="59"/>
  <c r="N16" i="59"/>
  <c r="D71" i="57"/>
  <c r="V23" i="45"/>
  <c r="Z17" i="48"/>
  <c r="T67" i="48"/>
  <c r="D74" i="56"/>
  <c r="L70" i="56"/>
  <c r="F81" i="45"/>
  <c r="F77" i="45"/>
  <c r="F65" i="45"/>
  <c r="F64" i="45"/>
  <c r="F53" i="45"/>
  <c r="F52" i="45"/>
  <c r="F33" i="45"/>
  <c r="F29" i="45"/>
  <c r="F88" i="45"/>
  <c r="F87" i="45"/>
  <c r="F20" i="45"/>
  <c r="F19" i="45"/>
  <c r="F71" i="45"/>
  <c r="F55" i="45"/>
  <c r="F54" i="45"/>
  <c r="F43" i="45"/>
  <c r="F39" i="45"/>
  <c r="F90" i="45"/>
  <c r="F89" i="45"/>
  <c r="F82" i="45"/>
  <c r="F78" i="45"/>
  <c r="F66" i="45"/>
  <c r="F34" i="45"/>
  <c r="F30" i="45"/>
  <c r="F57" i="45"/>
  <c r="F56" i="45"/>
  <c r="F45" i="45"/>
  <c r="F44" i="45"/>
  <c r="F21" i="45"/>
  <c r="F72" i="45"/>
  <c r="F40" i="45"/>
  <c r="L12" i="45"/>
  <c r="N12" i="45" s="1"/>
  <c r="F92" i="45"/>
  <c r="F83" i="45"/>
  <c r="F79" i="45"/>
  <c r="F67" i="45"/>
  <c r="F59" i="45"/>
  <c r="F58" i="45"/>
  <c r="F96" i="45"/>
  <c r="F74" i="45"/>
  <c r="F73" i="45"/>
  <c r="F25" i="45"/>
  <c r="F23" i="45"/>
  <c r="F69" i="45"/>
  <c r="F68" i="45"/>
  <c r="F61" i="45"/>
  <c r="F60" i="45"/>
  <c r="F49" i="45"/>
  <c r="F48" i="45"/>
  <c r="F41" i="45"/>
  <c r="F37" i="45"/>
  <c r="F36" i="45"/>
  <c r="D23" i="45"/>
  <c r="F84" i="45"/>
  <c r="F80" i="45"/>
  <c r="F76" i="45"/>
  <c r="F75" i="45"/>
  <c r="F32" i="45"/>
  <c r="F28" i="45"/>
  <c r="F86" i="45"/>
  <c r="F85" i="45"/>
  <c r="F70" i="45"/>
  <c r="F42" i="45"/>
  <c r="F38" i="45"/>
  <c r="F51" i="45"/>
  <c r="F47" i="45"/>
  <c r="F62" i="45"/>
  <c r="F27" i="45"/>
  <c r="F35" i="45"/>
  <c r="F50" i="45"/>
  <c r="F46" i="45"/>
  <c r="F63" i="45"/>
  <c r="F26" i="45"/>
  <c r="F31" i="45"/>
  <c r="P124" i="42"/>
  <c r="X28" i="42"/>
  <c r="R123" i="36"/>
  <c r="R128" i="36"/>
  <c r="R83" i="36"/>
  <c r="R72" i="36"/>
  <c r="R71" i="36"/>
  <c r="R94" i="36"/>
  <c r="R63" i="36"/>
  <c r="R62" i="36"/>
  <c r="R55" i="36"/>
  <c r="R54" i="36"/>
  <c r="R46" i="36"/>
  <c r="R42" i="36"/>
  <c r="R118" i="36"/>
  <c r="R117" i="36"/>
  <c r="R110" i="36"/>
  <c r="R109" i="36"/>
  <c r="R105" i="36"/>
  <c r="R101" i="36"/>
  <c r="R90" i="36"/>
  <c r="R89" i="36"/>
  <c r="R74" i="36"/>
  <c r="R73" i="36"/>
  <c r="R37" i="36"/>
  <c r="R33" i="36"/>
  <c r="R84" i="36"/>
  <c r="R65" i="36"/>
  <c r="R64" i="36"/>
  <c r="R56" i="36"/>
  <c r="R122" i="36"/>
  <c r="R119" i="36"/>
  <c r="R112" i="36"/>
  <c r="R111" i="36"/>
  <c r="R96" i="36"/>
  <c r="R95" i="36"/>
  <c r="R91" i="36"/>
  <c r="R76" i="36"/>
  <c r="R75" i="36"/>
  <c r="R47" i="36"/>
  <c r="R43" i="36"/>
  <c r="R24" i="36"/>
  <c r="R124" i="36"/>
  <c r="R121" i="36"/>
  <c r="R106" i="36"/>
  <c r="R102" i="36"/>
  <c r="R67" i="36"/>
  <c r="R66" i="36"/>
  <c r="R38" i="36"/>
  <c r="R34" i="36"/>
  <c r="R114" i="36"/>
  <c r="R113" i="36"/>
  <c r="R97" i="36"/>
  <c r="R85" i="36"/>
  <c r="R78" i="36"/>
  <c r="R77" i="36"/>
  <c r="R57" i="36"/>
  <c r="R25" i="36"/>
  <c r="R92" i="36"/>
  <c r="R69" i="36"/>
  <c r="R68" i="36"/>
  <c r="R49" i="36"/>
  <c r="R48" i="36"/>
  <c r="R44" i="36"/>
  <c r="X12" i="36"/>
  <c r="Z12" i="36" s="1"/>
  <c r="R115" i="36"/>
  <c r="R107" i="36"/>
  <c r="R103" i="36"/>
  <c r="R80" i="36"/>
  <c r="R79" i="36"/>
  <c r="R39" i="36"/>
  <c r="R35" i="36"/>
  <c r="R99" i="36"/>
  <c r="R98" i="36"/>
  <c r="R87" i="36"/>
  <c r="R86" i="36"/>
  <c r="R70" i="36"/>
  <c r="R59" i="36"/>
  <c r="R58" i="36"/>
  <c r="R51" i="36"/>
  <c r="R50" i="36"/>
  <c r="R31" i="36"/>
  <c r="R26" i="36"/>
  <c r="R116" i="36"/>
  <c r="R108" i="36"/>
  <c r="R104" i="36"/>
  <c r="R100" i="36"/>
  <c r="R88" i="36"/>
  <c r="R61" i="36"/>
  <c r="R60" i="36"/>
  <c r="R53" i="36"/>
  <c r="R52" i="36"/>
  <c r="R41" i="36"/>
  <c r="R40" i="36"/>
  <c r="R36" i="36"/>
  <c r="R32" i="36"/>
  <c r="P28" i="36"/>
  <c r="R28" i="36"/>
  <c r="R81" i="36"/>
  <c r="R45" i="36"/>
  <c r="R30" i="36"/>
  <c r="R82" i="36"/>
  <c r="R93" i="36"/>
  <c r="F101" i="33"/>
  <c r="F96" i="33"/>
  <c r="F87" i="33"/>
  <c r="F86" i="33"/>
  <c r="F55" i="33"/>
  <c r="F95" i="33"/>
  <c r="F74" i="33"/>
  <c r="F66" i="33"/>
  <c r="F50" i="33"/>
  <c r="F46" i="33"/>
  <c r="F94" i="33"/>
  <c r="F89" i="33"/>
  <c r="F88" i="33"/>
  <c r="F81" i="33"/>
  <c r="F93" i="33"/>
  <c r="F76" i="33"/>
  <c r="F75" i="33"/>
  <c r="F68" i="33"/>
  <c r="F67" i="33"/>
  <c r="F52" i="33"/>
  <c r="F51" i="33"/>
  <c r="L12" i="33"/>
  <c r="F92" i="33"/>
  <c r="F59" i="33"/>
  <c r="F58" i="33"/>
  <c r="F47" i="33"/>
  <c r="F43" i="33"/>
  <c r="F42" i="33"/>
  <c r="F91" i="33"/>
  <c r="F82" i="33"/>
  <c r="F78" i="33"/>
  <c r="F77" i="33"/>
  <c r="F70" i="33"/>
  <c r="F69" i="33"/>
  <c r="F41" i="33"/>
  <c r="F34" i="33"/>
  <c r="F72" i="33"/>
  <c r="F71" i="33"/>
  <c r="F48" i="33"/>
  <c r="F44" i="33"/>
  <c r="F83" i="33"/>
  <c r="F79" i="33"/>
  <c r="F63" i="33"/>
  <c r="F62" i="33"/>
  <c r="F35" i="33"/>
  <c r="F54" i="33"/>
  <c r="F97" i="33"/>
  <c r="F80" i="33"/>
  <c r="F36" i="33"/>
  <c r="F73" i="33"/>
  <c r="F53" i="33"/>
  <c r="F33" i="33"/>
  <c r="F57" i="33"/>
  <c r="F84" i="33"/>
  <c r="F37" i="33"/>
  <c r="F64" i="33"/>
  <c r="F60" i="33"/>
  <c r="F45" i="33"/>
  <c r="F32" i="33"/>
  <c r="F85" i="33"/>
  <c r="F65" i="33"/>
  <c r="F56" i="33"/>
  <c r="D39" i="33"/>
  <c r="F39" i="33" s="1"/>
  <c r="F61" i="33"/>
  <c r="F49" i="33"/>
  <c r="J94" i="33"/>
  <c r="J88" i="33"/>
  <c r="J74" i="33"/>
  <c r="J66" i="33"/>
  <c r="J56" i="33"/>
  <c r="J50" i="33"/>
  <c r="J46" i="33"/>
  <c r="J32" i="33"/>
  <c r="J93" i="33"/>
  <c r="J89" i="33"/>
  <c r="J81" i="33"/>
  <c r="J75" i="33"/>
  <c r="J67" i="33"/>
  <c r="J57" i="33"/>
  <c r="J51" i="33"/>
  <c r="J37" i="33"/>
  <c r="J33" i="33"/>
  <c r="J92" i="33"/>
  <c r="J76" i="33"/>
  <c r="J68" i="33"/>
  <c r="J91" i="33"/>
  <c r="J77" i="33"/>
  <c r="J69" i="33"/>
  <c r="J59" i="33"/>
  <c r="J47" i="33"/>
  <c r="J43" i="33"/>
  <c r="J41" i="33"/>
  <c r="J82" i="33"/>
  <c r="J78" i="33"/>
  <c r="J70" i="33"/>
  <c r="J60" i="33"/>
  <c r="H39" i="33"/>
  <c r="J39" i="33" s="1"/>
  <c r="J34" i="33"/>
  <c r="J71" i="33"/>
  <c r="J61" i="33"/>
  <c r="J53" i="33"/>
  <c r="J83" i="33"/>
  <c r="J79" i="33"/>
  <c r="J63" i="33"/>
  <c r="J35" i="33"/>
  <c r="J84" i="33"/>
  <c r="J64" i="33"/>
  <c r="J54" i="33"/>
  <c r="J97" i="33"/>
  <c r="J85" i="33"/>
  <c r="J73" i="33"/>
  <c r="J65" i="33"/>
  <c r="J49" i="33"/>
  <c r="J45" i="33"/>
  <c r="J101" i="33"/>
  <c r="J95" i="33"/>
  <c r="J87" i="33"/>
  <c r="J55" i="33"/>
  <c r="J86" i="33"/>
  <c r="J44" i="33"/>
  <c r="J62" i="33"/>
  <c r="J48" i="33"/>
  <c r="J96" i="33"/>
  <c r="J52" i="33"/>
  <c r="J72" i="33"/>
  <c r="J58" i="33"/>
  <c r="N12" i="33"/>
  <c r="J80" i="33"/>
  <c r="J42" i="33"/>
  <c r="J36" i="33"/>
  <c r="T164" i="30"/>
  <c r="Z86" i="30"/>
  <c r="R118" i="27"/>
  <c r="R99" i="27"/>
  <c r="R71" i="27"/>
  <c r="R67" i="27"/>
  <c r="R117" i="27"/>
  <c r="R114" i="27"/>
  <c r="R106" i="27"/>
  <c r="R91" i="27"/>
  <c r="R90" i="27"/>
  <c r="R58" i="27"/>
  <c r="R54" i="27"/>
  <c r="R50" i="27"/>
  <c r="R46" i="27"/>
  <c r="R123" i="27"/>
  <c r="R116" i="27"/>
  <c r="R82" i="27"/>
  <c r="R81" i="27"/>
  <c r="R77" i="27"/>
  <c r="R101" i="27"/>
  <c r="R100" i="27"/>
  <c r="R92" i="27"/>
  <c r="R72" i="27"/>
  <c r="R68" i="27"/>
  <c r="R108" i="27"/>
  <c r="R107" i="27"/>
  <c r="R84" i="27"/>
  <c r="R83" i="27"/>
  <c r="R64" i="27"/>
  <c r="R59" i="27"/>
  <c r="R55" i="27"/>
  <c r="R51" i="27"/>
  <c r="R47" i="27"/>
  <c r="R102" i="27"/>
  <c r="R78" i="27"/>
  <c r="R63" i="27"/>
  <c r="R43" i="27"/>
  <c r="R109" i="27"/>
  <c r="R94" i="27"/>
  <c r="R93" i="27"/>
  <c r="R85" i="27"/>
  <c r="R74" i="27"/>
  <c r="R73" i="27"/>
  <c r="R69" i="27"/>
  <c r="R65" i="27"/>
  <c r="P61" i="27"/>
  <c r="R61" i="27" s="1"/>
  <c r="R56" i="27"/>
  <c r="R52" i="27"/>
  <c r="R48" i="27"/>
  <c r="R44" i="27"/>
  <c r="R104" i="27"/>
  <c r="R103" i="27"/>
  <c r="R96" i="27"/>
  <c r="R95" i="27"/>
  <c r="R79" i="27"/>
  <c r="R75" i="27"/>
  <c r="R111" i="27"/>
  <c r="R110" i="27"/>
  <c r="R87" i="27"/>
  <c r="R86" i="27"/>
  <c r="R70" i="27"/>
  <c r="R66" i="27"/>
  <c r="R119" i="27"/>
  <c r="R113" i="27"/>
  <c r="R112" i="27"/>
  <c r="R89" i="27"/>
  <c r="R88" i="27"/>
  <c r="R80" i="27"/>
  <c r="R76" i="27"/>
  <c r="X12" i="27"/>
  <c r="Z12" i="27" s="1"/>
  <c r="R97" i="27"/>
  <c r="R49" i="27"/>
  <c r="R57" i="27"/>
  <c r="R98" i="27"/>
  <c r="R105" i="27"/>
  <c r="R53" i="27"/>
  <c r="R45" i="27"/>
  <c r="F256" i="15"/>
  <c r="F253" i="15"/>
  <c r="F244" i="15"/>
  <c r="F243" i="15"/>
  <c r="F265" i="15"/>
  <c r="F260" i="15"/>
  <c r="F247" i="15"/>
  <c r="F239" i="15"/>
  <c r="F235" i="15"/>
  <c r="F259" i="15"/>
  <c r="F252" i="15"/>
  <c r="F234" i="15"/>
  <c r="F228" i="15"/>
  <c r="F208" i="15"/>
  <c r="F207" i="15"/>
  <c r="F172" i="15"/>
  <c r="F168" i="15"/>
  <c r="F248" i="15"/>
  <c r="F223" i="15"/>
  <c r="F199" i="15"/>
  <c r="F198" i="15"/>
  <c r="F191" i="15"/>
  <c r="F190" i="15"/>
  <c r="F159" i="15"/>
  <c r="F155" i="15"/>
  <c r="F151" i="15"/>
  <c r="F147" i="15"/>
  <c r="F143" i="15"/>
  <c r="F139" i="15"/>
  <c r="F135" i="15"/>
  <c r="F131" i="15"/>
  <c r="F127" i="15"/>
  <c r="F123" i="15"/>
  <c r="F119" i="15"/>
  <c r="F115" i="15"/>
  <c r="F111" i="15"/>
  <c r="F245" i="15"/>
  <c r="F238" i="15"/>
  <c r="F230" i="15"/>
  <c r="F229" i="15"/>
  <c r="F218" i="15"/>
  <c r="F210" i="15"/>
  <c r="F209" i="15"/>
  <c r="F182" i="15"/>
  <c r="F178" i="15"/>
  <c r="F242" i="15"/>
  <c r="F225" i="15"/>
  <c r="F224" i="15"/>
  <c r="F201" i="15"/>
  <c r="F200" i="15"/>
  <c r="F173" i="15"/>
  <c r="F169" i="15"/>
  <c r="F165" i="15"/>
  <c r="F164" i="15"/>
  <c r="F261" i="15"/>
  <c r="F254" i="15"/>
  <c r="F249" i="15"/>
  <c r="F246" i="15"/>
  <c r="F212" i="15"/>
  <c r="F211" i="15"/>
  <c r="F192" i="15"/>
  <c r="F184" i="15"/>
  <c r="F183" i="15"/>
  <c r="F163" i="15"/>
  <c r="F156" i="15"/>
  <c r="F152" i="15"/>
  <c r="F148" i="15"/>
  <c r="F144" i="15"/>
  <c r="F140" i="15"/>
  <c r="F136" i="15"/>
  <c r="F132" i="15"/>
  <c r="F128" i="15"/>
  <c r="F124" i="15"/>
  <c r="F120" i="15"/>
  <c r="F116" i="15"/>
  <c r="F112" i="15"/>
  <c r="F231" i="15"/>
  <c r="F219" i="15"/>
  <c r="F203" i="15"/>
  <c r="F202" i="15"/>
  <c r="F179" i="15"/>
  <c r="D161" i="15"/>
  <c r="F255" i="15"/>
  <c r="F250" i="15"/>
  <c r="F226" i="15"/>
  <c r="F214" i="15"/>
  <c r="F213" i="15"/>
  <c r="F194" i="15"/>
  <c r="F193" i="15"/>
  <c r="F186" i="15"/>
  <c r="F185" i="15"/>
  <c r="F174" i="15"/>
  <c r="F170" i="15"/>
  <c r="F166" i="15"/>
  <c r="F236" i="15"/>
  <c r="F221" i="15"/>
  <c r="F220" i="15"/>
  <c r="F157" i="15"/>
  <c r="F153" i="15"/>
  <c r="F149" i="15"/>
  <c r="F145" i="15"/>
  <c r="F141" i="15"/>
  <c r="F137" i="15"/>
  <c r="F133" i="15"/>
  <c r="F129" i="15"/>
  <c r="F125" i="15"/>
  <c r="F121" i="15"/>
  <c r="F117" i="15"/>
  <c r="F113" i="15"/>
  <c r="F232" i="15"/>
  <c r="F216" i="15"/>
  <c r="F215" i="15"/>
  <c r="F204" i="15"/>
  <c r="F180" i="15"/>
  <c r="F176" i="15"/>
  <c r="F175" i="15"/>
  <c r="L12" i="15"/>
  <c r="N12" i="15" s="1"/>
  <c r="F257" i="15"/>
  <c r="F240" i="15"/>
  <c r="F233" i="15"/>
  <c r="F227" i="15"/>
  <c r="F195" i="15"/>
  <c r="F187" i="15"/>
  <c r="F171" i="15"/>
  <c r="F167" i="15"/>
  <c r="F258" i="15"/>
  <c r="F241" i="15"/>
  <c r="F237" i="15"/>
  <c r="F217" i="15"/>
  <c r="F197" i="15"/>
  <c r="F196" i="15"/>
  <c r="F189" i="15"/>
  <c r="F188" i="15"/>
  <c r="F181" i="15"/>
  <c r="F177" i="15"/>
  <c r="F138" i="15"/>
  <c r="F118" i="15"/>
  <c r="F154" i="15"/>
  <c r="F146" i="15"/>
  <c r="F222" i="15"/>
  <c r="F126" i="15"/>
  <c r="F205" i="15"/>
  <c r="F134" i="15"/>
  <c r="F109" i="15"/>
  <c r="F142" i="15"/>
  <c r="F114" i="15"/>
  <c r="F150" i="15"/>
  <c r="F158" i="15"/>
  <c r="F122" i="15"/>
  <c r="F110" i="15"/>
  <c r="F206" i="15"/>
  <c r="F130" i="15"/>
  <c r="V277" i="18"/>
  <c r="X18" i="49"/>
  <c r="P27" i="49"/>
  <c r="D27" i="50"/>
  <c r="L18" i="50"/>
  <c r="H27" i="49"/>
  <c r="N18" i="49"/>
  <c r="T27" i="40"/>
  <c r="Z18" i="40"/>
  <c r="T27" i="35"/>
  <c r="Z18" i="35"/>
  <c r="T27" i="26"/>
  <c r="Z18" i="26"/>
  <c r="T27" i="29"/>
  <c r="Z18" i="29"/>
  <c r="L18" i="31"/>
  <c r="D27" i="31"/>
  <c r="L18" i="23"/>
  <c r="D27" i="23"/>
  <c r="T27" i="11"/>
  <c r="Z18" i="11"/>
  <c r="X18" i="8"/>
  <c r="P27" i="8"/>
  <c r="X18" i="7"/>
  <c r="P27" i="7"/>
  <c r="L18" i="10"/>
  <c r="D27" i="10"/>
  <c r="T63" i="78"/>
  <c r="P134" i="24"/>
  <c r="X80" i="24"/>
  <c r="H77" i="94"/>
  <c r="N20" i="94"/>
  <c r="D35" i="108"/>
  <c r="L16" i="108"/>
  <c r="D71" i="109"/>
  <c r="L67" i="109"/>
  <c r="V40" i="104"/>
  <c r="V41" i="104"/>
  <c r="V32" i="104"/>
  <c r="V53" i="104"/>
  <c r="V43" i="104"/>
  <c r="V31" i="104"/>
  <c r="V34" i="104"/>
  <c r="V26" i="104"/>
  <c r="V33" i="104"/>
  <c r="V46" i="104"/>
  <c r="V38" i="104"/>
  <c r="V18" i="104"/>
  <c r="V30" i="104"/>
  <c r="Z12" i="104"/>
  <c r="V17" i="104"/>
  <c r="V44" i="104"/>
  <c r="V39" i="104"/>
  <c r="V23" i="104"/>
  <c r="T21" i="104"/>
  <c r="V42" i="104"/>
  <c r="V24" i="104"/>
  <c r="V37" i="104"/>
  <c r="V29" i="104"/>
  <c r="V47" i="104"/>
  <c r="V35" i="104"/>
  <c r="V49" i="104"/>
  <c r="V28" i="104"/>
  <c r="V19" i="104"/>
  <c r="V27" i="104"/>
  <c r="V36" i="104"/>
  <c r="V25" i="104"/>
  <c r="V45" i="104"/>
  <c r="H85" i="103"/>
  <c r="H63" i="100"/>
  <c r="P50" i="98"/>
  <c r="X19" i="98"/>
  <c r="T77" i="94"/>
  <c r="Z20" i="94"/>
  <c r="Z91" i="91"/>
  <c r="X19" i="92"/>
  <c r="Z19" i="92" s="1"/>
  <c r="P72" i="92"/>
  <c r="Z16" i="91"/>
  <c r="T95" i="91"/>
  <c r="X95" i="91" s="1"/>
  <c r="V115" i="84"/>
  <c r="V103" i="84"/>
  <c r="V87" i="84"/>
  <c r="V75" i="84"/>
  <c r="V71" i="84"/>
  <c r="T58" i="84"/>
  <c r="X58" i="84" s="1"/>
  <c r="V114" i="84"/>
  <c r="V110" i="84"/>
  <c r="V98" i="84"/>
  <c r="V86" i="84"/>
  <c r="V66" i="84"/>
  <c r="V62" i="84"/>
  <c r="V128" i="84"/>
  <c r="V117" i="84"/>
  <c r="V105" i="84"/>
  <c r="V89" i="84"/>
  <c r="V77" i="84"/>
  <c r="V53" i="84"/>
  <c r="V49" i="84"/>
  <c r="V116" i="84"/>
  <c r="V104" i="84"/>
  <c r="V88" i="84"/>
  <c r="V76" i="84"/>
  <c r="V72" i="84"/>
  <c r="Z12" i="84"/>
  <c r="V119" i="84"/>
  <c r="V111" i="84"/>
  <c r="V99" i="84"/>
  <c r="V91" i="84"/>
  <c r="V79" i="84"/>
  <c r="V67" i="84"/>
  <c r="V63" i="84"/>
  <c r="V118" i="84"/>
  <c r="V106" i="84"/>
  <c r="V90" i="84"/>
  <c r="V78" i="84"/>
  <c r="V54" i="84"/>
  <c r="V50" i="84"/>
  <c r="V46" i="84"/>
  <c r="V42" i="84"/>
  <c r="V121" i="84"/>
  <c r="V101" i="84"/>
  <c r="V93" i="84"/>
  <c r="V81" i="84"/>
  <c r="V73" i="84"/>
  <c r="V120" i="84"/>
  <c r="V112" i="84"/>
  <c r="V108" i="84"/>
  <c r="V100" i="84"/>
  <c r="V92" i="84"/>
  <c r="V80" i="84"/>
  <c r="V68" i="84"/>
  <c r="V64" i="84"/>
  <c r="V107" i="84"/>
  <c r="V95" i="84"/>
  <c r="V83" i="84"/>
  <c r="V55" i="84"/>
  <c r="V51" i="84"/>
  <c r="V47" i="84"/>
  <c r="V43" i="84"/>
  <c r="V124" i="84"/>
  <c r="V122" i="84"/>
  <c r="V102" i="84"/>
  <c r="V94" i="84"/>
  <c r="V82" i="84"/>
  <c r="V74" i="84"/>
  <c r="V70" i="84"/>
  <c r="V96" i="84"/>
  <c r="V84" i="84"/>
  <c r="V60" i="84"/>
  <c r="V58" i="84"/>
  <c r="V56" i="84"/>
  <c r="V52" i="84"/>
  <c r="V48" i="84"/>
  <c r="V44" i="84"/>
  <c r="V40" i="84"/>
  <c r="V113" i="84"/>
  <c r="V69" i="84"/>
  <c r="V45" i="84"/>
  <c r="V65" i="84"/>
  <c r="V109" i="84"/>
  <c r="V85" i="84"/>
  <c r="V97" i="84"/>
  <c r="V41" i="84"/>
  <c r="V61" i="84"/>
  <c r="V65" i="83"/>
  <c r="V49" i="83"/>
  <c r="V37" i="83"/>
  <c r="V33" i="83"/>
  <c r="T20" i="83"/>
  <c r="V84" i="83"/>
  <c r="V66" i="83"/>
  <c r="V50" i="83"/>
  <c r="V42" i="83"/>
  <c r="V34" i="83"/>
  <c r="V73" i="83"/>
  <c r="V61" i="83"/>
  <c r="V53" i="83"/>
  <c r="V41" i="83"/>
  <c r="V29" i="83"/>
  <c r="V25" i="83"/>
  <c r="V72" i="83"/>
  <c r="V68" i="83"/>
  <c r="V60" i="83"/>
  <c r="V52" i="83"/>
  <c r="V44" i="83"/>
  <c r="V16" i="83"/>
  <c r="V74" i="83"/>
  <c r="V62" i="83"/>
  <c r="V54" i="83"/>
  <c r="V30" i="83"/>
  <c r="V26" i="83"/>
  <c r="V77" i="83"/>
  <c r="V69" i="83"/>
  <c r="V57" i="83"/>
  <c r="V45" i="83"/>
  <c r="V80" i="83"/>
  <c r="V78" i="83"/>
  <c r="V70" i="83"/>
  <c r="V58" i="83"/>
  <c r="V46" i="83"/>
  <c r="V38" i="83"/>
  <c r="V22" i="83"/>
  <c r="V18" i="83"/>
  <c r="V59" i="83"/>
  <c r="V47" i="83"/>
  <c r="V39" i="83"/>
  <c r="V28" i="83"/>
  <c r="V64" i="83"/>
  <c r="V55" i="83"/>
  <c r="V35" i="83"/>
  <c r="V40" i="83"/>
  <c r="V24" i="83"/>
  <c r="V76" i="83"/>
  <c r="V71" i="83"/>
  <c r="V67" i="83"/>
  <c r="V48" i="83"/>
  <c r="V43" i="83"/>
  <c r="V36" i="83"/>
  <c r="V31" i="83"/>
  <c r="V56" i="83"/>
  <c r="V51" i="83"/>
  <c r="V32" i="83"/>
  <c r="V63" i="83"/>
  <c r="V27" i="83"/>
  <c r="V17" i="83"/>
  <c r="V23" i="83"/>
  <c r="V75" i="83"/>
  <c r="F25" i="82"/>
  <c r="F19" i="82"/>
  <c r="L12" i="82"/>
  <c r="N12" i="82" s="1"/>
  <c r="F29" i="82"/>
  <c r="F21" i="82"/>
  <c r="D21" i="82"/>
  <c r="F17" i="82"/>
  <c r="F18" i="82"/>
  <c r="F23" i="82"/>
  <c r="T75" i="80"/>
  <c r="R78" i="83"/>
  <c r="R70" i="83"/>
  <c r="R58" i="83"/>
  <c r="R47" i="83"/>
  <c r="R46" i="83"/>
  <c r="R23" i="83"/>
  <c r="R18" i="83"/>
  <c r="R82" i="83"/>
  <c r="R80" i="83"/>
  <c r="R71" i="83"/>
  <c r="R59" i="83"/>
  <c r="R40" i="83"/>
  <c r="R39" i="83"/>
  <c r="R84" i="83"/>
  <c r="R67" i="83"/>
  <c r="R66" i="83"/>
  <c r="R51" i="83"/>
  <c r="R50" i="83"/>
  <c r="R34" i="83"/>
  <c r="R89" i="83"/>
  <c r="R86" i="83"/>
  <c r="R42" i="83"/>
  <c r="R41" i="83"/>
  <c r="R29" i="83"/>
  <c r="R25" i="83"/>
  <c r="R44" i="83"/>
  <c r="R43" i="83"/>
  <c r="R35" i="83"/>
  <c r="R75" i="83"/>
  <c r="R74" i="83"/>
  <c r="R62" i="83"/>
  <c r="R55" i="83"/>
  <c r="R54" i="83"/>
  <c r="R63" i="83"/>
  <c r="R32" i="83"/>
  <c r="R31" i="83"/>
  <c r="R27" i="83"/>
  <c r="R57" i="83"/>
  <c r="R73" i="83"/>
  <c r="R30" i="83"/>
  <c r="R52" i="83"/>
  <c r="R37" i="83"/>
  <c r="R28" i="83"/>
  <c r="R69" i="83"/>
  <c r="R64" i="83"/>
  <c r="R33" i="83"/>
  <c r="R26" i="83"/>
  <c r="X12" i="83"/>
  <c r="Z12" i="83" s="1"/>
  <c r="R45" i="83"/>
  <c r="R24" i="83"/>
  <c r="R76" i="83"/>
  <c r="R60" i="83"/>
  <c r="R53" i="83"/>
  <c r="R16" i="83"/>
  <c r="R48" i="83"/>
  <c r="R65" i="83"/>
  <c r="R38" i="83"/>
  <c r="R20" i="83"/>
  <c r="R77" i="83"/>
  <c r="R61" i="83"/>
  <c r="R36" i="83"/>
  <c r="P20" i="83"/>
  <c r="R56" i="83"/>
  <c r="R22" i="83"/>
  <c r="R49" i="83"/>
  <c r="R68" i="83"/>
  <c r="R17" i="83"/>
  <c r="R72" i="83"/>
  <c r="F63" i="78"/>
  <c r="F61" i="78"/>
  <c r="F52" i="78"/>
  <c r="F44" i="78"/>
  <c r="F43" i="78"/>
  <c r="F36" i="78"/>
  <c r="F35" i="78"/>
  <c r="L12" i="78"/>
  <c r="F65" i="78"/>
  <c r="F60" i="78"/>
  <c r="F59" i="78"/>
  <c r="F54" i="78"/>
  <c r="F53" i="78"/>
  <c r="F22" i="78"/>
  <c r="F18" i="78"/>
  <c r="F17" i="78"/>
  <c r="F70" i="78"/>
  <c r="F67" i="78"/>
  <c r="F57" i="78"/>
  <c r="F40" i="78"/>
  <c r="F39" i="78"/>
  <c r="F20" i="78"/>
  <c r="F33" i="78"/>
  <c r="F30" i="78"/>
  <c r="F27" i="78"/>
  <c r="F47" i="78"/>
  <c r="F21" i="78"/>
  <c r="F56" i="78"/>
  <c r="F37" i="78"/>
  <c r="F31" i="78"/>
  <c r="F28" i="78"/>
  <c r="F49" i="78"/>
  <c r="F48" i="78"/>
  <c r="F41" i="78"/>
  <c r="F34" i="78"/>
  <c r="F19" i="78"/>
  <c r="F45" i="78"/>
  <c r="F29" i="78"/>
  <c r="F50" i="78"/>
  <c r="F42" i="78"/>
  <c r="F38" i="78"/>
  <c r="F32" i="78"/>
  <c r="F24" i="78"/>
  <c r="F51" i="78"/>
  <c r="D24" i="78"/>
  <c r="F58" i="78"/>
  <c r="F46" i="78"/>
  <c r="F26" i="78"/>
  <c r="R66" i="72"/>
  <c r="R65" i="72"/>
  <c r="R61" i="72"/>
  <c r="R54" i="72"/>
  <c r="R53" i="72"/>
  <c r="R42" i="72"/>
  <c r="R41" i="72"/>
  <c r="R37" i="72"/>
  <c r="R26" i="72"/>
  <c r="R24" i="72"/>
  <c r="R32" i="72"/>
  <c r="R28" i="72"/>
  <c r="P24" i="72"/>
  <c r="R68" i="72"/>
  <c r="R67" i="72"/>
  <c r="R55" i="72"/>
  <c r="R44" i="72"/>
  <c r="R43" i="72"/>
  <c r="R62" i="72"/>
  <c r="R38" i="72"/>
  <c r="R69" i="72"/>
  <c r="R46" i="72"/>
  <c r="R45" i="72"/>
  <c r="R33" i="72"/>
  <c r="R29" i="72"/>
  <c r="R73" i="72"/>
  <c r="R71" i="72"/>
  <c r="R56" i="72"/>
  <c r="R63" i="72"/>
  <c r="R34" i="72"/>
  <c r="R30" i="72"/>
  <c r="R75" i="72"/>
  <c r="R58" i="72"/>
  <c r="R57" i="72"/>
  <c r="R50" i="72"/>
  <c r="R49" i="72"/>
  <c r="R21" i="72"/>
  <c r="R80" i="72"/>
  <c r="R77" i="72"/>
  <c r="R64" i="72"/>
  <c r="R27" i="72"/>
  <c r="R22" i="72"/>
  <c r="R48" i="72"/>
  <c r="R39" i="72"/>
  <c r="R52" i="72"/>
  <c r="R35" i="72"/>
  <c r="X12" i="72"/>
  <c r="Z12" i="72" s="1"/>
  <c r="R60" i="72"/>
  <c r="R20" i="72"/>
  <c r="R40" i="72"/>
  <c r="R36" i="72"/>
  <c r="R51" i="72"/>
  <c r="R47" i="72"/>
  <c r="R31" i="72"/>
  <c r="R59" i="72"/>
  <c r="F75" i="72"/>
  <c r="F57" i="72"/>
  <c r="F49" i="72"/>
  <c r="F48" i="72"/>
  <c r="F21" i="72"/>
  <c r="F20" i="72"/>
  <c r="F64" i="72"/>
  <c r="F40" i="72"/>
  <c r="L12" i="72"/>
  <c r="N12" i="72" s="1"/>
  <c r="F59" i="72"/>
  <c r="F58" i="72"/>
  <c r="F51" i="72"/>
  <c r="F50" i="72"/>
  <c r="F35" i="72"/>
  <c r="F31" i="72"/>
  <c r="F80" i="72"/>
  <c r="F77" i="72"/>
  <c r="F22" i="72"/>
  <c r="F65" i="72"/>
  <c r="F61" i="72"/>
  <c r="F60" i="72"/>
  <c r="F53" i="72"/>
  <c r="F52" i="72"/>
  <c r="F41" i="72"/>
  <c r="F37" i="72"/>
  <c r="F36" i="72"/>
  <c r="F32" i="72"/>
  <c r="F28" i="72"/>
  <c r="F27" i="72"/>
  <c r="F67" i="72"/>
  <c r="F66" i="72"/>
  <c r="F62" i="72"/>
  <c r="F38" i="72"/>
  <c r="D24" i="72"/>
  <c r="F69" i="72"/>
  <c r="F68" i="72"/>
  <c r="F45" i="72"/>
  <c r="F44" i="72"/>
  <c r="F33" i="72"/>
  <c r="F29" i="72"/>
  <c r="F56" i="72"/>
  <c r="F73" i="72"/>
  <c r="F71" i="72"/>
  <c r="F34" i="72"/>
  <c r="F30" i="72"/>
  <c r="F43" i="72"/>
  <c r="F47" i="72"/>
  <c r="F26" i="72"/>
  <c r="F63" i="72"/>
  <c r="F39" i="72"/>
  <c r="F54" i="72"/>
  <c r="F24" i="72"/>
  <c r="F46" i="72"/>
  <c r="F55" i="72"/>
  <c r="F42" i="72"/>
  <c r="J83" i="73"/>
  <c r="J71" i="73"/>
  <c r="J59" i="73"/>
  <c r="J55" i="73"/>
  <c r="J53" i="73"/>
  <c r="J72" i="73"/>
  <c r="H51" i="73"/>
  <c r="J51" i="73" s="1"/>
  <c r="J46" i="73"/>
  <c r="J42" i="73"/>
  <c r="J38" i="73"/>
  <c r="J87" i="73"/>
  <c r="J73" i="73"/>
  <c r="J65" i="73"/>
  <c r="J74" i="73"/>
  <c r="J60" i="73"/>
  <c r="J56" i="73"/>
  <c r="J34" i="73"/>
  <c r="J75" i="73"/>
  <c r="J47" i="73"/>
  <c r="J43" i="73"/>
  <c r="J39" i="73"/>
  <c r="J35" i="73"/>
  <c r="J76" i="73"/>
  <c r="J66" i="73"/>
  <c r="J77" i="73"/>
  <c r="J67" i="73"/>
  <c r="J61" i="73"/>
  <c r="J57" i="73"/>
  <c r="J78" i="73"/>
  <c r="J68" i="73"/>
  <c r="J48" i="73"/>
  <c r="J44" i="73"/>
  <c r="J40" i="73"/>
  <c r="J36" i="73"/>
  <c r="J79" i="73"/>
  <c r="J69" i="73"/>
  <c r="J80" i="73"/>
  <c r="J70" i="73"/>
  <c r="J62" i="73"/>
  <c r="J58" i="73"/>
  <c r="J64" i="73"/>
  <c r="J54" i="73"/>
  <c r="N12" i="73"/>
  <c r="J63" i="73"/>
  <c r="J37" i="73"/>
  <c r="J45" i="73"/>
  <c r="J49" i="73"/>
  <c r="J81" i="73"/>
  <c r="J41" i="73"/>
  <c r="R92" i="73"/>
  <c r="R89" i="73"/>
  <c r="R60" i="73"/>
  <c r="R56" i="73"/>
  <c r="R76" i="73"/>
  <c r="R75" i="73"/>
  <c r="R47" i="73"/>
  <c r="R43" i="73"/>
  <c r="R39" i="73"/>
  <c r="R35" i="73"/>
  <c r="R67" i="73"/>
  <c r="R66" i="73"/>
  <c r="R78" i="73"/>
  <c r="R77" i="73"/>
  <c r="R61" i="73"/>
  <c r="R57" i="73"/>
  <c r="R69" i="73"/>
  <c r="R68" i="73"/>
  <c r="R48" i="73"/>
  <c r="R44" i="73"/>
  <c r="R40" i="73"/>
  <c r="R36" i="73"/>
  <c r="R80" i="73"/>
  <c r="R79" i="73"/>
  <c r="R70" i="73"/>
  <c r="R63" i="73"/>
  <c r="R62" i="73"/>
  <c r="R58" i="73"/>
  <c r="R81" i="73"/>
  <c r="R54" i="73"/>
  <c r="R49" i="73"/>
  <c r="R45" i="73"/>
  <c r="R41" i="73"/>
  <c r="R37" i="73"/>
  <c r="R85" i="73"/>
  <c r="R83" i="73"/>
  <c r="R64" i="73"/>
  <c r="R53" i="73"/>
  <c r="R51" i="73"/>
  <c r="X12" i="73"/>
  <c r="Z12" i="73" s="1"/>
  <c r="R72" i="73"/>
  <c r="R71" i="73"/>
  <c r="R59" i="73"/>
  <c r="R55" i="73"/>
  <c r="P51" i="73"/>
  <c r="R87" i="73"/>
  <c r="R74" i="73"/>
  <c r="R73" i="73"/>
  <c r="R65" i="73"/>
  <c r="R34" i="73"/>
  <c r="R42" i="73"/>
  <c r="R46" i="73"/>
  <c r="R38" i="73"/>
  <c r="R110" i="68"/>
  <c r="R82" i="68"/>
  <c r="R78" i="68"/>
  <c r="R105" i="68"/>
  <c r="R69" i="68"/>
  <c r="R65" i="68"/>
  <c r="R61" i="68"/>
  <c r="R57" i="68"/>
  <c r="R53" i="68"/>
  <c r="R97" i="68"/>
  <c r="R96" i="68"/>
  <c r="R88" i="68"/>
  <c r="X12" i="68"/>
  <c r="Z12" i="68" s="1"/>
  <c r="R112" i="68"/>
  <c r="R111" i="68"/>
  <c r="R83" i="68"/>
  <c r="R79" i="68"/>
  <c r="R107" i="68"/>
  <c r="R106" i="68"/>
  <c r="R99" i="68"/>
  <c r="R98" i="68"/>
  <c r="R70" i="68"/>
  <c r="R66" i="68"/>
  <c r="R62" i="68"/>
  <c r="R58" i="68"/>
  <c r="R54" i="68"/>
  <c r="R114" i="68"/>
  <c r="R113" i="68"/>
  <c r="R90" i="68"/>
  <c r="R89" i="68"/>
  <c r="R108" i="68"/>
  <c r="R118" i="68"/>
  <c r="R115" i="68"/>
  <c r="R92" i="68"/>
  <c r="R91" i="68"/>
  <c r="R76" i="68"/>
  <c r="R71" i="68"/>
  <c r="R67" i="68"/>
  <c r="R63" i="68"/>
  <c r="R59" i="68"/>
  <c r="R55" i="68"/>
  <c r="R117" i="68"/>
  <c r="R102" i="68"/>
  <c r="R86" i="68"/>
  <c r="R75" i="68"/>
  <c r="R73" i="68"/>
  <c r="R51" i="68"/>
  <c r="R109" i="68"/>
  <c r="R94" i="68"/>
  <c r="R93" i="68"/>
  <c r="R81" i="68"/>
  <c r="R77" i="68"/>
  <c r="P73" i="68"/>
  <c r="R104" i="68"/>
  <c r="R103" i="68"/>
  <c r="R95" i="68"/>
  <c r="R87" i="68"/>
  <c r="R101" i="68"/>
  <c r="R60" i="68"/>
  <c r="R85" i="68"/>
  <c r="R64" i="68"/>
  <c r="R52" i="68"/>
  <c r="R80" i="68"/>
  <c r="R68" i="68"/>
  <c r="R122" i="68"/>
  <c r="R56" i="68"/>
  <c r="R100" i="68"/>
  <c r="R84" i="68"/>
  <c r="J115" i="70"/>
  <c r="P65" i="59"/>
  <c r="X61" i="59"/>
  <c r="L16" i="55"/>
  <c r="D33" i="55"/>
  <c r="T54" i="60"/>
  <c r="H26" i="54"/>
  <c r="N22" i="54"/>
  <c r="H67" i="57"/>
  <c r="N16" i="57"/>
  <c r="N126" i="39"/>
  <c r="V104" i="51"/>
  <c r="V98" i="51"/>
  <c r="V90" i="51"/>
  <c r="V78" i="51"/>
  <c r="V70" i="51"/>
  <c r="V102" i="51"/>
  <c r="V80" i="51"/>
  <c r="V56" i="51"/>
  <c r="V109" i="51"/>
  <c r="V101" i="51"/>
  <c r="V99" i="51"/>
  <c r="V91" i="51"/>
  <c r="V71" i="51"/>
  <c r="V67" i="51"/>
  <c r="T54" i="51"/>
  <c r="V54" i="51" s="1"/>
  <c r="V82" i="51"/>
  <c r="V66" i="51"/>
  <c r="V62" i="51"/>
  <c r="V58" i="51"/>
  <c r="V81" i="51"/>
  <c r="V73" i="51"/>
  <c r="V83" i="51"/>
  <c r="V75" i="51"/>
  <c r="V63" i="51"/>
  <c r="V59" i="51"/>
  <c r="V94" i="51"/>
  <c r="V86" i="51"/>
  <c r="V74" i="51"/>
  <c r="V50" i="51"/>
  <c r="V46" i="51"/>
  <c r="V42" i="51"/>
  <c r="V93" i="51"/>
  <c r="V85" i="51"/>
  <c r="V105" i="51"/>
  <c r="V95" i="51"/>
  <c r="V87" i="51"/>
  <c r="V79" i="51"/>
  <c r="V51" i="51"/>
  <c r="V47" i="51"/>
  <c r="V43" i="51"/>
  <c r="V39" i="51"/>
  <c r="V40" i="51"/>
  <c r="V69" i="51"/>
  <c r="V97" i="51"/>
  <c r="V65" i="51"/>
  <c r="Z12" i="51"/>
  <c r="V89" i="51"/>
  <c r="V52" i="51"/>
  <c r="V60" i="51"/>
  <c r="V41" i="51"/>
  <c r="V57" i="51"/>
  <c r="V48" i="51"/>
  <c r="V103" i="51"/>
  <c r="V76" i="51"/>
  <c r="V96" i="51"/>
  <c r="V44" i="51"/>
  <c r="V88" i="51"/>
  <c r="V68" i="51"/>
  <c r="V64" i="51"/>
  <c r="V72" i="51"/>
  <c r="V49" i="51"/>
  <c r="V45" i="51"/>
  <c r="V84" i="51"/>
  <c r="V77" i="51"/>
  <c r="V61" i="51"/>
  <c r="V92" i="51"/>
  <c r="J129" i="39"/>
  <c r="J123" i="39"/>
  <c r="J115" i="39"/>
  <c r="J95" i="39"/>
  <c r="J89" i="39"/>
  <c r="J79" i="39"/>
  <c r="J71" i="39"/>
  <c r="J53" i="39"/>
  <c r="J49" i="39"/>
  <c r="J128" i="39"/>
  <c r="J124" i="39"/>
  <c r="J116" i="39"/>
  <c r="J100" i="39"/>
  <c r="J96" i="39"/>
  <c r="J80" i="39"/>
  <c r="J72" i="39"/>
  <c r="J44" i="39"/>
  <c r="J40" i="39"/>
  <c r="J30" i="39"/>
  <c r="J133" i="39"/>
  <c r="J127" i="39"/>
  <c r="J117" i="39"/>
  <c r="J111" i="39"/>
  <c r="J107" i="39"/>
  <c r="J101" i="39"/>
  <c r="J81" i="39"/>
  <c r="J73" i="39"/>
  <c r="J63" i="39"/>
  <c r="J126" i="39"/>
  <c r="J118" i="39"/>
  <c r="J102" i="39"/>
  <c r="J90" i="39"/>
  <c r="J82" i="39"/>
  <c r="J74" i="39"/>
  <c r="J54" i="39"/>
  <c r="J50" i="39"/>
  <c r="J119" i="39"/>
  <c r="J97" i="39"/>
  <c r="J83" i="39"/>
  <c r="J55" i="39"/>
  <c r="J45" i="39"/>
  <c r="J41" i="39"/>
  <c r="J120" i="39"/>
  <c r="J112" i="39"/>
  <c r="J108" i="39"/>
  <c r="J84" i="39"/>
  <c r="J64" i="39"/>
  <c r="J56" i="39"/>
  <c r="J32" i="39"/>
  <c r="J104" i="39"/>
  <c r="J98" i="39"/>
  <c r="J92" i="39"/>
  <c r="J86" i="39"/>
  <c r="J76" i="39"/>
  <c r="J66" i="39"/>
  <c r="J58" i="39"/>
  <c r="J46" i="39"/>
  <c r="J42" i="39"/>
  <c r="J38" i="39"/>
  <c r="J36" i="39"/>
  <c r="J121" i="39"/>
  <c r="J113" i="39"/>
  <c r="J109" i="39"/>
  <c r="J105" i="39"/>
  <c r="J93" i="39"/>
  <c r="J87" i="39"/>
  <c r="J77" i="39"/>
  <c r="J67" i="39"/>
  <c r="J59" i="39"/>
  <c r="J47" i="39"/>
  <c r="J88" i="39"/>
  <c r="J68" i="39"/>
  <c r="J60" i="39"/>
  <c r="J52" i="39"/>
  <c r="J48" i="39"/>
  <c r="J122" i="39"/>
  <c r="J114" i="39"/>
  <c r="J110" i="39"/>
  <c r="J106" i="39"/>
  <c r="J94" i="39"/>
  <c r="J78" i="39"/>
  <c r="J70" i="39"/>
  <c r="J62" i="39"/>
  <c r="J51" i="39"/>
  <c r="J39" i="39"/>
  <c r="J75" i="39"/>
  <c r="J61" i="39"/>
  <c r="J57" i="39"/>
  <c r="J85" i="39"/>
  <c r="J43" i="39"/>
  <c r="J69" i="39"/>
  <c r="J65" i="39"/>
  <c r="J31" i="39"/>
  <c r="J99" i="39"/>
  <c r="H34" i="39"/>
  <c r="J103" i="39"/>
  <c r="J91" i="39"/>
  <c r="J37" i="39"/>
  <c r="L28" i="42"/>
  <c r="N28" i="42" s="1"/>
  <c r="D124" i="42"/>
  <c r="L91" i="33"/>
  <c r="N91" i="33" s="1"/>
  <c r="Z116" i="27"/>
  <c r="V94" i="21"/>
  <c r="V78" i="21"/>
  <c r="V70" i="21"/>
  <c r="V58" i="21"/>
  <c r="V50" i="21"/>
  <c r="V42" i="21"/>
  <c r="V97" i="21"/>
  <c r="V89" i="21"/>
  <c r="V85" i="21"/>
  <c r="V61" i="21"/>
  <c r="V49" i="21"/>
  <c r="V37" i="21"/>
  <c r="V33" i="21"/>
  <c r="V96" i="21"/>
  <c r="V72" i="21"/>
  <c r="V60" i="21"/>
  <c r="V52" i="21"/>
  <c r="V24" i="21"/>
  <c r="V79" i="21"/>
  <c r="V63" i="21"/>
  <c r="V51" i="21"/>
  <c r="V43" i="21"/>
  <c r="V39" i="21"/>
  <c r="V100" i="21"/>
  <c r="V98" i="21"/>
  <c r="V90" i="21"/>
  <c r="V86" i="21"/>
  <c r="V62" i="21"/>
  <c r="V38" i="21"/>
  <c r="V34" i="21"/>
  <c r="V30" i="21"/>
  <c r="V73" i="21"/>
  <c r="V65" i="21"/>
  <c r="V53" i="21"/>
  <c r="V29" i="21"/>
  <c r="V27" i="21"/>
  <c r="V25" i="21"/>
  <c r="V80" i="21"/>
  <c r="V64" i="21"/>
  <c r="V44" i="21"/>
  <c r="V40" i="21"/>
  <c r="T27" i="21"/>
  <c r="Z12" i="21"/>
  <c r="V91" i="21"/>
  <c r="V87" i="21"/>
  <c r="V75" i="21"/>
  <c r="V67" i="21"/>
  <c r="V55" i="21"/>
  <c r="V35" i="21"/>
  <c r="V31" i="21"/>
  <c r="V104" i="21"/>
  <c r="V82" i="21"/>
  <c r="V74" i="21"/>
  <c r="V66" i="21"/>
  <c r="V54" i="21"/>
  <c r="V46" i="21"/>
  <c r="V93" i="21"/>
  <c r="V81" i="21"/>
  <c r="V77" i="21"/>
  <c r="V69" i="21"/>
  <c r="V57" i="21"/>
  <c r="V45" i="21"/>
  <c r="V41" i="21"/>
  <c r="V95" i="21"/>
  <c r="V83" i="21"/>
  <c r="V71" i="21"/>
  <c r="V59" i="21"/>
  <c r="V47" i="21"/>
  <c r="V23" i="21"/>
  <c r="V32" i="21"/>
  <c r="V92" i="21"/>
  <c r="V76" i="21"/>
  <c r="V56" i="21"/>
  <c r="V88" i="21"/>
  <c r="V68" i="21"/>
  <c r="V36" i="21"/>
  <c r="V84" i="21"/>
  <c r="V48" i="21"/>
  <c r="F198" i="3"/>
  <c r="P27" i="52"/>
  <c r="X18" i="52"/>
  <c r="L18" i="52"/>
  <c r="D27" i="52"/>
  <c r="T27" i="46"/>
  <c r="Z18" i="46"/>
  <c r="L18" i="44"/>
  <c r="D27" i="44"/>
  <c r="N18" i="46"/>
  <c r="H27" i="46"/>
  <c r="H27" i="34"/>
  <c r="N18" i="34"/>
  <c r="X18" i="25"/>
  <c r="P27" i="25"/>
  <c r="T27" i="28"/>
  <c r="Z18" i="28"/>
  <c r="H27" i="25"/>
  <c r="N18" i="25"/>
  <c r="D27" i="28"/>
  <c r="L18" i="28"/>
  <c r="X18" i="20"/>
  <c r="P27" i="20"/>
  <c r="T27" i="19"/>
  <c r="Z18" i="19"/>
  <c r="X18" i="10"/>
  <c r="P27" i="10"/>
  <c r="H27" i="10"/>
  <c r="N18" i="10"/>
  <c r="F85" i="95"/>
  <c r="F84" i="95"/>
  <c r="F94" i="95"/>
  <c r="F89" i="95"/>
  <c r="F80" i="95"/>
  <c r="F76" i="95"/>
  <c r="F71" i="95"/>
  <c r="F66" i="95"/>
  <c r="F99" i="95"/>
  <c r="F96" i="95"/>
  <c r="F81" i="95"/>
  <c r="F77" i="95"/>
  <c r="F73" i="95"/>
  <c r="F72" i="95"/>
  <c r="F61" i="95"/>
  <c r="F53" i="95"/>
  <c r="F52" i="95"/>
  <c r="F78" i="95"/>
  <c r="F74" i="95"/>
  <c r="F56" i="95"/>
  <c r="F51" i="95"/>
  <c r="F17" i="95"/>
  <c r="F16" i="95"/>
  <c r="F92" i="95"/>
  <c r="F82" i="95"/>
  <c r="F79" i="95"/>
  <c r="F57" i="95"/>
  <c r="F44" i="95"/>
  <c r="F43" i="95"/>
  <c r="F36" i="95"/>
  <c r="F70" i="95"/>
  <c r="F67" i="95"/>
  <c r="F31" i="95"/>
  <c r="F27" i="95"/>
  <c r="F46" i="95"/>
  <c r="F45" i="95"/>
  <c r="F18" i="95"/>
  <c r="F75" i="95"/>
  <c r="F65" i="95"/>
  <c r="F37" i="95"/>
  <c r="F33" i="95"/>
  <c r="F32" i="95"/>
  <c r="F83" i="95"/>
  <c r="F58" i="95"/>
  <c r="F28" i="95"/>
  <c r="F24" i="95"/>
  <c r="F23" i="95"/>
  <c r="F86" i="95"/>
  <c r="F68" i="95"/>
  <c r="F62" i="95"/>
  <c r="F59" i="95"/>
  <c r="F47" i="95"/>
  <c r="F22" i="95"/>
  <c r="F20" i="95"/>
  <c r="F54" i="95"/>
  <c r="F38" i="95"/>
  <c r="F34" i="95"/>
  <c r="D20" i="95"/>
  <c r="F90" i="95"/>
  <c r="F48" i="95"/>
  <c r="F29" i="95"/>
  <c r="F25" i="95"/>
  <c r="F87" i="95"/>
  <c r="F64" i="95"/>
  <c r="F50" i="95"/>
  <c r="F42" i="95"/>
  <c r="F41" i="95"/>
  <c r="F30" i="95"/>
  <c r="F26" i="95"/>
  <c r="F60" i="95"/>
  <c r="F49" i="95"/>
  <c r="F39" i="95"/>
  <c r="L12" i="95"/>
  <c r="N12" i="95" s="1"/>
  <c r="F63" i="95"/>
  <c r="F55" i="95"/>
  <c r="F35" i="95"/>
  <c r="F69" i="95"/>
  <c r="F40" i="95"/>
  <c r="X18" i="50"/>
  <c r="P27" i="50"/>
  <c r="T89" i="105"/>
  <c r="Z21" i="105"/>
  <c r="P35" i="108"/>
  <c r="X16" i="108"/>
  <c r="J44" i="104"/>
  <c r="J34" i="104"/>
  <c r="J45" i="104"/>
  <c r="J37" i="104"/>
  <c r="J29" i="104"/>
  <c r="J46" i="104"/>
  <c r="J38" i="104"/>
  <c r="J47" i="104"/>
  <c r="J39" i="104"/>
  <c r="J40" i="104"/>
  <c r="J30" i="104"/>
  <c r="J24" i="104"/>
  <c r="J51" i="104"/>
  <c r="J49" i="104"/>
  <c r="J41" i="104"/>
  <c r="J25" i="104"/>
  <c r="J32" i="104"/>
  <c r="J26" i="104"/>
  <c r="J55" i="104"/>
  <c r="J27" i="104"/>
  <c r="J43" i="104"/>
  <c r="J36" i="104"/>
  <c r="J33" i="104"/>
  <c r="J19" i="104"/>
  <c r="J28" i="104"/>
  <c r="N12" i="104"/>
  <c r="J53" i="104"/>
  <c r="J21" i="104"/>
  <c r="J42" i="104"/>
  <c r="H21" i="104"/>
  <c r="J58" i="104"/>
  <c r="J31" i="104"/>
  <c r="J23" i="104"/>
  <c r="J17" i="104"/>
  <c r="J35" i="104"/>
  <c r="J18" i="104"/>
  <c r="X12" i="98"/>
  <c r="Z12" i="98" s="1"/>
  <c r="V69" i="93"/>
  <c r="V59" i="93"/>
  <c r="V60" i="93"/>
  <c r="V49" i="93"/>
  <c r="V37" i="93"/>
  <c r="V33" i="93"/>
  <c r="T20" i="93"/>
  <c r="V62" i="93"/>
  <c r="V40" i="93"/>
  <c r="V28" i="93"/>
  <c r="V24" i="93"/>
  <c r="V66" i="93"/>
  <c r="V63" i="93"/>
  <c r="V56" i="93"/>
  <c r="V55" i="93"/>
  <c r="V39" i="93"/>
  <c r="V73" i="93"/>
  <c r="V50" i="93"/>
  <c r="V42" i="93"/>
  <c r="V34" i="93"/>
  <c r="V68" i="93"/>
  <c r="V41" i="93"/>
  <c r="V29" i="93"/>
  <c r="V25" i="93"/>
  <c r="V52" i="93"/>
  <c r="V44" i="93"/>
  <c r="V16" i="93"/>
  <c r="V57" i="93"/>
  <c r="V51" i="93"/>
  <c r="V43" i="93"/>
  <c r="V35" i="93"/>
  <c r="V64" i="93"/>
  <c r="V46" i="93"/>
  <c r="V30" i="93"/>
  <c r="V26" i="93"/>
  <c r="V53" i="93"/>
  <c r="V45" i="93"/>
  <c r="V17" i="93"/>
  <c r="V54" i="93"/>
  <c r="V38" i="93"/>
  <c r="V22" i="93"/>
  <c r="V20" i="93"/>
  <c r="V18" i="93"/>
  <c r="V32" i="93"/>
  <c r="V27" i="93"/>
  <c r="V47" i="93"/>
  <c r="V58" i="93"/>
  <c r="V48" i="93"/>
  <c r="V36" i="93"/>
  <c r="V31" i="93"/>
  <c r="V23" i="93"/>
  <c r="Z12" i="93"/>
  <c r="V65" i="93"/>
  <c r="V61" i="93"/>
  <c r="D95" i="91"/>
  <c r="L16" i="91"/>
  <c r="H71" i="93"/>
  <c r="N20" i="93"/>
  <c r="L20" i="87"/>
  <c r="D83" i="87"/>
  <c r="H83" i="87"/>
  <c r="N20" i="87"/>
  <c r="J20" i="87"/>
  <c r="T107" i="76"/>
  <c r="L77" i="74"/>
  <c r="D132" i="74"/>
  <c r="L115" i="70"/>
  <c r="N115" i="70" s="1"/>
  <c r="V128" i="74"/>
  <c r="N97" i="63"/>
  <c r="P102" i="63"/>
  <c r="X16" i="63"/>
  <c r="D22" i="54"/>
  <c r="L16" i="54"/>
  <c r="X16" i="54"/>
  <c r="P22" i="54"/>
  <c r="R17" i="48"/>
  <c r="D54" i="60"/>
  <c r="L50" i="60"/>
  <c r="J160" i="30"/>
  <c r="L252" i="15"/>
  <c r="N252" i="15" s="1"/>
  <c r="Z252" i="15"/>
  <c r="V186" i="18"/>
  <c r="J312" i="3"/>
  <c r="J300" i="3"/>
  <c r="J290" i="3"/>
  <c r="J284" i="3"/>
  <c r="J280" i="3"/>
  <c r="J264" i="3"/>
  <c r="J258" i="3"/>
  <c r="J246" i="3"/>
  <c r="J238" i="3"/>
  <c r="J222" i="3"/>
  <c r="J216" i="3"/>
  <c r="J311" i="3"/>
  <c r="J299" i="3"/>
  <c r="J291" i="3"/>
  <c r="J275" i="3"/>
  <c r="J259" i="3"/>
  <c r="J247" i="3"/>
  <c r="J239" i="3"/>
  <c r="J223" i="3"/>
  <c r="J211" i="3"/>
  <c r="J207" i="3"/>
  <c r="J203" i="3"/>
  <c r="J316" i="3"/>
  <c r="J310" i="3"/>
  <c r="J292" i="3"/>
  <c r="J276" i="3"/>
  <c r="J270" i="3"/>
  <c r="J248" i="3"/>
  <c r="J240" i="3"/>
  <c r="J230" i="3"/>
  <c r="J212" i="3"/>
  <c r="J194" i="3"/>
  <c r="J190" i="3"/>
  <c r="J186" i="3"/>
  <c r="J182" i="3"/>
  <c r="J178" i="3"/>
  <c r="J174" i="3"/>
  <c r="J170" i="3"/>
  <c r="J166" i="3"/>
  <c r="J162" i="3"/>
  <c r="J158" i="3"/>
  <c r="J154" i="3"/>
  <c r="J150" i="3"/>
  <c r="J146" i="3"/>
  <c r="J142" i="3"/>
  <c r="J138" i="3"/>
  <c r="J309" i="3"/>
  <c r="J293" i="3"/>
  <c r="J285" i="3"/>
  <c r="J281" i="3"/>
  <c r="J277" i="3"/>
  <c r="J265" i="3"/>
  <c r="J249" i="3"/>
  <c r="J241" i="3"/>
  <c r="J231" i="3"/>
  <c r="J217" i="3"/>
  <c r="J213" i="3"/>
  <c r="J321" i="3"/>
  <c r="J320" i="3"/>
  <c r="J308" i="3"/>
  <c r="J260" i="3"/>
  <c r="J250" i="3"/>
  <c r="J232" i="3"/>
  <c r="J224" i="3"/>
  <c r="J208" i="3"/>
  <c r="J204" i="3"/>
  <c r="J307" i="3"/>
  <c r="J271" i="3"/>
  <c r="J251" i="3"/>
  <c r="J225" i="3"/>
  <c r="J195" i="3"/>
  <c r="J191" i="3"/>
  <c r="J187" i="3"/>
  <c r="J183" i="3"/>
  <c r="J305" i="3"/>
  <c r="J287" i="3"/>
  <c r="J267" i="3"/>
  <c r="J261" i="3"/>
  <c r="J253" i="3"/>
  <c r="J243" i="3"/>
  <c r="J233" i="3"/>
  <c r="J227" i="3"/>
  <c r="J209" i="3"/>
  <c r="J205" i="3"/>
  <c r="J304" i="3"/>
  <c r="J288" i="3"/>
  <c r="J272" i="3"/>
  <c r="J268" i="3"/>
  <c r="J254" i="3"/>
  <c r="J244" i="3"/>
  <c r="J234" i="3"/>
  <c r="J228" i="3"/>
  <c r="J196" i="3"/>
  <c r="J192" i="3"/>
  <c r="J188" i="3"/>
  <c r="J184" i="3"/>
  <c r="J180" i="3"/>
  <c r="J176" i="3"/>
  <c r="J172" i="3"/>
  <c r="J168" i="3"/>
  <c r="J164" i="3"/>
  <c r="J160" i="3"/>
  <c r="J156" i="3"/>
  <c r="J152" i="3"/>
  <c r="J148" i="3"/>
  <c r="J144" i="3"/>
  <c r="J140" i="3"/>
  <c r="J303" i="3"/>
  <c r="J295" i="3"/>
  <c r="J283" i="3"/>
  <c r="J279" i="3"/>
  <c r="J273" i="3"/>
  <c r="J255" i="3"/>
  <c r="J235" i="3"/>
  <c r="J219" i="3"/>
  <c r="J215" i="3"/>
  <c r="J201" i="3"/>
  <c r="J301" i="3"/>
  <c r="J297" i="3"/>
  <c r="J289" i="3"/>
  <c r="J269" i="3"/>
  <c r="J263" i="3"/>
  <c r="J257" i="3"/>
  <c r="J245" i="3"/>
  <c r="J237" i="3"/>
  <c r="J229" i="3"/>
  <c r="J221" i="3"/>
  <c r="H198" i="3"/>
  <c r="J198" i="3" s="1"/>
  <c r="J193" i="3"/>
  <c r="J189" i="3"/>
  <c r="J185" i="3"/>
  <c r="J181" i="3"/>
  <c r="J177" i="3"/>
  <c r="J173" i="3"/>
  <c r="J169" i="3"/>
  <c r="J165" i="3"/>
  <c r="J161" i="3"/>
  <c r="J157" i="3"/>
  <c r="J153" i="3"/>
  <c r="J306" i="3"/>
  <c r="J286" i="3"/>
  <c r="J274" i="3"/>
  <c r="J220" i="3"/>
  <c r="J218" i="3"/>
  <c r="J171" i="3"/>
  <c r="J266" i="3"/>
  <c r="J236" i="3"/>
  <c r="J175" i="3"/>
  <c r="J149" i="3"/>
  <c r="J167" i="3"/>
  <c r="J278" i="3"/>
  <c r="J151" i="3"/>
  <c r="J147" i="3"/>
  <c r="J145" i="3"/>
  <c r="J141" i="3"/>
  <c r="J302" i="3"/>
  <c r="J256" i="3"/>
  <c r="J226" i="3"/>
  <c r="J206" i="3"/>
  <c r="J143" i="3"/>
  <c r="J139" i="3"/>
  <c r="N12" i="3"/>
  <c r="J242" i="3"/>
  <c r="J179" i="3"/>
  <c r="J155" i="3"/>
  <c r="J137" i="3"/>
  <c r="J159" i="3"/>
  <c r="J296" i="3"/>
  <c r="J294" i="3"/>
  <c r="J282" i="3"/>
  <c r="J252" i="3"/>
  <c r="J210" i="3"/>
  <c r="J214" i="3"/>
  <c r="J163" i="3"/>
  <c r="J262" i="3"/>
  <c r="J200" i="3"/>
  <c r="J202" i="3"/>
  <c r="X299" i="3"/>
  <c r="Z299" i="3" s="1"/>
  <c r="T27" i="111"/>
  <c r="Z18" i="111"/>
  <c r="T27" i="43"/>
  <c r="Z18" i="43"/>
  <c r="X18" i="43"/>
  <c r="P27" i="43"/>
  <c r="D27" i="38"/>
  <c r="L18" i="38"/>
  <c r="Z18" i="44"/>
  <c r="T27" i="44"/>
  <c r="H27" i="44"/>
  <c r="N18" i="44"/>
  <c r="H27" i="40"/>
  <c r="N18" i="40"/>
  <c r="T27" i="41"/>
  <c r="Z18" i="41"/>
  <c r="P27" i="31"/>
  <c r="X18" i="31"/>
  <c r="H27" i="29"/>
  <c r="N18" i="29"/>
  <c r="X18" i="32"/>
  <c r="P27" i="32"/>
  <c r="H27" i="17"/>
  <c r="N18" i="17"/>
  <c r="P27" i="19"/>
  <c r="X18" i="19"/>
  <c r="P27" i="14"/>
  <c r="X18" i="14"/>
  <c r="H27" i="4"/>
  <c r="N18" i="4"/>
  <c r="H27" i="7"/>
  <c r="N18" i="7"/>
  <c r="T27" i="5"/>
  <c r="Z18" i="5"/>
  <c r="Z27" i="5" l="1"/>
  <c r="T31" i="5"/>
  <c r="N27" i="46"/>
  <c r="H31" i="46"/>
  <c r="N27" i="25"/>
  <c r="H31" i="25"/>
  <c r="D136" i="74"/>
  <c r="F132" i="74"/>
  <c r="H87" i="87"/>
  <c r="N83" i="87"/>
  <c r="J83" i="87"/>
  <c r="T71" i="93"/>
  <c r="P39" i="108"/>
  <c r="X35" i="108"/>
  <c r="Z35" i="108" s="1"/>
  <c r="N27" i="10"/>
  <c r="H31" i="10"/>
  <c r="Z27" i="28"/>
  <c r="T31" i="28"/>
  <c r="H71" i="57"/>
  <c r="D63" i="78"/>
  <c r="L24" i="78"/>
  <c r="D27" i="82"/>
  <c r="L21" i="82"/>
  <c r="N21" i="82" s="1"/>
  <c r="T82" i="83"/>
  <c r="T31" i="29"/>
  <c r="Z27" i="29"/>
  <c r="P126" i="36"/>
  <c r="X28" i="36"/>
  <c r="T71" i="48"/>
  <c r="V67" i="48"/>
  <c r="H130" i="84"/>
  <c r="J126" i="84"/>
  <c r="P94" i="45"/>
  <c r="X23" i="45"/>
  <c r="Z23" i="45" s="1"/>
  <c r="P75" i="80"/>
  <c r="X71" i="80"/>
  <c r="Z71" i="80" s="1"/>
  <c r="H90" i="97"/>
  <c r="J86" i="97"/>
  <c r="H263" i="15"/>
  <c r="H128" i="42"/>
  <c r="J124" i="42"/>
  <c r="Z27" i="7"/>
  <c r="T31" i="7"/>
  <c r="D126" i="36"/>
  <c r="L28" i="36"/>
  <c r="N28" i="36" s="1"/>
  <c r="H50" i="98"/>
  <c r="N19" i="98"/>
  <c r="Z21" i="103"/>
  <c r="T85" i="103"/>
  <c r="X27" i="13"/>
  <c r="P31" i="13"/>
  <c r="H37" i="55"/>
  <c r="H50" i="99"/>
  <c r="L102" i="63"/>
  <c r="D106" i="63"/>
  <c r="X27" i="28"/>
  <c r="P31" i="28"/>
  <c r="H67" i="48"/>
  <c r="N17" i="48"/>
  <c r="L17" i="48"/>
  <c r="T72" i="69"/>
  <c r="V68" i="69"/>
  <c r="P31" i="37"/>
  <c r="X27" i="37"/>
  <c r="X27" i="53"/>
  <c r="P31" i="53"/>
  <c r="T50" i="98"/>
  <c r="Z19" i="98"/>
  <c r="N27" i="28"/>
  <c r="H31" i="28"/>
  <c r="T31" i="16"/>
  <c r="Z27" i="16"/>
  <c r="Z27" i="52"/>
  <c r="T31" i="52"/>
  <c r="T134" i="24"/>
  <c r="Z80" i="24"/>
  <c r="L126" i="84"/>
  <c r="N126" i="84" s="1"/>
  <c r="D130" i="84"/>
  <c r="F126" i="84"/>
  <c r="X81" i="101"/>
  <c r="P85" i="101"/>
  <c r="X27" i="10"/>
  <c r="P31" i="10"/>
  <c r="P76" i="92"/>
  <c r="X72" i="92"/>
  <c r="X89" i="105"/>
  <c r="P93" i="105"/>
  <c r="R89" i="105"/>
  <c r="N27" i="112"/>
  <c r="H31" i="112"/>
  <c r="Z27" i="20"/>
  <c r="T31" i="20"/>
  <c r="H89" i="83"/>
  <c r="J86" i="83"/>
  <c r="T76" i="58"/>
  <c r="D31" i="8"/>
  <c r="L27" i="8"/>
  <c r="D31" i="112"/>
  <c r="L27" i="112"/>
  <c r="X27" i="52"/>
  <c r="P31" i="52"/>
  <c r="H31" i="54"/>
  <c r="N26" i="54"/>
  <c r="D74" i="109"/>
  <c r="F71" i="109"/>
  <c r="T31" i="26"/>
  <c r="Z27" i="26"/>
  <c r="T67" i="100"/>
  <c r="X63" i="100"/>
  <c r="Z63" i="100" s="1"/>
  <c r="V63" i="100"/>
  <c r="T40" i="55"/>
  <c r="H31" i="20"/>
  <c r="N27" i="20"/>
  <c r="J75" i="79"/>
  <c r="D31" i="13"/>
  <c r="L27" i="13"/>
  <c r="D31" i="111"/>
  <c r="L27" i="111"/>
  <c r="X50" i="60"/>
  <c r="Z50" i="60" s="1"/>
  <c r="P54" i="60"/>
  <c r="D73" i="88"/>
  <c r="L20" i="88"/>
  <c r="N20" i="88" s="1"/>
  <c r="T263" i="15"/>
  <c r="Z161" i="15"/>
  <c r="P99" i="33"/>
  <c r="X39" i="33"/>
  <c r="X72" i="58"/>
  <c r="Z72" i="58" s="1"/>
  <c r="H31" i="82"/>
  <c r="J27" i="82"/>
  <c r="H81" i="101"/>
  <c r="X27" i="38"/>
  <c r="P31" i="38"/>
  <c r="X27" i="111"/>
  <c r="P31" i="111"/>
  <c r="X22" i="106"/>
  <c r="P26" i="106"/>
  <c r="L84" i="107"/>
  <c r="D88" i="107"/>
  <c r="D72" i="69"/>
  <c r="L68" i="69"/>
  <c r="L27" i="34"/>
  <c r="D31" i="34"/>
  <c r="D26" i="54"/>
  <c r="L22" i="54"/>
  <c r="T93" i="105"/>
  <c r="Z89" i="105"/>
  <c r="V89" i="105"/>
  <c r="N27" i="44"/>
  <c r="H31" i="44"/>
  <c r="L83" i="87"/>
  <c r="D87" i="87"/>
  <c r="X27" i="50"/>
  <c r="P31" i="50"/>
  <c r="D128" i="42"/>
  <c r="L124" i="42"/>
  <c r="N124" i="42" s="1"/>
  <c r="F124" i="42"/>
  <c r="X73" i="68"/>
  <c r="P120" i="68"/>
  <c r="P82" i="83"/>
  <c r="X20" i="83"/>
  <c r="Z20" i="83" s="1"/>
  <c r="Z58" i="84"/>
  <c r="T126" i="84"/>
  <c r="T51" i="104"/>
  <c r="X27" i="8"/>
  <c r="P31" i="8"/>
  <c r="L67" i="57"/>
  <c r="N67" i="57" s="1"/>
  <c r="L27" i="4"/>
  <c r="D31" i="4"/>
  <c r="T77" i="56"/>
  <c r="L32" i="75"/>
  <c r="D85" i="75"/>
  <c r="R30" i="85"/>
  <c r="P34" i="85"/>
  <c r="D31" i="16"/>
  <c r="L27" i="16"/>
  <c r="L86" i="97"/>
  <c r="N86" i="97" s="1"/>
  <c r="D90" i="97"/>
  <c r="Z27" i="23"/>
  <c r="T31" i="23"/>
  <c r="N27" i="22"/>
  <c r="H31" i="22"/>
  <c r="H26" i="106"/>
  <c r="N22" i="106"/>
  <c r="L22" i="106"/>
  <c r="N27" i="19"/>
  <c r="H31" i="19"/>
  <c r="Z27" i="10"/>
  <c r="T31" i="10"/>
  <c r="X27" i="34"/>
  <c r="P31" i="34"/>
  <c r="X76" i="58"/>
  <c r="P79" i="58"/>
  <c r="N27" i="5"/>
  <c r="H31" i="5"/>
  <c r="P31" i="40"/>
  <c r="X27" i="40"/>
  <c r="Z27" i="111"/>
  <c r="T31" i="111"/>
  <c r="D92" i="95"/>
  <c r="L20" i="95"/>
  <c r="N20" i="95" s="1"/>
  <c r="D31" i="7"/>
  <c r="L27" i="7"/>
  <c r="P90" i="97"/>
  <c r="X86" i="97"/>
  <c r="Z86" i="97" s="1"/>
  <c r="Z198" i="3"/>
  <c r="T314" i="3"/>
  <c r="P130" i="84"/>
  <c r="X126" i="84"/>
  <c r="R126" i="84"/>
  <c r="X47" i="99"/>
  <c r="P50" i="99"/>
  <c r="H134" i="24"/>
  <c r="X24" i="78"/>
  <c r="Z24" i="78" s="1"/>
  <c r="P63" i="78"/>
  <c r="L27" i="26"/>
  <c r="D31" i="26"/>
  <c r="H31" i="17"/>
  <c r="N27" i="17"/>
  <c r="P31" i="32"/>
  <c r="X27" i="32"/>
  <c r="Z27" i="44"/>
  <c r="T31" i="44"/>
  <c r="X102" i="63"/>
  <c r="P106" i="63"/>
  <c r="T111" i="76"/>
  <c r="V107" i="76"/>
  <c r="Z27" i="19"/>
  <c r="T31" i="19"/>
  <c r="N27" i="34"/>
  <c r="H31" i="34"/>
  <c r="T57" i="60"/>
  <c r="D73" i="72"/>
  <c r="L24" i="72"/>
  <c r="N24" i="72" s="1"/>
  <c r="L35" i="108"/>
  <c r="N35" i="108" s="1"/>
  <c r="D39" i="108"/>
  <c r="Z27" i="35"/>
  <c r="T31" i="35"/>
  <c r="P128" i="42"/>
  <c r="R124" i="42"/>
  <c r="L23" i="45"/>
  <c r="N23" i="45" s="1"/>
  <c r="D94" i="45"/>
  <c r="D74" i="57"/>
  <c r="T39" i="108"/>
  <c r="D124" i="70"/>
  <c r="L120" i="70"/>
  <c r="F120" i="70"/>
  <c r="N27" i="31"/>
  <c r="H31" i="31"/>
  <c r="N27" i="53"/>
  <c r="H31" i="53"/>
  <c r="T136" i="74"/>
  <c r="V132" i="74"/>
  <c r="L27" i="32"/>
  <c r="D31" i="32"/>
  <c r="N22" i="6"/>
  <c r="H26" i="6"/>
  <c r="P132" i="74"/>
  <c r="X77" i="74"/>
  <c r="Z77" i="74" s="1"/>
  <c r="P51" i="104"/>
  <c r="X21" i="104"/>
  <c r="Z21" i="104" s="1"/>
  <c r="X27" i="110"/>
  <c r="P31" i="110"/>
  <c r="L49" i="61"/>
  <c r="N49" i="61" s="1"/>
  <c r="D53" i="61"/>
  <c r="Z27" i="110"/>
  <c r="T31" i="110"/>
  <c r="P31" i="17"/>
  <c r="X27" i="17"/>
  <c r="X291" i="18"/>
  <c r="P295" i="18"/>
  <c r="R291" i="18"/>
  <c r="Z102" i="63"/>
  <c r="T106" i="63"/>
  <c r="Z26" i="6"/>
  <c r="T31" i="6"/>
  <c r="X26" i="6"/>
  <c r="T85" i="75"/>
  <c r="H72" i="92"/>
  <c r="X27" i="29"/>
  <c r="P31" i="29"/>
  <c r="L27" i="35"/>
  <c r="D31" i="35"/>
  <c r="R39" i="33"/>
  <c r="H34" i="85"/>
  <c r="N30" i="85"/>
  <c r="J30" i="85"/>
  <c r="D31" i="14"/>
  <c r="L27" i="14"/>
  <c r="X27" i="112"/>
  <c r="P31" i="112"/>
  <c r="D26" i="6"/>
  <c r="L22" i="6"/>
  <c r="N27" i="26"/>
  <c r="H31" i="26"/>
  <c r="H31" i="111"/>
  <c r="N27" i="111"/>
  <c r="T124" i="42"/>
  <c r="Z28" i="42"/>
  <c r="T120" i="70"/>
  <c r="H96" i="95"/>
  <c r="J92" i="95"/>
  <c r="T88" i="107"/>
  <c r="V84" i="107"/>
  <c r="N27" i="32"/>
  <c r="H31" i="32"/>
  <c r="D79" i="58"/>
  <c r="L79" i="58" s="1"/>
  <c r="L76" i="58"/>
  <c r="N76" i="58" s="1"/>
  <c r="P74" i="56"/>
  <c r="X70" i="56"/>
  <c r="Z70" i="56" s="1"/>
  <c r="L27" i="110"/>
  <c r="D31" i="110"/>
  <c r="D291" i="18"/>
  <c r="L186" i="18"/>
  <c r="H168" i="30"/>
  <c r="J164" i="30"/>
  <c r="H88" i="107"/>
  <c r="N84" i="107"/>
  <c r="J84" i="107"/>
  <c r="V198" i="3"/>
  <c r="T98" i="45"/>
  <c r="V94" i="45"/>
  <c r="H56" i="61"/>
  <c r="H120" i="68"/>
  <c r="N73" i="68"/>
  <c r="P62" i="67"/>
  <c r="X58" i="67"/>
  <c r="Z21" i="82"/>
  <c r="T27" i="82"/>
  <c r="T31" i="38"/>
  <c r="Z27" i="38"/>
  <c r="H272" i="12"/>
  <c r="T99" i="33"/>
  <c r="Z39" i="33"/>
  <c r="N27" i="16"/>
  <c r="H31" i="16"/>
  <c r="T125" i="27"/>
  <c r="V121" i="27"/>
  <c r="P37" i="55"/>
  <c r="X33" i="55"/>
  <c r="Z33" i="55" s="1"/>
  <c r="J22" i="101"/>
  <c r="X27" i="16"/>
  <c r="P31" i="16"/>
  <c r="N27" i="41"/>
  <c r="H31" i="41"/>
  <c r="T87" i="87"/>
  <c r="V83" i="87"/>
  <c r="D164" i="30"/>
  <c r="L86" i="30"/>
  <c r="N86" i="30" s="1"/>
  <c r="Z26" i="106"/>
  <c r="T29" i="106"/>
  <c r="Z29" i="106" s="1"/>
  <c r="X27" i="19"/>
  <c r="P31" i="19"/>
  <c r="X27" i="7"/>
  <c r="P31" i="7"/>
  <c r="D263" i="15"/>
  <c r="L161" i="15"/>
  <c r="N161" i="15" s="1"/>
  <c r="Z27" i="50"/>
  <c r="T31" i="50"/>
  <c r="L33" i="55"/>
  <c r="N33" i="55" s="1"/>
  <c r="D37" i="55"/>
  <c r="H75" i="93"/>
  <c r="N71" i="93"/>
  <c r="J71" i="93"/>
  <c r="T102" i="21"/>
  <c r="T78" i="80"/>
  <c r="V75" i="80"/>
  <c r="H81" i="94"/>
  <c r="J77" i="94"/>
  <c r="Z27" i="11"/>
  <c r="T31" i="11"/>
  <c r="T31" i="40"/>
  <c r="Z27" i="40"/>
  <c r="H65" i="59"/>
  <c r="N61" i="59"/>
  <c r="D92" i="103"/>
  <c r="Z27" i="8"/>
  <c r="T31" i="8"/>
  <c r="L65" i="59"/>
  <c r="D68" i="59"/>
  <c r="P73" i="88"/>
  <c r="X20" i="88"/>
  <c r="T73" i="88"/>
  <c r="Z20" i="88"/>
  <c r="H77" i="88"/>
  <c r="J73" i="88"/>
  <c r="Z27" i="14"/>
  <c r="T31" i="14"/>
  <c r="X198" i="3"/>
  <c r="P314" i="3"/>
  <c r="P71" i="57"/>
  <c r="X67" i="57"/>
  <c r="L73" i="68"/>
  <c r="D53" i="102"/>
  <c r="L53" i="102" s="1"/>
  <c r="N53" i="102" s="1"/>
  <c r="L50" i="102"/>
  <c r="N50" i="102" s="1"/>
  <c r="X27" i="21"/>
  <c r="Z27" i="21" s="1"/>
  <c r="P102" i="21"/>
  <c r="N27" i="8"/>
  <c r="H31" i="8"/>
  <c r="L58" i="67"/>
  <c r="D62" i="67"/>
  <c r="V21" i="82"/>
  <c r="L27" i="40"/>
  <c r="D31" i="40"/>
  <c r="Z73" i="68"/>
  <c r="T120" i="68"/>
  <c r="H31" i="38"/>
  <c r="N27" i="38"/>
  <c r="L27" i="22"/>
  <c r="D31" i="22"/>
  <c r="N79" i="58"/>
  <c r="D34" i="85"/>
  <c r="L30" i="85"/>
  <c r="F30" i="85"/>
  <c r="P31" i="5"/>
  <c r="X27" i="5"/>
  <c r="L27" i="25"/>
  <c r="D31" i="25"/>
  <c r="L198" i="3"/>
  <c r="P114" i="51"/>
  <c r="R111" i="51"/>
  <c r="Z27" i="47"/>
  <c r="T31" i="47"/>
  <c r="Z27" i="34"/>
  <c r="T31" i="34"/>
  <c r="H101" i="45"/>
  <c r="J98" i="45"/>
  <c r="T53" i="61"/>
  <c r="Z49" i="61"/>
  <c r="X68" i="69"/>
  <c r="Z68" i="69" s="1"/>
  <c r="P72" i="69"/>
  <c r="N27" i="7"/>
  <c r="H31" i="7"/>
  <c r="D31" i="44"/>
  <c r="L27" i="44"/>
  <c r="P54" i="98"/>
  <c r="R50" i="98"/>
  <c r="L27" i="23"/>
  <c r="D31" i="23"/>
  <c r="F161" i="15"/>
  <c r="T71" i="57"/>
  <c r="Z67" i="57"/>
  <c r="R99" i="95"/>
  <c r="P31" i="4"/>
  <c r="X27" i="4"/>
  <c r="L27" i="37"/>
  <c r="D31" i="37"/>
  <c r="X263" i="15"/>
  <c r="P267" i="15"/>
  <c r="R263" i="15"/>
  <c r="L61" i="59"/>
  <c r="H111" i="76"/>
  <c r="J107" i="76"/>
  <c r="T90" i="97"/>
  <c r="V86" i="97"/>
  <c r="N27" i="23"/>
  <c r="H31" i="23"/>
  <c r="T95" i="9"/>
  <c r="Z91" i="9"/>
  <c r="J161" i="15"/>
  <c r="X27" i="44"/>
  <c r="P31" i="44"/>
  <c r="D124" i="68"/>
  <c r="D55" i="104"/>
  <c r="L51" i="104"/>
  <c r="Z27" i="31"/>
  <c r="T31" i="31"/>
  <c r="L20" i="83"/>
  <c r="N20" i="83" s="1"/>
  <c r="D82" i="83"/>
  <c r="X21" i="82"/>
  <c r="P27" i="82"/>
  <c r="N27" i="37"/>
  <c r="H31" i="37"/>
  <c r="D89" i="105"/>
  <c r="L21" i="105"/>
  <c r="N21" i="105" s="1"/>
  <c r="P107" i="76"/>
  <c r="X54" i="76"/>
  <c r="Z54" i="76" s="1"/>
  <c r="L27" i="43"/>
  <c r="D31" i="43"/>
  <c r="D318" i="3"/>
  <c r="F314" i="3"/>
  <c r="P95" i="9"/>
  <c r="X91" i="9"/>
  <c r="H107" i="51"/>
  <c r="T65" i="59"/>
  <c r="X65" i="59" s="1"/>
  <c r="Z61" i="59"/>
  <c r="X27" i="35"/>
  <c r="P31" i="35"/>
  <c r="H121" i="27"/>
  <c r="T126" i="36"/>
  <c r="Z28" i="36"/>
  <c r="P83" i="87"/>
  <c r="X20" i="87"/>
  <c r="Z20" i="87" s="1"/>
  <c r="N27" i="40"/>
  <c r="H31" i="40"/>
  <c r="N21" i="104"/>
  <c r="H51" i="104"/>
  <c r="T107" i="51"/>
  <c r="X54" i="51"/>
  <c r="Z54" i="51" s="1"/>
  <c r="N27" i="29"/>
  <c r="H31" i="29"/>
  <c r="L27" i="28"/>
  <c r="D31" i="28"/>
  <c r="H131" i="39"/>
  <c r="J34" i="39"/>
  <c r="P68" i="59"/>
  <c r="P73" i="72"/>
  <c r="X24" i="72"/>
  <c r="Z24" i="72" s="1"/>
  <c r="H67" i="100"/>
  <c r="J63" i="100"/>
  <c r="V21" i="104"/>
  <c r="P138" i="24"/>
  <c r="X134" i="24"/>
  <c r="R134" i="24"/>
  <c r="N27" i="49"/>
  <c r="H31" i="49"/>
  <c r="H42" i="108"/>
  <c r="X34" i="39"/>
  <c r="P131" i="39"/>
  <c r="R34" i="39"/>
  <c r="X27" i="23"/>
  <c r="P31" i="23"/>
  <c r="N27" i="110"/>
  <c r="H31" i="110"/>
  <c r="P272" i="12"/>
  <c r="X166" i="12"/>
  <c r="Z166" i="12" s="1"/>
  <c r="H72" i="69"/>
  <c r="N68" i="69"/>
  <c r="J68" i="69"/>
  <c r="L21" i="104"/>
  <c r="N27" i="11"/>
  <c r="H31" i="11"/>
  <c r="P31" i="26"/>
  <c r="X27" i="26"/>
  <c r="N70" i="56"/>
  <c r="H74" i="56"/>
  <c r="L68" i="79"/>
  <c r="N68" i="79" s="1"/>
  <c r="D72" i="79"/>
  <c r="L27" i="41"/>
  <c r="D31" i="41"/>
  <c r="T30" i="85"/>
  <c r="Z18" i="85"/>
  <c r="P84" i="107"/>
  <c r="X21" i="107"/>
  <c r="Z21" i="107" s="1"/>
  <c r="L27" i="19"/>
  <c r="D31" i="19"/>
  <c r="D85" i="101"/>
  <c r="L81" i="101"/>
  <c r="P102" i="91"/>
  <c r="D31" i="11"/>
  <c r="L27" i="11"/>
  <c r="Z27" i="17"/>
  <c r="T31" i="17"/>
  <c r="N91" i="9"/>
  <c r="H95" i="9"/>
  <c r="D134" i="24"/>
  <c r="L80" i="24"/>
  <c r="N80" i="24" s="1"/>
  <c r="X27" i="46"/>
  <c r="P31" i="46"/>
  <c r="X20" i="79"/>
  <c r="Z20" i="79" s="1"/>
  <c r="P68" i="79"/>
  <c r="Z27" i="53"/>
  <c r="T31" i="53"/>
  <c r="D31" i="53"/>
  <c r="L27" i="53"/>
  <c r="Z77" i="94"/>
  <c r="T81" i="94"/>
  <c r="V77" i="94"/>
  <c r="D31" i="38"/>
  <c r="L27" i="38"/>
  <c r="P31" i="43"/>
  <c r="X27" i="43"/>
  <c r="D99" i="91"/>
  <c r="L95" i="91"/>
  <c r="N27" i="4"/>
  <c r="H31" i="4"/>
  <c r="X27" i="31"/>
  <c r="P31" i="31"/>
  <c r="D57" i="60"/>
  <c r="Z95" i="91"/>
  <c r="T99" i="91"/>
  <c r="T67" i="78"/>
  <c r="V63" i="78"/>
  <c r="D31" i="31"/>
  <c r="L27" i="31"/>
  <c r="T62" i="67"/>
  <c r="Z58" i="67"/>
  <c r="N24" i="78"/>
  <c r="H63" i="78"/>
  <c r="N95" i="91"/>
  <c r="H99" i="91"/>
  <c r="P67" i="109"/>
  <c r="X17" i="109"/>
  <c r="Z17" i="109" s="1"/>
  <c r="T131" i="39"/>
  <c r="Z34" i="39"/>
  <c r="D63" i="100"/>
  <c r="L20" i="100"/>
  <c r="N20" i="100" s="1"/>
  <c r="H31" i="35"/>
  <c r="N27" i="35"/>
  <c r="H130" i="36"/>
  <c r="J126" i="36"/>
  <c r="L107" i="76"/>
  <c r="N107" i="76" s="1"/>
  <c r="D111" i="76"/>
  <c r="F107" i="76"/>
  <c r="R166" i="12"/>
  <c r="R198" i="3"/>
  <c r="F28" i="36"/>
  <c r="T77" i="72"/>
  <c r="V73" i="72"/>
  <c r="D121" i="27"/>
  <c r="L61" i="27"/>
  <c r="N61" i="27" s="1"/>
  <c r="L54" i="51"/>
  <c r="N54" i="51" s="1"/>
  <c r="D107" i="51"/>
  <c r="Z22" i="54"/>
  <c r="T26" i="54"/>
  <c r="J73" i="68"/>
  <c r="V39" i="33"/>
  <c r="Z27" i="112"/>
  <c r="T31" i="112"/>
  <c r="R21" i="82"/>
  <c r="Z291" i="18"/>
  <c r="T295" i="18"/>
  <c r="V291" i="18"/>
  <c r="X164" i="30"/>
  <c r="Z164" i="30" s="1"/>
  <c r="P168" i="30"/>
  <c r="R164" i="30"/>
  <c r="P53" i="61"/>
  <c r="X49" i="61"/>
  <c r="L19" i="92"/>
  <c r="N19" i="92" s="1"/>
  <c r="L22" i="101"/>
  <c r="N22" i="101" s="1"/>
  <c r="P50" i="102"/>
  <c r="X46" i="102"/>
  <c r="Z46" i="102" s="1"/>
  <c r="D31" i="49"/>
  <c r="L27" i="49"/>
  <c r="T31" i="25"/>
  <c r="Z27" i="25"/>
  <c r="L27" i="47"/>
  <c r="D31" i="47"/>
  <c r="T276" i="12"/>
  <c r="V272" i="12"/>
  <c r="P85" i="75"/>
  <c r="X32" i="75"/>
  <c r="Z32" i="75" s="1"/>
  <c r="V19" i="98"/>
  <c r="H106" i="21"/>
  <c r="J102" i="21"/>
  <c r="F86" i="30"/>
  <c r="X27" i="11"/>
  <c r="P31" i="11"/>
  <c r="X27" i="47"/>
  <c r="P31" i="47"/>
  <c r="H132" i="74"/>
  <c r="L132" i="74" s="1"/>
  <c r="N77" i="74"/>
  <c r="Z27" i="46"/>
  <c r="T31" i="46"/>
  <c r="H85" i="73"/>
  <c r="N51" i="73"/>
  <c r="H89" i="103"/>
  <c r="N85" i="103"/>
  <c r="J85" i="103"/>
  <c r="L27" i="50"/>
  <c r="D31" i="50"/>
  <c r="P121" i="27"/>
  <c r="X61" i="27"/>
  <c r="Z61" i="27" s="1"/>
  <c r="H99" i="33"/>
  <c r="X20" i="93"/>
  <c r="Z20" i="93" s="1"/>
  <c r="H31" i="13"/>
  <c r="N27" i="13"/>
  <c r="T31" i="32"/>
  <c r="Z27" i="32"/>
  <c r="N102" i="63"/>
  <c r="H106" i="63"/>
  <c r="N120" i="70"/>
  <c r="H124" i="70"/>
  <c r="J120" i="70"/>
  <c r="P31" i="22"/>
  <c r="X27" i="22"/>
  <c r="H54" i="60"/>
  <c r="N50" i="60"/>
  <c r="H77" i="72"/>
  <c r="J73" i="72"/>
  <c r="Z72" i="92"/>
  <c r="T76" i="92"/>
  <c r="V72" i="92"/>
  <c r="T71" i="109"/>
  <c r="V67" i="109"/>
  <c r="P31" i="41"/>
  <c r="X27" i="41"/>
  <c r="X60" i="70"/>
  <c r="Z60" i="70" s="1"/>
  <c r="P120" i="70"/>
  <c r="L27" i="5"/>
  <c r="D31" i="5"/>
  <c r="J166" i="12"/>
  <c r="L27" i="29"/>
  <c r="D31" i="29"/>
  <c r="N186" i="18"/>
  <c r="H291" i="18"/>
  <c r="D131" i="39"/>
  <c r="L34" i="39"/>
  <c r="N34" i="39" s="1"/>
  <c r="D76" i="92"/>
  <c r="L72" i="92"/>
  <c r="H93" i="105"/>
  <c r="J89" i="105"/>
  <c r="L166" i="12"/>
  <c r="N166" i="12" s="1"/>
  <c r="D272" i="12"/>
  <c r="X21" i="103"/>
  <c r="P85" i="103"/>
  <c r="N27" i="14"/>
  <c r="H31" i="14"/>
  <c r="D31" i="17"/>
  <c r="L27" i="17"/>
  <c r="D31" i="46"/>
  <c r="L27" i="46"/>
  <c r="Z51" i="73"/>
  <c r="T85" i="73"/>
  <c r="L51" i="73"/>
  <c r="D47" i="99"/>
  <c r="L43" i="99"/>
  <c r="N43" i="99" s="1"/>
  <c r="Z47" i="99"/>
  <c r="T50" i="99"/>
  <c r="P31" i="25"/>
  <c r="X27" i="25"/>
  <c r="H85" i="75"/>
  <c r="N32" i="75"/>
  <c r="H314" i="3"/>
  <c r="N198" i="3"/>
  <c r="X27" i="20"/>
  <c r="P31" i="20"/>
  <c r="X51" i="73"/>
  <c r="P85" i="73"/>
  <c r="X27" i="14"/>
  <c r="P31" i="14"/>
  <c r="Z27" i="41"/>
  <c r="T31" i="41"/>
  <c r="Z27" i="43"/>
  <c r="T31" i="43"/>
  <c r="X22" i="54"/>
  <c r="P26" i="54"/>
  <c r="L27" i="52"/>
  <c r="D31" i="52"/>
  <c r="V20" i="83"/>
  <c r="D31" i="10"/>
  <c r="L27" i="10"/>
  <c r="X27" i="49"/>
  <c r="P31" i="49"/>
  <c r="T168" i="30"/>
  <c r="V164" i="30"/>
  <c r="D99" i="33"/>
  <c r="L39" i="33"/>
  <c r="N39" i="33" s="1"/>
  <c r="D77" i="56"/>
  <c r="L74" i="56"/>
  <c r="P75" i="93"/>
  <c r="X71" i="93"/>
  <c r="Z81" i="101"/>
  <c r="T85" i="101"/>
  <c r="V81" i="101"/>
  <c r="L50" i="98"/>
  <c r="D54" i="98"/>
  <c r="F50" i="98"/>
  <c r="Z27" i="22"/>
  <c r="T31" i="22"/>
  <c r="N27" i="43"/>
  <c r="H31" i="43"/>
  <c r="T72" i="79"/>
  <c r="V68" i="79"/>
  <c r="L71" i="93"/>
  <c r="D75" i="93"/>
  <c r="Z27" i="49"/>
  <c r="T31" i="49"/>
  <c r="D75" i="80"/>
  <c r="L71" i="80"/>
  <c r="L27" i="20"/>
  <c r="D31" i="20"/>
  <c r="N58" i="67"/>
  <c r="H62" i="67"/>
  <c r="D81" i="94"/>
  <c r="L77" i="94"/>
  <c r="N77" i="94" s="1"/>
  <c r="H71" i="109"/>
  <c r="N67" i="109"/>
  <c r="J67" i="109"/>
  <c r="T31" i="4"/>
  <c r="Z27" i="4"/>
  <c r="N27" i="52"/>
  <c r="H31" i="52"/>
  <c r="P71" i="48"/>
  <c r="X67" i="48"/>
  <c r="Z67" i="48" s="1"/>
  <c r="R67" i="48"/>
  <c r="H75" i="80"/>
  <c r="N71" i="80"/>
  <c r="J71" i="80"/>
  <c r="X77" i="94"/>
  <c r="P81" i="94"/>
  <c r="R77" i="94"/>
  <c r="D98" i="9"/>
  <c r="L95" i="9"/>
  <c r="J80" i="24"/>
  <c r="F34" i="39"/>
  <c r="L67" i="48"/>
  <c r="F67" i="48"/>
  <c r="D71" i="48"/>
  <c r="T92" i="95"/>
  <c r="Z20" i="95"/>
  <c r="X20" i="95"/>
  <c r="H31" i="50"/>
  <c r="N27" i="50"/>
  <c r="Z27" i="13"/>
  <c r="T31" i="13"/>
  <c r="Z27" i="37"/>
  <c r="T31" i="37"/>
  <c r="N27" i="47"/>
  <c r="H31" i="47"/>
  <c r="D102" i="21"/>
  <c r="L27" i="21"/>
  <c r="N27" i="21" s="1"/>
  <c r="R21" i="103"/>
  <c r="D89" i="73"/>
  <c r="H57" i="60" l="1"/>
  <c r="T74" i="57"/>
  <c r="T42" i="108"/>
  <c r="T54" i="98"/>
  <c r="V50" i="98"/>
  <c r="X26" i="54"/>
  <c r="P31" i="54"/>
  <c r="X31" i="54" s="1"/>
  <c r="T279" i="12"/>
  <c r="V276" i="12"/>
  <c r="H318" i="3"/>
  <c r="L318" i="3" s="1"/>
  <c r="J314" i="3"/>
  <c r="H96" i="105"/>
  <c r="J93" i="105"/>
  <c r="P124" i="70"/>
  <c r="X120" i="70"/>
  <c r="Z120" i="70" s="1"/>
  <c r="R120" i="70"/>
  <c r="D106" i="21"/>
  <c r="L102" i="21"/>
  <c r="N102" i="21" s="1"/>
  <c r="F102" i="21"/>
  <c r="D74" i="48"/>
  <c r="F71" i="48"/>
  <c r="H78" i="80"/>
  <c r="J75" i="80"/>
  <c r="H74" i="109"/>
  <c r="J71" i="109"/>
  <c r="T88" i="101"/>
  <c r="V85" i="101"/>
  <c r="T171" i="30"/>
  <c r="V168" i="30"/>
  <c r="Z31" i="43"/>
  <c r="T36" i="43"/>
  <c r="Z36" i="43" s="1"/>
  <c r="D36" i="46"/>
  <c r="L31" i="46"/>
  <c r="T36" i="32"/>
  <c r="Z36" i="32" s="1"/>
  <c r="Z31" i="32"/>
  <c r="H92" i="103"/>
  <c r="J89" i="103"/>
  <c r="X168" i="30"/>
  <c r="Z168" i="30" s="1"/>
  <c r="P171" i="30"/>
  <c r="R168" i="30"/>
  <c r="Z26" i="54"/>
  <c r="T31" i="54"/>
  <c r="N95" i="9"/>
  <c r="H98" i="9"/>
  <c r="P36" i="26"/>
  <c r="X31" i="26"/>
  <c r="D323" i="3"/>
  <c r="F318" i="3"/>
  <c r="N31" i="38"/>
  <c r="H36" i="38"/>
  <c r="N36" i="38" s="1"/>
  <c r="H80" i="88"/>
  <c r="J77" i="88"/>
  <c r="L89" i="103"/>
  <c r="N89" i="103" s="1"/>
  <c r="T36" i="50"/>
  <c r="Z36" i="50" s="1"/>
  <c r="Z31" i="50"/>
  <c r="T128" i="27"/>
  <c r="V125" i="27"/>
  <c r="P65" i="67"/>
  <c r="X62" i="67"/>
  <c r="T124" i="70"/>
  <c r="V120" i="70"/>
  <c r="D36" i="14"/>
  <c r="L31" i="14"/>
  <c r="Z31" i="110"/>
  <c r="T36" i="110"/>
  <c r="Z36" i="110" s="1"/>
  <c r="L31" i="32"/>
  <c r="D36" i="32"/>
  <c r="Z31" i="35"/>
  <c r="T36" i="35"/>
  <c r="Z36" i="35" s="1"/>
  <c r="T318" i="3"/>
  <c r="V314" i="3"/>
  <c r="P36" i="40"/>
  <c r="X31" i="40"/>
  <c r="X26" i="106"/>
  <c r="P29" i="106"/>
  <c r="X29" i="106" s="1"/>
  <c r="H34" i="82"/>
  <c r="J31" i="82"/>
  <c r="Z31" i="20"/>
  <c r="T36" i="20"/>
  <c r="Z36" i="20" s="1"/>
  <c r="X31" i="28"/>
  <c r="P36" i="28"/>
  <c r="T89" i="103"/>
  <c r="V85" i="103"/>
  <c r="X31" i="49"/>
  <c r="P36" i="49"/>
  <c r="X67" i="109"/>
  <c r="Z67" i="109" s="1"/>
  <c r="P71" i="109"/>
  <c r="R67" i="109"/>
  <c r="N31" i="16"/>
  <c r="H36" i="16"/>
  <c r="N36" i="16" s="1"/>
  <c r="T89" i="75"/>
  <c r="V85" i="75"/>
  <c r="D84" i="94"/>
  <c r="L81" i="94"/>
  <c r="N81" i="94" s="1"/>
  <c r="H89" i="73"/>
  <c r="J85" i="73"/>
  <c r="D111" i="51"/>
  <c r="L107" i="51"/>
  <c r="F107" i="51"/>
  <c r="H102" i="91"/>
  <c r="T70" i="78"/>
  <c r="V67" i="78"/>
  <c r="Z31" i="53"/>
  <c r="T36" i="53"/>
  <c r="Z36" i="53" s="1"/>
  <c r="T36" i="17"/>
  <c r="Z36" i="17" s="1"/>
  <c r="Z31" i="17"/>
  <c r="X31" i="35"/>
  <c r="P36" i="35"/>
  <c r="P270" i="15"/>
  <c r="R267" i="15"/>
  <c r="N31" i="7"/>
  <c r="H36" i="7"/>
  <c r="N36" i="7" s="1"/>
  <c r="P36" i="5"/>
  <c r="X31" i="5"/>
  <c r="T77" i="88"/>
  <c r="V73" i="88"/>
  <c r="T90" i="87"/>
  <c r="V87" i="87"/>
  <c r="H124" i="68"/>
  <c r="J120" i="68"/>
  <c r="T91" i="107"/>
  <c r="V88" i="107"/>
  <c r="T128" i="42"/>
  <c r="V124" i="42"/>
  <c r="L53" i="61"/>
  <c r="N53" i="61" s="1"/>
  <c r="D56" i="61"/>
  <c r="L56" i="61" s="1"/>
  <c r="L39" i="108"/>
  <c r="N39" i="108" s="1"/>
  <c r="D42" i="108"/>
  <c r="L42" i="108" s="1"/>
  <c r="T114" i="76"/>
  <c r="V111" i="76"/>
  <c r="P37" i="85"/>
  <c r="X34" i="85"/>
  <c r="R34" i="85"/>
  <c r="X31" i="8"/>
  <c r="P36" i="8"/>
  <c r="D131" i="42"/>
  <c r="L128" i="42"/>
  <c r="F128" i="42"/>
  <c r="L31" i="34"/>
  <c r="D36" i="34"/>
  <c r="N31" i="112"/>
  <c r="H36" i="112"/>
  <c r="N36" i="112" s="1"/>
  <c r="D133" i="84"/>
  <c r="L130" i="84"/>
  <c r="F130" i="84"/>
  <c r="X31" i="53"/>
  <c r="P36" i="53"/>
  <c r="L106" i="63"/>
  <c r="D109" i="63"/>
  <c r="H93" i="97"/>
  <c r="J90" i="97"/>
  <c r="H74" i="57"/>
  <c r="L74" i="57" s="1"/>
  <c r="N87" i="87"/>
  <c r="H90" i="87"/>
  <c r="J87" i="87"/>
  <c r="D114" i="76"/>
  <c r="L111" i="76"/>
  <c r="F111" i="76"/>
  <c r="N121" i="27"/>
  <c r="H125" i="27"/>
  <c r="J121" i="27"/>
  <c r="L31" i="16"/>
  <c r="D36" i="16"/>
  <c r="H65" i="67"/>
  <c r="N31" i="14"/>
  <c r="H36" i="14"/>
  <c r="N36" i="14" s="1"/>
  <c r="Z31" i="46"/>
  <c r="T36" i="46"/>
  <c r="Z36" i="46" s="1"/>
  <c r="T102" i="91"/>
  <c r="Z95" i="9"/>
  <c r="T98" i="9"/>
  <c r="L31" i="23"/>
  <c r="D36" i="23"/>
  <c r="Z31" i="34"/>
  <c r="T36" i="34"/>
  <c r="Z36" i="34" s="1"/>
  <c r="L31" i="40"/>
  <c r="D36" i="40"/>
  <c r="V78" i="80"/>
  <c r="D267" i="15"/>
  <c r="L263" i="15"/>
  <c r="F263" i="15"/>
  <c r="N31" i="41"/>
  <c r="H36" i="41"/>
  <c r="N36" i="41" s="1"/>
  <c r="N56" i="61"/>
  <c r="Z31" i="6"/>
  <c r="X31" i="6"/>
  <c r="T139" i="74"/>
  <c r="V136" i="74"/>
  <c r="X106" i="63"/>
  <c r="P109" i="63"/>
  <c r="X109" i="63" s="1"/>
  <c r="X63" i="78"/>
  <c r="Z63" i="78" s="1"/>
  <c r="P67" i="78"/>
  <c r="P93" i="97"/>
  <c r="X93" i="97" s="1"/>
  <c r="X90" i="97"/>
  <c r="P36" i="50"/>
  <c r="X31" i="50"/>
  <c r="X99" i="33"/>
  <c r="Z99" i="33" s="1"/>
  <c r="P103" i="33"/>
  <c r="R99" i="33"/>
  <c r="D36" i="13"/>
  <c r="L31" i="13"/>
  <c r="T70" i="100"/>
  <c r="V67" i="100"/>
  <c r="X67" i="100"/>
  <c r="Z67" i="100" s="1"/>
  <c r="H54" i="98"/>
  <c r="N50" i="98"/>
  <c r="J50" i="98"/>
  <c r="Z71" i="48"/>
  <c r="T74" i="48"/>
  <c r="V71" i="48"/>
  <c r="N31" i="49"/>
  <c r="H36" i="49"/>
  <c r="N36" i="49" s="1"/>
  <c r="H36" i="13"/>
  <c r="N36" i="13" s="1"/>
  <c r="N31" i="13"/>
  <c r="X71" i="48"/>
  <c r="P74" i="48"/>
  <c r="R71" i="48"/>
  <c r="P36" i="25"/>
  <c r="X31" i="25"/>
  <c r="D135" i="39"/>
  <c r="L131" i="39"/>
  <c r="F131" i="39"/>
  <c r="P36" i="22"/>
  <c r="X31" i="22"/>
  <c r="T298" i="18"/>
  <c r="V295" i="18"/>
  <c r="T111" i="51"/>
  <c r="V107" i="51"/>
  <c r="X107" i="51"/>
  <c r="Z107" i="51" s="1"/>
  <c r="T36" i="31"/>
  <c r="Z36" i="31" s="1"/>
  <c r="Z31" i="31"/>
  <c r="N31" i="52"/>
  <c r="H36" i="52"/>
  <c r="N36" i="52" s="1"/>
  <c r="H36" i="43"/>
  <c r="N36" i="43" s="1"/>
  <c r="N31" i="43"/>
  <c r="D36" i="10"/>
  <c r="L31" i="10"/>
  <c r="X31" i="14"/>
  <c r="P36" i="14"/>
  <c r="H295" i="18"/>
  <c r="N291" i="18"/>
  <c r="J291" i="18"/>
  <c r="T74" i="109"/>
  <c r="V71" i="109"/>
  <c r="H103" i="33"/>
  <c r="J99" i="33"/>
  <c r="D36" i="49"/>
  <c r="L31" i="49"/>
  <c r="H67" i="78"/>
  <c r="D102" i="91"/>
  <c r="L102" i="91" s="1"/>
  <c r="L99" i="91"/>
  <c r="N99" i="91" s="1"/>
  <c r="X68" i="79"/>
  <c r="Z68" i="79" s="1"/>
  <c r="P72" i="79"/>
  <c r="R68" i="79"/>
  <c r="T34" i="85"/>
  <c r="Z30" i="85"/>
  <c r="V30" i="85"/>
  <c r="H135" i="39"/>
  <c r="N131" i="39"/>
  <c r="J131" i="39"/>
  <c r="H55" i="104"/>
  <c r="N51" i="104"/>
  <c r="X107" i="76"/>
  <c r="Z107" i="76" s="1"/>
  <c r="P111" i="76"/>
  <c r="R107" i="76"/>
  <c r="N31" i="23"/>
  <c r="H36" i="23"/>
  <c r="N36" i="23" s="1"/>
  <c r="L31" i="37"/>
  <c r="D36" i="37"/>
  <c r="X73" i="88"/>
  <c r="Z73" i="88" s="1"/>
  <c r="P77" i="88"/>
  <c r="X31" i="7"/>
  <c r="P36" i="7"/>
  <c r="T103" i="33"/>
  <c r="V99" i="33"/>
  <c r="D295" i="18"/>
  <c r="L291" i="18"/>
  <c r="F291" i="18"/>
  <c r="H36" i="111"/>
  <c r="N36" i="111" s="1"/>
  <c r="N31" i="111"/>
  <c r="H37" i="85"/>
  <c r="J34" i="85"/>
  <c r="X31" i="110"/>
  <c r="P36" i="110"/>
  <c r="X30" i="85"/>
  <c r="X31" i="111"/>
  <c r="P36" i="111"/>
  <c r="D36" i="112"/>
  <c r="L31" i="112"/>
  <c r="N50" i="99"/>
  <c r="Z31" i="28"/>
  <c r="T36" i="28"/>
  <c r="Z36" i="28" s="1"/>
  <c r="D139" i="74"/>
  <c r="F136" i="74"/>
  <c r="L31" i="20"/>
  <c r="D36" i="20"/>
  <c r="H127" i="70"/>
  <c r="N124" i="70"/>
  <c r="J124" i="70"/>
  <c r="X85" i="75"/>
  <c r="Z85" i="75" s="1"/>
  <c r="P89" i="75"/>
  <c r="R85" i="75"/>
  <c r="L121" i="27"/>
  <c r="D125" i="27"/>
  <c r="F121" i="27"/>
  <c r="H133" i="36"/>
  <c r="J130" i="36"/>
  <c r="D36" i="11"/>
  <c r="L31" i="11"/>
  <c r="L31" i="41"/>
  <c r="D36" i="41"/>
  <c r="P141" i="24"/>
  <c r="X138" i="24"/>
  <c r="R138" i="24"/>
  <c r="L31" i="28"/>
  <c r="D36" i="28"/>
  <c r="T68" i="59"/>
  <c r="X68" i="59" s="1"/>
  <c r="Z65" i="59"/>
  <c r="Z31" i="47"/>
  <c r="T36" i="47"/>
  <c r="Z36" i="47" s="1"/>
  <c r="X71" i="57"/>
  <c r="Z71" i="57" s="1"/>
  <c r="P74" i="57"/>
  <c r="X74" i="57" s="1"/>
  <c r="T106" i="21"/>
  <c r="V102" i="21"/>
  <c r="X31" i="16"/>
  <c r="P36" i="16"/>
  <c r="N272" i="12"/>
  <c r="H276" i="12"/>
  <c r="J272" i="12"/>
  <c r="L31" i="110"/>
  <c r="D36" i="110"/>
  <c r="H99" i="95"/>
  <c r="J96" i="95"/>
  <c r="N31" i="26"/>
  <c r="H36" i="26"/>
  <c r="N36" i="26" s="1"/>
  <c r="Z106" i="63"/>
  <c r="T109" i="63"/>
  <c r="N31" i="53"/>
  <c r="H36" i="53"/>
  <c r="N36" i="53" s="1"/>
  <c r="L71" i="57"/>
  <c r="N71" i="57" s="1"/>
  <c r="D77" i="72"/>
  <c r="L73" i="72"/>
  <c r="N73" i="72" s="1"/>
  <c r="Z31" i="44"/>
  <c r="T36" i="44"/>
  <c r="Z36" i="44" s="1"/>
  <c r="D36" i="7"/>
  <c r="L31" i="7"/>
  <c r="N31" i="5"/>
  <c r="H36" i="5"/>
  <c r="N36" i="5" s="1"/>
  <c r="H29" i="106"/>
  <c r="N26" i="106"/>
  <c r="L26" i="106"/>
  <c r="D89" i="75"/>
  <c r="L85" i="75"/>
  <c r="N85" i="75" s="1"/>
  <c r="F85" i="75"/>
  <c r="T55" i="104"/>
  <c r="V51" i="104"/>
  <c r="L87" i="87"/>
  <c r="D90" i="87"/>
  <c r="D75" i="69"/>
  <c r="L75" i="69" s="1"/>
  <c r="L72" i="69"/>
  <c r="Z263" i="15"/>
  <c r="T267" i="15"/>
  <c r="V263" i="15"/>
  <c r="T36" i="26"/>
  <c r="Z36" i="26" s="1"/>
  <c r="Z31" i="26"/>
  <c r="P96" i="105"/>
  <c r="X93" i="105"/>
  <c r="R93" i="105"/>
  <c r="T138" i="24"/>
  <c r="Z134" i="24"/>
  <c r="V134" i="24"/>
  <c r="P36" i="37"/>
  <c r="X31" i="37"/>
  <c r="D130" i="36"/>
  <c r="L126" i="36"/>
  <c r="N126" i="36" s="1"/>
  <c r="F126" i="36"/>
  <c r="X75" i="80"/>
  <c r="Z75" i="80" s="1"/>
  <c r="P78" i="80"/>
  <c r="X78" i="80" s="1"/>
  <c r="Z78" i="80" s="1"/>
  <c r="P130" i="36"/>
  <c r="X126" i="36"/>
  <c r="R126" i="36"/>
  <c r="X84" i="107"/>
  <c r="Z84" i="107" s="1"/>
  <c r="P88" i="107"/>
  <c r="Z31" i="41"/>
  <c r="T36" i="41"/>
  <c r="Z36" i="41" s="1"/>
  <c r="T36" i="25"/>
  <c r="Z36" i="25" s="1"/>
  <c r="Z31" i="25"/>
  <c r="P78" i="93"/>
  <c r="L85" i="73"/>
  <c r="N85" i="73" s="1"/>
  <c r="Z31" i="22"/>
  <c r="T36" i="22"/>
  <c r="Z36" i="22" s="1"/>
  <c r="P89" i="73"/>
  <c r="X85" i="73"/>
  <c r="H136" i="74"/>
  <c r="L136" i="74" s="1"/>
  <c r="N132" i="74"/>
  <c r="J132" i="74"/>
  <c r="P53" i="102"/>
  <c r="X53" i="102" s="1"/>
  <c r="Z53" i="102" s="1"/>
  <c r="X50" i="102"/>
  <c r="Z50" i="102" s="1"/>
  <c r="X31" i="46"/>
  <c r="P36" i="46"/>
  <c r="N31" i="40"/>
  <c r="H36" i="40"/>
  <c r="N36" i="40" s="1"/>
  <c r="L89" i="105"/>
  <c r="N89" i="105" s="1"/>
  <c r="D93" i="105"/>
  <c r="F89" i="105"/>
  <c r="D58" i="104"/>
  <c r="L55" i="104"/>
  <c r="X50" i="98"/>
  <c r="Z50" i="98" s="1"/>
  <c r="X72" i="69"/>
  <c r="P75" i="69"/>
  <c r="D65" i="67"/>
  <c r="L62" i="67"/>
  <c r="N62" i="67" s="1"/>
  <c r="P318" i="3"/>
  <c r="X314" i="3"/>
  <c r="Z314" i="3" s="1"/>
  <c r="R314" i="3"/>
  <c r="N65" i="59"/>
  <c r="H68" i="59"/>
  <c r="X31" i="19"/>
  <c r="P36" i="19"/>
  <c r="L31" i="35"/>
  <c r="D36" i="35"/>
  <c r="H138" i="24"/>
  <c r="J134" i="24"/>
  <c r="N31" i="22"/>
  <c r="H36" i="22"/>
  <c r="N36" i="22" s="1"/>
  <c r="T130" i="84"/>
  <c r="Z126" i="84"/>
  <c r="V126" i="84"/>
  <c r="L88" i="107"/>
  <c r="D91" i="107"/>
  <c r="X31" i="38"/>
  <c r="P36" i="38"/>
  <c r="D36" i="8"/>
  <c r="L31" i="8"/>
  <c r="Z31" i="52"/>
  <c r="T36" i="52"/>
  <c r="Z36" i="52" s="1"/>
  <c r="H40" i="55"/>
  <c r="Z31" i="7"/>
  <c r="T36" i="7"/>
  <c r="Z36" i="7" s="1"/>
  <c r="N31" i="10"/>
  <c r="H36" i="10"/>
  <c r="N36" i="10" s="1"/>
  <c r="N31" i="25"/>
  <c r="H36" i="25"/>
  <c r="N36" i="25" s="1"/>
  <c r="D36" i="53"/>
  <c r="L31" i="53"/>
  <c r="H109" i="21"/>
  <c r="J106" i="21"/>
  <c r="Z31" i="37"/>
  <c r="T36" i="37"/>
  <c r="Z36" i="37" s="1"/>
  <c r="T75" i="79"/>
  <c r="V72" i="79"/>
  <c r="Z31" i="13"/>
  <c r="T36" i="13"/>
  <c r="Z36" i="13" s="1"/>
  <c r="P89" i="103"/>
  <c r="X85" i="103"/>
  <c r="Z85" i="103" s="1"/>
  <c r="R85" i="103"/>
  <c r="L98" i="9"/>
  <c r="L31" i="29"/>
  <c r="D36" i="29"/>
  <c r="Z31" i="112"/>
  <c r="T36" i="112"/>
  <c r="Z36" i="112" s="1"/>
  <c r="P36" i="43"/>
  <c r="X31" i="43"/>
  <c r="L89" i="73"/>
  <c r="D92" i="73"/>
  <c r="L47" i="99"/>
  <c r="N47" i="99" s="1"/>
  <c r="D50" i="99"/>
  <c r="L50" i="99" s="1"/>
  <c r="D276" i="12"/>
  <c r="L272" i="12"/>
  <c r="F272" i="12"/>
  <c r="Z76" i="92"/>
  <c r="T79" i="92"/>
  <c r="V76" i="92"/>
  <c r="P125" i="27"/>
  <c r="X121" i="27"/>
  <c r="Z121" i="27" s="1"/>
  <c r="R121" i="27"/>
  <c r="X31" i="47"/>
  <c r="P36" i="47"/>
  <c r="T80" i="72"/>
  <c r="V77" i="72"/>
  <c r="H36" i="35"/>
  <c r="N36" i="35" s="1"/>
  <c r="N31" i="35"/>
  <c r="T65" i="67"/>
  <c r="Z62" i="67"/>
  <c r="X99" i="91"/>
  <c r="Z99" i="91" s="1"/>
  <c r="L72" i="79"/>
  <c r="N72" i="79" s="1"/>
  <c r="D75" i="79"/>
  <c r="L75" i="79" s="1"/>
  <c r="N75" i="79" s="1"/>
  <c r="N107" i="51"/>
  <c r="H111" i="51"/>
  <c r="J107" i="51"/>
  <c r="L120" i="68"/>
  <c r="N120" i="68" s="1"/>
  <c r="P36" i="4"/>
  <c r="X31" i="4"/>
  <c r="X54" i="98"/>
  <c r="P57" i="98"/>
  <c r="R54" i="98"/>
  <c r="L34" i="85"/>
  <c r="N34" i="85" s="1"/>
  <c r="D37" i="85"/>
  <c r="F34" i="85"/>
  <c r="L68" i="59"/>
  <c r="T101" i="45"/>
  <c r="V98" i="45"/>
  <c r="X51" i="104"/>
  <c r="Z51" i="104" s="1"/>
  <c r="P55" i="104"/>
  <c r="N31" i="31"/>
  <c r="H36" i="31"/>
  <c r="N36" i="31" s="1"/>
  <c r="L94" i="45"/>
  <c r="N94" i="45" s="1"/>
  <c r="D98" i="45"/>
  <c r="F94" i="45"/>
  <c r="X50" i="99"/>
  <c r="Z50" i="99" s="1"/>
  <c r="D96" i="95"/>
  <c r="L92" i="95"/>
  <c r="N92" i="95" s="1"/>
  <c r="X79" i="58"/>
  <c r="N31" i="44"/>
  <c r="H36" i="44"/>
  <c r="N36" i="44" s="1"/>
  <c r="L74" i="109"/>
  <c r="F74" i="109"/>
  <c r="T36" i="29"/>
  <c r="Z36" i="29" s="1"/>
  <c r="Z31" i="29"/>
  <c r="N31" i="47"/>
  <c r="H36" i="47"/>
  <c r="N36" i="47" s="1"/>
  <c r="H89" i="75"/>
  <c r="J85" i="75"/>
  <c r="X31" i="23"/>
  <c r="P36" i="23"/>
  <c r="H84" i="94"/>
  <c r="J81" i="94"/>
  <c r="L26" i="54"/>
  <c r="D31" i="54"/>
  <c r="L31" i="54" s="1"/>
  <c r="D36" i="17"/>
  <c r="L31" i="17"/>
  <c r="X81" i="94"/>
  <c r="P84" i="94"/>
  <c r="R81" i="94"/>
  <c r="L75" i="80"/>
  <c r="N75" i="80" s="1"/>
  <c r="D78" i="80"/>
  <c r="L78" i="80" s="1"/>
  <c r="X31" i="20"/>
  <c r="P36" i="20"/>
  <c r="D36" i="38"/>
  <c r="L31" i="38"/>
  <c r="H75" i="69"/>
  <c r="N72" i="69"/>
  <c r="J72" i="69"/>
  <c r="H70" i="100"/>
  <c r="J67" i="100"/>
  <c r="T93" i="97"/>
  <c r="Z90" i="97"/>
  <c r="V90" i="97"/>
  <c r="R114" i="51"/>
  <c r="N31" i="8"/>
  <c r="H36" i="8"/>
  <c r="N36" i="8" s="1"/>
  <c r="Z31" i="14"/>
  <c r="T36" i="14"/>
  <c r="Z36" i="14" s="1"/>
  <c r="T36" i="40"/>
  <c r="Z36" i="40" s="1"/>
  <c r="Z31" i="40"/>
  <c r="X74" i="56"/>
  <c r="Z74" i="56" s="1"/>
  <c r="P77" i="56"/>
  <c r="X77" i="56" s="1"/>
  <c r="Z77" i="56" s="1"/>
  <c r="D31" i="6"/>
  <c r="L31" i="6" s="1"/>
  <c r="L26" i="6"/>
  <c r="X31" i="29"/>
  <c r="P36" i="29"/>
  <c r="X295" i="18"/>
  <c r="Z295" i="18" s="1"/>
  <c r="P298" i="18"/>
  <c r="R295" i="18"/>
  <c r="N31" i="34"/>
  <c r="H36" i="34"/>
  <c r="N36" i="34" s="1"/>
  <c r="P36" i="32"/>
  <c r="X31" i="32"/>
  <c r="Z31" i="111"/>
  <c r="T36" i="111"/>
  <c r="Z36" i="111" s="1"/>
  <c r="Z31" i="23"/>
  <c r="T36" i="23"/>
  <c r="Z36" i="23" s="1"/>
  <c r="H85" i="101"/>
  <c r="L85" i="101" s="1"/>
  <c r="N81" i="101"/>
  <c r="J81" i="101"/>
  <c r="L71" i="109"/>
  <c r="N71" i="109" s="1"/>
  <c r="T79" i="58"/>
  <c r="Z76" i="58"/>
  <c r="P79" i="92"/>
  <c r="X76" i="92"/>
  <c r="Z72" i="69"/>
  <c r="T75" i="69"/>
  <c r="V72" i="69"/>
  <c r="N31" i="46"/>
  <c r="H36" i="46"/>
  <c r="N36" i="46" s="1"/>
  <c r="N31" i="11"/>
  <c r="H36" i="11"/>
  <c r="N36" i="11" s="1"/>
  <c r="L31" i="26"/>
  <c r="D36" i="26"/>
  <c r="L63" i="78"/>
  <c r="N63" i="78" s="1"/>
  <c r="D67" i="78"/>
  <c r="P36" i="41"/>
  <c r="X31" i="41"/>
  <c r="N31" i="50"/>
  <c r="H36" i="50"/>
  <c r="N36" i="50" s="1"/>
  <c r="L31" i="52"/>
  <c r="D36" i="52"/>
  <c r="L31" i="50"/>
  <c r="D36" i="50"/>
  <c r="P135" i="39"/>
  <c r="X131" i="39"/>
  <c r="Z131" i="39" s="1"/>
  <c r="R131" i="39"/>
  <c r="L124" i="68"/>
  <c r="D127" i="68"/>
  <c r="T36" i="38"/>
  <c r="Z36" i="38" s="1"/>
  <c r="Z31" i="38"/>
  <c r="T36" i="4"/>
  <c r="Z36" i="4" s="1"/>
  <c r="Z31" i="4"/>
  <c r="Z31" i="49"/>
  <c r="T36" i="49"/>
  <c r="Z36" i="49" s="1"/>
  <c r="L54" i="98"/>
  <c r="D57" i="98"/>
  <c r="F54" i="98"/>
  <c r="D103" i="33"/>
  <c r="L99" i="33"/>
  <c r="N99" i="33" s="1"/>
  <c r="F99" i="33"/>
  <c r="Z85" i="73"/>
  <c r="T89" i="73"/>
  <c r="V85" i="73"/>
  <c r="L31" i="5"/>
  <c r="D36" i="5"/>
  <c r="H109" i="63"/>
  <c r="N106" i="63"/>
  <c r="X31" i="11"/>
  <c r="P36" i="11"/>
  <c r="L63" i="100"/>
  <c r="N63" i="100" s="1"/>
  <c r="D67" i="100"/>
  <c r="L54" i="60"/>
  <c r="N54" i="60" s="1"/>
  <c r="D88" i="101"/>
  <c r="N74" i="56"/>
  <c r="H77" i="56"/>
  <c r="P87" i="87"/>
  <c r="X83" i="87"/>
  <c r="Z83" i="87" s="1"/>
  <c r="X95" i="9"/>
  <c r="P98" i="9"/>
  <c r="X98" i="9" s="1"/>
  <c r="N31" i="37"/>
  <c r="H36" i="37"/>
  <c r="N36" i="37" s="1"/>
  <c r="X31" i="44"/>
  <c r="P36" i="44"/>
  <c r="T56" i="61"/>
  <c r="L31" i="22"/>
  <c r="D36" i="22"/>
  <c r="Z31" i="8"/>
  <c r="T36" i="8"/>
  <c r="Z36" i="8" s="1"/>
  <c r="Z31" i="11"/>
  <c r="T36" i="11"/>
  <c r="Z36" i="11" s="1"/>
  <c r="H78" i="93"/>
  <c r="N75" i="93"/>
  <c r="J75" i="93"/>
  <c r="X37" i="55"/>
  <c r="Z37" i="55" s="1"/>
  <c r="P40" i="55"/>
  <c r="X40" i="55" s="1"/>
  <c r="T31" i="82"/>
  <c r="Z27" i="82"/>
  <c r="V27" i="82"/>
  <c r="X31" i="112"/>
  <c r="P36" i="112"/>
  <c r="X132" i="74"/>
  <c r="Z132" i="74" s="1"/>
  <c r="P136" i="74"/>
  <c r="R132" i="74"/>
  <c r="X31" i="34"/>
  <c r="P36" i="34"/>
  <c r="L31" i="4"/>
  <c r="D36" i="4"/>
  <c r="X82" i="83"/>
  <c r="P86" i="83"/>
  <c r="D77" i="88"/>
  <c r="L73" i="88"/>
  <c r="N73" i="88" s="1"/>
  <c r="H36" i="20"/>
  <c r="N36" i="20" s="1"/>
  <c r="N31" i="20"/>
  <c r="X31" i="10"/>
  <c r="P36" i="10"/>
  <c r="T36" i="16"/>
  <c r="Z36" i="16" s="1"/>
  <c r="Z31" i="16"/>
  <c r="P98" i="45"/>
  <c r="X94" i="45"/>
  <c r="Z94" i="45" s="1"/>
  <c r="R94" i="45"/>
  <c r="T86" i="83"/>
  <c r="Z82" i="83"/>
  <c r="V82" i="83"/>
  <c r="P42" i="108"/>
  <c r="X42" i="108" s="1"/>
  <c r="X39" i="108"/>
  <c r="Z39" i="108" s="1"/>
  <c r="N31" i="4"/>
  <c r="H36" i="4"/>
  <c r="N36" i="4" s="1"/>
  <c r="L31" i="43"/>
  <c r="D36" i="43"/>
  <c r="T124" i="68"/>
  <c r="V120" i="68"/>
  <c r="H171" i="30"/>
  <c r="J168" i="30"/>
  <c r="D36" i="111"/>
  <c r="L31" i="111"/>
  <c r="L57" i="60"/>
  <c r="Z81" i="94"/>
  <c r="T84" i="94"/>
  <c r="V81" i="94"/>
  <c r="P276" i="12"/>
  <c r="X272" i="12"/>
  <c r="Z272" i="12" s="1"/>
  <c r="R272" i="12"/>
  <c r="N42" i="108"/>
  <c r="X102" i="21"/>
  <c r="Z102" i="21" s="1"/>
  <c r="P106" i="21"/>
  <c r="R102" i="21"/>
  <c r="L37" i="55"/>
  <c r="N37" i="55" s="1"/>
  <c r="D40" i="55"/>
  <c r="N26" i="6"/>
  <c r="H31" i="6"/>
  <c r="X124" i="42"/>
  <c r="Z124" i="42" s="1"/>
  <c r="Z31" i="19"/>
  <c r="T36" i="19"/>
  <c r="Z36" i="19" s="1"/>
  <c r="N31" i="17"/>
  <c r="H36" i="17"/>
  <c r="N36" i="17" s="1"/>
  <c r="L90" i="97"/>
  <c r="N90" i="97" s="1"/>
  <c r="D93" i="97"/>
  <c r="L93" i="97" s="1"/>
  <c r="P124" i="68"/>
  <c r="X120" i="68"/>
  <c r="Z120" i="68" s="1"/>
  <c r="R120" i="68"/>
  <c r="X54" i="60"/>
  <c r="Z54" i="60" s="1"/>
  <c r="P57" i="60"/>
  <c r="X57" i="60" s="1"/>
  <c r="Z57" i="60" s="1"/>
  <c r="Z40" i="55"/>
  <c r="N31" i="54"/>
  <c r="J89" i="83"/>
  <c r="N31" i="28"/>
  <c r="H36" i="28"/>
  <c r="N36" i="28" s="1"/>
  <c r="X31" i="13"/>
  <c r="P36" i="13"/>
  <c r="N128" i="42"/>
  <c r="H131" i="42"/>
  <c r="J128" i="42"/>
  <c r="Z31" i="5"/>
  <c r="T36" i="5"/>
  <c r="Z36" i="5" s="1"/>
  <c r="L76" i="92"/>
  <c r="D79" i="92"/>
  <c r="D86" i="83"/>
  <c r="L82" i="83"/>
  <c r="N82" i="83" s="1"/>
  <c r="N31" i="19"/>
  <c r="H36" i="19"/>
  <c r="N36" i="19" s="1"/>
  <c r="P56" i="61"/>
  <c r="X56" i="61" s="1"/>
  <c r="X53" i="61"/>
  <c r="Z53" i="61" s="1"/>
  <c r="L31" i="19"/>
  <c r="D36" i="19"/>
  <c r="Z92" i="95"/>
  <c r="T96" i="95"/>
  <c r="X92" i="95"/>
  <c r="V92" i="95"/>
  <c r="D78" i="93"/>
  <c r="L78" i="93" s="1"/>
  <c r="L75" i="93"/>
  <c r="H80" i="72"/>
  <c r="J77" i="72"/>
  <c r="L31" i="47"/>
  <c r="D36" i="47"/>
  <c r="T135" i="39"/>
  <c r="V131" i="39"/>
  <c r="L31" i="31"/>
  <c r="D36" i="31"/>
  <c r="X31" i="31"/>
  <c r="P36" i="31"/>
  <c r="L134" i="24"/>
  <c r="N134" i="24" s="1"/>
  <c r="D138" i="24"/>
  <c r="N31" i="110"/>
  <c r="H36" i="110"/>
  <c r="N36" i="110" s="1"/>
  <c r="X73" i="72"/>
  <c r="Z73" i="72" s="1"/>
  <c r="P77" i="72"/>
  <c r="N31" i="29"/>
  <c r="H36" i="29"/>
  <c r="N36" i="29" s="1"/>
  <c r="T130" i="36"/>
  <c r="Z126" i="36"/>
  <c r="V126" i="36"/>
  <c r="L314" i="3"/>
  <c r="N314" i="3" s="1"/>
  <c r="P31" i="82"/>
  <c r="X27" i="82"/>
  <c r="R27" i="82"/>
  <c r="H114" i="76"/>
  <c r="N111" i="76"/>
  <c r="J111" i="76"/>
  <c r="L31" i="44"/>
  <c r="D36" i="44"/>
  <c r="J101" i="45"/>
  <c r="L31" i="25"/>
  <c r="D36" i="25"/>
  <c r="L92" i="103"/>
  <c r="L164" i="30"/>
  <c r="N164" i="30" s="1"/>
  <c r="D168" i="30"/>
  <c r="F164" i="30"/>
  <c r="H91" i="107"/>
  <c r="N88" i="107"/>
  <c r="J88" i="107"/>
  <c r="N31" i="32"/>
  <c r="H36" i="32"/>
  <c r="N36" i="32" s="1"/>
  <c r="H76" i="92"/>
  <c r="N72" i="92"/>
  <c r="J72" i="92"/>
  <c r="P36" i="17"/>
  <c r="X31" i="17"/>
  <c r="L124" i="70"/>
  <c r="D127" i="70"/>
  <c r="F124" i="70"/>
  <c r="X128" i="42"/>
  <c r="P131" i="42"/>
  <c r="R128" i="42"/>
  <c r="X130" i="84"/>
  <c r="P133" i="84"/>
  <c r="R130" i="84"/>
  <c r="Z31" i="10"/>
  <c r="T36" i="10"/>
  <c r="Z36" i="10" s="1"/>
  <c r="T96" i="105"/>
  <c r="Z93" i="105"/>
  <c r="V93" i="105"/>
  <c r="X31" i="52"/>
  <c r="P36" i="52"/>
  <c r="X85" i="101"/>
  <c r="Z85" i="101" s="1"/>
  <c r="P88" i="101"/>
  <c r="X88" i="101" s="1"/>
  <c r="N67" i="48"/>
  <c r="H71" i="48"/>
  <c r="J67" i="48"/>
  <c r="N263" i="15"/>
  <c r="H267" i="15"/>
  <c r="J263" i="15"/>
  <c r="N130" i="84"/>
  <c r="H133" i="84"/>
  <c r="J130" i="84"/>
  <c r="D31" i="82"/>
  <c r="L27" i="82"/>
  <c r="N27" i="82" s="1"/>
  <c r="F27" i="82"/>
  <c r="T75" i="93"/>
  <c r="Z71" i="93"/>
  <c r="V71" i="93"/>
  <c r="L36" i="7" l="1"/>
  <c r="X36" i="110"/>
  <c r="X36" i="46"/>
  <c r="X36" i="17"/>
  <c r="L36" i="25"/>
  <c r="X36" i="43"/>
  <c r="X36" i="32"/>
  <c r="X36" i="47"/>
  <c r="L36" i="5"/>
  <c r="L36" i="26"/>
  <c r="X36" i="34"/>
  <c r="L36" i="112"/>
  <c r="L36" i="111"/>
  <c r="L36" i="22"/>
  <c r="L36" i="44"/>
  <c r="L36" i="19"/>
  <c r="X36" i="44"/>
  <c r="L36" i="43"/>
  <c r="X36" i="20"/>
  <c r="L36" i="14"/>
  <c r="X36" i="10"/>
  <c r="L36" i="23"/>
  <c r="X36" i="49"/>
  <c r="L36" i="38"/>
  <c r="X36" i="22"/>
  <c r="X36" i="19"/>
  <c r="L36" i="31"/>
  <c r="X36" i="16"/>
  <c r="X36" i="35"/>
  <c r="X36" i="41"/>
  <c r="X36" i="4"/>
  <c r="L36" i="41"/>
  <c r="L36" i="16"/>
  <c r="X36" i="13"/>
  <c r="L36" i="13"/>
  <c r="T138" i="39"/>
  <c r="V135" i="39"/>
  <c r="J37" i="85"/>
  <c r="N78" i="93"/>
  <c r="J78" i="93"/>
  <c r="L103" i="33"/>
  <c r="D106" i="33"/>
  <c r="F103" i="33"/>
  <c r="N133" i="84"/>
  <c r="J133" i="84"/>
  <c r="T99" i="95"/>
  <c r="Z96" i="95"/>
  <c r="X96" i="95"/>
  <c r="V96" i="95"/>
  <c r="X36" i="112"/>
  <c r="F57" i="98"/>
  <c r="N75" i="69"/>
  <c r="J75" i="69"/>
  <c r="L93" i="105"/>
  <c r="N93" i="105" s="1"/>
  <c r="D96" i="105"/>
  <c r="F93" i="105"/>
  <c r="L89" i="75"/>
  <c r="N89" i="75" s="1"/>
  <c r="D92" i="75"/>
  <c r="F89" i="75"/>
  <c r="L36" i="11"/>
  <c r="V74" i="48"/>
  <c r="X103" i="33"/>
  <c r="P106" i="33"/>
  <c r="R103" i="33"/>
  <c r="Z98" i="9"/>
  <c r="X37" i="85"/>
  <c r="R37" i="85"/>
  <c r="N89" i="73"/>
  <c r="H92" i="73"/>
  <c r="J89" i="73"/>
  <c r="J34" i="82"/>
  <c r="L106" i="21"/>
  <c r="N106" i="21" s="1"/>
  <c r="D109" i="21"/>
  <c r="F106" i="21"/>
  <c r="R131" i="42"/>
  <c r="J109" i="21"/>
  <c r="X77" i="72"/>
  <c r="Z77" i="72" s="1"/>
  <c r="P80" i="72"/>
  <c r="X80" i="72" s="1"/>
  <c r="J171" i="30"/>
  <c r="P138" i="39"/>
  <c r="X135" i="39"/>
  <c r="Z135" i="39" s="1"/>
  <c r="R135" i="39"/>
  <c r="L98" i="45"/>
  <c r="N98" i="45" s="1"/>
  <c r="D101" i="45"/>
  <c r="F98" i="45"/>
  <c r="L36" i="28"/>
  <c r="J127" i="70"/>
  <c r="X77" i="88"/>
  <c r="P80" i="88"/>
  <c r="H58" i="104"/>
  <c r="N55" i="104"/>
  <c r="N67" i="78"/>
  <c r="H70" i="78"/>
  <c r="H298" i="18"/>
  <c r="J295" i="18"/>
  <c r="V91" i="107"/>
  <c r="X36" i="5"/>
  <c r="L84" i="94"/>
  <c r="X36" i="26"/>
  <c r="N74" i="109"/>
  <c r="J74" i="109"/>
  <c r="T270" i="15"/>
  <c r="V267" i="15"/>
  <c r="L77" i="88"/>
  <c r="N77" i="88" s="1"/>
  <c r="D80" i="88"/>
  <c r="L80" i="88" s="1"/>
  <c r="N80" i="88" s="1"/>
  <c r="X87" i="87"/>
  <c r="Z87" i="87" s="1"/>
  <c r="P90" i="87"/>
  <c r="X90" i="87" s="1"/>
  <c r="L36" i="47"/>
  <c r="N31" i="6"/>
  <c r="T89" i="83"/>
  <c r="V86" i="83"/>
  <c r="P89" i="83"/>
  <c r="X89" i="83" s="1"/>
  <c r="X86" i="83"/>
  <c r="Z86" i="83" s="1"/>
  <c r="N84" i="94"/>
  <c r="J84" i="94"/>
  <c r="H141" i="24"/>
  <c r="J138" i="24"/>
  <c r="P323" i="3"/>
  <c r="X318" i="3"/>
  <c r="R318" i="3"/>
  <c r="P92" i="73"/>
  <c r="X89" i="73"/>
  <c r="Z89" i="73" s="1"/>
  <c r="X36" i="37"/>
  <c r="N29" i="106"/>
  <c r="L29" i="106"/>
  <c r="Z109" i="63"/>
  <c r="L36" i="20"/>
  <c r="X36" i="25"/>
  <c r="H128" i="27"/>
  <c r="J125" i="27"/>
  <c r="N93" i="97"/>
  <c r="J93" i="97"/>
  <c r="L36" i="34"/>
  <c r="N98" i="9"/>
  <c r="P127" i="70"/>
  <c r="X124" i="70"/>
  <c r="Z124" i="70" s="1"/>
  <c r="R124" i="70"/>
  <c r="L67" i="78"/>
  <c r="D70" i="78"/>
  <c r="R57" i="98"/>
  <c r="L77" i="56"/>
  <c r="N77" i="56" s="1"/>
  <c r="P92" i="103"/>
  <c r="X89" i="103"/>
  <c r="Z89" i="103" s="1"/>
  <c r="R89" i="103"/>
  <c r="L36" i="53"/>
  <c r="L36" i="8"/>
  <c r="X88" i="107"/>
  <c r="Z88" i="107" s="1"/>
  <c r="P91" i="107"/>
  <c r="X91" i="107" s="1"/>
  <c r="Z91" i="107" s="1"/>
  <c r="J133" i="36"/>
  <c r="X36" i="14"/>
  <c r="N54" i="98"/>
  <c r="H57" i="98"/>
  <c r="J54" i="98"/>
  <c r="V139" i="74"/>
  <c r="L36" i="40"/>
  <c r="L109" i="63"/>
  <c r="N109" i="63" s="1"/>
  <c r="V70" i="78"/>
  <c r="T92" i="75"/>
  <c r="V89" i="75"/>
  <c r="T92" i="103"/>
  <c r="V89" i="103"/>
  <c r="X36" i="40"/>
  <c r="J80" i="88"/>
  <c r="L36" i="46"/>
  <c r="T57" i="98"/>
  <c r="X57" i="98" s="1"/>
  <c r="Z54" i="98"/>
  <c r="V54" i="98"/>
  <c r="L127" i="70"/>
  <c r="N127" i="70" s="1"/>
  <c r="F127" i="70"/>
  <c r="N114" i="76"/>
  <c r="J114" i="76"/>
  <c r="X79" i="92"/>
  <c r="Z79" i="92" s="1"/>
  <c r="N131" i="42"/>
  <c r="J131" i="42"/>
  <c r="L36" i="4"/>
  <c r="T34" i="82"/>
  <c r="Z31" i="82"/>
  <c r="V31" i="82"/>
  <c r="X36" i="23"/>
  <c r="Z65" i="67"/>
  <c r="X125" i="27"/>
  <c r="Z125" i="27" s="1"/>
  <c r="P128" i="27"/>
  <c r="R125" i="27"/>
  <c r="L92" i="73"/>
  <c r="X36" i="38"/>
  <c r="L65" i="67"/>
  <c r="L90" i="87"/>
  <c r="N90" i="87" s="1"/>
  <c r="H138" i="39"/>
  <c r="J135" i="39"/>
  <c r="L36" i="49"/>
  <c r="T114" i="51"/>
  <c r="Z111" i="51"/>
  <c r="V111" i="51"/>
  <c r="X111" i="51"/>
  <c r="X74" i="48"/>
  <c r="Z74" i="48" s="1"/>
  <c r="R74" i="48"/>
  <c r="X36" i="50"/>
  <c r="V114" i="76"/>
  <c r="T127" i="70"/>
  <c r="V124" i="70"/>
  <c r="Z31" i="54"/>
  <c r="N78" i="80"/>
  <c r="J78" i="80"/>
  <c r="J96" i="105"/>
  <c r="N276" i="12"/>
  <c r="H279" i="12"/>
  <c r="J276" i="12"/>
  <c r="H270" i="15"/>
  <c r="N267" i="15"/>
  <c r="J267" i="15"/>
  <c r="N91" i="107"/>
  <c r="J91" i="107"/>
  <c r="V96" i="105"/>
  <c r="L168" i="30"/>
  <c r="N168" i="30" s="1"/>
  <c r="D171" i="30"/>
  <c r="F168" i="30"/>
  <c r="T127" i="68"/>
  <c r="V124" i="68"/>
  <c r="N71" i="48"/>
  <c r="H74" i="48"/>
  <c r="J71" i="48"/>
  <c r="L138" i="24"/>
  <c r="N138" i="24" s="1"/>
  <c r="D141" i="24"/>
  <c r="L141" i="24" s="1"/>
  <c r="L40" i="55"/>
  <c r="X276" i="12"/>
  <c r="Z276" i="12" s="1"/>
  <c r="P279" i="12"/>
  <c r="R276" i="12"/>
  <c r="X98" i="45"/>
  <c r="Z98" i="45" s="1"/>
  <c r="P101" i="45"/>
  <c r="R98" i="45"/>
  <c r="Z56" i="61"/>
  <c r="T92" i="73"/>
  <c r="V89" i="73"/>
  <c r="L36" i="50"/>
  <c r="Z79" i="58"/>
  <c r="Z93" i="97"/>
  <c r="V93" i="97"/>
  <c r="X55" i="104"/>
  <c r="P58" i="104"/>
  <c r="X75" i="69"/>
  <c r="X102" i="91"/>
  <c r="Z102" i="91" s="1"/>
  <c r="T141" i="24"/>
  <c r="Z138" i="24"/>
  <c r="V138" i="24"/>
  <c r="Z106" i="21"/>
  <c r="T109" i="21"/>
  <c r="V106" i="21"/>
  <c r="R141" i="24"/>
  <c r="X36" i="111"/>
  <c r="L295" i="18"/>
  <c r="N295" i="18" s="1"/>
  <c r="D298" i="18"/>
  <c r="F295" i="18"/>
  <c r="L36" i="37"/>
  <c r="X36" i="53"/>
  <c r="N124" i="68"/>
  <c r="H127" i="68"/>
  <c r="J124" i="68"/>
  <c r="R270" i="15"/>
  <c r="N102" i="91"/>
  <c r="X36" i="28"/>
  <c r="Z318" i="3"/>
  <c r="T323" i="3"/>
  <c r="V318" i="3"/>
  <c r="Z75" i="69"/>
  <c r="V75" i="69"/>
  <c r="L135" i="39"/>
  <c r="N135" i="39" s="1"/>
  <c r="D138" i="39"/>
  <c r="F135" i="39"/>
  <c r="T78" i="93"/>
  <c r="V75" i="93"/>
  <c r="P34" i="82"/>
  <c r="X31" i="82"/>
  <c r="R31" i="82"/>
  <c r="L36" i="35"/>
  <c r="L125" i="27"/>
  <c r="N125" i="27" s="1"/>
  <c r="D128" i="27"/>
  <c r="F125" i="27"/>
  <c r="L36" i="10"/>
  <c r="Z298" i="18"/>
  <c r="V298" i="18"/>
  <c r="L114" i="76"/>
  <c r="F114" i="76"/>
  <c r="L131" i="42"/>
  <c r="F131" i="42"/>
  <c r="X267" i="15"/>
  <c r="Z267" i="15" s="1"/>
  <c r="Z42" i="108"/>
  <c r="D270" i="15"/>
  <c r="L267" i="15"/>
  <c r="F267" i="15"/>
  <c r="N80" i="72"/>
  <c r="J80" i="72"/>
  <c r="P127" i="68"/>
  <c r="X124" i="68"/>
  <c r="Z124" i="68" s="1"/>
  <c r="R124" i="68"/>
  <c r="L91" i="107"/>
  <c r="V70" i="100"/>
  <c r="X70" i="100"/>
  <c r="Z70" i="100" s="1"/>
  <c r="X133" i="84"/>
  <c r="R133" i="84"/>
  <c r="X36" i="31"/>
  <c r="Z84" i="94"/>
  <c r="V84" i="94"/>
  <c r="D70" i="100"/>
  <c r="L70" i="100" s="1"/>
  <c r="L67" i="100"/>
  <c r="N67" i="100" s="1"/>
  <c r="L36" i="52"/>
  <c r="X298" i="18"/>
  <c r="R298" i="18"/>
  <c r="X84" i="94"/>
  <c r="R84" i="94"/>
  <c r="X130" i="36"/>
  <c r="Z130" i="36" s="1"/>
  <c r="P133" i="36"/>
  <c r="R130" i="36"/>
  <c r="Z103" i="33"/>
  <c r="T106" i="33"/>
  <c r="V103" i="33"/>
  <c r="T37" i="85"/>
  <c r="Z34" i="85"/>
  <c r="V34" i="85"/>
  <c r="H106" i="33"/>
  <c r="N103" i="33"/>
  <c r="J103" i="33"/>
  <c r="P70" i="78"/>
  <c r="X70" i="78" s="1"/>
  <c r="Z70" i="78" s="1"/>
  <c r="X67" i="78"/>
  <c r="Z67" i="78" s="1"/>
  <c r="X36" i="8"/>
  <c r="Z90" i="87"/>
  <c r="V90" i="87"/>
  <c r="X65" i="67"/>
  <c r="X171" i="30"/>
  <c r="Z171" i="30" s="1"/>
  <c r="R171" i="30"/>
  <c r="F74" i="48"/>
  <c r="Z74" i="57"/>
  <c r="Z68" i="59"/>
  <c r="X106" i="21"/>
  <c r="P109" i="21"/>
  <c r="R106" i="21"/>
  <c r="N70" i="100"/>
  <c r="J70" i="100"/>
  <c r="H92" i="75"/>
  <c r="J89" i="75"/>
  <c r="V101" i="45"/>
  <c r="Z80" i="72"/>
  <c r="V80" i="72"/>
  <c r="V79" i="92"/>
  <c r="V75" i="79"/>
  <c r="X96" i="105"/>
  <c r="Z96" i="105" s="1"/>
  <c r="R96" i="105"/>
  <c r="Z55" i="104"/>
  <c r="T58" i="104"/>
  <c r="V55" i="104"/>
  <c r="N99" i="95"/>
  <c r="J99" i="95"/>
  <c r="J90" i="87"/>
  <c r="D114" i="51"/>
  <c r="L111" i="51"/>
  <c r="N111" i="51" s="1"/>
  <c r="F111" i="51"/>
  <c r="V171" i="30"/>
  <c r="L71" i="48"/>
  <c r="N318" i="3"/>
  <c r="H323" i="3"/>
  <c r="J318" i="3"/>
  <c r="L37" i="85"/>
  <c r="N37" i="85" s="1"/>
  <c r="F37" i="85"/>
  <c r="H139" i="74"/>
  <c r="L139" i="74" s="1"/>
  <c r="N136" i="74"/>
  <c r="J136" i="74"/>
  <c r="X36" i="52"/>
  <c r="H88" i="101"/>
  <c r="N85" i="101"/>
  <c r="J85" i="101"/>
  <c r="X36" i="29"/>
  <c r="H114" i="51"/>
  <c r="J111" i="51"/>
  <c r="L58" i="104"/>
  <c r="X78" i="93"/>
  <c r="L36" i="110"/>
  <c r="X89" i="75"/>
  <c r="Z89" i="75" s="1"/>
  <c r="P92" i="75"/>
  <c r="R89" i="75"/>
  <c r="F139" i="74"/>
  <c r="X36" i="7"/>
  <c r="P75" i="79"/>
  <c r="X72" i="79"/>
  <c r="Z72" i="79" s="1"/>
  <c r="R72" i="79"/>
  <c r="V74" i="109"/>
  <c r="N65" i="67"/>
  <c r="L133" i="84"/>
  <c r="F133" i="84"/>
  <c r="L36" i="32"/>
  <c r="D279" i="12"/>
  <c r="L276" i="12"/>
  <c r="F276" i="12"/>
  <c r="D133" i="36"/>
  <c r="L130" i="36"/>
  <c r="N130" i="36" s="1"/>
  <c r="F130" i="36"/>
  <c r="D34" i="82"/>
  <c r="L31" i="82"/>
  <c r="N31" i="82" s="1"/>
  <c r="F31" i="82"/>
  <c r="N76" i="92"/>
  <c r="H79" i="92"/>
  <c r="J76" i="92"/>
  <c r="X136" i="74"/>
  <c r="Z136" i="74" s="1"/>
  <c r="P139" i="74"/>
  <c r="R136" i="74"/>
  <c r="T133" i="36"/>
  <c r="V130" i="36"/>
  <c r="D89" i="83"/>
  <c r="L89" i="83" s="1"/>
  <c r="N89" i="83" s="1"/>
  <c r="L86" i="83"/>
  <c r="N86" i="83" s="1"/>
  <c r="X36" i="11"/>
  <c r="L36" i="17"/>
  <c r="L96" i="95"/>
  <c r="N96" i="95" s="1"/>
  <c r="D99" i="95"/>
  <c r="L99" i="95" s="1"/>
  <c r="L36" i="29"/>
  <c r="N40" i="55"/>
  <c r="T133" i="84"/>
  <c r="Z130" i="84"/>
  <c r="V130" i="84"/>
  <c r="N68" i="59"/>
  <c r="X75" i="93"/>
  <c r="Z75" i="93" s="1"/>
  <c r="L77" i="72"/>
  <c r="N77" i="72" s="1"/>
  <c r="D80" i="72"/>
  <c r="L80" i="72" s="1"/>
  <c r="X111" i="76"/>
  <c r="Z111" i="76" s="1"/>
  <c r="P114" i="76"/>
  <c r="R111" i="76"/>
  <c r="N74" i="57"/>
  <c r="Z128" i="42"/>
  <c r="T131" i="42"/>
  <c r="X131" i="42" s="1"/>
  <c r="V128" i="42"/>
  <c r="Z77" i="88"/>
  <c r="T80" i="88"/>
  <c r="V77" i="88"/>
  <c r="X71" i="109"/>
  <c r="Z71" i="109" s="1"/>
  <c r="P74" i="109"/>
  <c r="R71" i="109"/>
  <c r="V128" i="27"/>
  <c r="F323" i="3"/>
  <c r="N92" i="103"/>
  <c r="J92" i="103"/>
  <c r="Z88" i="101"/>
  <c r="V88" i="101"/>
  <c r="V279" i="12"/>
  <c r="N57" i="60"/>
  <c r="V106" i="33" l="1"/>
  <c r="J127" i="68"/>
  <c r="V80" i="88"/>
  <c r="L34" i="82"/>
  <c r="N34" i="82" s="1"/>
  <c r="F34" i="82"/>
  <c r="X133" i="36"/>
  <c r="R133" i="36"/>
  <c r="L128" i="27"/>
  <c r="N128" i="27" s="1"/>
  <c r="F128" i="27"/>
  <c r="J298" i="18"/>
  <c r="N74" i="48"/>
  <c r="J74" i="48"/>
  <c r="X128" i="27"/>
  <c r="Z128" i="27" s="1"/>
  <c r="R128" i="27"/>
  <c r="X92" i="73"/>
  <c r="L109" i="21"/>
  <c r="N109" i="21" s="1"/>
  <c r="F109" i="21"/>
  <c r="Z133" i="84"/>
  <c r="V133" i="84"/>
  <c r="L74" i="48"/>
  <c r="V114" i="51"/>
  <c r="X114" i="51"/>
  <c r="Z114" i="51" s="1"/>
  <c r="X138" i="39"/>
  <c r="R138" i="39"/>
  <c r="L106" i="33"/>
  <c r="F106" i="33"/>
  <c r="Z141" i="24"/>
  <c r="V141" i="24"/>
  <c r="X106" i="33"/>
  <c r="Z106" i="33" s="1"/>
  <c r="R106" i="33"/>
  <c r="Z131" i="42"/>
  <c r="V131" i="42"/>
  <c r="L298" i="18"/>
  <c r="N298" i="18" s="1"/>
  <c r="F298" i="18"/>
  <c r="V92" i="103"/>
  <c r="N57" i="98"/>
  <c r="J57" i="98"/>
  <c r="Z89" i="83"/>
  <c r="V89" i="83"/>
  <c r="N58" i="104"/>
  <c r="Z270" i="15"/>
  <c r="V270" i="15"/>
  <c r="V58" i="104"/>
  <c r="X34" i="82"/>
  <c r="Z34" i="82" s="1"/>
  <c r="R34" i="82"/>
  <c r="X101" i="45"/>
  <c r="Z101" i="45" s="1"/>
  <c r="R101" i="45"/>
  <c r="V127" i="68"/>
  <c r="Z127" i="70"/>
  <c r="V127" i="70"/>
  <c r="J128" i="27"/>
  <c r="X323" i="3"/>
  <c r="R323" i="3"/>
  <c r="X80" i="88"/>
  <c r="Z80" i="88" s="1"/>
  <c r="L57" i="98"/>
  <c r="L270" i="15"/>
  <c r="F270" i="15"/>
  <c r="Z323" i="3"/>
  <c r="V323" i="3"/>
  <c r="X139" i="74"/>
  <c r="Z139" i="74" s="1"/>
  <c r="R139" i="74"/>
  <c r="J92" i="75"/>
  <c r="X58" i="104"/>
  <c r="Z58" i="104" s="1"/>
  <c r="N270" i="15"/>
  <c r="J270" i="15"/>
  <c r="X114" i="76"/>
  <c r="Z114" i="76" s="1"/>
  <c r="R114" i="76"/>
  <c r="J88" i="101"/>
  <c r="J138" i="39"/>
  <c r="Z92" i="75"/>
  <c r="V92" i="75"/>
  <c r="L133" i="36"/>
  <c r="N133" i="36" s="1"/>
  <c r="F133" i="36"/>
  <c r="J323" i="3"/>
  <c r="X92" i="103"/>
  <c r="Z92" i="103" s="1"/>
  <c r="R92" i="103"/>
  <c r="L323" i="3"/>
  <c r="N323" i="3" s="1"/>
  <c r="N106" i="33"/>
  <c r="J106" i="33"/>
  <c r="J79" i="92"/>
  <c r="L127" i="68"/>
  <c r="N127" i="68" s="1"/>
  <c r="Z37" i="85"/>
  <c r="V37" i="85"/>
  <c r="X141" i="24"/>
  <c r="L88" i="101"/>
  <c r="N88" i="101" s="1"/>
  <c r="L70" i="78"/>
  <c r="N70" i="78" s="1"/>
  <c r="N141" i="24"/>
  <c r="J141" i="24"/>
  <c r="N92" i="73"/>
  <c r="J92" i="73"/>
  <c r="L79" i="92"/>
  <c r="N79" i="92" s="1"/>
  <c r="Z133" i="36"/>
  <c r="V133" i="36"/>
  <c r="X75" i="79"/>
  <c r="Z75" i="79" s="1"/>
  <c r="R75" i="79"/>
  <c r="L279" i="12"/>
  <c r="F279" i="12"/>
  <c r="X92" i="75"/>
  <c r="R92" i="75"/>
  <c r="Z78" i="93"/>
  <c r="V78" i="93"/>
  <c r="X74" i="109"/>
  <c r="Z74" i="109" s="1"/>
  <c r="R74" i="109"/>
  <c r="X127" i="68"/>
  <c r="Z127" i="68" s="1"/>
  <c r="R127" i="68"/>
  <c r="X270" i="15"/>
  <c r="X279" i="12"/>
  <c r="Z279" i="12" s="1"/>
  <c r="R279" i="12"/>
  <c r="L92" i="75"/>
  <c r="N92" i="75" s="1"/>
  <c r="F92" i="75"/>
  <c r="J114" i="51"/>
  <c r="V109" i="21"/>
  <c r="L171" i="30"/>
  <c r="N171" i="30" s="1"/>
  <c r="F171" i="30"/>
  <c r="N279" i="12"/>
  <c r="J279" i="12"/>
  <c r="Z57" i="98"/>
  <c r="V57" i="98"/>
  <c r="L114" i="51"/>
  <c r="N114" i="51" s="1"/>
  <c r="F114" i="51"/>
  <c r="Z138" i="39"/>
  <c r="V138" i="39"/>
  <c r="Z92" i="73"/>
  <c r="V92" i="73"/>
  <c r="X109" i="21"/>
  <c r="Z109" i="21" s="1"/>
  <c r="R109" i="21"/>
  <c r="L138" i="39"/>
  <c r="N138" i="39" s="1"/>
  <c r="F138" i="39"/>
  <c r="V34" i="82"/>
  <c r="N139" i="74"/>
  <c r="J139" i="74"/>
  <c r="X127" i="70"/>
  <c r="R127" i="70"/>
  <c r="L101" i="45"/>
  <c r="N101" i="45" s="1"/>
  <c r="F101" i="45"/>
  <c r="L96" i="105"/>
  <c r="N96" i="105" s="1"/>
  <c r="F96" i="105"/>
  <c r="Z99" i="95"/>
  <c r="V99" i="95"/>
  <c r="X99" i="95"/>
</calcChain>
</file>

<file path=xl/sharedStrings.xml><?xml version="1.0" encoding="utf-8"?>
<sst xmlns="http://schemas.openxmlformats.org/spreadsheetml/2006/main" count="2948" uniqueCount="314">
  <si>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</si>
  <si>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</si>
  <si>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</si>
  <si>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</si>
  <si>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</si>
  <si>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</si>
  <si>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</si>
  <si>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</si>
  <si>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</si>
  <si>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</si>
  <si>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</si>
  <si>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Variance</t>
  </si>
  <si>
    <t xml:space="preserve">Forty Niner Shops, Inc. </t>
  </si>
  <si>
    <t>G &amp; A Allocation</t>
  </si>
  <si>
    <t>% of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</si>
  <si>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</si>
  <si>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</si>
  <si>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</si>
  <si>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</si>
  <si>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</si>
  <si>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</si>
  <si>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</si>
  <si>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</si>
  <si>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</si>
  <si>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</si>
  <si>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</si>
  <si>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</si>
  <si>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</si>
  <si>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</si>
  <si>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</si>
  <si>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</si>
  <si>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</si>
  <si>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</si>
  <si>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</si>
  <si>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</si>
  <si>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</si>
  <si>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</si>
  <si>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</si>
  <si>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</si>
  <si>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</si>
  <si>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</si>
  <si>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</si>
  <si>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</si>
  <si>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</si>
  <si>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</si>
  <si>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</si>
  <si>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</si>
  <si>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</si>
  <si>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</si>
  <si>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</si>
  <si>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</si>
  <si>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</si>
  <si>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</si>
  <si>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</si>
  <si>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</si>
  <si>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</si>
  <si>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</si>
  <si>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</si>
  <si>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</si>
  <si>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</si>
  <si>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</si>
  <si>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</si>
  <si>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</si>
  <si>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</si>
  <si>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</si>
  <si>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</si>
  <si>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</si>
  <si>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</si>
  <si>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</si>
  <si>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</si>
  <si>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</si>
  <si>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</si>
  <si>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</si>
  <si>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</si>
  <si>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</si>
  <si>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</si>
  <si>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</si>
  <si>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</si>
  <si>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</si>
  <si>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</si>
  <si>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</si>
  <si>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</si>
  <si>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</si>
  <si>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</si>
  <si>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</si>
  <si>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</si>
  <si>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</si>
  <si>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</si>
  <si>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</si>
  <si>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</si>
  <si>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</si>
  <si>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</si>
  <si>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</si>
  <si>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</si>
  <si>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</si>
  <si>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</si>
  <si>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</si>
  <si>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</si>
  <si>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</si>
  <si>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</si>
  <si>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</si>
  <si>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</si>
  <si>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</si>
  <si>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</si>
  <si>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</si>
  <si>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</si>
  <si>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</si>
  <si>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</si>
  <si>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</si>
  <si>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</si>
  <si>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</si>
  <si>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</si>
  <si>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</si>
  <si>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</si>
  <si>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</si>
  <si>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</si>
  <si>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</si>
  <si>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</si>
  <si>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</si>
  <si>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</si>
  <si>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</si>
  <si>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</si>
  <si>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</si>
  <si>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</si>
  <si>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</si>
  <si>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</si>
  <si>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</si>
  <si>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</si>
  <si>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</si>
  <si>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</si>
  <si>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</si>
  <si>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</si>
  <si>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</si>
  <si>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</si>
  <si>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</si>
  <si>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</si>
  <si>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</si>
  <si>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</si>
  <si>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</si>
  <si>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</si>
  <si>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</si>
  <si>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</si>
  <si>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</si>
  <si>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</si>
  <si>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</si>
  <si>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</si>
  <si>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</si>
  <si>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</si>
  <si>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</si>
  <si>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</si>
  <si>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</si>
  <si>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</si>
  <si>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</si>
  <si>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</si>
  <si>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</si>
  <si>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</si>
  <si>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</si>
  <si>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</si>
  <si>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</si>
  <si>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</si>
  <si>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</si>
  <si>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</si>
  <si>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</si>
  <si>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</si>
  <si>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</si>
  <si>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</si>
  <si>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</si>
  <si>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</si>
  <si>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</si>
  <si>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</si>
  <si>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</si>
  <si>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</si>
  <si>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</si>
  <si>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</si>
  <si>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</si>
  <si>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</si>
  <si>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</si>
  <si>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</si>
  <si>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</si>
  <si>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</si>
  <si>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</si>
  <si>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</si>
  <si>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</si>
  <si>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</si>
  <si>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</si>
  <si>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</si>
  <si>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</si>
  <si>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</si>
  <si>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</si>
  <si>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</si>
  <si>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</si>
  <si>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</si>
  <si>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</si>
  <si>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</si>
  <si>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</si>
  <si>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</si>
  <si>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</si>
  <si>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</si>
  <si>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</si>
  <si>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</si>
  <si>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</si>
  <si>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</si>
  <si>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</si>
  <si>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</si>
  <si>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</si>
  <si>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</si>
  <si>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</si>
  <si>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</si>
  <si>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</si>
  <si>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</si>
  <si>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</si>
  <si>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</si>
  <si>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</si>
  <si>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</si>
  <si>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</si>
  <si>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</si>
  <si>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</si>
  <si>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</si>
  <si>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</si>
  <si>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</si>
  <si>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</si>
  <si>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</si>
  <si>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</si>
  <si>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</si>
  <si>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</si>
  <si>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</si>
  <si>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</si>
  <si>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</si>
  <si>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</si>
  <si>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</si>
  <si>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</si>
  <si>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</si>
  <si>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</si>
  <si>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</si>
  <si>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</si>
  <si>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</si>
  <si>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</si>
  <si>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</si>
  <si>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</si>
  <si>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</si>
  <si>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</si>
  <si>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</si>
  <si>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</si>
  <si>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</si>
  <si>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</si>
  <si>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</si>
  <si>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</si>
  <si>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</si>
  <si>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</si>
  <si>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</si>
  <si>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</si>
  <si>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</si>
  <si>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</si>
  <si>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</si>
  <si>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</si>
  <si>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</si>
  <si>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</si>
  <si>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</si>
  <si>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</si>
  <si>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</si>
  <si>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</si>
  <si>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</si>
  <si>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</si>
  <si>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</si>
  <si>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</si>
  <si>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</si>
  <si>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</si>
  <si>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</si>
  <si>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</si>
  <si>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</si>
  <si>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</si>
  <si>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</si>
  <si>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</si>
  <si>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</si>
  <si>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</si>
  <si>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</si>
  <si>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</si>
  <si>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</si>
  <si>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</si>
  <si>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</si>
  <si>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</si>
  <si>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</si>
  <si>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</si>
  <si>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</si>
  <si>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</si>
  <si>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</si>
  <si>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</si>
  <si>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</si>
  <si>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</si>
  <si>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</si>
  <si>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</si>
  <si>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</si>
  <si>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</si>
  <si>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</si>
  <si>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</si>
  <si>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</si>
  <si>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</si>
  <si>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</si>
  <si>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</si>
  <si>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</si>
  <si>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</si>
  <si>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</si>
  <si>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</si>
  <si>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</si>
  <si>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</si>
  <si>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</si>
  <si>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Prior Year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</si>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</sst>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0" fontId="0" fillId="0" borderId="0" xfId="0" applyFont="1" applyFill="1" applyBorder="1"/>
    <xf numFmtId="164" fontId="2" fillId="2" borderId="0" xfId="1" applyNumberFormat="1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0" fontId="0" fillId="0" borderId="0" xfId="0" applyAlignment="1">
      <alignment horizontal="centerContinuous"/>
    </xf>
    <xf numFmtId="164" fontId="0" fillId="0" borderId="0" xfId="1" applyNumberFormat="1" applyFont="1"/>
    <xf numFmtId="167" fontId="1" fillId="0" borderId="0" xfId="3" applyNumberFormat="1" applyFont="1" applyFill="1"/>
    <xf numFmtId="167" fontId="2" fillId="2" borderId="2" xfId="3" applyNumberFormat="1" applyFont="1" applyFill="1" applyBorder="1"/>
    <xf numFmtId="164" fontId="2" fillId="0" borderId="0" xfId="1" applyNumberFormat="1" applyFont="1" applyFill="1" applyBorder="1"/>
    <xf numFmtId="168" fontId="2" fillId="2" borderId="2" xfId="2" applyNumberFormat="1" applyFont="1" applyFill="1" applyBorder="1"/>
    <xf numFmtId="0" fontId="2" fillId="0" borderId="0" xfId="0" applyFont="1"/>
    <xf numFmtId="0" fontId="1" fillId="0" borderId="0" xfId="0" applyFont="1"/>
    <xf numFmtId="0" fontId="0" fillId="0" borderId="0" xfId="0" applyFont="1" applyBorder="1"/>
    <xf numFmtId="49" fontId="1" fillId="0" borderId="0" xfId="0" applyNumberFormat="1" applyFont="1" applyFill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167" fontId="2" fillId="2" borderId="1" xfId="3" applyNumberFormat="1" applyFont="1" applyFill="1" applyBorder="1" applyAlignment="1">
      <alignment horizontal="center"/>
    </xf>
    <xf numFmtId="168" fontId="2" fillId="2" borderId="3" xfId="2" applyNumberFormat="1" applyFont="1" applyFill="1" applyBorder="1"/>
    <xf numFmtId="167" fontId="2" fillId="0" borderId="0" xfId="3" applyNumberFormat="1" applyFont="1" applyFill="1" applyBorder="1"/>
    <xf numFmtId="167" fontId="2" fillId="2" borderId="3" xfId="3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8" fontId="2" fillId="2" borderId="4" xfId="2" applyNumberFormat="1" applyFont="1" applyFill="1" applyBorder="1"/>
    <xf numFmtId="167" fontId="2" fillId="2" borderId="4" xfId="3" applyNumberFormat="1" applyFont="1" applyFill="1" applyBorder="1"/>
    <xf numFmtId="0" fontId="0" fillId="0" borderId="0" xfId="0" applyFill="1" applyBorder="1"/>
    <xf numFmtId="167" fontId="0" fillId="0" borderId="0" xfId="0" applyNumberFormat="1"/>
    <xf numFmtId="167" fontId="0" fillId="0" borderId="0" xfId="0" applyNumberFormat="1" applyAlignment="1">
      <alignment horizontal="centerContinuous"/>
    </xf>
    <xf numFmtId="167" fontId="2" fillId="2" borderId="1" xfId="3" applyNumberFormat="1" applyFont="1" applyFill="1" applyBorder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49" fontId="1" fillId="0" borderId="0" xfId="0" applyNumberFormat="1" applyFont="1" applyFill="1"/>
    <xf numFmtId="167" fontId="2" fillId="2" borderId="1" xfId="0" applyNumberFormat="1" applyFont="1" applyFill="1" applyBorder="1" applyAlignment="1">
      <alignment horizontal="centerContinuous"/>
    </xf>
    <xf numFmtId="0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Alignment="1">
      <alignment horizontal="left"/>
    </xf>
    <xf numFmtId="167" fontId="0" fillId="0" borderId="0" xfId="0" applyNumberFormat="1" applyFill="1"/>
    <xf numFmtId="167" fontId="0" fillId="0" borderId="0" xfId="3" applyNumberFormat="1" applyFont="1"/>
    <xf numFmtId="167" fontId="0" fillId="0" borderId="0" xfId="3" applyNumberFormat="1" applyFont="1" applyAlignment="1">
      <alignment horizontal="centerContinuous"/>
    </xf>
    <xf numFmtId="49" fontId="2" fillId="0" borderId="0" xfId="0" applyNumberFormat="1" applyFont="1" applyFill="1"/>
    <xf numFmtId="0" fontId="0" fillId="0" borderId="0" xfId="0" applyBorder="1"/>
    <xf numFmtId="164" fontId="2" fillId="0" borderId="0" xfId="1" applyNumberFormat="1" applyFont="1" applyFill="1" applyAlignment="1">
      <alignment horizontal="centerContinuous"/>
    </xf>
    <xf numFmtId="0" fontId="3" fillId="0" borderId="0" xfId="0" applyFont="1" applyAlignment="1">
      <alignment horizontal="left"/>
    </xf>
    <xf numFmtId="0" fontId="0" fillId="0" borderId="0" xfId="0" applyFill="1" applyAlignment="1">
      <alignment horizontal="centerContinuous"/>
    </xf>
    <xf numFmtId="166" fontId="3" fillId="0" borderId="0" xfId="0" applyNumberFormat="1" applyFont="1" applyAlignment="1">
      <alignment horizontal="left"/>
    </xf>
    <xf numFmtId="0" fontId="2" fillId="0" borderId="0" xfId="0" applyFont="1" applyFill="1" applyBorder="1"/>
    <xf numFmtId="0" fontId="4" fillId="0" borderId="0" xfId="0" applyFont="1"/>
    <xf numFmtId="0" fontId="2" fillId="0" borderId="0" xfId="0" applyFont="1" applyAlignment="1">
      <alignment horizontal="left"/>
    </xf>
    <xf numFmtId="0" fontId="5" fillId="0" borderId="0" xfId="0" applyFont="1" applyFill="1"/>
    <xf numFmtId="49" fontId="2" fillId="2" borderId="1" xfId="0" applyNumberFormat="1" applyFont="1" applyFill="1" applyBorder="1" applyAlignment="1">
      <alignment horizontal="center"/>
    </xf>
    <xf numFmtId="165" fontId="0" fillId="0" borderId="0" xfId="0" applyNumberFormat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242</v>
      </c>
      <c r="B3" s="41" t="s">
        <v>243</v>
      </c>
      <c r="C3" s="41" t="s">
        <v>16</v>
      </c>
      <c r="D3" s="41" t="s">
        <v>244</v>
      </c>
      <c r="E3" s="41" t="s">
        <v>245</v>
      </c>
      <c r="F3" s="41" t="s">
        <v>18</v>
      </c>
      <c r="G3" s="41" t="s">
        <v>246</v>
      </c>
      <c r="H3" s="41" t="s">
        <v>247</v>
      </c>
      <c r="I3" s="41" t="s">
        <v>248</v>
      </c>
      <c r="J3" s="41" t="s">
        <v>249</v>
      </c>
      <c r="K3" s="41" t="s">
        <v>250</v>
      </c>
      <c r="L3" s="41" t="s">
        <v>251</v>
      </c>
      <c r="M3" s="41" t="s">
        <v>252</v>
      </c>
      <c r="N3" s="41" t="s">
        <v>253</v>
      </c>
      <c r="O3" s="41" t="s">
        <v>254</v>
      </c>
      <c r="P3" s="41" t="s">
        <v>255</v>
      </c>
      <c r="Q3" s="41" t="s">
        <v>256</v>
      </c>
      <c r="R3" s="41" t="s">
        <v>257</v>
      </c>
      <c r="S3" s="41" t="s">
        <v>258</v>
      </c>
      <c r="T3" s="41" t="s">
        <v>259</v>
      </c>
      <c r="U3" s="41" t="s">
        <v>262</v>
      </c>
      <c r="V3" s="41" t="s">
        <v>263</v>
      </c>
      <c r="W3" s="41" t="s">
        <v>264</v>
      </c>
      <c r="X3" s="41" t="s">
        <v>265</v>
      </c>
      <c r="Y3" s="41" t="s">
        <v>266</v>
      </c>
      <c r="Z3" s="41" t="s">
        <v>267</v>
      </c>
      <c r="AA3" s="41" t="s">
        <v>268</v>
      </c>
      <c r="AB3" s="41" t="s">
        <v>269</v>
      </c>
      <c r="AC3" s="41" t="s">
        <v>270</v>
      </c>
      <c r="AD3" s="41" t="s">
        <v>271</v>
      </c>
      <c r="AE3" s="41" t="s">
        <v>272</v>
      </c>
      <c r="AF3" s="41" t="s">
        <v>273</v>
      </c>
      <c r="AG3" s="41" t="s">
        <v>274</v>
      </c>
      <c r="AH3" s="41" t="s">
        <v>275</v>
      </c>
      <c r="AI3" s="41" t="s">
        <v>276</v>
      </c>
      <c r="AJ3" s="41" t="s">
        <v>277</v>
      </c>
      <c r="AK3" s="41" t="s">
        <v>278</v>
      </c>
      <c r="AL3" s="41" t="s">
        <v>279</v>
      </c>
      <c r="AM3" s="41" t="s">
        <v>280</v>
      </c>
      <c r="AN3" s="41" t="s">
        <v>281</v>
      </c>
      <c r="AO3" s="41" t="s">
        <v>282</v>
      </c>
      <c r="AP3" s="41" t="s">
        <v>283</v>
      </c>
      <c r="AQ3" s="41" t="s">
        <v>284</v>
      </c>
      <c r="AR3" s="41" t="s">
        <v>285</v>
      </c>
      <c r="AS3" s="41" t="s">
        <v>286</v>
      </c>
      <c r="AT3" s="41" t="s">
        <v>287</v>
      </c>
      <c r="AU3" s="41" t="s">
        <v>288</v>
      </c>
      <c r="AV3" s="41" t="s">
        <v>260</v>
      </c>
      <c r="AW3" s="41" t="s">
        <v>261</v>
      </c>
      <c r="AX3" s="41" t="s">
        <v>289</v>
      </c>
      <c r="AY3" s="41" t="s">
        <v>290</v>
      </c>
      <c r="AZ3" s="41" t="s">
        <v>291</v>
      </c>
      <c r="BA3" s="41" t="s">
        <v>43</v>
      </c>
      <c r="BB3" s="41" t="s">
        <v>44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307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307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311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311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305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305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304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304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16</v>
      </c>
      <c r="B3" s="41" t="s">
        <v>17</v>
      </c>
      <c r="C3" s="41" t="s">
        <v>18</v>
      </c>
      <c r="D3" s="41" t="s">
        <v>19</v>
      </c>
      <c r="E3" s="41" t="s">
        <v>20</v>
      </c>
      <c r="F3" s="41" t="s">
        <v>21</v>
      </c>
      <c r="G3" s="41" t="s">
        <v>22</v>
      </c>
      <c r="H3" s="41" t="s">
        <v>23</v>
      </c>
      <c r="I3" s="41" t="s">
        <v>24</v>
      </c>
      <c r="J3" s="41" t="s">
        <v>25</v>
      </c>
      <c r="K3" s="41" t="s">
        <v>26</v>
      </c>
      <c r="L3" s="41" t="s">
        <v>27</v>
      </c>
      <c r="M3" s="41" t="s">
        <v>28</v>
      </c>
      <c r="N3" s="41" t="s">
        <v>29</v>
      </c>
      <c r="O3" s="41" t="s">
        <v>30</v>
      </c>
      <c r="P3" s="41" t="s">
        <v>31</v>
      </c>
      <c r="Q3" s="41" t="s">
        <v>32</v>
      </c>
      <c r="R3" s="41" t="s">
        <v>33</v>
      </c>
      <c r="S3" s="41" t="s">
        <v>34</v>
      </c>
      <c r="T3" s="41" t="s">
        <v>35</v>
      </c>
      <c r="U3" s="41" t="s">
        <v>36</v>
      </c>
      <c r="V3" s="41" t="s">
        <v>37</v>
      </c>
      <c r="W3" s="41" t="s">
        <v>38</v>
      </c>
      <c r="X3" s="41" t="s">
        <v>39</v>
      </c>
      <c r="Y3" s="41" t="s">
        <v>40</v>
      </c>
      <c r="Z3" s="41" t="s">
        <v>41</v>
      </c>
      <c r="AA3" s="41" t="s">
        <v>46</v>
      </c>
      <c r="AB3" s="41" t="s">
        <v>47</v>
      </c>
      <c r="AC3" s="41" t="s">
        <v>48</v>
      </c>
      <c r="AD3" s="41" t="s">
        <v>49</v>
      </c>
      <c r="AE3" s="41" t="s">
        <v>50</v>
      </c>
      <c r="AF3" s="41" t="s">
        <v>51</v>
      </c>
      <c r="AG3" s="41" t="s">
        <v>52</v>
      </c>
      <c r="AH3" s="41" t="s">
        <v>53</v>
      </c>
      <c r="AI3" s="41" t="s">
        <v>54</v>
      </c>
      <c r="AJ3" s="41" t="s">
        <v>55</v>
      </c>
      <c r="AK3" s="41" t="s">
        <v>56</v>
      </c>
      <c r="AL3" s="41" t="s">
        <v>57</v>
      </c>
      <c r="AM3" s="41" t="s">
        <v>58</v>
      </c>
      <c r="AN3" s="41" t="s">
        <v>59</v>
      </c>
      <c r="AO3" s="41" t="s">
        <v>60</v>
      </c>
      <c r="AP3" s="41" t="s">
        <v>61</v>
      </c>
      <c r="AQ3" s="41" t="s">
        <v>62</v>
      </c>
      <c r="AR3" s="41" t="s">
        <v>63</v>
      </c>
      <c r="AS3" s="41" t="s">
        <v>64</v>
      </c>
      <c r="AT3" s="41" t="s">
        <v>65</v>
      </c>
      <c r="AU3" s="41" t="s">
        <v>66</v>
      </c>
      <c r="AV3" s="41" t="s">
        <v>67</v>
      </c>
      <c r="AW3" s="41" t="s">
        <v>68</v>
      </c>
      <c r="AX3" s="41" t="s">
        <v>69</v>
      </c>
      <c r="AY3" s="41" t="s">
        <v>70</v>
      </c>
      <c r="AZ3" s="41" t="s">
        <v>71</v>
      </c>
      <c r="BA3" s="41" t="s">
        <v>72</v>
      </c>
      <c r="BB3" s="41" t="s">
        <v>73</v>
      </c>
      <c r="BC3" s="41" t="s">
        <v>74</v>
      </c>
      <c r="BD3" s="41" t="s">
        <v>75</v>
      </c>
      <c r="BE3" s="41" t="s">
        <v>76</v>
      </c>
      <c r="BF3" s="41" t="s">
        <v>77</v>
      </c>
      <c r="BG3" s="41" t="s">
        <v>78</v>
      </c>
      <c r="BH3" s="41" t="s">
        <v>79</v>
      </c>
      <c r="BI3" s="41" t="s">
        <v>80</v>
      </c>
      <c r="BJ3" s="41" t="s">
        <v>81</v>
      </c>
      <c r="BK3" s="41" t="s">
        <v>82</v>
      </c>
      <c r="BL3" s="41" t="s">
        <v>83</v>
      </c>
      <c r="BM3" s="41" t="s">
        <v>84</v>
      </c>
      <c r="BN3" s="41" t="s">
        <v>85</v>
      </c>
      <c r="BO3" s="41" t="s">
        <v>86</v>
      </c>
      <c r="BP3" s="41" t="s">
        <v>87</v>
      </c>
      <c r="BQ3" s="41" t="s">
        <v>88</v>
      </c>
      <c r="BR3" s="41" t="s">
        <v>89</v>
      </c>
      <c r="BS3" s="41" t="s">
        <v>90</v>
      </c>
      <c r="BT3" s="41" t="s">
        <v>91</v>
      </c>
      <c r="BU3" s="41" t="s">
        <v>92</v>
      </c>
      <c r="BV3" s="41" t="s">
        <v>93</v>
      </c>
      <c r="BW3" s="41" t="s">
        <v>94</v>
      </c>
      <c r="BX3" s="41" t="s">
        <v>95</v>
      </c>
      <c r="BY3" s="41" t="s">
        <v>96</v>
      </c>
      <c r="BZ3" s="41" t="s">
        <v>97</v>
      </c>
      <c r="CA3" s="41" t="s">
        <v>98</v>
      </c>
      <c r="CB3" s="41" t="s">
        <v>99</v>
      </c>
      <c r="CC3" s="41" t="s">
        <v>100</v>
      </c>
      <c r="CD3" s="41" t="s">
        <v>101</v>
      </c>
      <c r="CE3" s="41" t="s">
        <v>102</v>
      </c>
      <c r="CF3" s="41" t="s">
        <v>103</v>
      </c>
      <c r="CG3" s="41" t="s">
        <v>104</v>
      </c>
      <c r="CH3" s="41" t="s">
        <v>105</v>
      </c>
      <c r="CI3" s="41" t="s">
        <v>106</v>
      </c>
      <c r="CJ3" s="41" t="s">
        <v>107</v>
      </c>
      <c r="CK3" s="41" t="s">
        <v>108</v>
      </c>
      <c r="CL3" s="41" t="s">
        <v>109</v>
      </c>
      <c r="CM3" s="41" t="s">
        <v>110</v>
      </c>
      <c r="CN3" s="41" t="s">
        <v>111</v>
      </c>
      <c r="CO3" s="41" t="s">
        <v>112</v>
      </c>
      <c r="CP3" s="41" t="s">
        <v>113</v>
      </c>
      <c r="CQ3" s="41" t="s">
        <v>114</v>
      </c>
      <c r="CR3" s="41" t="s">
        <v>115</v>
      </c>
      <c r="CS3" s="41" t="s">
        <v>116</v>
      </c>
      <c r="CT3" s="41" t="s">
        <v>117</v>
      </c>
      <c r="CU3" s="41" t="s">
        <v>118</v>
      </c>
      <c r="CV3" s="41" t="s">
        <v>119</v>
      </c>
      <c r="CW3" s="41" t="s">
        <v>120</v>
      </c>
      <c r="CX3" s="41" t="s">
        <v>121</v>
      </c>
      <c r="CY3" s="41" t="s">
        <v>122</v>
      </c>
      <c r="CZ3" s="41" t="s">
        <v>123</v>
      </c>
      <c r="DA3" s="41" t="s">
        <v>124</v>
      </c>
      <c r="DB3" s="41" t="s">
        <v>125</v>
      </c>
      <c r="DC3" s="41" t="s">
        <v>126</v>
      </c>
      <c r="DD3" s="41" t="s">
        <v>127</v>
      </c>
      <c r="DE3" s="41" t="s">
        <v>128</v>
      </c>
      <c r="DF3" s="41" t="s">
        <v>129</v>
      </c>
      <c r="DG3" s="41" t="s">
        <v>130</v>
      </c>
      <c r="DH3" s="41" t="s">
        <v>131</v>
      </c>
      <c r="DI3" s="41" t="s">
        <v>132</v>
      </c>
      <c r="DJ3" s="41" t="s">
        <v>133</v>
      </c>
      <c r="DK3" s="41" t="s">
        <v>134</v>
      </c>
      <c r="DL3" s="41" t="s">
        <v>135</v>
      </c>
      <c r="DM3" s="41" t="s">
        <v>136</v>
      </c>
      <c r="DN3" s="41" t="s">
        <v>137</v>
      </c>
      <c r="DO3" s="41" t="s">
        <v>138</v>
      </c>
      <c r="DP3" s="41" t="s">
        <v>139</v>
      </c>
      <c r="DQ3" s="41" t="s">
        <v>140</v>
      </c>
      <c r="DR3" s="41" t="s">
        <v>141</v>
      </c>
      <c r="DS3" s="41" t="s">
        <v>142</v>
      </c>
      <c r="DT3" s="41" t="s">
        <v>143</v>
      </c>
      <c r="DU3" s="41" t="s">
        <v>144</v>
      </c>
      <c r="DV3" s="41" t="s">
        <v>145</v>
      </c>
      <c r="DW3" s="41" t="s">
        <v>146</v>
      </c>
      <c r="DX3" s="41" t="s">
        <v>147</v>
      </c>
      <c r="DY3" s="41" t="s">
        <v>148</v>
      </c>
      <c r="DZ3" s="41" t="s">
        <v>149</v>
      </c>
      <c r="EA3" s="41" t="s">
        <v>150</v>
      </c>
      <c r="EB3" s="41" t="s">
        <v>151</v>
      </c>
      <c r="EC3" s="41" t="s">
        <v>152</v>
      </c>
      <c r="ED3" s="41" t="s">
        <v>153</v>
      </c>
      <c r="EE3" s="41" t="s">
        <v>154</v>
      </c>
      <c r="EF3" s="41" t="s">
        <v>155</v>
      </c>
      <c r="EG3" s="41" t="s">
        <v>156</v>
      </c>
      <c r="EH3" s="41" t="s">
        <v>157</v>
      </c>
      <c r="EI3" s="41" t="s">
        <v>158</v>
      </c>
      <c r="EJ3" s="41" t="s">
        <v>159</v>
      </c>
      <c r="EK3" s="41" t="s">
        <v>160</v>
      </c>
      <c r="EL3" s="41" t="s">
        <v>161</v>
      </c>
      <c r="EM3" s="41" t="s">
        <v>162</v>
      </c>
      <c r="EN3" s="41" t="s">
        <v>163</v>
      </c>
      <c r="EO3" s="41" t="s">
        <v>164</v>
      </c>
      <c r="EP3" s="41" t="s">
        <v>165</v>
      </c>
      <c r="EQ3" s="41" t="s">
        <v>166</v>
      </c>
      <c r="ER3" s="41" t="s">
        <v>167</v>
      </c>
      <c r="ES3" s="41" t="s">
        <v>168</v>
      </c>
      <c r="ET3" s="41" t="s">
        <v>169</v>
      </c>
      <c r="EU3" s="41" t="s">
        <v>170</v>
      </c>
      <c r="EV3" s="41" t="s">
        <v>171</v>
      </c>
      <c r="EW3" s="41" t="s">
        <v>172</v>
      </c>
      <c r="EX3" s="41" t="s">
        <v>173</v>
      </c>
      <c r="EY3" s="41" t="s">
        <v>174</v>
      </c>
      <c r="EZ3" s="41" t="s">
        <v>175</v>
      </c>
      <c r="FA3" s="41" t="s">
        <v>176</v>
      </c>
      <c r="FB3" s="41" t="s">
        <v>177</v>
      </c>
      <c r="FC3" s="41" t="s">
        <v>178</v>
      </c>
      <c r="FD3" s="41" t="s">
        <v>179</v>
      </c>
      <c r="FE3" s="41" t="s">
        <v>180</v>
      </c>
      <c r="FF3" s="41" t="s">
        <v>181</v>
      </c>
      <c r="FG3" s="41" t="s">
        <v>182</v>
      </c>
      <c r="FH3" s="41" t="s">
        <v>183</v>
      </c>
      <c r="FI3" s="41" t="s">
        <v>184</v>
      </c>
      <c r="FJ3" s="41" t="s">
        <v>185</v>
      </c>
      <c r="FK3" s="41" t="s">
        <v>186</v>
      </c>
      <c r="FL3" s="41" t="s">
        <v>187</v>
      </c>
      <c r="FM3" s="41" t="s">
        <v>188</v>
      </c>
      <c r="FN3" s="41" t="s">
        <v>189</v>
      </c>
      <c r="FO3" s="41" t="s">
        <v>190</v>
      </c>
      <c r="FP3" s="41" t="s">
        <v>191</v>
      </c>
      <c r="FQ3" s="41" t="s">
        <v>192</v>
      </c>
      <c r="FR3" s="41" t="s">
        <v>193</v>
      </c>
      <c r="FS3" s="41" t="s">
        <v>194</v>
      </c>
      <c r="FT3" s="41" t="s">
        <v>195</v>
      </c>
      <c r="FU3" s="41" t="s">
        <v>196</v>
      </c>
      <c r="FV3" s="41" t="s">
        <v>197</v>
      </c>
      <c r="FW3" s="41" t="s">
        <v>198</v>
      </c>
      <c r="FX3" s="41" t="s">
        <v>199</v>
      </c>
      <c r="FY3" s="41" t="s">
        <v>200</v>
      </c>
      <c r="FZ3" s="41" t="s">
        <v>201</v>
      </c>
      <c r="GA3" s="41" t="s">
        <v>202</v>
      </c>
      <c r="GB3" s="41" t="s">
        <v>203</v>
      </c>
      <c r="GC3" s="41" t="s">
        <v>204</v>
      </c>
      <c r="GD3" s="41" t="s">
        <v>205</v>
      </c>
      <c r="GE3" s="41" t="s">
        <v>206</v>
      </c>
      <c r="GF3" s="41" t="s">
        <v>207</v>
      </c>
      <c r="GG3" s="41" t="s">
        <v>208</v>
      </c>
      <c r="GH3" s="41" t="s">
        <v>209</v>
      </c>
      <c r="GI3" s="41" t="s">
        <v>210</v>
      </c>
      <c r="GJ3" s="41" t="s">
        <v>211</v>
      </c>
      <c r="GK3" s="41" t="s">
        <v>212</v>
      </c>
      <c r="GL3" s="41" t="s">
        <v>213</v>
      </c>
      <c r="GM3" s="41" t="s">
        <v>214</v>
      </c>
      <c r="GN3" s="41" t="s">
        <v>215</v>
      </c>
      <c r="GO3" s="41" t="s">
        <v>216</v>
      </c>
      <c r="GP3" s="41" t="s">
        <v>217</v>
      </c>
      <c r="GQ3" s="41" t="s">
        <v>218</v>
      </c>
      <c r="GR3" s="41" t="s">
        <v>219</v>
      </c>
      <c r="GS3" s="41" t="s">
        <v>220</v>
      </c>
      <c r="GT3" s="41" t="s">
        <v>221</v>
      </c>
      <c r="GU3" s="41" t="s">
        <v>222</v>
      </c>
      <c r="GV3" s="41" t="s">
        <v>223</v>
      </c>
      <c r="GW3" s="41" t="s">
        <v>224</v>
      </c>
      <c r="GX3" s="41" t="s">
        <v>225</v>
      </c>
      <c r="GY3" s="41" t="s">
        <v>226</v>
      </c>
      <c r="GZ3" s="41" t="s">
        <v>227</v>
      </c>
      <c r="HA3" s="41" t="s">
        <v>228</v>
      </c>
      <c r="HB3" s="41" t="s">
        <v>229</v>
      </c>
      <c r="HC3" s="41" t="s">
        <v>230</v>
      </c>
      <c r="HD3" s="41" t="s">
        <v>231</v>
      </c>
      <c r="HE3" s="41" t="s">
        <v>232</v>
      </c>
      <c r="HF3" s="41" t="s">
        <v>233</v>
      </c>
      <c r="HG3" s="41" t="s">
        <v>234</v>
      </c>
      <c r="HH3" s="41" t="s">
        <v>235</v>
      </c>
      <c r="HI3" s="41" t="s">
        <v>240</v>
      </c>
      <c r="HJ3" s="41" t="s">
        <v>241</v>
      </c>
      <c r="HK3" s="41"/>
      <c r="HL3" s="41" t="s">
        <v>42</v>
      </c>
      <c r="HM3" s="65"/>
      <c r="HN3" s="41" t="s">
        <v>43</v>
      </c>
      <c r="HO3" s="41" t="s">
        <v>44</v>
      </c>
      <c r="HP3" t="s">
        <v>45</v>
      </c>
      <c r="JK3" s="41" t="s">
        <v>236</v>
      </c>
      <c r="JL3" s="41" t="s">
        <v>237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238</v>
      </c>
      <c r="JL10002" s="41" t="s">
        <v>239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301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301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303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303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309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309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312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312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28"/>
  <sheetViews>
    <sheetView tabSelected="1" zoomScale="80" workbookViewId="0">
      <pane xSplit="3" ySplit="10" topLeftCell="D267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295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546130.33000000007</v>
      </c>
      <c r="E12" s="4"/>
      <c r="F12" s="12"/>
      <c r="G12" s="4"/>
      <c r="H12" s="4">
        <f>SUM(OSRRefH13x_0)</f>
        <v>3466709.4899999993</v>
      </c>
      <c r="I12" s="4"/>
      <c r="J12" s="12"/>
      <c r="K12" s="4"/>
      <c r="L12" s="4">
        <f t="shared" ref="L12:L135" si="0">+D12-H12</f>
        <v>-2920579.1599999992</v>
      </c>
      <c r="M12" s="4"/>
      <c r="N12" s="12">
        <f t="shared" ref="N12:N135" si="1">IF(H12=0,0,L12/H12)</f>
        <v>-0.84246435082738924</v>
      </c>
      <c r="O12" s="10"/>
      <c r="P12" s="4">
        <f>SUM(OSRRefP13x_0)</f>
        <v>7151385.990000003</v>
      </c>
      <c r="Q12" s="4"/>
      <c r="R12" s="12"/>
      <c r="S12" s="4"/>
      <c r="T12" s="4">
        <f>SUM(OSRRefT13x_0)</f>
        <v>25198407.699999999</v>
      </c>
      <c r="U12" s="4"/>
      <c r="V12" s="12"/>
      <c r="W12" s="4"/>
      <c r="X12" s="4">
        <f t="shared" ref="X12:X135" si="2">+P12-T12</f>
        <v>-18047021.709999997</v>
      </c>
      <c r="Y12" s="4"/>
      <c r="Z12" s="12">
        <f t="shared" ref="Z12:Z135" si="3">IF(T12=0,0,X12/T12)</f>
        <v>-0.71619690914041356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-7402.1</f>
        <v>-7402.1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-7402.1</v>
      </c>
      <c r="M13" s="2"/>
      <c r="N13" s="19">
        <f t="shared" si="1"/>
        <v>0</v>
      </c>
      <c r="O13" s="11"/>
      <c r="P13" s="2">
        <f>-111058.09</f>
        <v>-111058.09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-111058.09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--34627.67</f>
        <v>34627.67</v>
      </c>
      <c r="E14" s="2"/>
      <c r="F14" s="19"/>
      <c r="G14" s="2"/>
      <c r="H14" s="2">
        <f>--104784.96</f>
        <v>104784.96000000001</v>
      </c>
      <c r="I14" s="2"/>
      <c r="J14" s="19"/>
      <c r="K14" s="2"/>
      <c r="L14" s="2">
        <f t="shared" si="0"/>
        <v>-70157.290000000008</v>
      </c>
      <c r="M14" s="2"/>
      <c r="N14" s="19">
        <f t="shared" si="1"/>
        <v>-0.66953587614100352</v>
      </c>
      <c r="O14" s="11"/>
      <c r="P14" s="2">
        <f>--1224724.01</f>
        <v>1224724.01</v>
      </c>
      <c r="Q14" s="2"/>
      <c r="R14" s="19"/>
      <c r="S14" s="2"/>
      <c r="T14" s="2">
        <f>--2390761.72</f>
        <v>2390761.7200000002</v>
      </c>
      <c r="U14" s="2"/>
      <c r="V14" s="19"/>
      <c r="W14" s="2"/>
      <c r="X14" s="2">
        <f t="shared" si="2"/>
        <v>-1166037.7100000002</v>
      </c>
      <c r="Y14" s="2"/>
      <c r="Z14" s="19">
        <f t="shared" si="3"/>
        <v>-0.48772644310199181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--12732.98</f>
        <v>12732.98</v>
      </c>
      <c r="E15" s="2"/>
      <c r="F15" s="19"/>
      <c r="G15" s="2"/>
      <c r="H15" s="2">
        <f>--46558.78</f>
        <v>46558.78</v>
      </c>
      <c r="I15" s="2"/>
      <c r="J15" s="19"/>
      <c r="K15" s="2"/>
      <c r="L15" s="2">
        <f t="shared" si="0"/>
        <v>-33825.800000000003</v>
      </c>
      <c r="M15" s="2"/>
      <c r="N15" s="19">
        <f t="shared" si="1"/>
        <v>-0.72651817766702653</v>
      </c>
      <c r="O15" s="11"/>
      <c r="P15" s="2">
        <f>--575134.48</f>
        <v>575134.48</v>
      </c>
      <c r="Q15" s="2"/>
      <c r="R15" s="19"/>
      <c r="S15" s="2"/>
      <c r="T15" s="2">
        <f>--1239973.19</f>
        <v>1239973.19</v>
      </c>
      <c r="U15" s="2"/>
      <c r="V15" s="19"/>
      <c r="W15" s="2"/>
      <c r="X15" s="2">
        <f t="shared" si="2"/>
        <v>-664838.71</v>
      </c>
      <c r="Y15" s="2"/>
      <c r="Z15" s="19">
        <f t="shared" si="3"/>
        <v>-0.53617184255411199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--40</f>
        <v>40</v>
      </c>
      <c r="E16" s="2"/>
      <c r="F16" s="19"/>
      <c r="G16" s="2"/>
      <c r="H16" s="2">
        <f>--1344.88</f>
        <v>1344.88</v>
      </c>
      <c r="I16" s="2"/>
      <c r="J16" s="19"/>
      <c r="K16" s="2"/>
      <c r="L16" s="2">
        <f t="shared" si="0"/>
        <v>-1304.8800000000001</v>
      </c>
      <c r="M16" s="2"/>
      <c r="N16" s="19">
        <f t="shared" si="1"/>
        <v>-0.97025756944857533</v>
      </c>
      <c r="O16" s="11"/>
      <c r="P16" s="2">
        <f>--17927.89</f>
        <v>17927.89</v>
      </c>
      <c r="Q16" s="2"/>
      <c r="R16" s="19"/>
      <c r="S16" s="2"/>
      <c r="T16" s="2">
        <f>--33616.89</f>
        <v>33616.89</v>
      </c>
      <c r="U16" s="2"/>
      <c r="V16" s="19"/>
      <c r="W16" s="2"/>
      <c r="X16" s="2">
        <f t="shared" si="2"/>
        <v>-15689</v>
      </c>
      <c r="Y16" s="2"/>
      <c r="Z16" s="19">
        <f t="shared" si="3"/>
        <v>-0.46669992375856306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ref="D17:D18" si="4">0</f>
        <v>0</v>
      </c>
      <c r="E17" s="2"/>
      <c r="F17" s="19"/>
      <c r="G17" s="2"/>
      <c r="H17" s="2">
        <f>--993.89</f>
        <v>993.89</v>
      </c>
      <c r="I17" s="2"/>
      <c r="J17" s="19"/>
      <c r="K17" s="2"/>
      <c r="L17" s="2">
        <f t="shared" si="0"/>
        <v>-993.89</v>
      </c>
      <c r="M17" s="2"/>
      <c r="N17" s="19">
        <f t="shared" si="1"/>
        <v>-1</v>
      </c>
      <c r="O17" s="11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--785.66</f>
        <v>785.66</v>
      </c>
      <c r="I18" s="2"/>
      <c r="J18" s="19"/>
      <c r="K18" s="2"/>
      <c r="L18" s="2">
        <f t="shared" si="0"/>
        <v>-785.66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f>--798.88</f>
        <v>798.88</v>
      </c>
      <c r="U18" s="2"/>
      <c r="V18" s="19"/>
      <c r="W18" s="2"/>
      <c r="X18" s="2">
        <f t="shared" si="2"/>
        <v>-798.88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--242.29</f>
        <v>242.29</v>
      </c>
      <c r="E19" s="2"/>
      <c r="F19" s="19"/>
      <c r="G19" s="2"/>
      <c r="H19" s="2">
        <f>--772.36</f>
        <v>772.36</v>
      </c>
      <c r="I19" s="2"/>
      <c r="J19" s="19"/>
      <c r="K19" s="2"/>
      <c r="L19" s="2">
        <f t="shared" si="0"/>
        <v>-530.07000000000005</v>
      </c>
      <c r="M19" s="2"/>
      <c r="N19" s="19">
        <f t="shared" si="1"/>
        <v>-0.68629913511833862</v>
      </c>
      <c r="O19" s="11"/>
      <c r="P19" s="2">
        <f>--1172.81</f>
        <v>1172.81</v>
      </c>
      <c r="Q19" s="2"/>
      <c r="R19" s="19"/>
      <c r="S19" s="2"/>
      <c r="T19" s="2">
        <f>--2282.25</f>
        <v>2282.25</v>
      </c>
      <c r="U19" s="2"/>
      <c r="V19" s="19"/>
      <c r="W19" s="2"/>
      <c r="X19" s="2">
        <f t="shared" si="2"/>
        <v>-1109.44</v>
      </c>
      <c r="Y19" s="2"/>
      <c r="Z19" s="19">
        <f t="shared" si="3"/>
        <v>-0.48611677073063864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--31.84</f>
        <v>31.84</v>
      </c>
      <c r="E20" s="2"/>
      <c r="F20" s="19"/>
      <c r="G20" s="2"/>
      <c r="H20" s="2">
        <f>--51.77</f>
        <v>51.77</v>
      </c>
      <c r="I20" s="2"/>
      <c r="J20" s="19"/>
      <c r="K20" s="2"/>
      <c r="L20" s="2">
        <f t="shared" si="0"/>
        <v>-19.930000000000003</v>
      </c>
      <c r="M20" s="2"/>
      <c r="N20" s="19">
        <f t="shared" si="1"/>
        <v>-0.38497199150086925</v>
      </c>
      <c r="O20" s="11"/>
      <c r="P20" s="2">
        <f>--411.88</f>
        <v>411.88</v>
      </c>
      <c r="Q20" s="2"/>
      <c r="R20" s="19"/>
      <c r="S20" s="2"/>
      <c r="T20" s="2">
        <f>--1151.94</f>
        <v>1151.94</v>
      </c>
      <c r="U20" s="2"/>
      <c r="V20" s="19"/>
      <c r="W20" s="2"/>
      <c r="X20" s="2">
        <f t="shared" si="2"/>
        <v>-740.06000000000006</v>
      </c>
      <c r="Y20" s="2"/>
      <c r="Z20" s="19">
        <f t="shared" si="3"/>
        <v>-0.64244665520773658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0</f>
        <v>0</v>
      </c>
      <c r="E21" s="2"/>
      <c r="F21" s="19"/>
      <c r="G21" s="2"/>
      <c r="H21" s="2">
        <f>--16.47</f>
        <v>16.47</v>
      </c>
      <c r="I21" s="2"/>
      <c r="J21" s="19"/>
      <c r="K21" s="2"/>
      <c r="L21" s="2">
        <f t="shared" si="0"/>
        <v>-16.47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--271.59</f>
        <v>271.58999999999997</v>
      </c>
      <c r="U21" s="2"/>
      <c r="V21" s="19"/>
      <c r="W21" s="2"/>
      <c r="X21" s="2">
        <f t="shared" si="2"/>
        <v>-271.58999999999997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--41.7</f>
        <v>41.7</v>
      </c>
      <c r="E22" s="2"/>
      <c r="F22" s="19"/>
      <c r="G22" s="2"/>
      <c r="H22" s="2">
        <f>--469.81</f>
        <v>469.81</v>
      </c>
      <c r="I22" s="2"/>
      <c r="J22" s="19"/>
      <c r="K22" s="2"/>
      <c r="L22" s="2">
        <f t="shared" si="0"/>
        <v>-428.11</v>
      </c>
      <c r="M22" s="2"/>
      <c r="N22" s="19">
        <f t="shared" si="1"/>
        <v>-0.91124071433132547</v>
      </c>
      <c r="O22" s="11"/>
      <c r="P22" s="2">
        <f>--332.84</f>
        <v>332.84</v>
      </c>
      <c r="Q22" s="2"/>
      <c r="R22" s="19"/>
      <c r="S22" s="2"/>
      <c r="T22" s="2">
        <f>--4097.71</f>
        <v>4097.71</v>
      </c>
      <c r="U22" s="2"/>
      <c r="V22" s="19"/>
      <c r="W22" s="2"/>
      <c r="X22" s="2">
        <f t="shared" si="2"/>
        <v>-3764.87</v>
      </c>
      <c r="Y22" s="2"/>
      <c r="Z22" s="19">
        <f t="shared" si="3"/>
        <v>-0.91877414458319395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ref="D23:D24" si="5">0</f>
        <v>0</v>
      </c>
      <c r="E23" s="2"/>
      <c r="F23" s="19"/>
      <c r="G23" s="2"/>
      <c r="H23" s="2">
        <f>--8.97</f>
        <v>8.9700000000000006</v>
      </c>
      <c r="I23" s="2"/>
      <c r="J23" s="19"/>
      <c r="K23" s="2"/>
      <c r="L23" s="2">
        <f t="shared" si="0"/>
        <v>-8.9700000000000006</v>
      </c>
      <c r="M23" s="2"/>
      <c r="N23" s="19">
        <f t="shared" si="1"/>
        <v>-1</v>
      </c>
      <c r="O23" s="11"/>
      <c r="P23" s="2">
        <f t="shared" ref="P23:P24" si="6">0</f>
        <v>0</v>
      </c>
      <c r="Q23" s="2"/>
      <c r="R23" s="19"/>
      <c r="S23" s="2"/>
      <c r="T23" s="2">
        <f>--42.85</f>
        <v>42.85</v>
      </c>
      <c r="U23" s="2"/>
      <c r="V23" s="19"/>
      <c r="W23" s="2"/>
      <c r="X23" s="2">
        <f t="shared" si="2"/>
        <v>-42.85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5"/>
        <v>0</v>
      </c>
      <c r="E24" s="2"/>
      <c r="F24" s="19"/>
      <c r="G24" s="2"/>
      <c r="H24" s="2">
        <f>--11343.24</f>
        <v>11343.24</v>
      </c>
      <c r="I24" s="2"/>
      <c r="J24" s="19"/>
      <c r="K24" s="2"/>
      <c r="L24" s="2">
        <f t="shared" si="0"/>
        <v>-11343.24</v>
      </c>
      <c r="M24" s="2"/>
      <c r="N24" s="19">
        <f t="shared" si="1"/>
        <v>-1</v>
      </c>
      <c r="O24" s="11"/>
      <c r="P24" s="2">
        <f t="shared" si="6"/>
        <v>0</v>
      </c>
      <c r="Q24" s="2"/>
      <c r="R24" s="19"/>
      <c r="S24" s="2"/>
      <c r="T24" s="2">
        <f>--51783.69</f>
        <v>51783.69</v>
      </c>
      <c r="U24" s="2"/>
      <c r="V24" s="19"/>
      <c r="W24" s="2"/>
      <c r="X24" s="2">
        <f t="shared" si="2"/>
        <v>-51783.69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--41.38</f>
        <v>41.38</v>
      </c>
      <c r="E25" s="2"/>
      <c r="F25" s="19"/>
      <c r="G25" s="2"/>
      <c r="H25" s="2">
        <f>--11784.71</f>
        <v>11784.71</v>
      </c>
      <c r="I25" s="2"/>
      <c r="J25" s="19"/>
      <c r="K25" s="2"/>
      <c r="L25" s="2">
        <f t="shared" si="0"/>
        <v>-11743.33</v>
      </c>
      <c r="M25" s="2"/>
      <c r="N25" s="19">
        <f t="shared" si="1"/>
        <v>-0.99648867048913392</v>
      </c>
      <c r="O25" s="11"/>
      <c r="P25" s="2">
        <f>--448.38</f>
        <v>448.38</v>
      </c>
      <c r="Q25" s="2"/>
      <c r="R25" s="19"/>
      <c r="S25" s="2"/>
      <c r="T25" s="2">
        <f>--75474.2</f>
        <v>75474.2</v>
      </c>
      <c r="U25" s="2"/>
      <c r="V25" s="19"/>
      <c r="W25" s="2"/>
      <c r="X25" s="2">
        <f t="shared" si="2"/>
        <v>-75025.819999999992</v>
      </c>
      <c r="Y25" s="2"/>
      <c r="Z25" s="19">
        <f t="shared" si="3"/>
        <v>-0.99405916193878163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--5808.1</f>
        <v>5808.1</v>
      </c>
      <c r="E26" s="2"/>
      <c r="F26" s="19"/>
      <c r="G26" s="2"/>
      <c r="H26" s="2">
        <f>--30046.01</f>
        <v>30046.01</v>
      </c>
      <c r="I26" s="2"/>
      <c r="J26" s="19"/>
      <c r="K26" s="2"/>
      <c r="L26" s="2">
        <f t="shared" si="0"/>
        <v>-24237.909999999996</v>
      </c>
      <c r="M26" s="2"/>
      <c r="N26" s="19">
        <f t="shared" si="1"/>
        <v>-0.80669313496201323</v>
      </c>
      <c r="O26" s="11"/>
      <c r="P26" s="2">
        <f>--54484.32</f>
        <v>54484.32</v>
      </c>
      <c r="Q26" s="2"/>
      <c r="R26" s="19"/>
      <c r="S26" s="2"/>
      <c r="T26" s="2">
        <f>--261693.33</f>
        <v>261693.33</v>
      </c>
      <c r="U26" s="2"/>
      <c r="V26" s="19"/>
      <c r="W26" s="2"/>
      <c r="X26" s="2">
        <f t="shared" si="2"/>
        <v>-207209.00999999998</v>
      </c>
      <c r="Y26" s="2"/>
      <c r="Z26" s="19">
        <f t="shared" si="3"/>
        <v>-0.79180088388190861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--1924.8</f>
        <v>1924.8</v>
      </c>
      <c r="E27" s="2"/>
      <c r="F27" s="19"/>
      <c r="G27" s="2"/>
      <c r="H27" s="2">
        <f>--42663.45</f>
        <v>42663.45</v>
      </c>
      <c r="I27" s="2"/>
      <c r="J27" s="19"/>
      <c r="K27" s="2"/>
      <c r="L27" s="2">
        <f t="shared" si="0"/>
        <v>-40738.649999999994</v>
      </c>
      <c r="M27" s="2"/>
      <c r="N27" s="19">
        <f t="shared" si="1"/>
        <v>-0.95488409868400226</v>
      </c>
      <c r="O27" s="11"/>
      <c r="P27" s="2">
        <f>--40876.62</f>
        <v>40876.620000000003</v>
      </c>
      <c r="Q27" s="2"/>
      <c r="R27" s="19"/>
      <c r="S27" s="2"/>
      <c r="T27" s="2">
        <f>--275336.23</f>
        <v>275336.23</v>
      </c>
      <c r="U27" s="2"/>
      <c r="V27" s="19"/>
      <c r="W27" s="2"/>
      <c r="X27" s="2">
        <f t="shared" si="2"/>
        <v>-234459.61</v>
      </c>
      <c r="Y27" s="2"/>
      <c r="Z27" s="19">
        <f t="shared" si="3"/>
        <v>-0.85153926165110927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--593.6</f>
        <v>593.6</v>
      </c>
      <c r="E28" s="2"/>
      <c r="F28" s="19"/>
      <c r="G28" s="2"/>
      <c r="H28" s="2">
        <f>--92.07</f>
        <v>92.07</v>
      </c>
      <c r="I28" s="2"/>
      <c r="J28" s="19"/>
      <c r="K28" s="2"/>
      <c r="L28" s="2">
        <f t="shared" si="0"/>
        <v>501.53000000000003</v>
      </c>
      <c r="M28" s="2"/>
      <c r="N28" s="19">
        <f t="shared" si="1"/>
        <v>5.4472683827522541</v>
      </c>
      <c r="O28" s="11"/>
      <c r="P28" s="2">
        <f>--3180.84</f>
        <v>3180.84</v>
      </c>
      <c r="Q28" s="2"/>
      <c r="R28" s="19"/>
      <c r="S28" s="2"/>
      <c r="T28" s="2">
        <f>--442.04</f>
        <v>442.04</v>
      </c>
      <c r="U28" s="2"/>
      <c r="V28" s="19"/>
      <c r="W28" s="2"/>
      <c r="X28" s="2">
        <f t="shared" si="2"/>
        <v>2738.8</v>
      </c>
      <c r="Y28" s="2"/>
      <c r="Z28" s="19">
        <f t="shared" si="3"/>
        <v>6.1958193828612798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ref="D29:D33" si="7">0</f>
        <v>0</v>
      </c>
      <c r="E29" s="2"/>
      <c r="F29" s="19"/>
      <c r="G29" s="2"/>
      <c r="H29" s="2">
        <f>--45955.75</f>
        <v>45955.75</v>
      </c>
      <c r="I29" s="2"/>
      <c r="J29" s="19"/>
      <c r="K29" s="2"/>
      <c r="L29" s="2">
        <f t="shared" si="0"/>
        <v>-45955.75</v>
      </c>
      <c r="M29" s="2"/>
      <c r="N29" s="19">
        <f t="shared" si="1"/>
        <v>-1</v>
      </c>
      <c r="O29" s="11"/>
      <c r="P29" s="2">
        <f>--444.59</f>
        <v>444.59</v>
      </c>
      <c r="Q29" s="2"/>
      <c r="R29" s="19"/>
      <c r="S29" s="2"/>
      <c r="T29" s="2">
        <f>--258470.62</f>
        <v>258470.62</v>
      </c>
      <c r="U29" s="2"/>
      <c r="V29" s="19"/>
      <c r="W29" s="2"/>
      <c r="X29" s="2">
        <f t="shared" si="2"/>
        <v>-258026.03</v>
      </c>
      <c r="Y29" s="2"/>
      <c r="Z29" s="19">
        <f t="shared" si="3"/>
        <v>-0.99827992055731518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7"/>
        <v>0</v>
      </c>
      <c r="E30" s="2"/>
      <c r="F30" s="19"/>
      <c r="G30" s="2"/>
      <c r="H30" s="2">
        <f>--33.83</f>
        <v>33.83</v>
      </c>
      <c r="I30" s="2"/>
      <c r="J30" s="19"/>
      <c r="K30" s="2"/>
      <c r="L30" s="2">
        <f t="shared" si="0"/>
        <v>-33.83</v>
      </c>
      <c r="M30" s="2"/>
      <c r="N30" s="19">
        <f t="shared" si="1"/>
        <v>-1</v>
      </c>
      <c r="O30" s="11"/>
      <c r="P30" s="2">
        <f>0</f>
        <v>0</v>
      </c>
      <c r="Q30" s="2"/>
      <c r="R30" s="19"/>
      <c r="S30" s="2"/>
      <c r="T30" s="2">
        <f>--179.98</f>
        <v>179.98</v>
      </c>
      <c r="U30" s="2"/>
      <c r="V30" s="19"/>
      <c r="W30" s="2"/>
      <c r="X30" s="2">
        <f t="shared" si="2"/>
        <v>-179.98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7"/>
        <v>0</v>
      </c>
      <c r="E31" s="2"/>
      <c r="F31" s="19"/>
      <c r="G31" s="2"/>
      <c r="H31" s="2">
        <f>--1908.2</f>
        <v>1908.2</v>
      </c>
      <c r="I31" s="2"/>
      <c r="J31" s="19"/>
      <c r="K31" s="2"/>
      <c r="L31" s="2">
        <f t="shared" si="0"/>
        <v>-1908.2</v>
      </c>
      <c r="M31" s="2"/>
      <c r="N31" s="19">
        <f t="shared" si="1"/>
        <v>-1</v>
      </c>
      <c r="O31" s="11"/>
      <c r="P31" s="2">
        <f>--6.78</f>
        <v>6.78</v>
      </c>
      <c r="Q31" s="2"/>
      <c r="R31" s="19"/>
      <c r="S31" s="2"/>
      <c r="T31" s="2">
        <f>--10163.45</f>
        <v>10163.450000000001</v>
      </c>
      <c r="U31" s="2"/>
      <c r="V31" s="19"/>
      <c r="W31" s="2"/>
      <c r="X31" s="2">
        <f t="shared" si="2"/>
        <v>-10156.67</v>
      </c>
      <c r="Y31" s="2"/>
      <c r="Z31" s="19">
        <f t="shared" si="3"/>
        <v>-0.99933290368919991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7"/>
        <v>0</v>
      </c>
      <c r="E32" s="2"/>
      <c r="F32" s="19"/>
      <c r="G32" s="2"/>
      <c r="H32" s="2">
        <f>--442.03</f>
        <v>442.03</v>
      </c>
      <c r="I32" s="2"/>
      <c r="J32" s="19"/>
      <c r="K32" s="2"/>
      <c r="L32" s="2">
        <f t="shared" si="0"/>
        <v>-442.03</v>
      </c>
      <c r="M32" s="2"/>
      <c r="N32" s="19">
        <f t="shared" si="1"/>
        <v>-1</v>
      </c>
      <c r="O32" s="11"/>
      <c r="P32" s="2">
        <f t="shared" ref="P32:P33" si="8">0</f>
        <v>0</v>
      </c>
      <c r="Q32" s="2"/>
      <c r="R32" s="19"/>
      <c r="S32" s="2"/>
      <c r="T32" s="2">
        <f>--1880.52</f>
        <v>1880.52</v>
      </c>
      <c r="U32" s="2"/>
      <c r="V32" s="19"/>
      <c r="W32" s="2"/>
      <c r="X32" s="2">
        <f t="shared" si="2"/>
        <v>-1880.52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7"/>
        <v>0</v>
      </c>
      <c r="E33" s="2"/>
      <c r="F33" s="19"/>
      <c r="G33" s="2"/>
      <c r="H33" s="2">
        <f>--74.61</f>
        <v>74.61</v>
      </c>
      <c r="I33" s="2"/>
      <c r="J33" s="19"/>
      <c r="K33" s="2"/>
      <c r="L33" s="2">
        <f t="shared" si="0"/>
        <v>-74.61</v>
      </c>
      <c r="M33" s="2"/>
      <c r="N33" s="19">
        <f t="shared" si="1"/>
        <v>-1</v>
      </c>
      <c r="O33" s="11"/>
      <c r="P33" s="2">
        <f t="shared" si="8"/>
        <v>0</v>
      </c>
      <c r="Q33" s="2"/>
      <c r="R33" s="19"/>
      <c r="S33" s="2"/>
      <c r="T33" s="2">
        <f>--488.71</f>
        <v>488.71</v>
      </c>
      <c r="U33" s="2"/>
      <c r="V33" s="19"/>
      <c r="W33" s="2"/>
      <c r="X33" s="2">
        <f t="shared" si="2"/>
        <v>-488.71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--73245.08</f>
        <v>73245.08</v>
      </c>
      <c r="E34" s="2"/>
      <c r="F34" s="19"/>
      <c r="G34" s="2"/>
      <c r="H34" s="2">
        <f>--197676.23</f>
        <v>197676.23</v>
      </c>
      <c r="I34" s="2"/>
      <c r="J34" s="19"/>
      <c r="K34" s="2"/>
      <c r="L34" s="2">
        <f t="shared" si="0"/>
        <v>-124431.15000000001</v>
      </c>
      <c r="M34" s="2"/>
      <c r="N34" s="19">
        <f t="shared" si="1"/>
        <v>-0.62946946124984271</v>
      </c>
      <c r="O34" s="11"/>
      <c r="P34" s="2">
        <f>--671347.98</f>
        <v>671347.98</v>
      </c>
      <c r="Q34" s="2"/>
      <c r="R34" s="19"/>
      <c r="S34" s="2"/>
      <c r="T34" s="2">
        <f>--1682295.22</f>
        <v>1682295.22</v>
      </c>
      <c r="U34" s="2"/>
      <c r="V34" s="19"/>
      <c r="W34" s="2"/>
      <c r="X34" s="2">
        <f t="shared" si="2"/>
        <v>-1010947.24</v>
      </c>
      <c r="Y34" s="2"/>
      <c r="Z34" s="19">
        <f t="shared" si="3"/>
        <v>-0.60093331300079422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--27100.04</f>
        <v>27100.04</v>
      </c>
      <c r="E35" s="2"/>
      <c r="F35" s="19"/>
      <c r="G35" s="2"/>
      <c r="H35" s="2">
        <f>--41252.71</f>
        <v>41252.71</v>
      </c>
      <c r="I35" s="2"/>
      <c r="J35" s="19"/>
      <c r="K35" s="2"/>
      <c r="L35" s="2">
        <f t="shared" si="0"/>
        <v>-14152.669999999998</v>
      </c>
      <c r="M35" s="2"/>
      <c r="N35" s="19">
        <f t="shared" si="1"/>
        <v>-0.34307249147995367</v>
      </c>
      <c r="O35" s="11"/>
      <c r="P35" s="2">
        <f>--276199.31</f>
        <v>276199.31</v>
      </c>
      <c r="Q35" s="2"/>
      <c r="R35" s="19"/>
      <c r="S35" s="2"/>
      <c r="T35" s="2">
        <f>--441821.19</f>
        <v>441821.19</v>
      </c>
      <c r="U35" s="2"/>
      <c r="V35" s="19"/>
      <c r="W35" s="2"/>
      <c r="X35" s="2">
        <f t="shared" si="2"/>
        <v>-165621.88</v>
      </c>
      <c r="Y35" s="2"/>
      <c r="Z35" s="19">
        <f t="shared" si="3"/>
        <v>-0.37486178514887436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--4794.04</f>
        <v>4794.04</v>
      </c>
      <c r="E36" s="2"/>
      <c r="F36" s="19"/>
      <c r="G36" s="2"/>
      <c r="H36" s="2">
        <f>--26570.92</f>
        <v>26570.92</v>
      </c>
      <c r="I36" s="2"/>
      <c r="J36" s="19"/>
      <c r="K36" s="2"/>
      <c r="L36" s="2">
        <f t="shared" si="0"/>
        <v>-21776.879999999997</v>
      </c>
      <c r="M36" s="2"/>
      <c r="N36" s="19">
        <f t="shared" si="1"/>
        <v>-0.81957568650238677</v>
      </c>
      <c r="O36" s="11"/>
      <c r="P36" s="2">
        <f>--78994.92</f>
        <v>78994.92</v>
      </c>
      <c r="Q36" s="2"/>
      <c r="R36" s="19"/>
      <c r="S36" s="2"/>
      <c r="T36" s="2">
        <f>--259566.14</f>
        <v>259566.14</v>
      </c>
      <c r="U36" s="2"/>
      <c r="V36" s="19"/>
      <c r="W36" s="2"/>
      <c r="X36" s="2">
        <f t="shared" si="2"/>
        <v>-180571.22000000003</v>
      </c>
      <c r="Y36" s="2"/>
      <c r="Z36" s="19">
        <f t="shared" si="3"/>
        <v>-0.69566554404977488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--6195.85</f>
        <v>6195.85</v>
      </c>
      <c r="E37" s="2"/>
      <c r="F37" s="19"/>
      <c r="G37" s="2"/>
      <c r="H37" s="2">
        <f>--53271</f>
        <v>53271</v>
      </c>
      <c r="I37" s="2"/>
      <c r="J37" s="19"/>
      <c r="K37" s="2"/>
      <c r="L37" s="2">
        <f t="shared" si="0"/>
        <v>-47075.15</v>
      </c>
      <c r="M37" s="2"/>
      <c r="N37" s="19">
        <f t="shared" si="1"/>
        <v>-0.88369187738168986</v>
      </c>
      <c r="O37" s="11"/>
      <c r="P37" s="2">
        <f>--124150.66</f>
        <v>124150.66</v>
      </c>
      <c r="Q37" s="2"/>
      <c r="R37" s="19"/>
      <c r="S37" s="2"/>
      <c r="T37" s="2">
        <f>--75901.71</f>
        <v>75901.710000000006</v>
      </c>
      <c r="U37" s="2"/>
      <c r="V37" s="19"/>
      <c r="W37" s="2"/>
      <c r="X37" s="2">
        <f t="shared" si="2"/>
        <v>48248.95</v>
      </c>
      <c r="Y37" s="2"/>
      <c r="Z37" s="19">
        <f t="shared" si="3"/>
        <v>0.63567671927285951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--2036.78</f>
        <v>2036.78</v>
      </c>
      <c r="E38" s="2"/>
      <c r="F38" s="19"/>
      <c r="G38" s="2"/>
      <c r="H38" s="2">
        <f>--9848.33</f>
        <v>9848.33</v>
      </c>
      <c r="I38" s="2"/>
      <c r="J38" s="19"/>
      <c r="K38" s="2"/>
      <c r="L38" s="2">
        <f t="shared" si="0"/>
        <v>-7811.55</v>
      </c>
      <c r="M38" s="2"/>
      <c r="N38" s="19">
        <f t="shared" si="1"/>
        <v>-0.79318524054332051</v>
      </c>
      <c r="O38" s="11"/>
      <c r="P38" s="2">
        <f>--29572.4</f>
        <v>29572.400000000001</v>
      </c>
      <c r="Q38" s="2"/>
      <c r="R38" s="19"/>
      <c r="S38" s="2"/>
      <c r="T38" s="2">
        <f>--62934.49</f>
        <v>62934.49</v>
      </c>
      <c r="U38" s="2"/>
      <c r="V38" s="19"/>
      <c r="W38" s="2"/>
      <c r="X38" s="2">
        <f t="shared" si="2"/>
        <v>-33362.089999999997</v>
      </c>
      <c r="Y38" s="2"/>
      <c r="Z38" s="19">
        <f t="shared" si="3"/>
        <v>-0.53010821252384821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--10039.9</f>
        <v>10039.9</v>
      </c>
      <c r="E39" s="2"/>
      <c r="F39" s="19"/>
      <c r="G39" s="2"/>
      <c r="H39" s="2">
        <f>--815.01</f>
        <v>815.01</v>
      </c>
      <c r="I39" s="2"/>
      <c r="J39" s="19"/>
      <c r="K39" s="2"/>
      <c r="L39" s="2">
        <f t="shared" si="0"/>
        <v>9224.89</v>
      </c>
      <c r="M39" s="2"/>
      <c r="N39" s="19">
        <f t="shared" si="1"/>
        <v>11.31874455528153</v>
      </c>
      <c r="O39" s="11"/>
      <c r="P39" s="2">
        <f>--135489.57</f>
        <v>135489.57</v>
      </c>
      <c r="Q39" s="2"/>
      <c r="R39" s="19"/>
      <c r="S39" s="2"/>
      <c r="T39" s="2">
        <f>--70553.04</f>
        <v>70553.039999999994</v>
      </c>
      <c r="U39" s="2"/>
      <c r="V39" s="19"/>
      <c r="W39" s="2"/>
      <c r="X39" s="2">
        <f t="shared" si="2"/>
        <v>64936.530000000013</v>
      </c>
      <c r="Y39" s="2"/>
      <c r="Z39" s="19">
        <f t="shared" si="3"/>
        <v>0.92039308299117972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1" si="9">0</f>
        <v>0</v>
      </c>
      <c r="E40" s="2"/>
      <c r="F40" s="19"/>
      <c r="G40" s="2"/>
      <c r="H40" s="2">
        <f>--208.95</f>
        <v>208.95</v>
      </c>
      <c r="I40" s="2"/>
      <c r="J40" s="19"/>
      <c r="K40" s="2"/>
      <c r="L40" s="2">
        <f t="shared" si="0"/>
        <v>-208.95</v>
      </c>
      <c r="M40" s="2"/>
      <c r="N40" s="19">
        <f t="shared" si="1"/>
        <v>-1</v>
      </c>
      <c r="O40" s="11"/>
      <c r="P40" s="2">
        <f>0</f>
        <v>0</v>
      </c>
      <c r="Q40" s="2"/>
      <c r="R40" s="19"/>
      <c r="S40" s="2"/>
      <c r="T40" s="2">
        <f>--2185.99</f>
        <v>2185.9899999999998</v>
      </c>
      <c r="U40" s="2"/>
      <c r="V40" s="19"/>
      <c r="W40" s="2"/>
      <c r="X40" s="2">
        <f t="shared" si="2"/>
        <v>-2185.9899999999998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 t="shared" si="9"/>
        <v>0</v>
      </c>
      <c r="E41" s="2"/>
      <c r="F41" s="19"/>
      <c r="G41" s="2"/>
      <c r="H41" s="2">
        <f>--91985.93</f>
        <v>91985.93</v>
      </c>
      <c r="I41" s="2"/>
      <c r="J41" s="19"/>
      <c r="K41" s="2"/>
      <c r="L41" s="2">
        <f t="shared" si="0"/>
        <v>-91985.93</v>
      </c>
      <c r="M41" s="2"/>
      <c r="N41" s="19">
        <f t="shared" si="1"/>
        <v>-1</v>
      </c>
      <c r="O41" s="11"/>
      <c r="P41" s="2">
        <f>--22964.48</f>
        <v>22964.48</v>
      </c>
      <c r="Q41" s="2"/>
      <c r="R41" s="19"/>
      <c r="S41" s="2"/>
      <c r="T41" s="2">
        <f>--567184.8</f>
        <v>567184.80000000005</v>
      </c>
      <c r="U41" s="2"/>
      <c r="V41" s="19"/>
      <c r="W41" s="2"/>
      <c r="X41" s="2">
        <f t="shared" si="2"/>
        <v>-544220.32000000007</v>
      </c>
      <c r="Y41" s="2"/>
      <c r="Z41" s="19">
        <f t="shared" si="3"/>
        <v>-0.95951146786726305</v>
      </c>
    </row>
    <row r="42" spans="1:26" s="24" customFormat="1" hidden="1" outlineLevel="1" x14ac:dyDescent="0.25">
      <c r="A42" s="44"/>
      <c r="B42" s="11" t="str">
        <f>CONCATENATE("          ", "4052", " - ", "TAXABLE SALES-FOOD")</f>
        <v xml:space="preserve">          4052 - TAXABLE SALES-FOOD</v>
      </c>
      <c r="C42" s="11"/>
      <c r="D42" s="2">
        <f>--49980.95</f>
        <v>49980.95</v>
      </c>
      <c r="E42" s="2"/>
      <c r="F42" s="19"/>
      <c r="G42" s="2"/>
      <c r="H42" s="2">
        <f>--131149.86</f>
        <v>131149.85999999999</v>
      </c>
      <c r="I42" s="2"/>
      <c r="J42" s="19"/>
      <c r="K42" s="2"/>
      <c r="L42" s="2">
        <f t="shared" si="0"/>
        <v>-81168.909999999989</v>
      </c>
      <c r="M42" s="2"/>
      <c r="N42" s="19">
        <f t="shared" si="1"/>
        <v>-0.61890199501547316</v>
      </c>
      <c r="O42" s="11"/>
      <c r="P42" s="2">
        <f>--280157.8</f>
        <v>280157.8</v>
      </c>
      <c r="Q42" s="2"/>
      <c r="R42" s="19"/>
      <c r="S42" s="2"/>
      <c r="T42" s="2">
        <f>--788152.3</f>
        <v>788152.3</v>
      </c>
      <c r="U42" s="2"/>
      <c r="V42" s="19"/>
      <c r="W42" s="2"/>
      <c r="X42" s="2">
        <f t="shared" si="2"/>
        <v>-507994.50000000006</v>
      </c>
      <c r="Y42" s="2"/>
      <c r="Z42" s="19">
        <f t="shared" si="3"/>
        <v>-0.64453849846025957</v>
      </c>
    </row>
    <row r="43" spans="1:26" s="24" customFormat="1" hidden="1" outlineLevel="1" x14ac:dyDescent="0.25">
      <c r="A43" s="44"/>
      <c r="B43" s="11" t="str">
        <f>CONCATENATE("          ", "4053", " - ", "TAXABLE SALES-FOOD")</f>
        <v xml:space="preserve">          4053 - TAXABLE SALES-FOOD</v>
      </c>
      <c r="C43" s="11"/>
      <c r="D43" s="2">
        <f>--180.69</f>
        <v>180.69</v>
      </c>
      <c r="E43" s="2"/>
      <c r="F43" s="19"/>
      <c r="G43" s="2"/>
      <c r="H43" s="2">
        <f>--128356.95</f>
        <v>128356.95</v>
      </c>
      <c r="I43" s="2"/>
      <c r="J43" s="19"/>
      <c r="K43" s="2"/>
      <c r="L43" s="2">
        <f t="shared" si="0"/>
        <v>-128176.26</v>
      </c>
      <c r="M43" s="2"/>
      <c r="N43" s="19">
        <f t="shared" si="1"/>
        <v>-0.99859228503014441</v>
      </c>
      <c r="O43" s="11"/>
      <c r="P43" s="2">
        <f>--760.21</f>
        <v>760.21</v>
      </c>
      <c r="Q43" s="2"/>
      <c r="R43" s="19"/>
      <c r="S43" s="2"/>
      <c r="T43" s="2">
        <f>--244955.87</f>
        <v>244955.87</v>
      </c>
      <c r="U43" s="2"/>
      <c r="V43" s="19"/>
      <c r="W43" s="2"/>
      <c r="X43" s="2">
        <f t="shared" si="2"/>
        <v>-244195.66</v>
      </c>
      <c r="Y43" s="2"/>
      <c r="Z43" s="19">
        <f t="shared" si="3"/>
        <v>-0.99689654303854813</v>
      </c>
    </row>
    <row r="44" spans="1:26" s="24" customFormat="1" hidden="1" outlineLevel="1" x14ac:dyDescent="0.25">
      <c r="A44" s="44"/>
      <c r="B44" s="11" t="str">
        <f>CONCATENATE("          ", "4055", " - ", "TAXABLE SALES-FOOD")</f>
        <v xml:space="preserve">          4055 - TAXABLE SALES-FOOD</v>
      </c>
      <c r="C44" s="11"/>
      <c r="D44" s="2">
        <f t="shared" ref="D44:D45" si="10">0</f>
        <v>0</v>
      </c>
      <c r="E44" s="2"/>
      <c r="F44" s="19"/>
      <c r="G44" s="2"/>
      <c r="H44" s="2">
        <f>--54029.26</f>
        <v>54029.26</v>
      </c>
      <c r="I44" s="2"/>
      <c r="J44" s="19"/>
      <c r="K44" s="2"/>
      <c r="L44" s="2">
        <f t="shared" si="0"/>
        <v>-54029.26</v>
      </c>
      <c r="M44" s="2"/>
      <c r="N44" s="19">
        <f t="shared" si="1"/>
        <v>-1</v>
      </c>
      <c r="O44" s="11"/>
      <c r="P44" s="2">
        <f>0</f>
        <v>0</v>
      </c>
      <c r="Q44" s="2"/>
      <c r="R44" s="19"/>
      <c r="S44" s="2"/>
      <c r="T44" s="2">
        <f>--358216.7</f>
        <v>358216.7</v>
      </c>
      <c r="U44" s="2"/>
      <c r="V44" s="19"/>
      <c r="W44" s="2"/>
      <c r="X44" s="2">
        <f t="shared" si="2"/>
        <v>-358216.7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"4058", " - ", "TAXABLE SALES-FOOD")</f>
        <v xml:space="preserve">          4058 - TAXABLE SALES-FOOD</v>
      </c>
      <c r="C45" s="11"/>
      <c r="D45" s="2">
        <f t="shared" si="10"/>
        <v>0</v>
      </c>
      <c r="E45" s="2"/>
      <c r="F45" s="19"/>
      <c r="G45" s="2"/>
      <c r="H45" s="2">
        <f>--15335.14</f>
        <v>15335.14</v>
      </c>
      <c r="I45" s="2"/>
      <c r="J45" s="19"/>
      <c r="K45" s="2"/>
      <c r="L45" s="2">
        <f t="shared" si="0"/>
        <v>-15335.14</v>
      </c>
      <c r="M45" s="2"/>
      <c r="N45" s="19">
        <f t="shared" si="1"/>
        <v>-1</v>
      </c>
      <c r="O45" s="11"/>
      <c r="P45" s="2">
        <f>--974.91</f>
        <v>974.91</v>
      </c>
      <c r="Q45" s="2"/>
      <c r="R45" s="19"/>
      <c r="S45" s="2"/>
      <c r="T45" s="2">
        <f>--110971.24</f>
        <v>110971.24</v>
      </c>
      <c r="U45" s="2"/>
      <c r="V45" s="19"/>
      <c r="W45" s="2"/>
      <c r="X45" s="2">
        <f t="shared" si="2"/>
        <v>-109996.33</v>
      </c>
      <c r="Y45" s="2"/>
      <c r="Z45" s="19">
        <f t="shared" si="3"/>
        <v>-0.99121475077686794</v>
      </c>
    </row>
    <row r="46" spans="1:26" s="24" customFormat="1" hidden="1" outlineLevel="1" x14ac:dyDescent="0.25">
      <c r="A46" s="44"/>
      <c r="B46" s="11" t="str">
        <f>CONCATENATE("          ", "4081", " - ", "TAXABLE SALES-ELECTRONICS")</f>
        <v xml:space="preserve">          4081 - TAXABLE SALES-ELECTRONICS</v>
      </c>
      <c r="C46" s="11"/>
      <c r="D46" s="2">
        <f>--64.79</f>
        <v>64.790000000000006</v>
      </c>
      <c r="E46" s="2"/>
      <c r="F46" s="19"/>
      <c r="G46" s="2"/>
      <c r="H46" s="2">
        <f>--25041.87</f>
        <v>25041.87</v>
      </c>
      <c r="I46" s="2"/>
      <c r="J46" s="19"/>
      <c r="K46" s="2"/>
      <c r="L46" s="2">
        <f t="shared" si="0"/>
        <v>-24977.079999999998</v>
      </c>
      <c r="M46" s="2"/>
      <c r="N46" s="19">
        <f t="shared" si="1"/>
        <v>-0.99741273315451273</v>
      </c>
      <c r="O46" s="11"/>
      <c r="P46" s="2">
        <f>--59334.8</f>
        <v>59334.8</v>
      </c>
      <c r="Q46" s="2"/>
      <c r="R46" s="19"/>
      <c r="S46" s="2"/>
      <c r="T46" s="2">
        <f>--299332.15</f>
        <v>299332.15000000002</v>
      </c>
      <c r="U46" s="2"/>
      <c r="V46" s="19"/>
      <c r="W46" s="2"/>
      <c r="X46" s="2">
        <f t="shared" si="2"/>
        <v>-239997.35000000003</v>
      </c>
      <c r="Y46" s="2"/>
      <c r="Z46" s="19">
        <f t="shared" si="3"/>
        <v>-0.80177605379174943</v>
      </c>
    </row>
    <row r="47" spans="1:26" s="24" customFormat="1" hidden="1" outlineLevel="1" x14ac:dyDescent="0.25">
      <c r="A47" s="44"/>
      <c r="B47" s="11" t="str">
        <f>CONCATENATE("          ", "4082", " - ", "TAXABLE SALES-COMPUTER HARDWAR")</f>
        <v xml:space="preserve">          4082 - TAXABLE SALES-COMPUTER HARDWAR</v>
      </c>
      <c r="C47" s="11"/>
      <c r="D47" s="2">
        <f>--165815.3</f>
        <v>165815.29999999999</v>
      </c>
      <c r="E47" s="2"/>
      <c r="F47" s="19"/>
      <c r="G47" s="2"/>
      <c r="H47" s="2">
        <f>--76509.05</f>
        <v>76509.05</v>
      </c>
      <c r="I47" s="2"/>
      <c r="J47" s="19"/>
      <c r="K47" s="2"/>
      <c r="L47" s="2">
        <f t="shared" si="0"/>
        <v>89306.249999999985</v>
      </c>
      <c r="M47" s="2"/>
      <c r="N47" s="19">
        <f t="shared" si="1"/>
        <v>1.1672638727052549</v>
      </c>
      <c r="O47" s="11"/>
      <c r="P47" s="2">
        <f>--1250838.47</f>
        <v>1250838.47</v>
      </c>
      <c r="Q47" s="2"/>
      <c r="R47" s="19"/>
      <c r="S47" s="2"/>
      <c r="T47" s="2">
        <f>--1583841.53</f>
        <v>1583841.53</v>
      </c>
      <c r="U47" s="2"/>
      <c r="V47" s="19"/>
      <c r="W47" s="2"/>
      <c r="X47" s="2">
        <f t="shared" si="2"/>
        <v>-333003.06000000006</v>
      </c>
      <c r="Y47" s="2"/>
      <c r="Z47" s="19">
        <f t="shared" si="3"/>
        <v>-0.21025023886070221</v>
      </c>
    </row>
    <row r="48" spans="1:26" s="24" customFormat="1" hidden="1" outlineLevel="1" x14ac:dyDescent="0.25">
      <c r="A48" s="44"/>
      <c r="B48" s="11" t="str">
        <f>CONCATENATE("          ", "4083", " - ", "TAXABLE SALES-COMPUTER EQUIPME")</f>
        <v xml:space="preserve">          4083 - TAXABLE SALES-COMPUTER EQUIPME</v>
      </c>
      <c r="C48" s="11"/>
      <c r="D48" s="2">
        <f>--3521.24</f>
        <v>3521.24</v>
      </c>
      <c r="E48" s="2"/>
      <c r="F48" s="19"/>
      <c r="G48" s="2"/>
      <c r="H48" s="2">
        <f>--10952.82</f>
        <v>10952.82</v>
      </c>
      <c r="I48" s="2"/>
      <c r="J48" s="19"/>
      <c r="K48" s="2"/>
      <c r="L48" s="2">
        <f t="shared" si="0"/>
        <v>-7431.58</v>
      </c>
      <c r="M48" s="2"/>
      <c r="N48" s="19">
        <f t="shared" si="1"/>
        <v>-0.67850836588202856</v>
      </c>
      <c r="O48" s="11"/>
      <c r="P48" s="2">
        <f>--96808.82</f>
        <v>96808.82</v>
      </c>
      <c r="Q48" s="2"/>
      <c r="R48" s="19"/>
      <c r="S48" s="2"/>
      <c r="T48" s="2">
        <f>--96131.44</f>
        <v>96131.44</v>
      </c>
      <c r="U48" s="2"/>
      <c r="V48" s="19"/>
      <c r="W48" s="2"/>
      <c r="X48" s="2">
        <f t="shared" si="2"/>
        <v>677.38000000000466</v>
      </c>
      <c r="Y48" s="2"/>
      <c r="Z48" s="19">
        <f t="shared" si="3"/>
        <v>7.0463939789105895E-3</v>
      </c>
    </row>
    <row r="49" spans="1:26" s="24" customFormat="1" hidden="1" outlineLevel="1" x14ac:dyDescent="0.25">
      <c r="A49" s="44"/>
      <c r="B49" s="11" t="str">
        <f>CONCATENATE("          ", "4084", " - ", "TAXABLE SALES-SOFTWARE LICENSE")</f>
        <v xml:space="preserve">          4084 - TAXABLE SALES-SOFTWARE LICENSE</v>
      </c>
      <c r="C49" s="11"/>
      <c r="D49" s="2">
        <f t="shared" ref="D49:D50" si="11">0</f>
        <v>0</v>
      </c>
      <c r="E49" s="2"/>
      <c r="F49" s="19"/>
      <c r="G49" s="2"/>
      <c r="H49" s="2">
        <f>0</f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0</f>
        <v>0</v>
      </c>
      <c r="Q49" s="2"/>
      <c r="R49" s="19"/>
      <c r="S49" s="2"/>
      <c r="T49" s="2">
        <f>--129</f>
        <v>129</v>
      </c>
      <c r="U49" s="2"/>
      <c r="V49" s="19"/>
      <c r="W49" s="2"/>
      <c r="X49" s="2">
        <f t="shared" si="2"/>
        <v>-129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"4085", " - ", "TAXABLE SALES-SOFTWARE")</f>
        <v xml:space="preserve">          4085 - TAXABLE SALES-SOFTWARE</v>
      </c>
      <c r="C50" s="11"/>
      <c r="D50" s="2">
        <f t="shared" si="11"/>
        <v>0</v>
      </c>
      <c r="E50" s="2"/>
      <c r="F50" s="19"/>
      <c r="G50" s="2"/>
      <c r="H50" s="2">
        <f>--149.99</f>
        <v>149.99</v>
      </c>
      <c r="I50" s="2"/>
      <c r="J50" s="19"/>
      <c r="K50" s="2"/>
      <c r="L50" s="2">
        <f t="shared" si="0"/>
        <v>-149.99</v>
      </c>
      <c r="M50" s="2"/>
      <c r="N50" s="19">
        <f t="shared" si="1"/>
        <v>-1</v>
      </c>
      <c r="O50" s="11"/>
      <c r="P50" s="2">
        <f>--2878.93</f>
        <v>2878.93</v>
      </c>
      <c r="Q50" s="2"/>
      <c r="R50" s="19"/>
      <c r="S50" s="2"/>
      <c r="T50" s="2">
        <f>--4557.93</f>
        <v>4557.93</v>
      </c>
      <c r="U50" s="2"/>
      <c r="V50" s="19"/>
      <c r="W50" s="2"/>
      <c r="X50" s="2">
        <f t="shared" si="2"/>
        <v>-1679.0000000000005</v>
      </c>
      <c r="Y50" s="2"/>
      <c r="Z50" s="19">
        <f t="shared" si="3"/>
        <v>-0.3683689745125529</v>
      </c>
    </row>
    <row r="51" spans="1:26" s="24" customFormat="1" hidden="1" outlineLevel="1" x14ac:dyDescent="0.25">
      <c r="A51" s="44"/>
      <c r="B51" s="11" t="str">
        <f>CONCATENATE("          ", "4086", " - ", "TAXABLE SALES-COMPUTER SUPPLIE")</f>
        <v xml:space="preserve">          4086 - TAXABLE SALES-COMPUTER SUPPLIE</v>
      </c>
      <c r="C51" s="11"/>
      <c r="D51" s="2">
        <f>--1077.33</f>
        <v>1077.33</v>
      </c>
      <c r="E51" s="2"/>
      <c r="F51" s="19"/>
      <c r="G51" s="2"/>
      <c r="H51" s="2">
        <f>--5885.2</f>
        <v>5885.2</v>
      </c>
      <c r="I51" s="2"/>
      <c r="J51" s="19"/>
      <c r="K51" s="2"/>
      <c r="L51" s="2">
        <f t="shared" si="0"/>
        <v>-4807.87</v>
      </c>
      <c r="M51" s="2"/>
      <c r="N51" s="19">
        <f t="shared" si="1"/>
        <v>-0.81694249983008227</v>
      </c>
      <c r="O51" s="11"/>
      <c r="P51" s="2">
        <f>--58947.17</f>
        <v>58947.17</v>
      </c>
      <c r="Q51" s="2"/>
      <c r="R51" s="19"/>
      <c r="S51" s="2"/>
      <c r="T51" s="2">
        <f>--47022.07</f>
        <v>47022.07</v>
      </c>
      <c r="U51" s="2"/>
      <c r="V51" s="19"/>
      <c r="W51" s="2"/>
      <c r="X51" s="2">
        <f t="shared" si="2"/>
        <v>11925.099999999999</v>
      </c>
      <c r="Y51" s="2"/>
      <c r="Z51" s="19">
        <f t="shared" si="3"/>
        <v>0.25360644480347205</v>
      </c>
    </row>
    <row r="52" spans="1:26" s="24" customFormat="1" hidden="1" outlineLevel="1" x14ac:dyDescent="0.25">
      <c r="A52" s="44"/>
      <c r="B52" s="11" t="str">
        <f>CONCATENATE("          ", "4088", " - ", "TAXABLE SALES-MUSIC")</f>
        <v xml:space="preserve">          4088 - TAXABLE SALES-MUSIC</v>
      </c>
      <c r="C52" s="11"/>
      <c r="D52" s="2">
        <f t="shared" ref="D52:D53" si="12">0</f>
        <v>0</v>
      </c>
      <c r="E52" s="2"/>
      <c r="F52" s="19"/>
      <c r="G52" s="2"/>
      <c r="H52" s="2">
        <f>--38.96</f>
        <v>38.96</v>
      </c>
      <c r="I52" s="2"/>
      <c r="J52" s="19"/>
      <c r="K52" s="2"/>
      <c r="L52" s="2">
        <f t="shared" si="0"/>
        <v>-38.96</v>
      </c>
      <c r="M52" s="2"/>
      <c r="N52" s="19">
        <f t="shared" si="1"/>
        <v>-1</v>
      </c>
      <c r="O52" s="11"/>
      <c r="P52" s="2">
        <f t="shared" ref="P52:P53" si="13">0</f>
        <v>0</v>
      </c>
      <c r="Q52" s="2"/>
      <c r="R52" s="19"/>
      <c r="S52" s="2"/>
      <c r="T52" s="2">
        <f>--1094.84</f>
        <v>1094.8399999999999</v>
      </c>
      <c r="U52" s="2"/>
      <c r="V52" s="19"/>
      <c r="W52" s="2"/>
      <c r="X52" s="2">
        <f t="shared" si="2"/>
        <v>-1094.8399999999999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"4092", " - ", "TAXABLE SALES-GRAD MERCH")</f>
        <v xml:space="preserve">          4092 - TAXABLE SALES-GRAD MERCH</v>
      </c>
      <c r="C53" s="11"/>
      <c r="D53" s="2">
        <f t="shared" si="12"/>
        <v>0</v>
      </c>
      <c r="E53" s="2"/>
      <c r="F53" s="19"/>
      <c r="G53" s="2"/>
      <c r="H53" s="2">
        <f t="shared" ref="H53:H54" si="14"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 t="shared" si="13"/>
        <v>0</v>
      </c>
      <c r="Q53" s="2"/>
      <c r="R53" s="19"/>
      <c r="S53" s="2"/>
      <c r="T53" s="2">
        <f>--7659.37</f>
        <v>7659.37</v>
      </c>
      <c r="U53" s="2"/>
      <c r="V53" s="19"/>
      <c r="W53" s="2"/>
      <c r="X53" s="2">
        <f t="shared" si="2"/>
        <v>-7659.37</v>
      </c>
      <c r="Y53" s="2"/>
      <c r="Z53" s="19">
        <f t="shared" si="3"/>
        <v>-1</v>
      </c>
    </row>
    <row r="54" spans="1:26" s="24" customFormat="1" hidden="1" outlineLevel="1" x14ac:dyDescent="0.25">
      <c r="A54" s="44"/>
      <c r="B54" s="11" t="str">
        <f>CONCATENATE("          ", "4095", " - ", "TAXABLE SALES-CUSTOMER SERVICE")</f>
        <v xml:space="preserve">          4095 - TAXABLE SALES-CUSTOMER SERVICE</v>
      </c>
      <c r="C54" s="11"/>
      <c r="D54" s="2">
        <f>--139.85</f>
        <v>139.85</v>
      </c>
      <c r="E54" s="2"/>
      <c r="F54" s="19"/>
      <c r="G54" s="2"/>
      <c r="H54" s="2">
        <f t="shared" si="14"/>
        <v>0</v>
      </c>
      <c r="I54" s="2"/>
      <c r="J54" s="19"/>
      <c r="K54" s="2"/>
      <c r="L54" s="2">
        <f t="shared" si="0"/>
        <v>139.85</v>
      </c>
      <c r="M54" s="2"/>
      <c r="N54" s="19">
        <f t="shared" si="1"/>
        <v>0</v>
      </c>
      <c r="O54" s="11"/>
      <c r="P54" s="2">
        <f>--139.85</f>
        <v>139.85</v>
      </c>
      <c r="Q54" s="2"/>
      <c r="R54" s="19"/>
      <c r="S54" s="2"/>
      <c r="T54" s="2">
        <f>--309.26</f>
        <v>309.26</v>
      </c>
      <c r="U54" s="2"/>
      <c r="V54" s="19"/>
      <c r="W54" s="2"/>
      <c r="X54" s="2">
        <f t="shared" si="2"/>
        <v>-169.41</v>
      </c>
      <c r="Y54" s="2"/>
      <c r="Z54" s="19">
        <f t="shared" si="3"/>
        <v>-0.54779150229580287</v>
      </c>
    </row>
    <row r="55" spans="1:26" s="24" customFormat="1" hidden="1" outlineLevel="1" x14ac:dyDescent="0.25">
      <c r="A55" s="44"/>
      <c r="B55" s="11" t="str">
        <f>CONCATENATE("          ", "4100", " - ", "NON-TAXABLE SALES")</f>
        <v xml:space="preserve">          4100 - NON-TAXABLE SALES</v>
      </c>
      <c r="C55" s="11"/>
      <c r="D55" s="2">
        <f>--28215.7</f>
        <v>28215.7</v>
      </c>
      <c r="E55" s="2"/>
      <c r="F55" s="19"/>
      <c r="G55" s="2"/>
      <c r="H55" s="2">
        <f>--167054.96</f>
        <v>167054.96</v>
      </c>
      <c r="I55" s="2"/>
      <c r="J55" s="19"/>
      <c r="K55" s="2"/>
      <c r="L55" s="2">
        <f t="shared" si="0"/>
        <v>-138839.25999999998</v>
      </c>
      <c r="M55" s="2"/>
      <c r="N55" s="19">
        <f t="shared" si="1"/>
        <v>-0.8310992980992602</v>
      </c>
      <c r="O55" s="11"/>
      <c r="P55" s="2">
        <f>--676427.56</f>
        <v>676427.56</v>
      </c>
      <c r="Q55" s="2"/>
      <c r="R55" s="19"/>
      <c r="S55" s="2"/>
      <c r="T55" s="2">
        <f>--908920.12</f>
        <v>908920.12</v>
      </c>
      <c r="U55" s="2"/>
      <c r="V55" s="19"/>
      <c r="W55" s="2"/>
      <c r="X55" s="2">
        <f t="shared" si="2"/>
        <v>-232492.55999999994</v>
      </c>
      <c r="Y55" s="2"/>
      <c r="Z55" s="19">
        <f t="shared" si="3"/>
        <v>-0.2557898707314345</v>
      </c>
    </row>
    <row r="56" spans="1:26" s="24" customFormat="1" hidden="1" outlineLevel="1" x14ac:dyDescent="0.25">
      <c r="A56" s="44"/>
      <c r="B56" s="11" t="str">
        <f>CONCATENATE("          ", "4101", " - ", "NON-TAXABLE SALES-NEW TEXT")</f>
        <v xml:space="preserve">          4101 - NON-TAXABLE SALES-NEW TEXT</v>
      </c>
      <c r="C56" s="11"/>
      <c r="D56" s="2">
        <f>--6785.91</f>
        <v>6785.91</v>
      </c>
      <c r="E56" s="2"/>
      <c r="F56" s="19"/>
      <c r="G56" s="2"/>
      <c r="H56" s="2">
        <f>--7332.54</f>
        <v>7332.54</v>
      </c>
      <c r="I56" s="2"/>
      <c r="J56" s="19"/>
      <c r="K56" s="2"/>
      <c r="L56" s="2">
        <f t="shared" si="0"/>
        <v>-546.63000000000011</v>
      </c>
      <c r="M56" s="2"/>
      <c r="N56" s="19">
        <f t="shared" si="1"/>
        <v>-7.45485193398195E-2</v>
      </c>
      <c r="O56" s="11"/>
      <c r="P56" s="2">
        <f>--111011.54</f>
        <v>111011.54</v>
      </c>
      <c r="Q56" s="2"/>
      <c r="R56" s="19"/>
      <c r="S56" s="2"/>
      <c r="T56" s="2">
        <f>--139737.77</f>
        <v>139737.76999999999</v>
      </c>
      <c r="U56" s="2"/>
      <c r="V56" s="19"/>
      <c r="W56" s="2"/>
      <c r="X56" s="2">
        <f t="shared" si="2"/>
        <v>-28726.229999999996</v>
      </c>
      <c r="Y56" s="2"/>
      <c r="Z56" s="19">
        <f t="shared" si="3"/>
        <v>-0.20557240894856127</v>
      </c>
    </row>
    <row r="57" spans="1:26" s="24" customFormat="1" hidden="1" outlineLevel="1" x14ac:dyDescent="0.25">
      <c r="A57" s="44"/>
      <c r="B57" s="11" t="str">
        <f>CONCATENATE("          ", "4102", " - ", "NON-TAXABLE SALES-USED TEXT")</f>
        <v xml:space="preserve">          4102 - NON-TAXABLE SALES-USED TEXT</v>
      </c>
      <c r="C57" s="11"/>
      <c r="D57" s="2">
        <f>--3426.05</f>
        <v>3426.05</v>
      </c>
      <c r="E57" s="2"/>
      <c r="F57" s="19"/>
      <c r="G57" s="2"/>
      <c r="H57" s="2">
        <f>--1850.06</f>
        <v>1850.06</v>
      </c>
      <c r="I57" s="2"/>
      <c r="J57" s="19"/>
      <c r="K57" s="2"/>
      <c r="L57" s="2">
        <f t="shared" si="0"/>
        <v>1575.9900000000002</v>
      </c>
      <c r="M57" s="2"/>
      <c r="N57" s="19">
        <f t="shared" si="1"/>
        <v>0.85185885863161215</v>
      </c>
      <c r="O57" s="11"/>
      <c r="P57" s="2">
        <f>--46387.37</f>
        <v>46387.37</v>
      </c>
      <c r="Q57" s="2"/>
      <c r="R57" s="19"/>
      <c r="S57" s="2"/>
      <c r="T57" s="2">
        <f>--68466.86</f>
        <v>68466.86</v>
      </c>
      <c r="U57" s="2"/>
      <c r="V57" s="19"/>
      <c r="W57" s="2"/>
      <c r="X57" s="2">
        <f t="shared" si="2"/>
        <v>-22079.489999999998</v>
      </c>
      <c r="Y57" s="2"/>
      <c r="Z57" s="19">
        <f t="shared" si="3"/>
        <v>-0.32248433767811169</v>
      </c>
    </row>
    <row r="58" spans="1:26" s="24" customFormat="1" hidden="1" outlineLevel="1" x14ac:dyDescent="0.25">
      <c r="A58" s="44"/>
      <c r="B58" s="11" t="str">
        <f>CONCATENATE("          ", "4103", " - ", "NON-TAXABLE SALES-RENTAL TEXT")</f>
        <v xml:space="preserve">          4103 - NON-TAXABLE SALES-RENTAL TEXT</v>
      </c>
      <c r="C58" s="11"/>
      <c r="D58" s="2">
        <f>0</f>
        <v>0</v>
      </c>
      <c r="E58" s="2"/>
      <c r="F58" s="19"/>
      <c r="G58" s="2"/>
      <c r="H58" s="2">
        <f>0</f>
        <v>0</v>
      </c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--1138.95</f>
        <v>1138.95</v>
      </c>
      <c r="Q58" s="2"/>
      <c r="R58" s="19"/>
      <c r="S58" s="2"/>
      <c r="T58" s="2">
        <f>--664.97</f>
        <v>664.97</v>
      </c>
      <c r="U58" s="2"/>
      <c r="V58" s="19"/>
      <c r="W58" s="2"/>
      <c r="X58" s="2">
        <f t="shared" si="2"/>
        <v>473.98</v>
      </c>
      <c r="Y58" s="2"/>
      <c r="Z58" s="19">
        <f t="shared" si="3"/>
        <v>0.71278403537001667</v>
      </c>
    </row>
    <row r="59" spans="1:26" s="24" customFormat="1" hidden="1" outlineLevel="1" x14ac:dyDescent="0.25">
      <c r="A59" s="44"/>
      <c r="B59" s="11" t="str">
        <f>CONCATENATE("          ", "4104", " - ", "NON-TAXABLE SALES-DIGITAL TEXT")</f>
        <v xml:space="preserve">          4104 - NON-TAXABLE SALES-DIGITAL TEXT</v>
      </c>
      <c r="C59" s="11"/>
      <c r="D59" s="2">
        <f>--17705.92</f>
        <v>17705.919999999998</v>
      </c>
      <c r="E59" s="2"/>
      <c r="F59" s="19"/>
      <c r="G59" s="2"/>
      <c r="H59" s="2">
        <f>--21322.38</f>
        <v>21322.38</v>
      </c>
      <c r="I59" s="2"/>
      <c r="J59" s="19"/>
      <c r="K59" s="2"/>
      <c r="L59" s="2">
        <f t="shared" si="0"/>
        <v>-3616.4600000000028</v>
      </c>
      <c r="M59" s="2"/>
      <c r="N59" s="19">
        <f t="shared" si="1"/>
        <v>-0.16960864593914951</v>
      </c>
      <c r="O59" s="11"/>
      <c r="P59" s="2">
        <f>--475874.05</f>
        <v>475874.05</v>
      </c>
      <c r="Q59" s="2"/>
      <c r="R59" s="19"/>
      <c r="S59" s="2"/>
      <c r="T59" s="2">
        <f>--523390.34</f>
        <v>523390.34</v>
      </c>
      <c r="U59" s="2"/>
      <c r="V59" s="19"/>
      <c r="W59" s="2"/>
      <c r="X59" s="2">
        <f t="shared" si="2"/>
        <v>-47516.290000000037</v>
      </c>
      <c r="Y59" s="2"/>
      <c r="Z59" s="19">
        <f t="shared" si="3"/>
        <v>-9.0785569332441321E-2</v>
      </c>
    </row>
    <row r="60" spans="1:26" s="24" customFormat="1" hidden="1" outlineLevel="1" x14ac:dyDescent="0.25">
      <c r="A60" s="44"/>
      <c r="B60" s="11" t="str">
        <f>CONCATENATE("          ", "4111", " - ", "NON-TAXABLE SALES-NO VALUE TEX")</f>
        <v xml:space="preserve">          4111 - NON-TAXABLE SALES-NO VALUE TEX</v>
      </c>
      <c r="C60" s="11"/>
      <c r="D60" s="2">
        <f>0</f>
        <v>0</v>
      </c>
      <c r="E60" s="2"/>
      <c r="F60" s="19"/>
      <c r="G60" s="2"/>
      <c r="H60" s="2">
        <f>--1651.49</f>
        <v>1651.49</v>
      </c>
      <c r="I60" s="2"/>
      <c r="J60" s="19"/>
      <c r="K60" s="2"/>
      <c r="L60" s="2">
        <f t="shared" si="0"/>
        <v>-1651.49</v>
      </c>
      <c r="M60" s="2"/>
      <c r="N60" s="19">
        <f t="shared" si="1"/>
        <v>-1</v>
      </c>
      <c r="O60" s="11"/>
      <c r="P60" s="2">
        <f>0</f>
        <v>0</v>
      </c>
      <c r="Q60" s="2"/>
      <c r="R60" s="19"/>
      <c r="S60" s="2"/>
      <c r="T60" s="2">
        <f>--14359.99</f>
        <v>14359.99</v>
      </c>
      <c r="U60" s="2"/>
      <c r="V60" s="19"/>
      <c r="W60" s="2"/>
      <c r="X60" s="2">
        <f t="shared" si="2"/>
        <v>-14359.99</v>
      </c>
      <c r="Y60" s="2"/>
      <c r="Z60" s="19">
        <f t="shared" si="3"/>
        <v>-1</v>
      </c>
    </row>
    <row r="61" spans="1:26" s="24" customFormat="1" hidden="1" outlineLevel="1" x14ac:dyDescent="0.25">
      <c r="A61" s="44"/>
      <c r="B61" s="11" t="str">
        <f>CONCATENATE("          ", "4113", " - ", "NON-TAXABLE SALES-TRADE BOOKS")</f>
        <v xml:space="preserve">          4113 - NON-TAXABLE SALES-TRADE BOOKS</v>
      </c>
      <c r="C61" s="11"/>
      <c r="D61" s="2">
        <f>--3150</f>
        <v>3150</v>
      </c>
      <c r="E61" s="2"/>
      <c r="F61" s="19"/>
      <c r="G61" s="2"/>
      <c r="H61" s="2">
        <f>--2215.2</f>
        <v>2215.1999999999998</v>
      </c>
      <c r="I61" s="2"/>
      <c r="J61" s="19"/>
      <c r="K61" s="2"/>
      <c r="L61" s="2">
        <f t="shared" si="0"/>
        <v>934.80000000000018</v>
      </c>
      <c r="M61" s="2"/>
      <c r="N61" s="19">
        <f t="shared" si="1"/>
        <v>0.42199349945828829</v>
      </c>
      <c r="O61" s="11"/>
      <c r="P61" s="2">
        <f>--10139.25</f>
        <v>10139.25</v>
      </c>
      <c r="Q61" s="2"/>
      <c r="R61" s="19"/>
      <c r="S61" s="2"/>
      <c r="T61" s="2">
        <f>--3361.92</f>
        <v>3361.92</v>
      </c>
      <c r="U61" s="2"/>
      <c r="V61" s="19"/>
      <c r="W61" s="2"/>
      <c r="X61" s="2">
        <f t="shared" si="2"/>
        <v>6777.33</v>
      </c>
      <c r="Y61" s="2"/>
      <c r="Z61" s="19">
        <f t="shared" si="3"/>
        <v>2.0159105511136493</v>
      </c>
    </row>
    <row r="62" spans="1:26" s="24" customFormat="1" hidden="1" outlineLevel="1" x14ac:dyDescent="0.25">
      <c r="A62" s="44"/>
      <c r="B62" s="11" t="str">
        <f>CONCATENATE("          ", "4118", " - ", "NON-TAXABLE SALES-STUDY GUIDES")</f>
        <v xml:space="preserve">          4118 - NON-TAXABLE SALES-STUDY GUIDES</v>
      </c>
      <c r="C62" s="11"/>
      <c r="D62" s="2">
        <f t="shared" ref="D62:D64" si="15">0</f>
        <v>0</v>
      </c>
      <c r="E62" s="2"/>
      <c r="F62" s="19"/>
      <c r="G62" s="2"/>
      <c r="H62" s="2">
        <f>--19.99</f>
        <v>19.989999999999998</v>
      </c>
      <c r="I62" s="2"/>
      <c r="J62" s="19"/>
      <c r="K62" s="2"/>
      <c r="L62" s="2">
        <f t="shared" si="0"/>
        <v>-19.989999999999998</v>
      </c>
      <c r="M62" s="2"/>
      <c r="N62" s="19">
        <f t="shared" si="1"/>
        <v>-1</v>
      </c>
      <c r="O62" s="11"/>
      <c r="P62" s="2">
        <f>--771.73</f>
        <v>771.73</v>
      </c>
      <c r="Q62" s="2"/>
      <c r="R62" s="19"/>
      <c r="S62" s="2"/>
      <c r="T62" s="2">
        <f>--61.9</f>
        <v>61.9</v>
      </c>
      <c r="U62" s="2"/>
      <c r="V62" s="19"/>
      <c r="W62" s="2"/>
      <c r="X62" s="2">
        <f t="shared" si="2"/>
        <v>709.83</v>
      </c>
      <c r="Y62" s="2"/>
      <c r="Z62" s="19">
        <f t="shared" si="3"/>
        <v>11.467366720516964</v>
      </c>
    </row>
    <row r="63" spans="1:26" s="24" customFormat="1" hidden="1" outlineLevel="1" x14ac:dyDescent="0.25">
      <c r="A63" s="44"/>
      <c r="B63" s="11" t="str">
        <f>CONCATENATE("          ", "4125", " - ", "NON-TAXABLE SALES-TEST FORMS")</f>
        <v xml:space="preserve">          4125 - NON-TAXABLE SALES-TEST FORMS</v>
      </c>
      <c r="C63" s="11"/>
      <c r="D63" s="2">
        <f t="shared" si="15"/>
        <v>0</v>
      </c>
      <c r="E63" s="2"/>
      <c r="F63" s="19"/>
      <c r="G63" s="2"/>
      <c r="H63" s="2">
        <f>--40.39</f>
        <v>40.39</v>
      </c>
      <c r="I63" s="2"/>
      <c r="J63" s="19"/>
      <c r="K63" s="2"/>
      <c r="L63" s="2">
        <f t="shared" si="0"/>
        <v>-40.39</v>
      </c>
      <c r="M63" s="2"/>
      <c r="N63" s="19">
        <f t="shared" si="1"/>
        <v>-1</v>
      </c>
      <c r="O63" s="11"/>
      <c r="P63" s="2">
        <f>0</f>
        <v>0</v>
      </c>
      <c r="Q63" s="2"/>
      <c r="R63" s="19"/>
      <c r="S63" s="2"/>
      <c r="T63" s="2">
        <f>--263.07</f>
        <v>263.07</v>
      </c>
      <c r="U63" s="2"/>
      <c r="V63" s="19"/>
      <c r="W63" s="2"/>
      <c r="X63" s="2">
        <f t="shared" si="2"/>
        <v>-263.07</v>
      </c>
      <c r="Y63" s="2"/>
      <c r="Z63" s="19">
        <f t="shared" si="3"/>
        <v>-1</v>
      </c>
    </row>
    <row r="64" spans="1:26" s="24" customFormat="1" hidden="1" outlineLevel="1" x14ac:dyDescent="0.25">
      <c r="A64" s="44"/>
      <c r="B64" s="11" t="str">
        <f>CONCATENATE("          ", "4126", " - ", "NON-TAXABLE SALES-WRITING INST")</f>
        <v xml:space="preserve">          4126 - NON-TAXABLE SALES-WRITING INST</v>
      </c>
      <c r="C64" s="11"/>
      <c r="D64" s="2">
        <f t="shared" si="15"/>
        <v>0</v>
      </c>
      <c r="E64" s="2"/>
      <c r="F64" s="19"/>
      <c r="G64" s="2"/>
      <c r="H64" s="2">
        <f>--349.94</f>
        <v>349.94</v>
      </c>
      <c r="I64" s="2"/>
      <c r="J64" s="19"/>
      <c r="K64" s="2"/>
      <c r="L64" s="2">
        <f t="shared" si="0"/>
        <v>-349.94</v>
      </c>
      <c r="M64" s="2"/>
      <c r="N64" s="19">
        <f t="shared" si="1"/>
        <v>-1</v>
      </c>
      <c r="O64" s="11"/>
      <c r="P64" s="2">
        <f>--52.68</f>
        <v>52.68</v>
      </c>
      <c r="Q64" s="2"/>
      <c r="R64" s="19"/>
      <c r="S64" s="2"/>
      <c r="T64" s="2">
        <f>--2906.58</f>
        <v>2906.58</v>
      </c>
      <c r="U64" s="2"/>
      <c r="V64" s="19"/>
      <c r="W64" s="2"/>
      <c r="X64" s="2">
        <f t="shared" si="2"/>
        <v>-2853.9</v>
      </c>
      <c r="Y64" s="2"/>
      <c r="Z64" s="19">
        <f t="shared" si="3"/>
        <v>-0.98187560638275917</v>
      </c>
    </row>
    <row r="65" spans="1:26" s="24" customFormat="1" hidden="1" outlineLevel="1" x14ac:dyDescent="0.25">
      <c r="A65" s="44"/>
      <c r="B65" s="11" t="str">
        <f>CONCATENATE("          ", "4127", " - ", "NON-TAXABLE SALES-SCHOOL SUPPL")</f>
        <v xml:space="preserve">          4127 - NON-TAXABLE SALES-SCHOOL SUPPL</v>
      </c>
      <c r="C65" s="11"/>
      <c r="D65" s="2">
        <f>--472.19</f>
        <v>472.19</v>
      </c>
      <c r="E65" s="2"/>
      <c r="F65" s="19"/>
      <c r="G65" s="2"/>
      <c r="H65" s="2">
        <f>--527.81</f>
        <v>527.80999999999995</v>
      </c>
      <c r="I65" s="2"/>
      <c r="J65" s="19"/>
      <c r="K65" s="2"/>
      <c r="L65" s="2">
        <f t="shared" si="0"/>
        <v>-55.619999999999948</v>
      </c>
      <c r="M65" s="2"/>
      <c r="N65" s="19">
        <f t="shared" si="1"/>
        <v>-0.10537882950304078</v>
      </c>
      <c r="O65" s="11"/>
      <c r="P65" s="2">
        <f>--6217.36</f>
        <v>6217.36</v>
      </c>
      <c r="Q65" s="2"/>
      <c r="R65" s="19"/>
      <c r="S65" s="2"/>
      <c r="T65" s="2">
        <f>--4662.41</f>
        <v>4662.41</v>
      </c>
      <c r="U65" s="2"/>
      <c r="V65" s="19"/>
      <c r="W65" s="2"/>
      <c r="X65" s="2">
        <f t="shared" si="2"/>
        <v>1554.9499999999998</v>
      </c>
      <c r="Y65" s="2"/>
      <c r="Z65" s="19">
        <f t="shared" si="3"/>
        <v>0.33350777816622729</v>
      </c>
    </row>
    <row r="66" spans="1:26" s="24" customFormat="1" hidden="1" outlineLevel="1" x14ac:dyDescent="0.25">
      <c r="A66" s="44"/>
      <c r="B66" s="11" t="str">
        <f>CONCATENATE("          ", "4128", " - ", "NON-TAXABLE SALES-ART/TECH")</f>
        <v xml:space="preserve">          4128 - NON-TAXABLE SALES-ART/TECH</v>
      </c>
      <c r="C66" s="11"/>
      <c r="D66" s="2">
        <f>--9.08</f>
        <v>9.08</v>
      </c>
      <c r="E66" s="2"/>
      <c r="F66" s="19"/>
      <c r="G66" s="2"/>
      <c r="H66" s="2">
        <f>--147.48</f>
        <v>147.47999999999999</v>
      </c>
      <c r="I66" s="2"/>
      <c r="J66" s="19"/>
      <c r="K66" s="2"/>
      <c r="L66" s="2">
        <f t="shared" si="0"/>
        <v>-138.39999999999998</v>
      </c>
      <c r="M66" s="2"/>
      <c r="N66" s="19">
        <f t="shared" si="1"/>
        <v>-0.93843232980743141</v>
      </c>
      <c r="O66" s="11"/>
      <c r="P66" s="2">
        <f>--38.58</f>
        <v>38.58</v>
      </c>
      <c r="Q66" s="2"/>
      <c r="R66" s="19"/>
      <c r="S66" s="2"/>
      <c r="T66" s="2">
        <f>--678.5</f>
        <v>678.5</v>
      </c>
      <c r="U66" s="2"/>
      <c r="V66" s="19"/>
      <c r="W66" s="2"/>
      <c r="X66" s="2">
        <f t="shared" si="2"/>
        <v>-639.91999999999996</v>
      </c>
      <c r="Y66" s="2"/>
      <c r="Z66" s="19">
        <f t="shared" si="3"/>
        <v>-0.94313927781871765</v>
      </c>
    </row>
    <row r="67" spans="1:26" s="24" customFormat="1" hidden="1" outlineLevel="1" x14ac:dyDescent="0.25">
      <c r="A67" s="44"/>
      <c r="B67" s="11" t="str">
        <f>CONCATENATE("          ", "4131", " - ", "NON-TAXABLE SALES-FOOD")</f>
        <v xml:space="preserve">          4131 - NON-TAXABLE SALES-FOOD</v>
      </c>
      <c r="C67" s="11"/>
      <c r="D67" s="2">
        <f>--934.88</f>
        <v>934.88</v>
      </c>
      <c r="E67" s="2"/>
      <c r="F67" s="19"/>
      <c r="G67" s="2"/>
      <c r="H67" s="2">
        <f>--10371.21</f>
        <v>10371.209999999999</v>
      </c>
      <c r="I67" s="2"/>
      <c r="J67" s="19"/>
      <c r="K67" s="2"/>
      <c r="L67" s="2">
        <f t="shared" si="0"/>
        <v>-9436.33</v>
      </c>
      <c r="M67" s="2"/>
      <c r="N67" s="19">
        <f t="shared" si="1"/>
        <v>-0.90985815541291715</v>
      </c>
      <c r="O67" s="11"/>
      <c r="P67" s="2">
        <f>--9575.15</f>
        <v>9575.15</v>
      </c>
      <c r="Q67" s="2"/>
      <c r="R67" s="19"/>
      <c r="S67" s="2"/>
      <c r="T67" s="2">
        <f>--53401.55</f>
        <v>53401.55</v>
      </c>
      <c r="U67" s="2"/>
      <c r="V67" s="19"/>
      <c r="W67" s="2"/>
      <c r="X67" s="2">
        <f t="shared" si="2"/>
        <v>-43826.400000000001</v>
      </c>
      <c r="Y67" s="2"/>
      <c r="Z67" s="19">
        <f t="shared" si="3"/>
        <v>-0.82069527944413601</v>
      </c>
    </row>
    <row r="68" spans="1:26" s="24" customFormat="1" hidden="1" outlineLevel="1" x14ac:dyDescent="0.25">
      <c r="A68" s="44"/>
      <c r="B68" s="11" t="str">
        <f>CONCATENATE("          ", "4132", " - ", "NON-TAXABLE SALES-JUICE")</f>
        <v xml:space="preserve">          4132 - NON-TAXABLE SALES-JUICE</v>
      </c>
      <c r="C68" s="11"/>
      <c r="D68" s="2">
        <f t="shared" ref="D68:D72" si="16">0</f>
        <v>0</v>
      </c>
      <c r="E68" s="2"/>
      <c r="F68" s="19"/>
      <c r="G68" s="2"/>
      <c r="H68" s="2">
        <f>--187926.1</f>
        <v>187926.1</v>
      </c>
      <c r="I68" s="2"/>
      <c r="J68" s="19"/>
      <c r="K68" s="2"/>
      <c r="L68" s="2">
        <f t="shared" si="0"/>
        <v>-187926.1</v>
      </c>
      <c r="M68" s="2"/>
      <c r="N68" s="19">
        <f t="shared" si="1"/>
        <v>-1</v>
      </c>
      <c r="O68" s="11"/>
      <c r="P68" s="2">
        <f>--2054.37</f>
        <v>2054.37</v>
      </c>
      <c r="Q68" s="2"/>
      <c r="R68" s="19"/>
      <c r="S68" s="2"/>
      <c r="T68" s="2">
        <f>--1030657.83</f>
        <v>1030657.83</v>
      </c>
      <c r="U68" s="2"/>
      <c r="V68" s="19"/>
      <c r="W68" s="2"/>
      <c r="X68" s="2">
        <f t="shared" si="2"/>
        <v>-1028603.46</v>
      </c>
      <c r="Y68" s="2"/>
      <c r="Z68" s="19">
        <f t="shared" si="3"/>
        <v>-0.99800673905519155</v>
      </c>
    </row>
    <row r="69" spans="1:26" s="24" customFormat="1" hidden="1" outlineLevel="1" x14ac:dyDescent="0.25">
      <c r="A69" s="44"/>
      <c r="B69" s="11" t="str">
        <f>CONCATENATE("          ", "4133", " - ", "NON-TAXABLE SALES-CANDY")</f>
        <v xml:space="preserve">          4133 - NON-TAXABLE SALES-CANDY</v>
      </c>
      <c r="C69" s="11"/>
      <c r="D69" s="2">
        <f t="shared" si="16"/>
        <v>0</v>
      </c>
      <c r="E69" s="2"/>
      <c r="F69" s="19"/>
      <c r="G69" s="2"/>
      <c r="H69" s="2">
        <f>--3264.8</f>
        <v>3264.8</v>
      </c>
      <c r="I69" s="2"/>
      <c r="J69" s="19"/>
      <c r="K69" s="2"/>
      <c r="L69" s="2">
        <f t="shared" si="0"/>
        <v>-3264.8</v>
      </c>
      <c r="M69" s="2"/>
      <c r="N69" s="19">
        <f t="shared" si="1"/>
        <v>-1</v>
      </c>
      <c r="O69" s="11"/>
      <c r="P69" s="2">
        <f>--80.71</f>
        <v>80.709999999999994</v>
      </c>
      <c r="Q69" s="2"/>
      <c r="R69" s="19"/>
      <c r="S69" s="2"/>
      <c r="T69" s="2">
        <f>--16824.57</f>
        <v>16824.57</v>
      </c>
      <c r="U69" s="2"/>
      <c r="V69" s="19"/>
      <c r="W69" s="2"/>
      <c r="X69" s="2">
        <f t="shared" si="2"/>
        <v>-16743.86</v>
      </c>
      <c r="Y69" s="2"/>
      <c r="Z69" s="19">
        <f t="shared" si="3"/>
        <v>-0.99520284916642754</v>
      </c>
    </row>
    <row r="70" spans="1:26" s="24" customFormat="1" hidden="1" outlineLevel="1" x14ac:dyDescent="0.25">
      <c r="A70" s="44"/>
      <c r="B70" s="11" t="str">
        <f>CONCATENATE("          ", "4134", " - ", "NON-TAXABLE SALES-SODA")</f>
        <v xml:space="preserve">          4134 - NON-TAXABLE SALES-SODA</v>
      </c>
      <c r="C70" s="11"/>
      <c r="D70" s="2">
        <f t="shared" si="16"/>
        <v>0</v>
      </c>
      <c r="E70" s="2"/>
      <c r="F70" s="19"/>
      <c r="G70" s="2"/>
      <c r="H70" s="2">
        <f>--1.89</f>
        <v>1.89</v>
      </c>
      <c r="I70" s="2"/>
      <c r="J70" s="19"/>
      <c r="K70" s="2"/>
      <c r="L70" s="2">
        <f t="shared" si="0"/>
        <v>-1.89</v>
      </c>
      <c r="M70" s="2"/>
      <c r="N70" s="19">
        <f t="shared" si="1"/>
        <v>-1</v>
      </c>
      <c r="O70" s="11"/>
      <c r="P70" s="2">
        <f>--45.53</f>
        <v>45.53</v>
      </c>
      <c r="Q70" s="2"/>
      <c r="R70" s="19"/>
      <c r="S70" s="2"/>
      <c r="T70" s="2">
        <f>--10.3</f>
        <v>10.3</v>
      </c>
      <c r="U70" s="2"/>
      <c r="V70" s="19"/>
      <c r="W70" s="2"/>
      <c r="X70" s="2">
        <f t="shared" si="2"/>
        <v>35.230000000000004</v>
      </c>
      <c r="Y70" s="2"/>
      <c r="Z70" s="19">
        <f t="shared" si="3"/>
        <v>3.4203883495145631</v>
      </c>
    </row>
    <row r="71" spans="1:26" s="24" customFormat="1" hidden="1" outlineLevel="1" x14ac:dyDescent="0.25">
      <c r="A71" s="44"/>
      <c r="B71" s="11" t="str">
        <f>CONCATENATE("          ", "4135", " - ", "NON-TAXABLE SALES")</f>
        <v xml:space="preserve">          4135 - NON-TAXABLE SALES</v>
      </c>
      <c r="C71" s="11"/>
      <c r="D71" s="2">
        <f t="shared" si="16"/>
        <v>0</v>
      </c>
      <c r="E71" s="2"/>
      <c r="F71" s="19"/>
      <c r="G71" s="2"/>
      <c r="H71" s="2">
        <f>--21.54</f>
        <v>21.54</v>
      </c>
      <c r="I71" s="2"/>
      <c r="J71" s="19"/>
      <c r="K71" s="2"/>
      <c r="L71" s="2">
        <f t="shared" si="0"/>
        <v>-21.54</v>
      </c>
      <c r="M71" s="2"/>
      <c r="N71" s="19">
        <f t="shared" si="1"/>
        <v>-1</v>
      </c>
      <c r="O71" s="11"/>
      <c r="P71" s="2">
        <f>0</f>
        <v>0</v>
      </c>
      <c r="Q71" s="2"/>
      <c r="R71" s="19"/>
      <c r="S71" s="2"/>
      <c r="T71" s="2">
        <f>--161.4</f>
        <v>161.4</v>
      </c>
      <c r="U71" s="2"/>
      <c r="V71" s="19"/>
      <c r="W71" s="2"/>
      <c r="X71" s="2">
        <f t="shared" si="2"/>
        <v>-161.4</v>
      </c>
      <c r="Y71" s="2"/>
      <c r="Z71" s="19">
        <f t="shared" si="3"/>
        <v>-1</v>
      </c>
    </row>
    <row r="72" spans="1:26" s="24" customFormat="1" hidden="1" outlineLevel="1" x14ac:dyDescent="0.25">
      <c r="A72" s="44"/>
      <c r="B72" s="11" t="str">
        <f>CONCATENATE("          ", "4137", " - ", "NON-TAXABLE SALES-WATER")</f>
        <v xml:space="preserve">          4137 - NON-TAXABLE SALES-WATER</v>
      </c>
      <c r="C72" s="11"/>
      <c r="D72" s="2">
        <f t="shared" si="16"/>
        <v>0</v>
      </c>
      <c r="E72" s="2"/>
      <c r="F72" s="19"/>
      <c r="G72" s="2"/>
      <c r="H72" s="2">
        <f>--1528.71</f>
        <v>1528.71</v>
      </c>
      <c r="I72" s="2"/>
      <c r="J72" s="19"/>
      <c r="K72" s="2"/>
      <c r="L72" s="2">
        <f t="shared" si="0"/>
        <v>-1528.71</v>
      </c>
      <c r="M72" s="2"/>
      <c r="N72" s="19">
        <f t="shared" si="1"/>
        <v>-1</v>
      </c>
      <c r="O72" s="11"/>
      <c r="P72" s="2">
        <f>--68.25</f>
        <v>68.25</v>
      </c>
      <c r="Q72" s="2"/>
      <c r="R72" s="19"/>
      <c r="S72" s="2"/>
      <c r="T72" s="2">
        <f>--9360.45</f>
        <v>9360.4500000000007</v>
      </c>
      <c r="U72" s="2"/>
      <c r="V72" s="19"/>
      <c r="W72" s="2"/>
      <c r="X72" s="2">
        <f t="shared" si="2"/>
        <v>-9292.2000000000007</v>
      </c>
      <c r="Y72" s="2"/>
      <c r="Z72" s="19">
        <f t="shared" si="3"/>
        <v>-0.99270868387737765</v>
      </c>
    </row>
    <row r="73" spans="1:26" s="24" customFormat="1" hidden="1" outlineLevel="1" x14ac:dyDescent="0.25">
      <c r="A73" s="44"/>
      <c r="B73" s="11" t="str">
        <f>CONCATENATE("          ", "4140", " - ", "NON-TAXABLE SALES-LOGO CLOTHIN")</f>
        <v xml:space="preserve">          4140 - NON-TAXABLE SALES-LOGO CLOTHIN</v>
      </c>
      <c r="C73" s="11"/>
      <c r="D73" s="2">
        <f>--1947.86</f>
        <v>1947.86</v>
      </c>
      <c r="E73" s="2"/>
      <c r="F73" s="19"/>
      <c r="G73" s="2"/>
      <c r="H73" s="2">
        <f>0</f>
        <v>0</v>
      </c>
      <c r="I73" s="2"/>
      <c r="J73" s="19"/>
      <c r="K73" s="2"/>
      <c r="L73" s="2">
        <f t="shared" si="0"/>
        <v>1947.86</v>
      </c>
      <c r="M73" s="2"/>
      <c r="N73" s="19">
        <f t="shared" si="1"/>
        <v>0</v>
      </c>
      <c r="O73" s="11"/>
      <c r="P73" s="2">
        <f>--115125.28</f>
        <v>115125.28</v>
      </c>
      <c r="Q73" s="2"/>
      <c r="R73" s="19"/>
      <c r="S73" s="2"/>
      <c r="T73" s="2">
        <f>--42582.67</f>
        <v>42582.67</v>
      </c>
      <c r="U73" s="2"/>
      <c r="V73" s="19"/>
      <c r="W73" s="2"/>
      <c r="X73" s="2">
        <f t="shared" si="2"/>
        <v>72542.61</v>
      </c>
      <c r="Y73" s="2"/>
      <c r="Z73" s="19">
        <f t="shared" si="3"/>
        <v>1.7035711945728158</v>
      </c>
    </row>
    <row r="74" spans="1:26" s="24" customFormat="1" hidden="1" outlineLevel="1" x14ac:dyDescent="0.25">
      <c r="A74" s="44"/>
      <c r="B74" s="11" t="str">
        <f>CONCATENATE("          ", "4141", " - ", "NON-TAXABLE SALES-LOGO GIFTS")</f>
        <v xml:space="preserve">          4141 - NON-TAXABLE SALES-LOGO GIFTS</v>
      </c>
      <c r="C74" s="11"/>
      <c r="D74" s="2">
        <f>--671.25</f>
        <v>671.25</v>
      </c>
      <c r="E74" s="2"/>
      <c r="F74" s="19"/>
      <c r="G74" s="2"/>
      <c r="H74" s="2">
        <f>--6423.17</f>
        <v>6423.17</v>
      </c>
      <c r="I74" s="2"/>
      <c r="J74" s="19"/>
      <c r="K74" s="2"/>
      <c r="L74" s="2">
        <f t="shared" si="0"/>
        <v>-5751.92</v>
      </c>
      <c r="M74" s="2"/>
      <c r="N74" s="19">
        <f t="shared" si="1"/>
        <v>-0.89549552635225282</v>
      </c>
      <c r="O74" s="11"/>
      <c r="P74" s="2">
        <f>--8513.02</f>
        <v>8513.02</v>
      </c>
      <c r="Q74" s="2"/>
      <c r="R74" s="19"/>
      <c r="S74" s="2"/>
      <c r="T74" s="2">
        <f>--10672.17</f>
        <v>10672.17</v>
      </c>
      <c r="U74" s="2"/>
      <c r="V74" s="19"/>
      <c r="W74" s="2"/>
      <c r="X74" s="2">
        <f t="shared" si="2"/>
        <v>-2159.1499999999996</v>
      </c>
      <c r="Y74" s="2"/>
      <c r="Z74" s="19">
        <f t="shared" si="3"/>
        <v>-0.2023159301248012</v>
      </c>
    </row>
    <row r="75" spans="1:26" s="24" customFormat="1" hidden="1" outlineLevel="1" x14ac:dyDescent="0.25">
      <c r="A75" s="44"/>
      <c r="B75" s="11" t="str">
        <f>CONCATENATE("          ", "4142", " - ", "NON-TAXABLE SALES-EVERYDAY GIF")</f>
        <v xml:space="preserve">          4142 - NON-TAXABLE SALES-EVERYDAY GIF</v>
      </c>
      <c r="C75" s="11"/>
      <c r="D75" s="2">
        <f>--4.58</f>
        <v>4.58</v>
      </c>
      <c r="E75" s="2"/>
      <c r="F75" s="19"/>
      <c r="G75" s="2"/>
      <c r="H75" s="2">
        <f>--1257.56</f>
        <v>1257.56</v>
      </c>
      <c r="I75" s="2"/>
      <c r="J75" s="19"/>
      <c r="K75" s="2"/>
      <c r="L75" s="2">
        <f t="shared" si="0"/>
        <v>-1252.98</v>
      </c>
      <c r="M75" s="2"/>
      <c r="N75" s="19">
        <f t="shared" si="1"/>
        <v>-0.9963580266547919</v>
      </c>
      <c r="O75" s="11"/>
      <c r="P75" s="2">
        <f>--2264.47</f>
        <v>2264.4699999999998</v>
      </c>
      <c r="Q75" s="2"/>
      <c r="R75" s="19"/>
      <c r="S75" s="2"/>
      <c r="T75" s="2">
        <f>--13692.85</f>
        <v>13692.85</v>
      </c>
      <c r="U75" s="2"/>
      <c r="V75" s="19"/>
      <c r="W75" s="2"/>
      <c r="X75" s="2">
        <f t="shared" si="2"/>
        <v>-11428.380000000001</v>
      </c>
      <c r="Y75" s="2"/>
      <c r="Z75" s="19">
        <f t="shared" si="3"/>
        <v>-0.8346239095586383</v>
      </c>
    </row>
    <row r="76" spans="1:26" s="24" customFormat="1" hidden="1" outlineLevel="1" x14ac:dyDescent="0.25">
      <c r="A76" s="44"/>
      <c r="B76" s="11" t="str">
        <f>CONCATENATE("          ", "4143", " - ", "NON-TAXABLE SALES-CARDS")</f>
        <v xml:space="preserve">          4143 - NON-TAXABLE SALES-CARDS</v>
      </c>
      <c r="C76" s="11"/>
      <c r="D76" s="2">
        <f>--149.92</f>
        <v>149.91999999999999</v>
      </c>
      <c r="E76" s="2"/>
      <c r="F76" s="19"/>
      <c r="G76" s="2"/>
      <c r="H76" s="2">
        <f>--9.99</f>
        <v>9.99</v>
      </c>
      <c r="I76" s="2"/>
      <c r="J76" s="19"/>
      <c r="K76" s="2"/>
      <c r="L76" s="2">
        <f t="shared" si="0"/>
        <v>139.92999999999998</v>
      </c>
      <c r="M76" s="2"/>
      <c r="N76" s="19">
        <f t="shared" si="1"/>
        <v>14.007007007007005</v>
      </c>
      <c r="O76" s="11"/>
      <c r="P76" s="2">
        <f>--2119.66</f>
        <v>2119.66</v>
      </c>
      <c r="Q76" s="2"/>
      <c r="R76" s="19"/>
      <c r="S76" s="2"/>
      <c r="T76" s="2">
        <f>--9.99</f>
        <v>9.99</v>
      </c>
      <c r="U76" s="2"/>
      <c r="V76" s="19"/>
      <c r="W76" s="2"/>
      <c r="X76" s="2">
        <f t="shared" si="2"/>
        <v>2109.67</v>
      </c>
      <c r="Y76" s="2"/>
      <c r="Z76" s="19">
        <f t="shared" si="3"/>
        <v>211.17817817817817</v>
      </c>
    </row>
    <row r="77" spans="1:26" s="24" customFormat="1" hidden="1" outlineLevel="1" x14ac:dyDescent="0.25">
      <c r="A77" s="44"/>
      <c r="B77" s="11" t="str">
        <f>CONCATENATE("          ", "4144", " - ", "NON-TAXABLE SALES-ACCESSORIES")</f>
        <v xml:space="preserve">          4144 - NON-TAXABLE SALES-ACCESSORIES</v>
      </c>
      <c r="C77" s="11"/>
      <c r="D77" s="2">
        <f>--39.95</f>
        <v>39.950000000000003</v>
      </c>
      <c r="E77" s="2"/>
      <c r="F77" s="19"/>
      <c r="G77" s="2"/>
      <c r="H77" s="2">
        <f>--922.94</f>
        <v>922.94</v>
      </c>
      <c r="I77" s="2"/>
      <c r="J77" s="19"/>
      <c r="K77" s="2"/>
      <c r="L77" s="2">
        <f t="shared" si="0"/>
        <v>-882.99</v>
      </c>
      <c r="M77" s="2"/>
      <c r="N77" s="19">
        <f t="shared" si="1"/>
        <v>-0.9567144126378746</v>
      </c>
      <c r="O77" s="11"/>
      <c r="P77" s="2">
        <f>--649.35</f>
        <v>649.35</v>
      </c>
      <c r="Q77" s="2"/>
      <c r="R77" s="19"/>
      <c r="S77" s="2"/>
      <c r="T77" s="2">
        <f>--1890.27</f>
        <v>1890.27</v>
      </c>
      <c r="U77" s="2"/>
      <c r="V77" s="19"/>
      <c r="W77" s="2"/>
      <c r="X77" s="2">
        <f t="shared" si="2"/>
        <v>-1240.92</v>
      </c>
      <c r="Y77" s="2"/>
      <c r="Z77" s="19">
        <f t="shared" si="3"/>
        <v>-0.65647764605056425</v>
      </c>
    </row>
    <row r="78" spans="1:26" s="24" customFormat="1" hidden="1" outlineLevel="1" x14ac:dyDescent="0.25">
      <c r="A78" s="44"/>
      <c r="B78" s="11" t="str">
        <f>CONCATENATE("          ", "4145", " - ", "NON-TAXABLE SALES-SPECIAL ORDE")</f>
        <v xml:space="preserve">          4145 - NON-TAXABLE SALES-SPECIAL ORDE</v>
      </c>
      <c r="C78" s="11"/>
      <c r="D78" s="2">
        <f>0</f>
        <v>0</v>
      </c>
      <c r="E78" s="2"/>
      <c r="F78" s="19"/>
      <c r="G78" s="2"/>
      <c r="H78" s="2">
        <f>0</f>
        <v>0</v>
      </c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--53716.09</f>
        <v>53716.09</v>
      </c>
      <c r="Q78" s="2"/>
      <c r="R78" s="19"/>
      <c r="S78" s="2"/>
      <c r="T78" s="2">
        <f>--140</f>
        <v>140</v>
      </c>
      <c r="U78" s="2"/>
      <c r="V78" s="19"/>
      <c r="W78" s="2"/>
      <c r="X78" s="2">
        <f t="shared" si="2"/>
        <v>53576.09</v>
      </c>
      <c r="Y78" s="2"/>
      <c r="Z78" s="19">
        <f t="shared" si="3"/>
        <v>382.6863571428571</v>
      </c>
    </row>
    <row r="79" spans="1:26" s="24" customFormat="1" hidden="1" outlineLevel="1" x14ac:dyDescent="0.25">
      <c r="A79" s="44"/>
      <c r="B79" s="11" t="str">
        <f>CONCATENATE("          ", "4146", " - ", "NON-TAXABLE SALES-COIN OP MACH")</f>
        <v xml:space="preserve">          4146 - NON-TAXABLE SALES-COIN OP MACH</v>
      </c>
      <c r="C79" s="11"/>
      <c r="D79" s="2">
        <f>--67.8</f>
        <v>67.8</v>
      </c>
      <c r="E79" s="2"/>
      <c r="F79" s="19"/>
      <c r="G79" s="2"/>
      <c r="H79" s="2">
        <f>--28849.25</f>
        <v>28849.25</v>
      </c>
      <c r="I79" s="2"/>
      <c r="J79" s="19"/>
      <c r="K79" s="2"/>
      <c r="L79" s="2">
        <f t="shared" si="0"/>
        <v>-28781.45</v>
      </c>
      <c r="M79" s="2"/>
      <c r="N79" s="19">
        <f t="shared" si="1"/>
        <v>-0.99764985224919189</v>
      </c>
      <c r="O79" s="11"/>
      <c r="P79" s="2">
        <f>--208.4</f>
        <v>208.4</v>
      </c>
      <c r="Q79" s="2"/>
      <c r="R79" s="19"/>
      <c r="S79" s="2"/>
      <c r="T79" s="2">
        <f>--192403.75</f>
        <v>192403.75</v>
      </c>
      <c r="U79" s="2"/>
      <c r="V79" s="19"/>
      <c r="W79" s="2"/>
      <c r="X79" s="2">
        <f t="shared" si="2"/>
        <v>-192195.35</v>
      </c>
      <c r="Y79" s="2"/>
      <c r="Z79" s="19">
        <f t="shared" si="3"/>
        <v>-0.99891686102791655</v>
      </c>
    </row>
    <row r="80" spans="1:26" s="24" customFormat="1" hidden="1" outlineLevel="1" x14ac:dyDescent="0.25">
      <c r="A80" s="44"/>
      <c r="B80" s="11" t="str">
        <f>CONCATENATE("          ", "4147", " - ", "NON-TAXABLE SALES-MISC")</f>
        <v xml:space="preserve">          4147 - NON-TAXABLE SALES-MISC</v>
      </c>
      <c r="C80" s="11"/>
      <c r="D80" s="2">
        <f>--17</f>
        <v>17</v>
      </c>
      <c r="E80" s="2"/>
      <c r="F80" s="19"/>
      <c r="G80" s="2"/>
      <c r="H80" s="2">
        <f>--2183.94</f>
        <v>2183.94</v>
      </c>
      <c r="I80" s="2"/>
      <c r="J80" s="19"/>
      <c r="K80" s="2"/>
      <c r="L80" s="2">
        <f t="shared" si="0"/>
        <v>-2166.94</v>
      </c>
      <c r="M80" s="2"/>
      <c r="N80" s="19">
        <f t="shared" si="1"/>
        <v>-0.99221590336730858</v>
      </c>
      <c r="O80" s="11"/>
      <c r="P80" s="2">
        <f>--132.5</f>
        <v>132.5</v>
      </c>
      <c r="Q80" s="2"/>
      <c r="R80" s="19"/>
      <c r="S80" s="2"/>
      <c r="T80" s="2">
        <f>--2502.84</f>
        <v>2502.84</v>
      </c>
      <c r="U80" s="2"/>
      <c r="V80" s="19"/>
      <c r="W80" s="2"/>
      <c r="X80" s="2">
        <f t="shared" si="2"/>
        <v>-2370.34</v>
      </c>
      <c r="Y80" s="2"/>
      <c r="Z80" s="19">
        <f t="shared" si="3"/>
        <v>-0.94706013968132197</v>
      </c>
    </row>
    <row r="81" spans="1:26" s="24" customFormat="1" hidden="1" outlineLevel="1" x14ac:dyDescent="0.25">
      <c r="A81" s="44"/>
      <c r="B81" s="11" t="str">
        <f>CONCATENATE("          ", "4151", " - ", "NON-TAXABLE SALES-FOOD")</f>
        <v xml:space="preserve">          4151 - NON-TAXABLE SALES-FOOD</v>
      </c>
      <c r="C81" s="11"/>
      <c r="D81" s="2">
        <f>--78596.26</f>
        <v>78596.259999999995</v>
      </c>
      <c r="E81" s="2"/>
      <c r="F81" s="19"/>
      <c r="G81" s="2"/>
      <c r="H81" s="2">
        <f>--1654803.69</f>
        <v>1654803.69</v>
      </c>
      <c r="I81" s="2"/>
      <c r="J81" s="19"/>
      <c r="K81" s="2"/>
      <c r="L81" s="2">
        <f t="shared" si="0"/>
        <v>-1576207.43</v>
      </c>
      <c r="M81" s="2"/>
      <c r="N81" s="19">
        <f t="shared" si="1"/>
        <v>-0.95250417890958416</v>
      </c>
      <c r="O81" s="11"/>
      <c r="P81" s="2">
        <f>--742969.81</f>
        <v>742969.81</v>
      </c>
      <c r="Q81" s="2"/>
      <c r="R81" s="19"/>
      <c r="S81" s="2"/>
      <c r="T81" s="2">
        <f>--9787324.7</f>
        <v>9787324.6999999993</v>
      </c>
      <c r="U81" s="2"/>
      <c r="V81" s="19"/>
      <c r="W81" s="2"/>
      <c r="X81" s="2">
        <f t="shared" si="2"/>
        <v>-9044354.8899999987</v>
      </c>
      <c r="Y81" s="2"/>
      <c r="Z81" s="19">
        <f t="shared" si="3"/>
        <v>-0.92408857039350079</v>
      </c>
    </row>
    <row r="82" spans="1:26" s="24" customFormat="1" hidden="1" outlineLevel="1" x14ac:dyDescent="0.25">
      <c r="A82" s="44"/>
      <c r="B82" s="11" t="str">
        <f>CONCATENATE("          ", "4152", " - ", "NON-TAXABLE SALES-FOOD")</f>
        <v xml:space="preserve">          4152 - NON-TAXABLE SALES-FOOD</v>
      </c>
      <c r="C82" s="11"/>
      <c r="D82" s="2">
        <f>0</f>
        <v>0</v>
      </c>
      <c r="E82" s="2"/>
      <c r="F82" s="19"/>
      <c r="G82" s="2"/>
      <c r="H82" s="2">
        <f>--8298.17</f>
        <v>8298.17</v>
      </c>
      <c r="I82" s="2"/>
      <c r="J82" s="19"/>
      <c r="K82" s="2"/>
      <c r="L82" s="2">
        <f t="shared" si="0"/>
        <v>-8298.17</v>
      </c>
      <c r="M82" s="2"/>
      <c r="N82" s="19">
        <f t="shared" si="1"/>
        <v>-1</v>
      </c>
      <c r="O82" s="11"/>
      <c r="P82" s="2">
        <f>0</f>
        <v>0</v>
      </c>
      <c r="Q82" s="2"/>
      <c r="R82" s="19"/>
      <c r="S82" s="2"/>
      <c r="T82" s="2">
        <f>--47727.07</f>
        <v>47727.07</v>
      </c>
      <c r="U82" s="2"/>
      <c r="V82" s="19"/>
      <c r="W82" s="2"/>
      <c r="X82" s="2">
        <f t="shared" si="2"/>
        <v>-47727.07</v>
      </c>
      <c r="Y82" s="2"/>
      <c r="Z82" s="19">
        <f t="shared" si="3"/>
        <v>-1</v>
      </c>
    </row>
    <row r="83" spans="1:26" s="24" customFormat="1" hidden="1" outlineLevel="1" x14ac:dyDescent="0.25">
      <c r="A83" s="44"/>
      <c r="B83" s="11" t="str">
        <f>CONCATENATE("          ", "4153", " - ", "NON-TAXABLE SALES-FOOD")</f>
        <v xml:space="preserve">          4153 - NON-TAXABLE SALES-FOOD</v>
      </c>
      <c r="C83" s="11"/>
      <c r="D83" s="2">
        <f>--5999.41</f>
        <v>5999.41</v>
      </c>
      <c r="E83" s="2"/>
      <c r="F83" s="19"/>
      <c r="G83" s="2"/>
      <c r="H83" s="2">
        <f>--25040.14</f>
        <v>25040.14</v>
      </c>
      <c r="I83" s="2"/>
      <c r="J83" s="19"/>
      <c r="K83" s="2"/>
      <c r="L83" s="2">
        <f t="shared" si="0"/>
        <v>-19040.73</v>
      </c>
      <c r="M83" s="2"/>
      <c r="N83" s="19">
        <f t="shared" si="1"/>
        <v>-0.76040828845206132</v>
      </c>
      <c r="O83" s="11"/>
      <c r="P83" s="2">
        <f>--38078.57</f>
        <v>38078.57</v>
      </c>
      <c r="Q83" s="2"/>
      <c r="R83" s="19"/>
      <c r="S83" s="2"/>
      <c r="T83" s="2">
        <f>--301979.93</f>
        <v>301979.93</v>
      </c>
      <c r="U83" s="2"/>
      <c r="V83" s="19"/>
      <c r="W83" s="2"/>
      <c r="X83" s="2">
        <f t="shared" si="2"/>
        <v>-263901.36</v>
      </c>
      <c r="Y83" s="2"/>
      <c r="Z83" s="19">
        <f t="shared" si="3"/>
        <v>-0.87390363988759123</v>
      </c>
    </row>
    <row r="84" spans="1:26" s="24" customFormat="1" hidden="1" outlineLevel="1" x14ac:dyDescent="0.25">
      <c r="A84" s="44"/>
      <c r="B84" s="11" t="str">
        <f>CONCATENATE("          ", "4155", " - ", "NON-TAXABLE SALES-FOOD")</f>
        <v xml:space="preserve">          4155 - NON-TAXABLE SALES-FOOD</v>
      </c>
      <c r="C84" s="11"/>
      <c r="D84" s="2">
        <f t="shared" ref="D84:D85" si="17">0</f>
        <v>0</v>
      </c>
      <c r="E84" s="2"/>
      <c r="F84" s="19"/>
      <c r="G84" s="2"/>
      <c r="H84" s="2">
        <f>--100290.43</f>
        <v>100290.43</v>
      </c>
      <c r="I84" s="2"/>
      <c r="J84" s="19"/>
      <c r="K84" s="2"/>
      <c r="L84" s="2">
        <f t="shared" si="0"/>
        <v>-100290.43</v>
      </c>
      <c r="M84" s="2"/>
      <c r="N84" s="19">
        <f t="shared" si="1"/>
        <v>-1</v>
      </c>
      <c r="O84" s="11"/>
      <c r="P84" s="2">
        <f t="shared" ref="P84:P85" si="18">0</f>
        <v>0</v>
      </c>
      <c r="Q84" s="2"/>
      <c r="R84" s="19"/>
      <c r="S84" s="2"/>
      <c r="T84" s="2">
        <f>--647185.49</f>
        <v>647185.49</v>
      </c>
      <c r="U84" s="2"/>
      <c r="V84" s="19"/>
      <c r="W84" s="2"/>
      <c r="X84" s="2">
        <f t="shared" si="2"/>
        <v>-647185.49</v>
      </c>
      <c r="Y84" s="2"/>
      <c r="Z84" s="19">
        <f t="shared" si="3"/>
        <v>-1</v>
      </c>
    </row>
    <row r="85" spans="1:26" s="24" customFormat="1" hidden="1" outlineLevel="1" x14ac:dyDescent="0.25">
      <c r="A85" s="44"/>
      <c r="B85" s="11" t="str">
        <f>CONCATENATE("          ", "4158", " - ", "NON-TAXABLE SALES-FOOD")</f>
        <v xml:space="preserve">          4158 - NON-TAXABLE SALES-FOOD</v>
      </c>
      <c r="C85" s="11"/>
      <c r="D85" s="2">
        <f t="shared" si="17"/>
        <v>0</v>
      </c>
      <c r="E85" s="2"/>
      <c r="F85" s="19"/>
      <c r="G85" s="2"/>
      <c r="H85" s="2">
        <f>--78257.13</f>
        <v>78257.13</v>
      </c>
      <c r="I85" s="2"/>
      <c r="J85" s="19"/>
      <c r="K85" s="2"/>
      <c r="L85" s="2">
        <f t="shared" si="0"/>
        <v>-78257.13</v>
      </c>
      <c r="M85" s="2"/>
      <c r="N85" s="19">
        <f t="shared" si="1"/>
        <v>-1</v>
      </c>
      <c r="O85" s="11"/>
      <c r="P85" s="2">
        <f t="shared" si="18"/>
        <v>0</v>
      </c>
      <c r="Q85" s="2"/>
      <c r="R85" s="19"/>
      <c r="S85" s="2"/>
      <c r="T85" s="2">
        <f>--441393.78</f>
        <v>441393.78</v>
      </c>
      <c r="U85" s="2"/>
      <c r="V85" s="19"/>
      <c r="W85" s="2"/>
      <c r="X85" s="2">
        <f t="shared" si="2"/>
        <v>-441393.78</v>
      </c>
      <c r="Y85" s="2"/>
      <c r="Z85" s="19">
        <f t="shared" si="3"/>
        <v>-1</v>
      </c>
    </row>
    <row r="86" spans="1:26" s="24" customFormat="1" hidden="1" outlineLevel="1" x14ac:dyDescent="0.25">
      <c r="A86" s="44"/>
      <c r="B86" s="11" t="str">
        <f>CONCATENATE("          ", "4181", " - ", "NON-TAXABLE SALES-ELECTRONICS")</f>
        <v xml:space="preserve">          4181 - NON-TAXABLE SALES-ELECTRONICS</v>
      </c>
      <c r="C86" s="11"/>
      <c r="D86" s="2">
        <f>--6619.94</f>
        <v>6619.94</v>
      </c>
      <c r="E86" s="2"/>
      <c r="F86" s="19"/>
      <c r="G86" s="2"/>
      <c r="H86" s="2">
        <f>--257.96</f>
        <v>257.95999999999998</v>
      </c>
      <c r="I86" s="2"/>
      <c r="J86" s="19"/>
      <c r="K86" s="2"/>
      <c r="L86" s="2">
        <f t="shared" si="0"/>
        <v>6361.98</v>
      </c>
      <c r="M86" s="2"/>
      <c r="N86" s="19">
        <f t="shared" si="1"/>
        <v>24.662660877655451</v>
      </c>
      <c r="O86" s="11"/>
      <c r="P86" s="2">
        <f>--12192.66</f>
        <v>12192.66</v>
      </c>
      <c r="Q86" s="2"/>
      <c r="R86" s="19"/>
      <c r="S86" s="2"/>
      <c r="T86" s="2">
        <f>--2064.38</f>
        <v>2064.38</v>
      </c>
      <c r="U86" s="2"/>
      <c r="V86" s="19"/>
      <c r="W86" s="2"/>
      <c r="X86" s="2">
        <f t="shared" si="2"/>
        <v>10128.279999999999</v>
      </c>
      <c r="Y86" s="2"/>
      <c r="Z86" s="19">
        <f t="shared" si="3"/>
        <v>4.9062091281643871</v>
      </c>
    </row>
    <row r="87" spans="1:26" s="24" customFormat="1" hidden="1" outlineLevel="1" x14ac:dyDescent="0.25">
      <c r="A87" s="44"/>
      <c r="B87" s="11" t="str">
        <f>CONCATENATE("          ", "4182", " - ", "NON-TAXABLE SALES-COMPUTER HAR")</f>
        <v xml:space="preserve">          4182 - NON-TAXABLE SALES-COMPUTER HAR</v>
      </c>
      <c r="C87" s="11"/>
      <c r="D87" s="2">
        <f>--33247.79</f>
        <v>33247.79</v>
      </c>
      <c r="E87" s="2"/>
      <c r="F87" s="19"/>
      <c r="G87" s="2"/>
      <c r="H87" s="2">
        <f>--10906.99</f>
        <v>10906.99</v>
      </c>
      <c r="I87" s="2"/>
      <c r="J87" s="19"/>
      <c r="K87" s="2"/>
      <c r="L87" s="2">
        <f t="shared" si="0"/>
        <v>22340.800000000003</v>
      </c>
      <c r="M87" s="2"/>
      <c r="N87" s="19">
        <f t="shared" si="1"/>
        <v>2.0483011353269789</v>
      </c>
      <c r="O87" s="11"/>
      <c r="P87" s="2">
        <f>--219646.99</f>
        <v>219646.99</v>
      </c>
      <c r="Q87" s="2"/>
      <c r="R87" s="19"/>
      <c r="S87" s="2"/>
      <c r="T87" s="2">
        <f>--97878.96</f>
        <v>97878.96</v>
      </c>
      <c r="U87" s="2"/>
      <c r="V87" s="19"/>
      <c r="W87" s="2"/>
      <c r="X87" s="2">
        <f t="shared" si="2"/>
        <v>121768.02999999998</v>
      </c>
      <c r="Y87" s="2"/>
      <c r="Z87" s="19">
        <f t="shared" si="3"/>
        <v>1.2440674686367732</v>
      </c>
    </row>
    <row r="88" spans="1:26" s="24" customFormat="1" hidden="1" outlineLevel="1" x14ac:dyDescent="0.25">
      <c r="A88" s="44"/>
      <c r="B88" s="11" t="str">
        <f>CONCATENATE("          ", "4183", " - ", "NON-TAXABLE SALES-COMPUTER EQU")</f>
        <v xml:space="preserve">          4183 - NON-TAXABLE SALES-COMPUTER EQU</v>
      </c>
      <c r="C88" s="11"/>
      <c r="D88" s="2">
        <f>--3104.68</f>
        <v>3104.68</v>
      </c>
      <c r="E88" s="2"/>
      <c r="F88" s="19"/>
      <c r="G88" s="2"/>
      <c r="H88" s="2">
        <f>--1706.87</f>
        <v>1706.87</v>
      </c>
      <c r="I88" s="2"/>
      <c r="J88" s="19"/>
      <c r="K88" s="2"/>
      <c r="L88" s="2">
        <f t="shared" si="0"/>
        <v>1397.81</v>
      </c>
      <c r="M88" s="2"/>
      <c r="N88" s="19">
        <f t="shared" si="1"/>
        <v>0.81893172883699406</v>
      </c>
      <c r="O88" s="11"/>
      <c r="P88" s="2">
        <f>--13622.82</f>
        <v>13622.82</v>
      </c>
      <c r="Q88" s="2"/>
      <c r="R88" s="19"/>
      <c r="S88" s="2"/>
      <c r="T88" s="2">
        <f>--6056.31</f>
        <v>6056.31</v>
      </c>
      <c r="U88" s="2"/>
      <c r="V88" s="19"/>
      <c r="W88" s="2"/>
      <c r="X88" s="2">
        <f t="shared" si="2"/>
        <v>7566.5099999999993</v>
      </c>
      <c r="Y88" s="2"/>
      <c r="Z88" s="19">
        <f t="shared" si="3"/>
        <v>1.2493597586649294</v>
      </c>
    </row>
    <row r="89" spans="1:26" s="24" customFormat="1" hidden="1" outlineLevel="1" x14ac:dyDescent="0.25">
      <c r="A89" s="44"/>
      <c r="B89" s="11" t="str">
        <f>CONCATENATE("          ", "4184", " - ", "NON-TAXABLE SALES-SOFTWARE LIC")</f>
        <v xml:space="preserve">          4184 - NON-TAXABLE SALES-SOFTWARE LIC</v>
      </c>
      <c r="C89" s="11"/>
      <c r="D89" s="2">
        <f>0</f>
        <v>0</v>
      </c>
      <c r="E89" s="2"/>
      <c r="F89" s="19"/>
      <c r="G89" s="2"/>
      <c r="H89" s="2">
        <f>0</f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0</f>
        <v>0</v>
      </c>
      <c r="Q89" s="2"/>
      <c r="R89" s="19"/>
      <c r="S89" s="2"/>
      <c r="T89" s="2">
        <f>--2728</f>
        <v>2728</v>
      </c>
      <c r="U89" s="2"/>
      <c r="V89" s="19"/>
      <c r="W89" s="2"/>
      <c r="X89" s="2">
        <f t="shared" si="2"/>
        <v>-2728</v>
      </c>
      <c r="Y89" s="2"/>
      <c r="Z89" s="19">
        <f t="shared" si="3"/>
        <v>-1</v>
      </c>
    </row>
    <row r="90" spans="1:26" s="24" customFormat="1" hidden="1" outlineLevel="1" x14ac:dyDescent="0.25">
      <c r="A90" s="44"/>
      <c r="B90" s="11" t="str">
        <f>CONCATENATE("          ", "4185", " - ", "NON-TAXABLE SALES-SOFTWARE")</f>
        <v xml:space="preserve">          4185 - NON-TAXABLE SALES-SOFTWARE</v>
      </c>
      <c r="C90" s="11"/>
      <c r="D90" s="2">
        <f>--5296.67</f>
        <v>5296.67</v>
      </c>
      <c r="E90" s="2"/>
      <c r="F90" s="19"/>
      <c r="G90" s="2"/>
      <c r="H90" s="2">
        <f>--817.97</f>
        <v>817.97</v>
      </c>
      <c r="I90" s="2"/>
      <c r="J90" s="19"/>
      <c r="K90" s="2"/>
      <c r="L90" s="2">
        <f t="shared" si="0"/>
        <v>4478.7</v>
      </c>
      <c r="M90" s="2"/>
      <c r="N90" s="19">
        <f t="shared" si="1"/>
        <v>5.4753841827939898</v>
      </c>
      <c r="O90" s="11"/>
      <c r="P90" s="2">
        <f>--35127.19</f>
        <v>35127.19</v>
      </c>
      <c r="Q90" s="2"/>
      <c r="R90" s="19"/>
      <c r="S90" s="2"/>
      <c r="T90" s="2">
        <f>--12145.79</f>
        <v>12145.79</v>
      </c>
      <c r="U90" s="2"/>
      <c r="V90" s="19"/>
      <c r="W90" s="2"/>
      <c r="X90" s="2">
        <f t="shared" si="2"/>
        <v>22981.4</v>
      </c>
      <c r="Y90" s="2"/>
      <c r="Z90" s="19">
        <f t="shared" si="3"/>
        <v>1.8921288775781566</v>
      </c>
    </row>
    <row r="91" spans="1:26" s="24" customFormat="1" hidden="1" outlineLevel="1" x14ac:dyDescent="0.25">
      <c r="A91" s="44"/>
      <c r="B91" s="11" t="str">
        <f>CONCATENATE("          ", "4186", " - ", "NON-TAXABLE SALES-COMPUTER SUP")</f>
        <v xml:space="preserve">          4186 - NON-TAXABLE SALES-COMPUTER SUP</v>
      </c>
      <c r="C91" s="11"/>
      <c r="D91" s="2">
        <f>--345.23</f>
        <v>345.23</v>
      </c>
      <c r="E91" s="2"/>
      <c r="F91" s="19"/>
      <c r="G91" s="2"/>
      <c r="H91" s="2">
        <f>--519.9</f>
        <v>519.9</v>
      </c>
      <c r="I91" s="2"/>
      <c r="J91" s="19"/>
      <c r="K91" s="2"/>
      <c r="L91" s="2">
        <f t="shared" si="0"/>
        <v>-174.66999999999996</v>
      </c>
      <c r="M91" s="2"/>
      <c r="N91" s="19">
        <f t="shared" si="1"/>
        <v>-0.33596845547220611</v>
      </c>
      <c r="O91" s="11"/>
      <c r="P91" s="2">
        <f>--2830.26</f>
        <v>2830.26</v>
      </c>
      <c r="Q91" s="2"/>
      <c r="R91" s="19"/>
      <c r="S91" s="2"/>
      <c r="T91" s="2">
        <f>--2469.21</f>
        <v>2469.21</v>
      </c>
      <c r="U91" s="2"/>
      <c r="V91" s="19"/>
      <c r="W91" s="2"/>
      <c r="X91" s="2">
        <f t="shared" si="2"/>
        <v>361.05000000000018</v>
      </c>
      <c r="Y91" s="2"/>
      <c r="Z91" s="19">
        <f t="shared" si="3"/>
        <v>0.14622085606327537</v>
      </c>
    </row>
    <row r="92" spans="1:26" s="24" customFormat="1" hidden="1" outlineLevel="1" x14ac:dyDescent="0.25">
      <c r="A92" s="44"/>
      <c r="B92" s="11" t="str">
        <f>CONCATENATE("          ", "4188", " - ", "NON-TAXABLE SALES-MUSIC")</f>
        <v xml:space="preserve">          4188 - NON-TAXABLE SALES-MUSIC</v>
      </c>
      <c r="C92" s="11"/>
      <c r="D92" s="2">
        <f>0</f>
        <v>0</v>
      </c>
      <c r="E92" s="2"/>
      <c r="F92" s="19"/>
      <c r="G92" s="2"/>
      <c r="H92" s="2">
        <f>0</f>
        <v>0</v>
      </c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0</f>
        <v>0</v>
      </c>
      <c r="Q92" s="2"/>
      <c r="R92" s="19"/>
      <c r="S92" s="2"/>
      <c r="T92" s="2">
        <f>--219.96</f>
        <v>219.96</v>
      </c>
      <c r="U92" s="2"/>
      <c r="V92" s="19"/>
      <c r="W92" s="2"/>
      <c r="X92" s="2">
        <f t="shared" si="2"/>
        <v>-219.96</v>
      </c>
      <c r="Y92" s="2"/>
      <c r="Z92" s="19">
        <f t="shared" si="3"/>
        <v>-1</v>
      </c>
    </row>
    <row r="93" spans="1:26" s="24" customFormat="1" hidden="1" outlineLevel="1" x14ac:dyDescent="0.25">
      <c r="A93" s="44"/>
      <c r="B93" s="11" t="str">
        <f>CONCATENATE("          ", "4201", " - ", "SALES RETURN TAXABLE-NEW TEXT")</f>
        <v xml:space="preserve">          4201 - SALES RETURN TAXABLE-NEW TEXT</v>
      </c>
      <c r="C93" s="11"/>
      <c r="D93" s="2">
        <f>-2146.49</f>
        <v>-2146.4899999999998</v>
      </c>
      <c r="E93" s="2"/>
      <c r="F93" s="19"/>
      <c r="G93" s="2"/>
      <c r="H93" s="2">
        <f>-4114.56</f>
        <v>-4114.5600000000004</v>
      </c>
      <c r="I93" s="2"/>
      <c r="J93" s="19"/>
      <c r="K93" s="2"/>
      <c r="L93" s="2">
        <f t="shared" si="0"/>
        <v>1968.0700000000006</v>
      </c>
      <c r="M93" s="2"/>
      <c r="N93" s="19">
        <f t="shared" si="1"/>
        <v>-0.478318459324934</v>
      </c>
      <c r="O93" s="11"/>
      <c r="P93" s="2">
        <f>-50664.23</f>
        <v>-50664.23</v>
      </c>
      <c r="Q93" s="2"/>
      <c r="R93" s="19"/>
      <c r="S93" s="2"/>
      <c r="T93" s="2">
        <f>-120740.41</f>
        <v>-120740.41</v>
      </c>
      <c r="U93" s="2"/>
      <c r="V93" s="19"/>
      <c r="W93" s="2"/>
      <c r="X93" s="2">
        <f t="shared" si="2"/>
        <v>70076.179999999993</v>
      </c>
      <c r="Y93" s="2"/>
      <c r="Z93" s="19">
        <f t="shared" si="3"/>
        <v>-0.58038712971075712</v>
      </c>
    </row>
    <row r="94" spans="1:26" s="24" customFormat="1" hidden="1" outlineLevel="1" x14ac:dyDescent="0.25">
      <c r="A94" s="44"/>
      <c r="B94" s="11" t="str">
        <f>CONCATENATE("          ", "4202", " - ", "SALES RETURN TAXABLE-USED TEXT")</f>
        <v xml:space="preserve">          4202 - SALES RETURN TAXABLE-USED TEXT</v>
      </c>
      <c r="C94" s="11"/>
      <c r="D94" s="2">
        <f>-1199.21</f>
        <v>-1199.21</v>
      </c>
      <c r="E94" s="2"/>
      <c r="F94" s="19"/>
      <c r="G94" s="2"/>
      <c r="H94" s="2">
        <f>-2008.16</f>
        <v>-2008.16</v>
      </c>
      <c r="I94" s="2"/>
      <c r="J94" s="19"/>
      <c r="K94" s="2"/>
      <c r="L94" s="2">
        <f t="shared" si="0"/>
        <v>808.95</v>
      </c>
      <c r="M94" s="2"/>
      <c r="N94" s="19">
        <f t="shared" si="1"/>
        <v>-0.40283144769341089</v>
      </c>
      <c r="O94" s="11"/>
      <c r="P94" s="2">
        <f>-19735.51</f>
        <v>-19735.509999999998</v>
      </c>
      <c r="Q94" s="2"/>
      <c r="R94" s="19"/>
      <c r="S94" s="2"/>
      <c r="T94" s="2">
        <f>-45387.31</f>
        <v>-45387.31</v>
      </c>
      <c r="U94" s="2"/>
      <c r="V94" s="19"/>
      <c r="W94" s="2"/>
      <c r="X94" s="2">
        <f t="shared" si="2"/>
        <v>25651.8</v>
      </c>
      <c r="Y94" s="2"/>
      <c r="Z94" s="19">
        <f t="shared" si="3"/>
        <v>-0.56517559643874027</v>
      </c>
    </row>
    <row r="95" spans="1:26" s="24" customFormat="1" hidden="1" outlineLevel="1" x14ac:dyDescent="0.25">
      <c r="A95" s="44"/>
      <c r="B95" s="11" t="str">
        <f>CONCATENATE("          ", "4203", " - ", "SALES RETURN TAXABLE-RENTAL TE")</f>
        <v xml:space="preserve">          4203 - SALES RETURN TAXABLE-RENTAL TE</v>
      </c>
      <c r="C95" s="11"/>
      <c r="D95" s="2">
        <f>0</f>
        <v>0</v>
      </c>
      <c r="E95" s="2"/>
      <c r="F95" s="19"/>
      <c r="G95" s="2"/>
      <c r="H95" s="2">
        <f>0</f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0</f>
        <v>0</v>
      </c>
      <c r="Q95" s="2"/>
      <c r="R95" s="19"/>
      <c r="S95" s="2"/>
      <c r="T95" s="2">
        <f>-144.99</f>
        <v>-144.99</v>
      </c>
      <c r="U95" s="2"/>
      <c r="V95" s="19"/>
      <c r="W95" s="2"/>
      <c r="X95" s="2">
        <f t="shared" si="2"/>
        <v>144.99</v>
      </c>
      <c r="Y95" s="2"/>
      <c r="Z95" s="19">
        <f t="shared" si="3"/>
        <v>-1</v>
      </c>
    </row>
    <row r="96" spans="1:26" s="24" customFormat="1" hidden="1" outlineLevel="1" x14ac:dyDescent="0.25">
      <c r="A96" s="44"/>
      <c r="B96" s="11" t="str">
        <f>CONCATENATE("          ", "4204", " - ", "SALES RETURN TAXABLE-DIGITAL T")</f>
        <v xml:space="preserve">          4204 - SALES RETURN TAXABLE-DIGITAL T</v>
      </c>
      <c r="C96" s="11"/>
      <c r="D96" s="2">
        <f>-132.25</f>
        <v>-132.25</v>
      </c>
      <c r="E96" s="2"/>
      <c r="F96" s="19"/>
      <c r="G96" s="2"/>
      <c r="H96" s="2">
        <f>-993.89</f>
        <v>-993.89</v>
      </c>
      <c r="I96" s="2"/>
      <c r="J96" s="19"/>
      <c r="K96" s="2"/>
      <c r="L96" s="2">
        <f t="shared" si="0"/>
        <v>861.64</v>
      </c>
      <c r="M96" s="2"/>
      <c r="N96" s="19">
        <f t="shared" si="1"/>
        <v>-0.86693698497821692</v>
      </c>
      <c r="O96" s="11"/>
      <c r="P96" s="2">
        <f>-1763.1</f>
        <v>-1763.1</v>
      </c>
      <c r="Q96" s="2"/>
      <c r="R96" s="19"/>
      <c r="S96" s="2"/>
      <c r="T96" s="2">
        <f>-17255.33</f>
        <v>-17255.330000000002</v>
      </c>
      <c r="U96" s="2"/>
      <c r="V96" s="19"/>
      <c r="W96" s="2"/>
      <c r="X96" s="2">
        <f t="shared" si="2"/>
        <v>15492.230000000001</v>
      </c>
      <c r="Y96" s="2"/>
      <c r="Z96" s="19">
        <f t="shared" si="3"/>
        <v>-0.89782287559843832</v>
      </c>
    </row>
    <row r="97" spans="1:26" s="24" customFormat="1" hidden="1" outlineLevel="1" x14ac:dyDescent="0.25">
      <c r="A97" s="44"/>
      <c r="B97" s="11" t="str">
        <f>CONCATENATE("          ", "4213", " - ", "NON-TAXABLE SALES-TRADE BOOKS")</f>
        <v xml:space="preserve">          4213 - NON-TAXABLE SALES-TRADE BOOKS</v>
      </c>
      <c r="C97" s="11"/>
      <c r="D97" s="2">
        <f>-69.93</f>
        <v>-69.930000000000007</v>
      </c>
      <c r="E97" s="2"/>
      <c r="F97" s="19"/>
      <c r="G97" s="2"/>
      <c r="H97" s="2">
        <f>-103.4</f>
        <v>-103.4</v>
      </c>
      <c r="I97" s="2"/>
      <c r="J97" s="19"/>
      <c r="K97" s="2"/>
      <c r="L97" s="2">
        <f t="shared" si="0"/>
        <v>33.47</v>
      </c>
      <c r="M97" s="2"/>
      <c r="N97" s="19">
        <f t="shared" si="1"/>
        <v>-0.3236943907156673</v>
      </c>
      <c r="O97" s="11"/>
      <c r="P97" s="2">
        <f>-69.93</f>
        <v>-69.930000000000007</v>
      </c>
      <c r="Q97" s="2"/>
      <c r="R97" s="19"/>
      <c r="S97" s="2"/>
      <c r="T97" s="2">
        <f>-220.06</f>
        <v>-220.06</v>
      </c>
      <c r="U97" s="2"/>
      <c r="V97" s="19"/>
      <c r="W97" s="2"/>
      <c r="X97" s="2">
        <f t="shared" si="2"/>
        <v>150.13</v>
      </c>
      <c r="Y97" s="2"/>
      <c r="Z97" s="19">
        <f t="shared" si="3"/>
        <v>-0.68222303008270468</v>
      </c>
    </row>
    <row r="98" spans="1:26" s="24" customFormat="1" hidden="1" outlineLevel="1" x14ac:dyDescent="0.25">
      <c r="A98" s="44"/>
      <c r="B98" s="11" t="str">
        <f>CONCATENATE("          ", "4214", " - ", "SALES RETURN TAXABLE-REMAINDER")</f>
        <v xml:space="preserve">          4214 - SALES RETURN TAXABLE-REMAINDER</v>
      </c>
      <c r="C98" s="11"/>
      <c r="D98" s="2">
        <f t="shared" ref="D98:D102" si="19">0</f>
        <v>0</v>
      </c>
      <c r="E98" s="2"/>
      <c r="F98" s="19"/>
      <c r="G98" s="2"/>
      <c r="H98" s="2">
        <f t="shared" ref="H98:H100" si="20">0</f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 t="shared" ref="P98:P101" si="21">0</f>
        <v>0</v>
      </c>
      <c r="Q98" s="2"/>
      <c r="R98" s="19"/>
      <c r="S98" s="2"/>
      <c r="T98" s="2">
        <f>-11.94</f>
        <v>-11.94</v>
      </c>
      <c r="U98" s="2"/>
      <c r="V98" s="19"/>
      <c r="W98" s="2"/>
      <c r="X98" s="2">
        <f t="shared" si="2"/>
        <v>11.94</v>
      </c>
      <c r="Y98" s="2"/>
      <c r="Z98" s="19">
        <f t="shared" si="3"/>
        <v>-1</v>
      </c>
    </row>
    <row r="99" spans="1:26" s="24" customFormat="1" hidden="1" outlineLevel="1" x14ac:dyDescent="0.25">
      <c r="A99" s="44"/>
      <c r="B99" s="11" t="str">
        <f>CONCATENATE("          ", "4217", " - ", "NON-TAXABLE SALES-DORM/HOUSEWA")</f>
        <v xml:space="preserve">          4217 - NON-TAXABLE SALES-DORM/HOUSEWA</v>
      </c>
      <c r="C99" s="11"/>
      <c r="D99" s="2">
        <f t="shared" si="19"/>
        <v>0</v>
      </c>
      <c r="E99" s="2"/>
      <c r="F99" s="19"/>
      <c r="G99" s="2"/>
      <c r="H99" s="2">
        <f t="shared" si="20"/>
        <v>0</v>
      </c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 t="shared" si="21"/>
        <v>0</v>
      </c>
      <c r="Q99" s="2"/>
      <c r="R99" s="19"/>
      <c r="S99" s="2"/>
      <c r="T99" s="2">
        <f>-2.98</f>
        <v>-2.98</v>
      </c>
      <c r="U99" s="2"/>
      <c r="V99" s="19"/>
      <c r="W99" s="2"/>
      <c r="X99" s="2">
        <f t="shared" si="2"/>
        <v>2.98</v>
      </c>
      <c r="Y99" s="2"/>
      <c r="Z99" s="19">
        <f t="shared" si="3"/>
        <v>-1</v>
      </c>
    </row>
    <row r="100" spans="1:26" s="24" customFormat="1" hidden="1" outlineLevel="1" x14ac:dyDescent="0.25">
      <c r="A100" s="44"/>
      <c r="B100" s="11" t="str">
        <f>CONCATENATE("          ", "4218", " - ", "SALES RETURN TAXABLE-STUDY GUI")</f>
        <v xml:space="preserve">          4218 - SALES RETURN TAXABLE-STUDY GUI</v>
      </c>
      <c r="C100" s="11"/>
      <c r="D100" s="2">
        <f t="shared" si="19"/>
        <v>0</v>
      </c>
      <c r="E100" s="2"/>
      <c r="F100" s="19"/>
      <c r="G100" s="2"/>
      <c r="H100" s="2">
        <f t="shared" si="20"/>
        <v>0</v>
      </c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 t="shared" si="21"/>
        <v>0</v>
      </c>
      <c r="Q100" s="2"/>
      <c r="R100" s="19"/>
      <c r="S100" s="2"/>
      <c r="T100" s="2">
        <f>-39.25</f>
        <v>-39.25</v>
      </c>
      <c r="U100" s="2"/>
      <c r="V100" s="19"/>
      <c r="W100" s="2"/>
      <c r="X100" s="2">
        <f t="shared" si="2"/>
        <v>39.25</v>
      </c>
      <c r="Y100" s="2"/>
      <c r="Z100" s="19">
        <f t="shared" si="3"/>
        <v>-1</v>
      </c>
    </row>
    <row r="101" spans="1:26" s="24" customFormat="1" hidden="1" outlineLevel="1" x14ac:dyDescent="0.25">
      <c r="A101" s="44"/>
      <c r="B101" s="11" t="str">
        <f>CONCATENATE("          ", "4225", " - ", "SALES RETURN TAXABLE-TEST FORM")</f>
        <v xml:space="preserve">          4225 - SALES RETURN TAXABLE-TEST FORM</v>
      </c>
      <c r="C101" s="11"/>
      <c r="D101" s="2">
        <f t="shared" si="19"/>
        <v>0</v>
      </c>
      <c r="E101" s="2"/>
      <c r="F101" s="19"/>
      <c r="G101" s="2"/>
      <c r="H101" s="2">
        <f>-72.54</f>
        <v>-72.540000000000006</v>
      </c>
      <c r="I101" s="2"/>
      <c r="J101" s="19"/>
      <c r="K101" s="2"/>
      <c r="L101" s="2">
        <f t="shared" si="0"/>
        <v>72.540000000000006</v>
      </c>
      <c r="M101" s="2"/>
      <c r="N101" s="19">
        <f t="shared" si="1"/>
        <v>-1</v>
      </c>
      <c r="O101" s="11"/>
      <c r="P101" s="2">
        <f t="shared" si="21"/>
        <v>0</v>
      </c>
      <c r="Q101" s="2"/>
      <c r="R101" s="19"/>
      <c r="S101" s="2"/>
      <c r="T101" s="2">
        <f>-168.25</f>
        <v>-168.25</v>
      </c>
      <c r="U101" s="2"/>
      <c r="V101" s="19"/>
      <c r="W101" s="2"/>
      <c r="X101" s="2">
        <f t="shared" si="2"/>
        <v>168.25</v>
      </c>
      <c r="Y101" s="2"/>
      <c r="Z101" s="19">
        <f t="shared" si="3"/>
        <v>-1</v>
      </c>
    </row>
    <row r="102" spans="1:26" s="24" customFormat="1" hidden="1" outlineLevel="1" x14ac:dyDescent="0.25">
      <c r="A102" s="44"/>
      <c r="B102" s="11" t="str">
        <f>CONCATENATE("          ", "4226", " - ", "SALES RETURN TAXABLE-WRITING I")</f>
        <v xml:space="preserve">          4226 - SALES RETURN TAXABLE-WRITING I</v>
      </c>
      <c r="C102" s="11"/>
      <c r="D102" s="2">
        <f t="shared" si="19"/>
        <v>0</v>
      </c>
      <c r="E102" s="2"/>
      <c r="F102" s="19"/>
      <c r="G102" s="2"/>
      <c r="H102" s="2">
        <f>-72.88</f>
        <v>-72.88</v>
      </c>
      <c r="I102" s="2"/>
      <c r="J102" s="19"/>
      <c r="K102" s="2"/>
      <c r="L102" s="2">
        <f t="shared" si="0"/>
        <v>72.88</v>
      </c>
      <c r="M102" s="2"/>
      <c r="N102" s="19">
        <f t="shared" si="1"/>
        <v>-1</v>
      </c>
      <c r="O102" s="11"/>
      <c r="P102" s="2">
        <f>-34.23</f>
        <v>-34.229999999999997</v>
      </c>
      <c r="Q102" s="2"/>
      <c r="R102" s="19"/>
      <c r="S102" s="2"/>
      <c r="T102" s="2">
        <f>-753.79</f>
        <v>-753.79</v>
      </c>
      <c r="U102" s="2"/>
      <c r="V102" s="19"/>
      <c r="W102" s="2"/>
      <c r="X102" s="2">
        <f t="shared" si="2"/>
        <v>719.56</v>
      </c>
      <c r="Y102" s="2"/>
      <c r="Z102" s="19">
        <f t="shared" si="3"/>
        <v>-0.95458947452208176</v>
      </c>
    </row>
    <row r="103" spans="1:26" s="24" customFormat="1" hidden="1" outlineLevel="1" x14ac:dyDescent="0.25">
      <c r="A103" s="44"/>
      <c r="B103" s="11" t="str">
        <f>CONCATENATE("          ", "4227", " - ", "SALES RETURN TAXABLE-SCHOOL SU")</f>
        <v xml:space="preserve">          4227 - SALES RETURN TAXABLE-SCHOOL SU</v>
      </c>
      <c r="C103" s="11"/>
      <c r="D103" s="2">
        <f>-19.05</f>
        <v>-19.05</v>
      </c>
      <c r="E103" s="2"/>
      <c r="F103" s="19"/>
      <c r="G103" s="2"/>
      <c r="H103" s="2">
        <f>-703.56</f>
        <v>-703.56</v>
      </c>
      <c r="I103" s="2"/>
      <c r="J103" s="19"/>
      <c r="K103" s="2"/>
      <c r="L103" s="2">
        <f t="shared" si="0"/>
        <v>684.51</v>
      </c>
      <c r="M103" s="2"/>
      <c r="N103" s="19">
        <f t="shared" si="1"/>
        <v>-0.9729234180453693</v>
      </c>
      <c r="O103" s="11"/>
      <c r="P103" s="2">
        <f>-781.73</f>
        <v>-781.73</v>
      </c>
      <c r="Q103" s="2"/>
      <c r="R103" s="19"/>
      <c r="S103" s="2"/>
      <c r="T103" s="2">
        <f>-7614.42</f>
        <v>-7614.42</v>
      </c>
      <c r="U103" s="2"/>
      <c r="V103" s="19"/>
      <c r="W103" s="2"/>
      <c r="X103" s="2">
        <f t="shared" si="2"/>
        <v>6832.6900000000005</v>
      </c>
      <c r="Y103" s="2"/>
      <c r="Z103" s="19">
        <f t="shared" si="3"/>
        <v>-0.89733558169893446</v>
      </c>
    </row>
    <row r="104" spans="1:26" s="24" customFormat="1" hidden="1" outlineLevel="1" x14ac:dyDescent="0.25">
      <c r="A104" s="44"/>
      <c r="B104" s="11" t="str">
        <f>CONCATENATE("          ", "4228", " - ", "SALES RETURN TAXABLE-ART/TECH")</f>
        <v xml:space="preserve">          4228 - SALES RETURN TAXABLE-ART/TECH</v>
      </c>
      <c r="C104" s="11"/>
      <c r="D104" s="2">
        <f>-10.71</f>
        <v>-10.71</v>
      </c>
      <c r="E104" s="2"/>
      <c r="F104" s="19"/>
      <c r="G104" s="2"/>
      <c r="H104" s="2">
        <f>-685.23</f>
        <v>-685.23</v>
      </c>
      <c r="I104" s="2"/>
      <c r="J104" s="19"/>
      <c r="K104" s="2"/>
      <c r="L104" s="2">
        <f t="shared" si="0"/>
        <v>674.52</v>
      </c>
      <c r="M104" s="2"/>
      <c r="N104" s="19">
        <f t="shared" si="1"/>
        <v>-0.98437021146184489</v>
      </c>
      <c r="O104" s="11"/>
      <c r="P104" s="2">
        <f>-12739.24</f>
        <v>-12739.24</v>
      </c>
      <c r="Q104" s="2"/>
      <c r="R104" s="19"/>
      <c r="S104" s="2"/>
      <c r="T104" s="2">
        <f>-4599.92</f>
        <v>-4599.92</v>
      </c>
      <c r="U104" s="2"/>
      <c r="V104" s="19"/>
      <c r="W104" s="2"/>
      <c r="X104" s="2">
        <f t="shared" si="2"/>
        <v>-8139.32</v>
      </c>
      <c r="Y104" s="2"/>
      <c r="Z104" s="19">
        <f t="shared" si="3"/>
        <v>1.769448164315901</v>
      </c>
    </row>
    <row r="105" spans="1:26" s="24" customFormat="1" hidden="1" outlineLevel="1" x14ac:dyDescent="0.25">
      <c r="A105" s="44"/>
      <c r="B105" s="11" t="str">
        <f>CONCATENATE("          ", "4233", " - ", "SALES RETURN TAXABLE-CANDY")</f>
        <v xml:space="preserve">          4233 - SALES RETURN TAXABLE-CANDY</v>
      </c>
      <c r="C105" s="11"/>
      <c r="D105" s="2">
        <f>0</f>
        <v>0</v>
      </c>
      <c r="E105" s="2"/>
      <c r="F105" s="19"/>
      <c r="G105" s="2"/>
      <c r="H105" s="2">
        <f>0</f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0</f>
        <v>0</v>
      </c>
      <c r="Q105" s="2"/>
      <c r="R105" s="19"/>
      <c r="S105" s="2"/>
      <c r="T105" s="2">
        <f>-1.29</f>
        <v>-1.29</v>
      </c>
      <c r="U105" s="2"/>
      <c r="V105" s="19"/>
      <c r="W105" s="2"/>
      <c r="X105" s="2">
        <f t="shared" si="2"/>
        <v>1.29</v>
      </c>
      <c r="Y105" s="2"/>
      <c r="Z105" s="19">
        <f t="shared" si="3"/>
        <v>-1</v>
      </c>
    </row>
    <row r="106" spans="1:26" s="24" customFormat="1" hidden="1" outlineLevel="1" x14ac:dyDescent="0.25">
      <c r="A106" s="44"/>
      <c r="B106" s="11" t="str">
        <f>CONCATENATE("          ", "4240", " - ", "SALES RETURN TAXABLE-LOGO CLOT")</f>
        <v xml:space="preserve">          4240 - SALES RETURN TAXABLE-LOGO CLOT</v>
      </c>
      <c r="C106" s="11"/>
      <c r="D106" s="2">
        <f>-3542.64</f>
        <v>-3542.64</v>
      </c>
      <c r="E106" s="2"/>
      <c r="F106" s="19"/>
      <c r="G106" s="2"/>
      <c r="H106" s="2">
        <f>-8202.92</f>
        <v>-8202.92</v>
      </c>
      <c r="I106" s="2"/>
      <c r="J106" s="19"/>
      <c r="K106" s="2"/>
      <c r="L106" s="2">
        <f t="shared" si="0"/>
        <v>4660.2800000000007</v>
      </c>
      <c r="M106" s="2"/>
      <c r="N106" s="19">
        <f t="shared" si="1"/>
        <v>-0.568124521511852</v>
      </c>
      <c r="O106" s="11"/>
      <c r="P106" s="2">
        <f>-31129.51</f>
        <v>-31129.51</v>
      </c>
      <c r="Q106" s="2"/>
      <c r="R106" s="19"/>
      <c r="S106" s="2"/>
      <c r="T106" s="2">
        <f>-69811.67</f>
        <v>-69811.67</v>
      </c>
      <c r="U106" s="2"/>
      <c r="V106" s="19"/>
      <c r="W106" s="2"/>
      <c r="X106" s="2">
        <f t="shared" si="2"/>
        <v>38682.160000000003</v>
      </c>
      <c r="Y106" s="2"/>
      <c r="Z106" s="19">
        <f t="shared" si="3"/>
        <v>-0.55409303344268956</v>
      </c>
    </row>
    <row r="107" spans="1:26" s="24" customFormat="1" hidden="1" outlineLevel="1" x14ac:dyDescent="0.25">
      <c r="A107" s="44"/>
      <c r="B107" s="11" t="str">
        <f>CONCATENATE("          ", "4241", " - ", "SALES RETURN TAXABLE-LOGO GIFT")</f>
        <v xml:space="preserve">          4241 - SALES RETURN TAXABLE-LOGO GIFT</v>
      </c>
      <c r="C107" s="11"/>
      <c r="D107" s="2">
        <f>-338.05</f>
        <v>-338.05</v>
      </c>
      <c r="E107" s="2"/>
      <c r="F107" s="19"/>
      <c r="G107" s="2"/>
      <c r="H107" s="2">
        <f>-972.77</f>
        <v>-972.77</v>
      </c>
      <c r="I107" s="2"/>
      <c r="J107" s="19"/>
      <c r="K107" s="2"/>
      <c r="L107" s="2">
        <f t="shared" si="0"/>
        <v>634.72</v>
      </c>
      <c r="M107" s="2"/>
      <c r="N107" s="19">
        <f t="shared" si="1"/>
        <v>-0.65248722719656238</v>
      </c>
      <c r="O107" s="11"/>
      <c r="P107" s="2">
        <f>-5295.52</f>
        <v>-5295.52</v>
      </c>
      <c r="Q107" s="2"/>
      <c r="R107" s="19"/>
      <c r="S107" s="2"/>
      <c r="T107" s="2">
        <f>-5926.98</f>
        <v>-5926.98</v>
      </c>
      <c r="U107" s="2"/>
      <c r="V107" s="19"/>
      <c r="W107" s="2"/>
      <c r="X107" s="2">
        <f t="shared" si="2"/>
        <v>631.45999999999913</v>
      </c>
      <c r="Y107" s="2"/>
      <c r="Z107" s="19">
        <f t="shared" si="3"/>
        <v>-0.10653992421098084</v>
      </c>
    </row>
    <row r="108" spans="1:26" s="24" customFormat="1" hidden="1" outlineLevel="1" x14ac:dyDescent="0.25">
      <c r="A108" s="44"/>
      <c r="B108" s="11" t="str">
        <f>CONCATENATE("          ", "4242", " - ", "SALES RETURN TAXABLE-EVERYDAY")</f>
        <v xml:space="preserve">          4242 - SALES RETURN TAXABLE-EVERYDAY</v>
      </c>
      <c r="C108" s="11"/>
      <c r="D108" s="2">
        <f>-44.96</f>
        <v>-44.96</v>
      </c>
      <c r="E108" s="2"/>
      <c r="F108" s="19"/>
      <c r="G108" s="2"/>
      <c r="H108" s="2">
        <f>-349.75</f>
        <v>-349.75</v>
      </c>
      <c r="I108" s="2"/>
      <c r="J108" s="19"/>
      <c r="K108" s="2"/>
      <c r="L108" s="2">
        <f t="shared" si="0"/>
        <v>304.79000000000002</v>
      </c>
      <c r="M108" s="2"/>
      <c r="N108" s="19">
        <f t="shared" si="1"/>
        <v>-0.87145103645461053</v>
      </c>
      <c r="O108" s="11"/>
      <c r="P108" s="2">
        <f>-1738.74</f>
        <v>-1738.74</v>
      </c>
      <c r="Q108" s="2"/>
      <c r="R108" s="19"/>
      <c r="S108" s="2"/>
      <c r="T108" s="2">
        <f>-3894.08</f>
        <v>-3894.08</v>
      </c>
      <c r="U108" s="2"/>
      <c r="V108" s="19"/>
      <c r="W108" s="2"/>
      <c r="X108" s="2">
        <f t="shared" si="2"/>
        <v>2155.34</v>
      </c>
      <c r="Y108" s="2"/>
      <c r="Z108" s="19">
        <f t="shared" si="3"/>
        <v>-0.55349145369381214</v>
      </c>
    </row>
    <row r="109" spans="1:26" s="24" customFormat="1" hidden="1" outlineLevel="1" x14ac:dyDescent="0.25">
      <c r="A109" s="44"/>
      <c r="B109" s="11" t="str">
        <f>CONCATENATE("          ", "4243", " - ", "SALES RETURN TAXABLE-CARDS")</f>
        <v xml:space="preserve">          4243 - SALES RETURN TAXABLE-CARDS</v>
      </c>
      <c r="C109" s="11"/>
      <c r="D109" s="2">
        <f>-369.81</f>
        <v>-369.81</v>
      </c>
      <c r="E109" s="2"/>
      <c r="F109" s="19"/>
      <c r="G109" s="2"/>
      <c r="H109" s="2">
        <f>-1609.18</f>
        <v>-1609.18</v>
      </c>
      <c r="I109" s="2"/>
      <c r="J109" s="19"/>
      <c r="K109" s="2"/>
      <c r="L109" s="2">
        <f t="shared" si="0"/>
        <v>1239.3700000000001</v>
      </c>
      <c r="M109" s="2"/>
      <c r="N109" s="19">
        <f t="shared" si="1"/>
        <v>-0.77018730036416072</v>
      </c>
      <c r="O109" s="11"/>
      <c r="P109" s="2">
        <f>-5369.6</f>
        <v>-5369.6</v>
      </c>
      <c r="Q109" s="2"/>
      <c r="R109" s="19"/>
      <c r="S109" s="2"/>
      <c r="T109" s="2">
        <f>-2833.39</f>
        <v>-2833.39</v>
      </c>
      <c r="U109" s="2"/>
      <c r="V109" s="19"/>
      <c r="W109" s="2"/>
      <c r="X109" s="2">
        <f t="shared" si="2"/>
        <v>-2536.2100000000005</v>
      </c>
      <c r="Y109" s="2"/>
      <c r="Z109" s="19">
        <f t="shared" si="3"/>
        <v>0.89511503887569333</v>
      </c>
    </row>
    <row r="110" spans="1:26" s="24" customFormat="1" hidden="1" outlineLevel="1" x14ac:dyDescent="0.25">
      <c r="A110" s="44"/>
      <c r="B110" s="11" t="str">
        <f>CONCATENATE("          ", "4244", " - ", "SALES RETURN TAXABLE-ACCESSORI")</f>
        <v xml:space="preserve">          4244 - SALES RETURN TAXABLE-ACCESSORI</v>
      </c>
      <c r="C110" s="11"/>
      <c r="D110" s="2">
        <f>-9.99</f>
        <v>-9.99</v>
      </c>
      <c r="E110" s="2"/>
      <c r="F110" s="19"/>
      <c r="G110" s="2"/>
      <c r="H110" s="2">
        <f>-328.75</f>
        <v>-328.75</v>
      </c>
      <c r="I110" s="2"/>
      <c r="J110" s="19"/>
      <c r="K110" s="2"/>
      <c r="L110" s="2">
        <f t="shared" si="0"/>
        <v>318.76</v>
      </c>
      <c r="M110" s="2"/>
      <c r="N110" s="19">
        <f t="shared" si="1"/>
        <v>-0.96961216730038025</v>
      </c>
      <c r="O110" s="11"/>
      <c r="P110" s="2">
        <f>-994.84</f>
        <v>-994.84</v>
      </c>
      <c r="Q110" s="2"/>
      <c r="R110" s="19"/>
      <c r="S110" s="2"/>
      <c r="T110" s="2">
        <f>-2430.8</f>
        <v>-2430.8000000000002</v>
      </c>
      <c r="U110" s="2"/>
      <c r="V110" s="19"/>
      <c r="W110" s="2"/>
      <c r="X110" s="2">
        <f t="shared" si="2"/>
        <v>1435.96</v>
      </c>
      <c r="Y110" s="2"/>
      <c r="Z110" s="19">
        <f t="shared" si="3"/>
        <v>-0.59073556030936314</v>
      </c>
    </row>
    <row r="111" spans="1:26" s="24" customFormat="1" hidden="1" outlineLevel="1" x14ac:dyDescent="0.25">
      <c r="A111" s="44"/>
      <c r="B111" s="11" t="str">
        <f>CONCATENATE("          ", "4245", " - ", "SALES RETURN TAXABLE-SPECIAL O")</f>
        <v xml:space="preserve">          4245 - SALES RETURN TAXABLE-SPECIAL O</v>
      </c>
      <c r="C111" s="11"/>
      <c r="D111" s="2">
        <f>-7.98</f>
        <v>-7.98</v>
      </c>
      <c r="E111" s="2"/>
      <c r="F111" s="19"/>
      <c r="G111" s="2"/>
      <c r="H111" s="2">
        <f>0</f>
        <v>0</v>
      </c>
      <c r="I111" s="2"/>
      <c r="J111" s="19"/>
      <c r="K111" s="2"/>
      <c r="L111" s="2">
        <f t="shared" si="0"/>
        <v>-7.98</v>
      </c>
      <c r="M111" s="2"/>
      <c r="N111" s="19">
        <f t="shared" si="1"/>
        <v>0</v>
      </c>
      <c r="O111" s="11"/>
      <c r="P111" s="2">
        <f>-11353.59</f>
        <v>-11353.59</v>
      </c>
      <c r="Q111" s="2"/>
      <c r="R111" s="19"/>
      <c r="S111" s="2"/>
      <c r="T111" s="2">
        <f>-1715.05</f>
        <v>-1715.05</v>
      </c>
      <c r="U111" s="2"/>
      <c r="V111" s="19"/>
      <c r="W111" s="2"/>
      <c r="X111" s="2">
        <f t="shared" si="2"/>
        <v>-9638.5400000000009</v>
      </c>
      <c r="Y111" s="2"/>
      <c r="Z111" s="19">
        <f t="shared" si="3"/>
        <v>5.6199760939914292</v>
      </c>
    </row>
    <row r="112" spans="1:26" s="24" customFormat="1" hidden="1" outlineLevel="1" x14ac:dyDescent="0.25">
      <c r="A112" s="44"/>
      <c r="B112" s="11" t="str">
        <f>CONCATENATE("          ", "4281", " - ", "SALES RETURN TAXABLE-ELECTRONI")</f>
        <v xml:space="preserve">          4281 - SALES RETURN TAXABLE-ELECTRONI</v>
      </c>
      <c r="C112" s="11"/>
      <c r="D112" s="2">
        <f>0</f>
        <v>0</v>
      </c>
      <c r="E112" s="2"/>
      <c r="F112" s="19"/>
      <c r="G112" s="2"/>
      <c r="H112" s="2">
        <f>-1117.89</f>
        <v>-1117.8900000000001</v>
      </c>
      <c r="I112" s="2"/>
      <c r="J112" s="19"/>
      <c r="K112" s="2"/>
      <c r="L112" s="2">
        <f t="shared" si="0"/>
        <v>1117.8900000000001</v>
      </c>
      <c r="M112" s="2"/>
      <c r="N112" s="19">
        <f t="shared" si="1"/>
        <v>-1</v>
      </c>
      <c r="O112" s="11"/>
      <c r="P112" s="2">
        <f>-14762.14</f>
        <v>-14762.14</v>
      </c>
      <c r="Q112" s="2"/>
      <c r="R112" s="19"/>
      <c r="S112" s="2"/>
      <c r="T112" s="2">
        <f>-7622.7</f>
        <v>-7622.7</v>
      </c>
      <c r="U112" s="2"/>
      <c r="V112" s="19"/>
      <c r="W112" s="2"/>
      <c r="X112" s="2">
        <f t="shared" si="2"/>
        <v>-7139.44</v>
      </c>
      <c r="Y112" s="2"/>
      <c r="Z112" s="19">
        <f t="shared" si="3"/>
        <v>0.93660251616881152</v>
      </c>
    </row>
    <row r="113" spans="1:26" s="24" customFormat="1" hidden="1" outlineLevel="1" x14ac:dyDescent="0.25">
      <c r="A113" s="44"/>
      <c r="B113" s="11" t="str">
        <f>CONCATENATE("          ", "4282", " - ", "SALES RETURN TAXABLE-COMPUTER")</f>
        <v xml:space="preserve">          4282 - SALES RETURN TAXABLE-COMPUTER</v>
      </c>
      <c r="C113" s="11"/>
      <c r="D113" s="2">
        <f>-32711.15</f>
        <v>-32711.15</v>
      </c>
      <c r="E113" s="2"/>
      <c r="F113" s="19"/>
      <c r="G113" s="2"/>
      <c r="H113" s="2">
        <f>-4341.94</f>
        <v>-4341.9399999999996</v>
      </c>
      <c r="I113" s="2"/>
      <c r="J113" s="19"/>
      <c r="K113" s="2"/>
      <c r="L113" s="2">
        <f t="shared" si="0"/>
        <v>-28369.210000000003</v>
      </c>
      <c r="M113" s="2"/>
      <c r="N113" s="19">
        <f t="shared" si="1"/>
        <v>6.5337637093096648</v>
      </c>
      <c r="O113" s="11"/>
      <c r="P113" s="2">
        <f>-129628.16</f>
        <v>-129628.16</v>
      </c>
      <c r="Q113" s="2"/>
      <c r="R113" s="19"/>
      <c r="S113" s="2"/>
      <c r="T113" s="2">
        <f>-207225.13</f>
        <v>-207225.13</v>
      </c>
      <c r="U113" s="2"/>
      <c r="V113" s="19"/>
      <c r="W113" s="2"/>
      <c r="X113" s="2">
        <f t="shared" si="2"/>
        <v>77596.97</v>
      </c>
      <c r="Y113" s="2"/>
      <c r="Z113" s="19">
        <f t="shared" si="3"/>
        <v>-0.37445733536275255</v>
      </c>
    </row>
    <row r="114" spans="1:26" s="24" customFormat="1" hidden="1" outlineLevel="1" x14ac:dyDescent="0.25">
      <c r="A114" s="44"/>
      <c r="B114" s="11" t="str">
        <f>CONCATENATE("          ", "4283", " - ", "SALES RETURN TAXABLE-COMPUTER")</f>
        <v xml:space="preserve">          4283 - SALES RETURN TAXABLE-COMPUTER</v>
      </c>
      <c r="C114" s="11"/>
      <c r="D114" s="2">
        <f>-212.99</f>
        <v>-212.99</v>
      </c>
      <c r="E114" s="2"/>
      <c r="F114" s="19"/>
      <c r="G114" s="2"/>
      <c r="H114" s="2">
        <f>-910.69</f>
        <v>-910.69</v>
      </c>
      <c r="I114" s="2"/>
      <c r="J114" s="19"/>
      <c r="K114" s="2"/>
      <c r="L114" s="2">
        <f t="shared" si="0"/>
        <v>697.7</v>
      </c>
      <c r="M114" s="2"/>
      <c r="N114" s="19">
        <f t="shared" si="1"/>
        <v>-0.76612239071473276</v>
      </c>
      <c r="O114" s="11"/>
      <c r="P114" s="2">
        <f>-3359.28</f>
        <v>-3359.28</v>
      </c>
      <c r="Q114" s="2"/>
      <c r="R114" s="19"/>
      <c r="S114" s="2"/>
      <c r="T114" s="2">
        <f>-5825.41</f>
        <v>-5825.41</v>
      </c>
      <c r="U114" s="2"/>
      <c r="V114" s="19"/>
      <c r="W114" s="2"/>
      <c r="X114" s="2">
        <f t="shared" si="2"/>
        <v>2466.1299999999997</v>
      </c>
      <c r="Y114" s="2"/>
      <c r="Z114" s="19">
        <f t="shared" si="3"/>
        <v>-0.42334015974841249</v>
      </c>
    </row>
    <row r="115" spans="1:26" s="24" customFormat="1" hidden="1" outlineLevel="1" x14ac:dyDescent="0.25">
      <c r="A115" s="44"/>
      <c r="B115" s="11" t="str">
        <f>CONCATENATE("          ", "4284", " - ", "SALES RETURN TAXABLE-SOFTWARE")</f>
        <v xml:space="preserve">          4284 - SALES RETURN TAXABLE-SOFTWARE</v>
      </c>
      <c r="C115" s="11"/>
      <c r="D115" s="2">
        <f>0</f>
        <v>0</v>
      </c>
      <c r="E115" s="2"/>
      <c r="F115" s="19"/>
      <c r="G115" s="2"/>
      <c r="H115" s="2">
        <f>0</f>
        <v>0</v>
      </c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1"/>
      <c r="P115" s="2">
        <f>0</f>
        <v>0</v>
      </c>
      <c r="Q115" s="2"/>
      <c r="R115" s="19"/>
      <c r="S115" s="2"/>
      <c r="T115" s="2">
        <f>-129</f>
        <v>-129</v>
      </c>
      <c r="U115" s="2"/>
      <c r="V115" s="19"/>
      <c r="W115" s="2"/>
      <c r="X115" s="2">
        <f t="shared" si="2"/>
        <v>129</v>
      </c>
      <c r="Y115" s="2"/>
      <c r="Z115" s="19">
        <f t="shared" si="3"/>
        <v>-1</v>
      </c>
    </row>
    <row r="116" spans="1:26" s="24" customFormat="1" hidden="1" outlineLevel="1" x14ac:dyDescent="0.25">
      <c r="A116" s="44"/>
      <c r="B116" s="11" t="str">
        <f>CONCATENATE("          ", "4285", " - ", "SALES RETURN TAXABLE-SOFTWARE")</f>
        <v xml:space="preserve">          4285 - SALES RETURN TAXABLE-SOFTWARE</v>
      </c>
      <c r="C116" s="11"/>
      <c r="D116" s="2">
        <f>-149.99</f>
        <v>-149.99</v>
      </c>
      <c r="E116" s="2"/>
      <c r="F116" s="19"/>
      <c r="G116" s="2"/>
      <c r="H116" s="2">
        <f>-149.99</f>
        <v>-149.99</v>
      </c>
      <c r="I116" s="2"/>
      <c r="J116" s="19"/>
      <c r="K116" s="2"/>
      <c r="L116" s="2">
        <f t="shared" si="0"/>
        <v>0</v>
      </c>
      <c r="M116" s="2"/>
      <c r="N116" s="19">
        <f t="shared" si="1"/>
        <v>0</v>
      </c>
      <c r="O116" s="11"/>
      <c r="P116" s="2">
        <f>-841.97</f>
        <v>-841.97</v>
      </c>
      <c r="Q116" s="2"/>
      <c r="R116" s="19"/>
      <c r="S116" s="2"/>
      <c r="T116" s="2">
        <f>-805.97</f>
        <v>-805.97</v>
      </c>
      <c r="U116" s="2"/>
      <c r="V116" s="19"/>
      <c r="W116" s="2"/>
      <c r="X116" s="2">
        <f t="shared" si="2"/>
        <v>-36</v>
      </c>
      <c r="Y116" s="2"/>
      <c r="Z116" s="19">
        <f t="shared" si="3"/>
        <v>4.4666674938273136E-2</v>
      </c>
    </row>
    <row r="117" spans="1:26" s="24" customFormat="1" hidden="1" outlineLevel="1" x14ac:dyDescent="0.25">
      <c r="A117" s="44"/>
      <c r="B117" s="11" t="str">
        <f>CONCATENATE("          ", "4286", " - ", "SALES RETURN TAXABLE-COMPUTER")</f>
        <v xml:space="preserve">          4286 - SALES RETURN TAXABLE-COMPUTER</v>
      </c>
      <c r="C117" s="11"/>
      <c r="D117" s="2">
        <f>-34.97</f>
        <v>-34.97</v>
      </c>
      <c r="E117" s="2"/>
      <c r="F117" s="19"/>
      <c r="G117" s="2"/>
      <c r="H117" s="2">
        <f>-290.88</f>
        <v>-290.88</v>
      </c>
      <c r="I117" s="2"/>
      <c r="J117" s="19"/>
      <c r="K117" s="2"/>
      <c r="L117" s="2">
        <f t="shared" si="0"/>
        <v>255.91</v>
      </c>
      <c r="M117" s="2"/>
      <c r="N117" s="19">
        <f t="shared" si="1"/>
        <v>-0.87977860286028609</v>
      </c>
      <c r="O117" s="11"/>
      <c r="P117" s="2">
        <f>-4762.31</f>
        <v>-4762.3100000000004</v>
      </c>
      <c r="Q117" s="2"/>
      <c r="R117" s="19"/>
      <c r="S117" s="2"/>
      <c r="T117" s="2">
        <f>-3582.89</f>
        <v>-3582.89</v>
      </c>
      <c r="U117" s="2"/>
      <c r="V117" s="19"/>
      <c r="W117" s="2"/>
      <c r="X117" s="2">
        <f t="shared" si="2"/>
        <v>-1179.4200000000005</v>
      </c>
      <c r="Y117" s="2"/>
      <c r="Z117" s="19">
        <f t="shared" si="3"/>
        <v>0.32918119171953381</v>
      </c>
    </row>
    <row r="118" spans="1:26" s="24" customFormat="1" hidden="1" outlineLevel="1" x14ac:dyDescent="0.25">
      <c r="A118" s="44"/>
      <c r="B118" s="11" t="str">
        <f>CONCATENATE("          ", "4288", " - ", "TAXABLE SALES RETURN-MUSIC")</f>
        <v xml:space="preserve">          4288 - TAXABLE SALES RETURN-MUSIC</v>
      </c>
      <c r="C118" s="11"/>
      <c r="D118" s="2">
        <f t="shared" ref="D118:D120" si="22">0</f>
        <v>0</v>
      </c>
      <c r="E118" s="2"/>
      <c r="F118" s="19"/>
      <c r="G118" s="2"/>
      <c r="H118" s="2">
        <f t="shared" ref="H118:H123" si="23">0</f>
        <v>0</v>
      </c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 t="shared" ref="P118:P120" si="24">0</f>
        <v>0</v>
      </c>
      <c r="Q118" s="2"/>
      <c r="R118" s="19"/>
      <c r="S118" s="2"/>
      <c r="T118" s="2">
        <f>-3.99</f>
        <v>-3.99</v>
      </c>
      <c r="U118" s="2"/>
      <c r="V118" s="19"/>
      <c r="W118" s="2"/>
      <c r="X118" s="2">
        <f t="shared" si="2"/>
        <v>3.99</v>
      </c>
      <c r="Y118" s="2"/>
      <c r="Z118" s="19">
        <f t="shared" si="3"/>
        <v>-1</v>
      </c>
    </row>
    <row r="119" spans="1:26" s="24" customFormat="1" hidden="1" outlineLevel="1" x14ac:dyDescent="0.25">
      <c r="A119" s="44"/>
      <c r="B119" s="11" t="str">
        <f>CONCATENATE("          ", "4292", " - ", "SALES RETURN TAXABLE-GRAD MERC")</f>
        <v xml:space="preserve">          4292 - SALES RETURN TAXABLE-GRAD MERC</v>
      </c>
      <c r="C119" s="11"/>
      <c r="D119" s="2">
        <f t="shared" si="22"/>
        <v>0</v>
      </c>
      <c r="E119" s="2"/>
      <c r="F119" s="19"/>
      <c r="G119" s="2"/>
      <c r="H119" s="2">
        <f t="shared" si="23"/>
        <v>0</v>
      </c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1"/>
      <c r="P119" s="2">
        <f t="shared" si="24"/>
        <v>0</v>
      </c>
      <c r="Q119" s="2"/>
      <c r="R119" s="19"/>
      <c r="S119" s="2"/>
      <c r="T119" s="2">
        <f>-419.05</f>
        <v>-419.05</v>
      </c>
      <c r="U119" s="2"/>
      <c r="V119" s="19"/>
      <c r="W119" s="2"/>
      <c r="X119" s="2">
        <f t="shared" si="2"/>
        <v>419.05</v>
      </c>
      <c r="Y119" s="2"/>
      <c r="Z119" s="19">
        <f t="shared" si="3"/>
        <v>-1</v>
      </c>
    </row>
    <row r="120" spans="1:26" s="24" customFormat="1" hidden="1" outlineLevel="1" x14ac:dyDescent="0.25">
      <c r="A120" s="44"/>
      <c r="B120" s="11" t="str">
        <f>CONCATENATE("          ", "4295", " - ", "SALES RETURN TAXABLE-CUSTOMER")</f>
        <v xml:space="preserve">          4295 - SALES RETURN TAXABLE-CUSTOMER</v>
      </c>
      <c r="C120" s="11"/>
      <c r="D120" s="2">
        <f t="shared" si="22"/>
        <v>0</v>
      </c>
      <c r="E120" s="2"/>
      <c r="F120" s="19"/>
      <c r="G120" s="2"/>
      <c r="H120" s="2">
        <f t="shared" si="23"/>
        <v>0</v>
      </c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 t="shared" si="24"/>
        <v>0</v>
      </c>
      <c r="Q120" s="2"/>
      <c r="R120" s="19"/>
      <c r="S120" s="2"/>
      <c r="T120" s="2">
        <f>--0.99</f>
        <v>0.99</v>
      </c>
      <c r="U120" s="2"/>
      <c r="V120" s="19"/>
      <c r="W120" s="2"/>
      <c r="X120" s="2">
        <f t="shared" si="2"/>
        <v>-0.99</v>
      </c>
      <c r="Y120" s="2"/>
      <c r="Z120" s="19">
        <f t="shared" si="3"/>
        <v>-1</v>
      </c>
    </row>
    <row r="121" spans="1:26" s="24" customFormat="1" hidden="1" outlineLevel="1" x14ac:dyDescent="0.25">
      <c r="A121" s="44"/>
      <c r="B121" s="11" t="str">
        <f>CONCATENATE("          ", "4301", " - ", "SALES RETURN NON TAXABLE-NEW T")</f>
        <v xml:space="preserve">          4301 - SALES RETURN NON TAXABLE-NEW T</v>
      </c>
      <c r="C121" s="11"/>
      <c r="D121" s="2">
        <f>-231.5</f>
        <v>-231.5</v>
      </c>
      <c r="E121" s="2"/>
      <c r="F121" s="19"/>
      <c r="G121" s="2"/>
      <c r="H121" s="2">
        <f t="shared" si="23"/>
        <v>0</v>
      </c>
      <c r="I121" s="2"/>
      <c r="J121" s="19"/>
      <c r="K121" s="2"/>
      <c r="L121" s="2">
        <f t="shared" si="0"/>
        <v>-231.5</v>
      </c>
      <c r="M121" s="2"/>
      <c r="N121" s="19">
        <f t="shared" si="1"/>
        <v>0</v>
      </c>
      <c r="O121" s="11"/>
      <c r="P121" s="2">
        <f>-3237.29</f>
        <v>-3237.29</v>
      </c>
      <c r="Q121" s="2"/>
      <c r="R121" s="19"/>
      <c r="S121" s="2"/>
      <c r="T121" s="2">
        <f>-15221.62</f>
        <v>-15221.62</v>
      </c>
      <c r="U121" s="2"/>
      <c r="V121" s="19"/>
      <c r="W121" s="2"/>
      <c r="X121" s="2">
        <f t="shared" si="2"/>
        <v>11984.330000000002</v>
      </c>
      <c r="Y121" s="2"/>
      <c r="Z121" s="19">
        <f t="shared" si="3"/>
        <v>-0.78732289992786586</v>
      </c>
    </row>
    <row r="122" spans="1:26" s="24" customFormat="1" hidden="1" outlineLevel="1" x14ac:dyDescent="0.25">
      <c r="A122" s="44"/>
      <c r="B122" s="11" t="str">
        <f>CONCATENATE("          ", "4302", " - ", "SALES RETURN NON TAXABLE-TEXT")</f>
        <v xml:space="preserve">          4302 - SALES RETURN NON TAXABLE-TEXT</v>
      </c>
      <c r="C122" s="11"/>
      <c r="D122" s="2">
        <f>-70.32</f>
        <v>-70.319999999999993</v>
      </c>
      <c r="E122" s="2"/>
      <c r="F122" s="19"/>
      <c r="G122" s="2"/>
      <c r="H122" s="2">
        <f t="shared" si="23"/>
        <v>0</v>
      </c>
      <c r="I122" s="2"/>
      <c r="J122" s="19"/>
      <c r="K122" s="2"/>
      <c r="L122" s="2">
        <f t="shared" si="0"/>
        <v>-70.319999999999993</v>
      </c>
      <c r="M122" s="2"/>
      <c r="N122" s="19">
        <f t="shared" si="1"/>
        <v>0</v>
      </c>
      <c r="O122" s="11"/>
      <c r="P122" s="2">
        <f>-2073.48</f>
        <v>-2073.48</v>
      </c>
      <c r="Q122" s="2"/>
      <c r="R122" s="19"/>
      <c r="S122" s="2"/>
      <c r="T122" s="2">
        <f>-1312.37</f>
        <v>-1312.37</v>
      </c>
      <c r="U122" s="2"/>
      <c r="V122" s="19"/>
      <c r="W122" s="2"/>
      <c r="X122" s="2">
        <f t="shared" si="2"/>
        <v>-761.11000000000013</v>
      </c>
      <c r="Y122" s="2"/>
      <c r="Z122" s="19">
        <f t="shared" si="3"/>
        <v>0.57995077607686873</v>
      </c>
    </row>
    <row r="123" spans="1:26" s="24" customFormat="1" hidden="1" outlineLevel="1" x14ac:dyDescent="0.25">
      <c r="A123" s="44"/>
      <c r="B123" s="11" t="str">
        <f>CONCATENATE("          ", "4303", " - ", "SALES RETURN NON-TAXABLE-RENTA")</f>
        <v xml:space="preserve">          4303 - SALES RETURN NON-TAXABLE-RENTA</v>
      </c>
      <c r="C123" s="11"/>
      <c r="D123" s="2">
        <f>0</f>
        <v>0</v>
      </c>
      <c r="E123" s="2"/>
      <c r="F123" s="19"/>
      <c r="G123" s="2"/>
      <c r="H123" s="2">
        <f t="shared" si="23"/>
        <v>0</v>
      </c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1"/>
      <c r="P123" s="2">
        <f>0</f>
        <v>0</v>
      </c>
      <c r="Q123" s="2"/>
      <c r="R123" s="19"/>
      <c r="S123" s="2"/>
      <c r="T123" s="2">
        <f>-184.99</f>
        <v>-184.99</v>
      </c>
      <c r="U123" s="2"/>
      <c r="V123" s="19"/>
      <c r="W123" s="2"/>
      <c r="X123" s="2">
        <f t="shared" si="2"/>
        <v>184.99</v>
      </c>
      <c r="Y123" s="2"/>
      <c r="Z123" s="19">
        <f t="shared" si="3"/>
        <v>-1</v>
      </c>
    </row>
    <row r="124" spans="1:26" s="24" customFormat="1" hidden="1" outlineLevel="1" x14ac:dyDescent="0.25">
      <c r="A124" s="44"/>
      <c r="B124" s="11" t="str">
        <f>CONCATENATE("          ", "4304", " - ", "SALES RETURN NON TAXABLE-DIGIT")</f>
        <v xml:space="preserve">          4304 - SALES RETURN NON TAXABLE-DIGIT</v>
      </c>
      <c r="C124" s="11"/>
      <c r="D124" s="2">
        <f>-2172.95</f>
        <v>-2172.9499999999998</v>
      </c>
      <c r="E124" s="2"/>
      <c r="F124" s="19"/>
      <c r="G124" s="2"/>
      <c r="H124" s="2">
        <f>-1249.23</f>
        <v>-1249.23</v>
      </c>
      <c r="I124" s="2"/>
      <c r="J124" s="19"/>
      <c r="K124" s="2"/>
      <c r="L124" s="2">
        <f t="shared" si="0"/>
        <v>-923.7199999999998</v>
      </c>
      <c r="M124" s="2"/>
      <c r="N124" s="19">
        <f t="shared" si="1"/>
        <v>0.73943148979771522</v>
      </c>
      <c r="O124" s="11"/>
      <c r="P124" s="2">
        <f>-27268.72</f>
        <v>-27268.720000000001</v>
      </c>
      <c r="Q124" s="2"/>
      <c r="R124" s="19"/>
      <c r="S124" s="2"/>
      <c r="T124" s="2">
        <f>-18991.98</f>
        <v>-18991.98</v>
      </c>
      <c r="U124" s="2"/>
      <c r="V124" s="19"/>
      <c r="W124" s="2"/>
      <c r="X124" s="2">
        <f t="shared" si="2"/>
        <v>-8276.7400000000016</v>
      </c>
      <c r="Y124" s="2"/>
      <c r="Z124" s="19">
        <f t="shared" si="3"/>
        <v>0.43580184899099522</v>
      </c>
    </row>
    <row r="125" spans="1:26" s="24" customFormat="1" hidden="1" outlineLevel="1" x14ac:dyDescent="0.25">
      <c r="A125" s="44"/>
      <c r="B125" s="11" t="str">
        <f>CONCATENATE("          ", "4311", " - ", "SALES RETURN NON TAXABLE-NO VA")</f>
        <v xml:space="preserve">          4311 - SALES RETURN NON TAXABLE-NO VA</v>
      </c>
      <c r="C125" s="11"/>
      <c r="D125" s="2">
        <f t="shared" ref="D125:D128" si="25">0</f>
        <v>0</v>
      </c>
      <c r="E125" s="2"/>
      <c r="F125" s="19"/>
      <c r="G125" s="2"/>
      <c r="H125" s="2">
        <f>-169.45</f>
        <v>-169.45</v>
      </c>
      <c r="I125" s="2"/>
      <c r="J125" s="19"/>
      <c r="K125" s="2"/>
      <c r="L125" s="2">
        <f t="shared" si="0"/>
        <v>169.45</v>
      </c>
      <c r="M125" s="2"/>
      <c r="N125" s="19">
        <f t="shared" si="1"/>
        <v>-1</v>
      </c>
      <c r="O125" s="11"/>
      <c r="P125" s="2">
        <f t="shared" ref="P125:P128" si="26">0</f>
        <v>0</v>
      </c>
      <c r="Q125" s="2"/>
      <c r="R125" s="19"/>
      <c r="S125" s="2"/>
      <c r="T125" s="2">
        <f>-794.76</f>
        <v>-794.76</v>
      </c>
      <c r="U125" s="2"/>
      <c r="V125" s="19"/>
      <c r="W125" s="2"/>
      <c r="X125" s="2">
        <f t="shared" si="2"/>
        <v>794.76</v>
      </c>
      <c r="Y125" s="2"/>
      <c r="Z125" s="19">
        <f t="shared" si="3"/>
        <v>-1</v>
      </c>
    </row>
    <row r="126" spans="1:26" s="24" customFormat="1" hidden="1" outlineLevel="1" x14ac:dyDescent="0.25">
      <c r="A126" s="44"/>
      <c r="B126" s="11" t="str">
        <f>CONCATENATE("          ", "4327", " - ", "SALES RETURN NON TAXABLE-SCHOO")</f>
        <v xml:space="preserve">          4327 - SALES RETURN NON TAXABLE-SCHOO</v>
      </c>
      <c r="C126" s="11"/>
      <c r="D126" s="2">
        <f t="shared" si="25"/>
        <v>0</v>
      </c>
      <c r="E126" s="2"/>
      <c r="F126" s="19"/>
      <c r="G126" s="2"/>
      <c r="H126" s="2">
        <f>0</f>
        <v>0</v>
      </c>
      <c r="I126" s="2"/>
      <c r="J126" s="19"/>
      <c r="K126" s="2"/>
      <c r="L126" s="2">
        <f t="shared" si="0"/>
        <v>0</v>
      </c>
      <c r="M126" s="2"/>
      <c r="N126" s="19">
        <f t="shared" si="1"/>
        <v>0</v>
      </c>
      <c r="O126" s="11"/>
      <c r="P126" s="2">
        <f t="shared" si="26"/>
        <v>0</v>
      </c>
      <c r="Q126" s="2"/>
      <c r="R126" s="19"/>
      <c r="S126" s="2"/>
      <c r="T126" s="2">
        <f>-21.87</f>
        <v>-21.87</v>
      </c>
      <c r="U126" s="2"/>
      <c r="V126" s="19"/>
      <c r="W126" s="2"/>
      <c r="X126" s="2">
        <f t="shared" si="2"/>
        <v>21.87</v>
      </c>
      <c r="Y126" s="2"/>
      <c r="Z126" s="19">
        <f t="shared" si="3"/>
        <v>-1</v>
      </c>
    </row>
    <row r="127" spans="1:26" s="24" customFormat="1" hidden="1" outlineLevel="1" x14ac:dyDescent="0.25">
      <c r="A127" s="44"/>
      <c r="B127" s="11" t="str">
        <f>CONCATENATE("          ", "4331", " - ", "SALES RETURN NON TAXABLE-FOOD")</f>
        <v xml:space="preserve">          4331 - SALES RETURN NON TAXABLE-FOOD</v>
      </c>
      <c r="C127" s="11"/>
      <c r="D127" s="2">
        <f t="shared" si="25"/>
        <v>0</v>
      </c>
      <c r="E127" s="2"/>
      <c r="F127" s="19"/>
      <c r="G127" s="2"/>
      <c r="H127" s="2">
        <f>-7.58</f>
        <v>-7.58</v>
      </c>
      <c r="I127" s="2"/>
      <c r="J127" s="19"/>
      <c r="K127" s="2"/>
      <c r="L127" s="2">
        <f t="shared" si="0"/>
        <v>7.58</v>
      </c>
      <c r="M127" s="2"/>
      <c r="N127" s="19">
        <f t="shared" si="1"/>
        <v>-1</v>
      </c>
      <c r="O127" s="11"/>
      <c r="P127" s="2">
        <f t="shared" si="26"/>
        <v>0</v>
      </c>
      <c r="Q127" s="2"/>
      <c r="R127" s="19"/>
      <c r="S127" s="2"/>
      <c r="T127" s="2">
        <f>-7.58</f>
        <v>-7.58</v>
      </c>
      <c r="U127" s="2"/>
      <c r="V127" s="19"/>
      <c r="W127" s="2"/>
      <c r="X127" s="2">
        <f t="shared" si="2"/>
        <v>7.58</v>
      </c>
      <c r="Y127" s="2"/>
      <c r="Z127" s="19">
        <f t="shared" si="3"/>
        <v>-1</v>
      </c>
    </row>
    <row r="128" spans="1:26" s="24" customFormat="1" hidden="1" outlineLevel="1" x14ac:dyDescent="0.25">
      <c r="A128" s="44"/>
      <c r="B128" s="11" t="str">
        <f>CONCATENATE("          ", "4332", " - ", "SALES RETURN NON TAXABLE-JUICE")</f>
        <v xml:space="preserve">          4332 - SALES RETURN NON TAXABLE-JUICE</v>
      </c>
      <c r="C128" s="11"/>
      <c r="D128" s="2">
        <f t="shared" si="25"/>
        <v>0</v>
      </c>
      <c r="E128" s="2"/>
      <c r="F128" s="19"/>
      <c r="G128" s="2"/>
      <c r="H128" s="2">
        <f>-2.79</f>
        <v>-2.79</v>
      </c>
      <c r="I128" s="2"/>
      <c r="J128" s="19"/>
      <c r="K128" s="2"/>
      <c r="L128" s="2">
        <f t="shared" si="0"/>
        <v>2.79</v>
      </c>
      <c r="M128" s="2"/>
      <c r="N128" s="19">
        <f t="shared" si="1"/>
        <v>-1</v>
      </c>
      <c r="O128" s="11"/>
      <c r="P128" s="2">
        <f t="shared" si="26"/>
        <v>0</v>
      </c>
      <c r="Q128" s="2"/>
      <c r="R128" s="19"/>
      <c r="S128" s="2"/>
      <c r="T128" s="2">
        <f>-2.79</f>
        <v>-2.79</v>
      </c>
      <c r="U128" s="2"/>
      <c r="V128" s="19"/>
      <c r="W128" s="2"/>
      <c r="X128" s="2">
        <f t="shared" si="2"/>
        <v>2.79</v>
      </c>
      <c r="Y128" s="2"/>
      <c r="Z128" s="19">
        <f t="shared" si="3"/>
        <v>-1</v>
      </c>
    </row>
    <row r="129" spans="1:26" s="24" customFormat="1" hidden="1" outlineLevel="1" x14ac:dyDescent="0.25">
      <c r="A129" s="44"/>
      <c r="B129" s="11" t="str">
        <f>CONCATENATE("          ", "4340", " - ", "SALES RETURN NON TAXABLE-LOGO")</f>
        <v xml:space="preserve">          4340 - SALES RETURN NON TAXABLE-LOGO</v>
      </c>
      <c r="C129" s="11"/>
      <c r="D129" s="2">
        <f>-76.9</f>
        <v>-76.900000000000006</v>
      </c>
      <c r="E129" s="2"/>
      <c r="F129" s="19"/>
      <c r="G129" s="2"/>
      <c r="H129" s="2">
        <f>0</f>
        <v>0</v>
      </c>
      <c r="I129" s="2"/>
      <c r="J129" s="19"/>
      <c r="K129" s="2"/>
      <c r="L129" s="2">
        <f t="shared" si="0"/>
        <v>-76.900000000000006</v>
      </c>
      <c r="M129" s="2"/>
      <c r="N129" s="19">
        <f t="shared" si="1"/>
        <v>0</v>
      </c>
      <c r="O129" s="11"/>
      <c r="P129" s="2">
        <f>-2292.84</f>
        <v>-2292.84</v>
      </c>
      <c r="Q129" s="2"/>
      <c r="R129" s="19"/>
      <c r="S129" s="2"/>
      <c r="T129" s="2">
        <f>-931.65</f>
        <v>-931.65</v>
      </c>
      <c r="U129" s="2"/>
      <c r="V129" s="19"/>
      <c r="W129" s="2"/>
      <c r="X129" s="2">
        <f t="shared" si="2"/>
        <v>-1361.19</v>
      </c>
      <c r="Y129" s="2"/>
      <c r="Z129" s="19">
        <f t="shared" si="3"/>
        <v>1.4610529705361457</v>
      </c>
    </row>
    <row r="130" spans="1:26" s="24" customFormat="1" hidden="1" outlineLevel="1" x14ac:dyDescent="0.25">
      <c r="A130" s="44"/>
      <c r="B130" s="11" t="str">
        <f>CONCATENATE("          ", "4341", " - ", "SALES RETURN NON TAXABLE-LOGO")</f>
        <v xml:space="preserve">          4341 - SALES RETURN NON TAXABLE-LOGO</v>
      </c>
      <c r="C130" s="11"/>
      <c r="D130" s="2">
        <f t="shared" ref="D130:D135" si="27">0</f>
        <v>0</v>
      </c>
      <c r="E130" s="2"/>
      <c r="F130" s="19"/>
      <c r="G130" s="2"/>
      <c r="H130" s="2">
        <f>-214.7</f>
        <v>-214.7</v>
      </c>
      <c r="I130" s="2"/>
      <c r="J130" s="19"/>
      <c r="K130" s="2"/>
      <c r="L130" s="2">
        <f t="shared" si="0"/>
        <v>214.7</v>
      </c>
      <c r="M130" s="2"/>
      <c r="N130" s="19">
        <f t="shared" si="1"/>
        <v>-1</v>
      </c>
      <c r="O130" s="11"/>
      <c r="P130" s="2">
        <f>-362.64</f>
        <v>-362.64</v>
      </c>
      <c r="Q130" s="2"/>
      <c r="R130" s="19"/>
      <c r="S130" s="2"/>
      <c r="T130" s="2">
        <f>-245.5</f>
        <v>-245.5</v>
      </c>
      <c r="U130" s="2"/>
      <c r="V130" s="19"/>
      <c r="W130" s="2"/>
      <c r="X130" s="2">
        <f t="shared" si="2"/>
        <v>-117.13999999999999</v>
      </c>
      <c r="Y130" s="2"/>
      <c r="Z130" s="19">
        <f t="shared" si="3"/>
        <v>0.47714867617107937</v>
      </c>
    </row>
    <row r="131" spans="1:26" s="24" customFormat="1" hidden="1" outlineLevel="1" x14ac:dyDescent="0.25">
      <c r="A131" s="44"/>
      <c r="B131" s="11" t="str">
        <f>CONCATENATE("          ", "4342", " - ", "SALES RETURN NON TAXABLE-EVERY")</f>
        <v xml:space="preserve">          4342 - SALES RETURN NON TAXABLE-EVERY</v>
      </c>
      <c r="C131" s="11"/>
      <c r="D131" s="2">
        <f t="shared" si="27"/>
        <v>0</v>
      </c>
      <c r="E131" s="2"/>
      <c r="F131" s="19"/>
      <c r="G131" s="2"/>
      <c r="H131" s="2">
        <f t="shared" ref="H131:H135" si="28">0</f>
        <v>0</v>
      </c>
      <c r="I131" s="2"/>
      <c r="J131" s="19"/>
      <c r="K131" s="2"/>
      <c r="L131" s="2">
        <f t="shared" si="0"/>
        <v>0</v>
      </c>
      <c r="M131" s="2"/>
      <c r="N131" s="19">
        <f t="shared" si="1"/>
        <v>0</v>
      </c>
      <c r="O131" s="11"/>
      <c r="P131" s="2">
        <f>-118.7</f>
        <v>-118.7</v>
      </c>
      <c r="Q131" s="2"/>
      <c r="R131" s="19"/>
      <c r="S131" s="2"/>
      <c r="T131" s="2">
        <f>-149.22</f>
        <v>-149.22</v>
      </c>
      <c r="U131" s="2"/>
      <c r="V131" s="19"/>
      <c r="W131" s="2"/>
      <c r="X131" s="2">
        <f t="shared" si="2"/>
        <v>30.519999999999996</v>
      </c>
      <c r="Y131" s="2"/>
      <c r="Z131" s="19">
        <f t="shared" si="3"/>
        <v>-0.20453022383058569</v>
      </c>
    </row>
    <row r="132" spans="1:26" s="24" customFormat="1" hidden="1" outlineLevel="1" x14ac:dyDescent="0.25">
      <c r="A132" s="44"/>
      <c r="B132" s="11" t="str">
        <f>CONCATENATE("          ", "4346", " - ", "SALES RETURN NON TAXABLE-COIN-")</f>
        <v xml:space="preserve">          4346 - SALES RETURN NON TAXABLE-COIN-</v>
      </c>
      <c r="C132" s="11"/>
      <c r="D132" s="2">
        <f t="shared" si="27"/>
        <v>0</v>
      </c>
      <c r="E132" s="2"/>
      <c r="F132" s="19"/>
      <c r="G132" s="2"/>
      <c r="H132" s="2">
        <f t="shared" si="28"/>
        <v>0</v>
      </c>
      <c r="I132" s="2"/>
      <c r="J132" s="19"/>
      <c r="K132" s="2"/>
      <c r="L132" s="2">
        <f t="shared" si="0"/>
        <v>0</v>
      </c>
      <c r="M132" s="2"/>
      <c r="N132" s="19">
        <f t="shared" si="1"/>
        <v>0</v>
      </c>
      <c r="O132" s="11"/>
      <c r="P132" s="2">
        <f>0</f>
        <v>0</v>
      </c>
      <c r="Q132" s="2"/>
      <c r="R132" s="19"/>
      <c r="S132" s="2"/>
      <c r="T132" s="2">
        <f>-8.15</f>
        <v>-8.15</v>
      </c>
      <c r="U132" s="2"/>
      <c r="V132" s="19"/>
      <c r="W132" s="2"/>
      <c r="X132" s="2">
        <f t="shared" si="2"/>
        <v>8.15</v>
      </c>
      <c r="Y132" s="2"/>
      <c r="Z132" s="19">
        <f t="shared" si="3"/>
        <v>-1</v>
      </c>
    </row>
    <row r="133" spans="1:26" s="24" customFormat="1" hidden="1" outlineLevel="1" x14ac:dyDescent="0.25">
      <c r="A133" s="44"/>
      <c r="B133" s="11" t="str">
        <f>CONCATENATE("          ", "4381", " - ", "SALES RETURN NON TAXABLE-ELECT")</f>
        <v xml:space="preserve">          4381 - SALES RETURN NON TAXABLE-ELECT</v>
      </c>
      <c r="C133" s="11"/>
      <c r="D133" s="2">
        <f t="shared" si="27"/>
        <v>0</v>
      </c>
      <c r="E133" s="2"/>
      <c r="F133" s="19"/>
      <c r="G133" s="2"/>
      <c r="H133" s="2">
        <f t="shared" si="28"/>
        <v>0</v>
      </c>
      <c r="I133" s="2"/>
      <c r="J133" s="19"/>
      <c r="K133" s="2"/>
      <c r="L133" s="2">
        <f t="shared" si="0"/>
        <v>0</v>
      </c>
      <c r="M133" s="2"/>
      <c r="N133" s="19">
        <f t="shared" si="1"/>
        <v>0</v>
      </c>
      <c r="O133" s="11"/>
      <c r="P133" s="2">
        <f>-5624.15</f>
        <v>-5624.15</v>
      </c>
      <c r="Q133" s="2"/>
      <c r="R133" s="19"/>
      <c r="S133" s="2"/>
      <c r="T133" s="2">
        <f>-1279.84</f>
        <v>-1279.8399999999999</v>
      </c>
      <c r="U133" s="2"/>
      <c r="V133" s="19"/>
      <c r="W133" s="2"/>
      <c r="X133" s="2">
        <f t="shared" si="2"/>
        <v>-4344.3099999999995</v>
      </c>
      <c r="Y133" s="2"/>
      <c r="Z133" s="19">
        <f t="shared" si="3"/>
        <v>3.3944164895611948</v>
      </c>
    </row>
    <row r="134" spans="1:26" s="24" customFormat="1" hidden="1" outlineLevel="1" x14ac:dyDescent="0.25">
      <c r="A134" s="44"/>
      <c r="B134" s="11" t="str">
        <f>CONCATENATE("          ", "4383", " - ", "SALES RETURN NON TAXABLE-COMPU")</f>
        <v xml:space="preserve">          4383 - SALES RETURN NON TAXABLE-COMPU</v>
      </c>
      <c r="C134" s="11"/>
      <c r="D134" s="2">
        <f t="shared" si="27"/>
        <v>0</v>
      </c>
      <c r="E134" s="2"/>
      <c r="F134" s="19"/>
      <c r="G134" s="2"/>
      <c r="H134" s="2">
        <f t="shared" si="28"/>
        <v>0</v>
      </c>
      <c r="I134" s="2"/>
      <c r="J134" s="19"/>
      <c r="K134" s="2"/>
      <c r="L134" s="2">
        <f t="shared" si="0"/>
        <v>0</v>
      </c>
      <c r="M134" s="2"/>
      <c r="N134" s="19">
        <f t="shared" si="1"/>
        <v>0</v>
      </c>
      <c r="O134" s="11"/>
      <c r="P134" s="2">
        <f t="shared" ref="P134:P135" si="29">0</f>
        <v>0</v>
      </c>
      <c r="Q134" s="2"/>
      <c r="R134" s="19"/>
      <c r="S134" s="2"/>
      <c r="T134" s="2">
        <f>-49.98</f>
        <v>-49.98</v>
      </c>
      <c r="U134" s="2"/>
      <c r="V134" s="19"/>
      <c r="W134" s="2"/>
      <c r="X134" s="2">
        <f t="shared" si="2"/>
        <v>49.98</v>
      </c>
      <c r="Y134" s="2"/>
      <c r="Z134" s="19">
        <f t="shared" si="3"/>
        <v>-1</v>
      </c>
    </row>
    <row r="135" spans="1:26" s="24" customFormat="1" hidden="1" outlineLevel="1" x14ac:dyDescent="0.25">
      <c r="A135" s="44"/>
      <c r="B135" s="11" t="str">
        <f>CONCATENATE("          ", "4386", " - ", "SALES RETURN NON TAXABLE-COMPU")</f>
        <v xml:space="preserve">          4386 - SALES RETURN NON TAXABLE-COMPU</v>
      </c>
      <c r="C135" s="11"/>
      <c r="D135" s="2">
        <f t="shared" si="27"/>
        <v>0</v>
      </c>
      <c r="E135" s="2"/>
      <c r="F135" s="19"/>
      <c r="G135" s="2"/>
      <c r="H135" s="2">
        <f t="shared" si="28"/>
        <v>0</v>
      </c>
      <c r="I135" s="2"/>
      <c r="J135" s="19"/>
      <c r="K135" s="2"/>
      <c r="L135" s="2">
        <f t="shared" si="0"/>
        <v>0</v>
      </c>
      <c r="M135" s="2"/>
      <c r="N135" s="19">
        <f t="shared" si="1"/>
        <v>0</v>
      </c>
      <c r="O135" s="11"/>
      <c r="P135" s="2">
        <f t="shared" si="29"/>
        <v>0</v>
      </c>
      <c r="Q135" s="2"/>
      <c r="R135" s="19"/>
      <c r="S135" s="2"/>
      <c r="T135" s="2">
        <f>-104.96</f>
        <v>-104.96</v>
      </c>
      <c r="U135" s="2"/>
      <c r="V135" s="19"/>
      <c r="W135" s="2"/>
      <c r="X135" s="2">
        <f t="shared" si="2"/>
        <v>104.96</v>
      </c>
      <c r="Y135" s="2"/>
      <c r="Z135" s="19">
        <f t="shared" si="3"/>
        <v>-1</v>
      </c>
    </row>
    <row r="136" spans="1:26" x14ac:dyDescent="0.25">
      <c r="A136" s="9"/>
      <c r="B136" s="10"/>
      <c r="C136" s="9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collapsed="1" x14ac:dyDescent="0.25">
      <c r="A137" s="10"/>
      <c r="B137" s="28" t="s">
        <v>8</v>
      </c>
      <c r="C137" s="10"/>
      <c r="D137" s="4">
        <f>SUM(OSRRefD16x_0)</f>
        <v>355341.98</v>
      </c>
      <c r="E137" s="4"/>
      <c r="F137" s="12">
        <f t="shared" ref="F137:F196" si="30">IF(D$12=0,0,D137/D$12)</f>
        <v>0.65065417626594724</v>
      </c>
      <c r="G137" s="4"/>
      <c r="H137" s="4">
        <f>SUM(OSRRefH16x_0)</f>
        <v>1361474.1300000001</v>
      </c>
      <c r="I137" s="4"/>
      <c r="J137" s="12">
        <f t="shared" ref="J137:J196" si="31">IF(H$12=0,0,H137/H$12)</f>
        <v>0.39272807079084104</v>
      </c>
      <c r="K137" s="4"/>
      <c r="L137" s="4">
        <f t="shared" ref="L137:L196" si="32">+D137-H137</f>
        <v>-1006132.1500000001</v>
      </c>
      <c r="M137" s="4"/>
      <c r="N137" s="12">
        <f t="shared" ref="N137:N196" si="33">IF(H137=0,0,L137/H137)</f>
        <v>-0.73900203303899725</v>
      </c>
      <c r="O137" s="10"/>
      <c r="P137" s="4">
        <f>SUM(OSRRefP16x_0)</f>
        <v>4499990.28</v>
      </c>
      <c r="Q137" s="4"/>
      <c r="R137" s="12">
        <f t="shared" ref="R137:R196" si="34">IF(P$12=0,0,P137/P$12)</f>
        <v>0.62924729364244514</v>
      </c>
      <c r="S137" s="4"/>
      <c r="T137" s="4">
        <f>SUM(OSRRefT16x_0)</f>
        <v>11016815.070000006</v>
      </c>
      <c r="U137" s="4"/>
      <c r="V137" s="12">
        <f t="shared" ref="V137:V196" si="35">IF(T$12=0,0,T137/T$12)</f>
        <v>0.43720282651034359</v>
      </c>
      <c r="W137" s="4"/>
      <c r="X137" s="4">
        <f t="shared" ref="X137:X196" si="36">+P137-T137</f>
        <v>-6516824.7900000056</v>
      </c>
      <c r="Y137" s="4"/>
      <c r="Z137" s="12">
        <f t="shared" ref="Z137:Z196" si="37">IF(T137=0,0,X137/T137)</f>
        <v>-0.59153437255618757</v>
      </c>
    </row>
    <row r="138" spans="1:26" s="24" customFormat="1" hidden="1" outlineLevel="1" x14ac:dyDescent="0.25">
      <c r="A138" s="44"/>
      <c r="B138" s="11" t="str">
        <f>CONCATENATE("          ", "5001", " - ", "PURCHASES @ COST-NEW TEXT")</f>
        <v xml:space="preserve">          5001 - PURCHASES @ COST-NEW TEXT</v>
      </c>
      <c r="C138" s="11"/>
      <c r="D138" s="2">
        <v>-332593.57</v>
      </c>
      <c r="E138" s="2"/>
      <c r="F138" s="19">
        <f t="shared" si="30"/>
        <v>-0.60900036443681849</v>
      </c>
      <c r="G138" s="2"/>
      <c r="H138" s="2">
        <v>-110695.19</v>
      </c>
      <c r="I138" s="2"/>
      <c r="J138" s="19">
        <f t="shared" si="31"/>
        <v>-3.1930910368840867E-2</v>
      </c>
      <c r="K138" s="2"/>
      <c r="L138" s="2">
        <f t="shared" si="32"/>
        <v>-221898.38</v>
      </c>
      <c r="M138" s="2"/>
      <c r="N138" s="19">
        <f t="shared" si="33"/>
        <v>2.0045891786264605</v>
      </c>
      <c r="O138" s="11"/>
      <c r="P138" s="2">
        <v>1326415.6399999999</v>
      </c>
      <c r="Q138" s="2"/>
      <c r="R138" s="19">
        <f t="shared" si="34"/>
        <v>0.18547672323305811</v>
      </c>
      <c r="S138" s="2"/>
      <c r="T138" s="2">
        <v>2516599.4700000002</v>
      </c>
      <c r="U138" s="2"/>
      <c r="V138" s="19">
        <f t="shared" si="35"/>
        <v>9.9871368856374224E-2</v>
      </c>
      <c r="W138" s="2"/>
      <c r="X138" s="2">
        <f t="shared" si="36"/>
        <v>-1190183.8300000003</v>
      </c>
      <c r="Y138" s="2"/>
      <c r="Z138" s="19">
        <f t="shared" si="37"/>
        <v>-0.47293335478609166</v>
      </c>
    </row>
    <row r="139" spans="1:26" s="24" customFormat="1" hidden="1" outlineLevel="1" x14ac:dyDescent="0.25">
      <c r="A139" s="44"/>
      <c r="B139" s="11" t="str">
        <f>CONCATENATE("          ", "5002", " - ", "PURCHASES @ COST-USED TEXT")</f>
        <v xml:space="preserve">          5002 - PURCHASES @ COST-USED TEXT</v>
      </c>
      <c r="C139" s="11"/>
      <c r="D139" s="2">
        <v>121987.94000000002</v>
      </c>
      <c r="E139" s="2"/>
      <c r="F139" s="19">
        <f t="shared" si="30"/>
        <v>0.22336781771486672</v>
      </c>
      <c r="G139" s="2"/>
      <c r="H139" s="2">
        <v>11947.84</v>
      </c>
      <c r="I139" s="2"/>
      <c r="J139" s="19">
        <f t="shared" si="31"/>
        <v>3.4464497340964103E-3</v>
      </c>
      <c r="K139" s="2"/>
      <c r="L139" s="2">
        <f t="shared" si="32"/>
        <v>110040.10000000002</v>
      </c>
      <c r="M139" s="2"/>
      <c r="N139" s="19">
        <f t="shared" si="33"/>
        <v>9.2100413129067693</v>
      </c>
      <c r="O139" s="11"/>
      <c r="P139" s="2">
        <v>382324.22000000003</v>
      </c>
      <c r="Q139" s="2"/>
      <c r="R139" s="19">
        <f t="shared" si="34"/>
        <v>5.3461555638951025E-2</v>
      </c>
      <c r="S139" s="2"/>
      <c r="T139" s="2">
        <v>524555.37</v>
      </c>
      <c r="U139" s="2"/>
      <c r="V139" s="19">
        <f t="shared" si="35"/>
        <v>2.0817004639543158E-2</v>
      </c>
      <c r="W139" s="2"/>
      <c r="X139" s="2">
        <f t="shared" si="36"/>
        <v>-142231.14999999997</v>
      </c>
      <c r="Y139" s="2"/>
      <c r="Z139" s="19">
        <f t="shared" si="37"/>
        <v>-0.27114611370769109</v>
      </c>
    </row>
    <row r="140" spans="1:26" s="24" customFormat="1" hidden="1" outlineLevel="1" x14ac:dyDescent="0.25">
      <c r="A140" s="44"/>
      <c r="B140" s="11" t="str">
        <f>CONCATENATE("          ", "5003", " - ", "PURCHASES @ COST-RENTAL TEXT")</f>
        <v xml:space="preserve">          5003 - PURCHASES @ COST-RENTAL TEXT</v>
      </c>
      <c r="C140" s="11"/>
      <c r="D140" s="2"/>
      <c r="E140" s="2"/>
      <c r="F140" s="19">
        <f t="shared" si="30"/>
        <v>0</v>
      </c>
      <c r="G140" s="2"/>
      <c r="H140" s="2"/>
      <c r="I140" s="2"/>
      <c r="J140" s="19">
        <f t="shared" si="31"/>
        <v>0</v>
      </c>
      <c r="K140" s="2"/>
      <c r="L140" s="2">
        <f t="shared" si="32"/>
        <v>0</v>
      </c>
      <c r="M140" s="2"/>
      <c r="N140" s="19">
        <f t="shared" si="33"/>
        <v>0</v>
      </c>
      <c r="O140" s="11"/>
      <c r="P140" s="2">
        <v>32.520000000000003</v>
      </c>
      <c r="Q140" s="2"/>
      <c r="R140" s="19">
        <f t="shared" si="34"/>
        <v>4.5473702643758416E-6</v>
      </c>
      <c r="S140" s="2"/>
      <c r="T140" s="2">
        <v>-78.400000000000006</v>
      </c>
      <c r="U140" s="2"/>
      <c r="V140" s="19">
        <f t="shared" si="35"/>
        <v>-3.1113077037800291E-6</v>
      </c>
      <c r="W140" s="2"/>
      <c r="X140" s="2">
        <f t="shared" si="36"/>
        <v>110.92000000000002</v>
      </c>
      <c r="Y140" s="2"/>
      <c r="Z140" s="19">
        <f t="shared" si="37"/>
        <v>-1.4147959183673471</v>
      </c>
    </row>
    <row r="141" spans="1:26" s="24" customFormat="1" hidden="1" outlineLevel="1" x14ac:dyDescent="0.25">
      <c r="A141" s="44"/>
      <c r="B141" s="11" t="str">
        <f>CONCATENATE("          ", "5004", " - ", "PURCHASES @ COST-DIGITAL TEXT")</f>
        <v xml:space="preserve">          5004 - PURCHASES @ COST-DIGITAL TEXT</v>
      </c>
      <c r="C141" s="11"/>
      <c r="D141" s="2">
        <v>3282.02</v>
      </c>
      <c r="E141" s="2"/>
      <c r="F141" s="19">
        <f t="shared" si="30"/>
        <v>6.0095911538185394E-3</v>
      </c>
      <c r="G141" s="2"/>
      <c r="H141" s="2">
        <v>61264.060000000005</v>
      </c>
      <c r="I141" s="2"/>
      <c r="J141" s="19">
        <f t="shared" si="31"/>
        <v>1.7672106698505049E-2</v>
      </c>
      <c r="K141" s="2"/>
      <c r="L141" s="2">
        <f t="shared" si="32"/>
        <v>-57982.040000000008</v>
      </c>
      <c r="M141" s="2"/>
      <c r="N141" s="19">
        <f t="shared" si="33"/>
        <v>-0.94642829743898793</v>
      </c>
      <c r="O141" s="11"/>
      <c r="P141" s="2">
        <v>220008.58000000002</v>
      </c>
      <c r="Q141" s="2"/>
      <c r="R141" s="19">
        <f t="shared" si="34"/>
        <v>3.0764467238608654E-2</v>
      </c>
      <c r="S141" s="2"/>
      <c r="T141" s="2">
        <v>535157.82999999996</v>
      </c>
      <c r="U141" s="2"/>
      <c r="V141" s="19">
        <f t="shared" si="35"/>
        <v>2.1237763765525549E-2</v>
      </c>
      <c r="W141" s="2"/>
      <c r="X141" s="2">
        <f t="shared" si="36"/>
        <v>-315149.24999999994</v>
      </c>
      <c r="Y141" s="2"/>
      <c r="Z141" s="19">
        <f t="shared" si="37"/>
        <v>-0.58889029055222819</v>
      </c>
    </row>
    <row r="142" spans="1:26" s="24" customFormat="1" hidden="1" outlineLevel="1" x14ac:dyDescent="0.25">
      <c r="A142" s="44"/>
      <c r="B142" s="11" t="str">
        <f>CONCATENATE("          ", "5011", " - ", "PURCHASES @ COST-NO VALUE TEXT")</f>
        <v xml:space="preserve">          5011 - PURCHASES @ COST-NO VALUE TEXT</v>
      </c>
      <c r="C142" s="11"/>
      <c r="D142" s="2"/>
      <c r="E142" s="2"/>
      <c r="F142" s="19">
        <f t="shared" si="30"/>
        <v>0</v>
      </c>
      <c r="G142" s="2"/>
      <c r="H142" s="2">
        <v>258</v>
      </c>
      <c r="I142" s="2"/>
      <c r="J142" s="19">
        <f t="shared" si="31"/>
        <v>7.4422157594751336E-5</v>
      </c>
      <c r="K142" s="2"/>
      <c r="L142" s="2">
        <f t="shared" si="32"/>
        <v>-258</v>
      </c>
      <c r="M142" s="2"/>
      <c r="N142" s="19">
        <f t="shared" si="33"/>
        <v>-1</v>
      </c>
      <c r="O142" s="11"/>
      <c r="P142" s="2">
        <v>67.17</v>
      </c>
      <c r="Q142" s="2"/>
      <c r="R142" s="19">
        <f t="shared" si="34"/>
        <v>9.3925848910862618E-6</v>
      </c>
      <c r="S142" s="2"/>
      <c r="T142" s="2">
        <v>5733</v>
      </c>
      <c r="U142" s="2"/>
      <c r="V142" s="19">
        <f t="shared" si="35"/>
        <v>2.2751437583891463E-4</v>
      </c>
      <c r="W142" s="2"/>
      <c r="X142" s="2">
        <f t="shared" si="36"/>
        <v>-5665.83</v>
      </c>
      <c r="Y142" s="2"/>
      <c r="Z142" s="19">
        <f t="shared" si="37"/>
        <v>-0.98828362114076396</v>
      </c>
    </row>
    <row r="143" spans="1:26" s="24" customFormat="1" hidden="1" outlineLevel="1" x14ac:dyDescent="0.25">
      <c r="A143" s="44"/>
      <c r="B143" s="11" t="str">
        <f>CONCATENATE("          ", "5013", " - ", "PURCHASES @ COST-TRADE BOOKS")</f>
        <v xml:space="preserve">          5013 - PURCHASES @ COST-TRADE BOOKS</v>
      </c>
      <c r="C143" s="11"/>
      <c r="D143" s="2">
        <v>305.11</v>
      </c>
      <c r="E143" s="2"/>
      <c r="F143" s="19">
        <f t="shared" si="30"/>
        <v>5.5867616801286233E-4</v>
      </c>
      <c r="G143" s="2"/>
      <c r="H143" s="2">
        <v>2592.2600000000002</v>
      </c>
      <c r="I143" s="2"/>
      <c r="J143" s="19">
        <f t="shared" si="31"/>
        <v>7.4775807072314008E-4</v>
      </c>
      <c r="K143" s="2"/>
      <c r="L143" s="2">
        <f t="shared" si="32"/>
        <v>-2287.15</v>
      </c>
      <c r="M143" s="2"/>
      <c r="N143" s="19">
        <f t="shared" si="33"/>
        <v>-0.88229961500775378</v>
      </c>
      <c r="O143" s="11"/>
      <c r="P143" s="2">
        <v>5962.09</v>
      </c>
      <c r="Q143" s="2"/>
      <c r="R143" s="19">
        <f t="shared" si="34"/>
        <v>8.336971334419606E-4</v>
      </c>
      <c r="S143" s="2"/>
      <c r="T143" s="2">
        <v>3050.72</v>
      </c>
      <c r="U143" s="2"/>
      <c r="V143" s="19">
        <f t="shared" si="35"/>
        <v>1.2106796732239554E-4</v>
      </c>
      <c r="W143" s="2"/>
      <c r="X143" s="2">
        <f t="shared" si="36"/>
        <v>2911.3700000000003</v>
      </c>
      <c r="Y143" s="2"/>
      <c r="Z143" s="19">
        <f t="shared" si="37"/>
        <v>0.95432225835212692</v>
      </c>
    </row>
    <row r="144" spans="1:26" s="24" customFormat="1" hidden="1" outlineLevel="1" x14ac:dyDescent="0.25">
      <c r="A144" s="44"/>
      <c r="B144" s="11" t="str">
        <f>CONCATENATE("          ", "5014", " - ", "PURCHASES @ COST-REMAINDERS")</f>
        <v xml:space="preserve">          5014 - PURCHASES @ COST-REMAINDERS</v>
      </c>
      <c r="C144" s="11"/>
      <c r="D144" s="2">
        <v>21.16</v>
      </c>
      <c r="E144" s="2"/>
      <c r="F144" s="19">
        <f t="shared" si="30"/>
        <v>3.8745330258438492E-5</v>
      </c>
      <c r="G144" s="2"/>
      <c r="H144" s="2">
        <v>17.78</v>
      </c>
      <c r="I144" s="2"/>
      <c r="J144" s="19">
        <f t="shared" si="31"/>
        <v>5.1287827985840271E-6</v>
      </c>
      <c r="K144" s="2"/>
      <c r="L144" s="2">
        <f t="shared" si="32"/>
        <v>3.379999999999999</v>
      </c>
      <c r="M144" s="2"/>
      <c r="N144" s="19">
        <f t="shared" si="33"/>
        <v>0.19010123734533177</v>
      </c>
      <c r="O144" s="11"/>
      <c r="P144" s="2">
        <v>111.57</v>
      </c>
      <c r="Q144" s="2"/>
      <c r="R144" s="19">
        <f t="shared" si="34"/>
        <v>1.5601171598905677E-5</v>
      </c>
      <c r="S144" s="2"/>
      <c r="T144" s="2">
        <v>601.16999999999996</v>
      </c>
      <c r="U144" s="2"/>
      <c r="V144" s="19">
        <f t="shared" si="35"/>
        <v>2.3857459850528572E-5</v>
      </c>
      <c r="W144" s="2"/>
      <c r="X144" s="2">
        <f t="shared" si="36"/>
        <v>-489.59999999999997</v>
      </c>
      <c r="Y144" s="2"/>
      <c r="Z144" s="19">
        <f t="shared" si="37"/>
        <v>-0.8144118968012376</v>
      </c>
    </row>
    <row r="145" spans="1:26" s="24" customFormat="1" hidden="1" outlineLevel="1" x14ac:dyDescent="0.25">
      <c r="A145" s="44"/>
      <c r="B145" s="11" t="str">
        <f>CONCATENATE("          ", "5017", " - ", "PURCHASES @ COST-DORM/HOUSEWAR")</f>
        <v xml:space="preserve">          5017 - PURCHASES @ COST-DORM/HOUSEWAR</v>
      </c>
      <c r="C145" s="11"/>
      <c r="D145" s="2"/>
      <c r="E145" s="2"/>
      <c r="F145" s="19">
        <f t="shared" si="30"/>
        <v>0</v>
      </c>
      <c r="G145" s="2"/>
      <c r="H145" s="2"/>
      <c r="I145" s="2"/>
      <c r="J145" s="19">
        <f t="shared" si="31"/>
        <v>0</v>
      </c>
      <c r="K145" s="2"/>
      <c r="L145" s="2">
        <f t="shared" si="32"/>
        <v>0</v>
      </c>
      <c r="M145" s="2"/>
      <c r="N145" s="19">
        <f t="shared" si="33"/>
        <v>0</v>
      </c>
      <c r="O145" s="11"/>
      <c r="P145" s="2"/>
      <c r="Q145" s="2"/>
      <c r="R145" s="19">
        <f t="shared" si="34"/>
        <v>0</v>
      </c>
      <c r="S145" s="2"/>
      <c r="T145" s="2">
        <v>0</v>
      </c>
      <c r="U145" s="2"/>
      <c r="V145" s="19">
        <f t="shared" si="35"/>
        <v>0</v>
      </c>
      <c r="W145" s="2"/>
      <c r="X145" s="2">
        <f t="shared" si="36"/>
        <v>0</v>
      </c>
      <c r="Y145" s="2"/>
      <c r="Z145" s="19">
        <f t="shared" si="37"/>
        <v>0</v>
      </c>
    </row>
    <row r="146" spans="1:26" s="24" customFormat="1" hidden="1" outlineLevel="1" x14ac:dyDescent="0.25">
      <c r="A146" s="44"/>
      <c r="B146" s="11" t="str">
        <f>CONCATENATE("          ", "5018", " - ", "PURCHASES @ COST-STUDY GUIDES")</f>
        <v xml:space="preserve">          5018 - PURCHASES @ COST-STUDY GUIDES</v>
      </c>
      <c r="C146" s="11"/>
      <c r="D146" s="2"/>
      <c r="E146" s="2"/>
      <c r="F146" s="19">
        <f t="shared" si="30"/>
        <v>0</v>
      </c>
      <c r="G146" s="2"/>
      <c r="H146" s="2">
        <v>237.28</v>
      </c>
      <c r="I146" s="2"/>
      <c r="J146" s="19">
        <f t="shared" si="31"/>
        <v>6.8445308349157364E-5</v>
      </c>
      <c r="K146" s="2"/>
      <c r="L146" s="2">
        <f t="shared" si="32"/>
        <v>-237.28</v>
      </c>
      <c r="M146" s="2"/>
      <c r="N146" s="19">
        <f t="shared" si="33"/>
        <v>-1</v>
      </c>
      <c r="O146" s="11"/>
      <c r="P146" s="2">
        <v>522.34</v>
      </c>
      <c r="Q146" s="2"/>
      <c r="R146" s="19">
        <f t="shared" si="34"/>
        <v>7.3040386958612456E-5</v>
      </c>
      <c r="S146" s="2"/>
      <c r="T146" s="2">
        <v>2268.4299999999998</v>
      </c>
      <c r="U146" s="2"/>
      <c r="V146" s="19">
        <f t="shared" si="35"/>
        <v>9.002275171537922E-5</v>
      </c>
      <c r="W146" s="2"/>
      <c r="X146" s="2">
        <f t="shared" si="36"/>
        <v>-1746.0899999999997</v>
      </c>
      <c r="Y146" s="2"/>
      <c r="Z146" s="19">
        <f t="shared" si="37"/>
        <v>-0.76973501496629815</v>
      </c>
    </row>
    <row r="147" spans="1:26" s="24" customFormat="1" hidden="1" outlineLevel="1" x14ac:dyDescent="0.25">
      <c r="A147" s="44"/>
      <c r="B147" s="11" t="str">
        <f>CONCATENATE("          ", "5025", " - ", "PURCHASES @ COST-TEST FORMS")</f>
        <v xml:space="preserve">          5025 - PURCHASES @ COST-TEST FORMS</v>
      </c>
      <c r="C147" s="11"/>
      <c r="D147" s="2"/>
      <c r="E147" s="2"/>
      <c r="F147" s="19">
        <f t="shared" si="30"/>
        <v>0</v>
      </c>
      <c r="G147" s="2"/>
      <c r="H147" s="2">
        <v>3423</v>
      </c>
      <c r="I147" s="2"/>
      <c r="J147" s="19">
        <f t="shared" si="31"/>
        <v>9.873916490187359E-4</v>
      </c>
      <c r="K147" s="2"/>
      <c r="L147" s="2">
        <f t="shared" si="32"/>
        <v>-3423</v>
      </c>
      <c r="M147" s="2"/>
      <c r="N147" s="19">
        <f t="shared" si="33"/>
        <v>-1</v>
      </c>
      <c r="O147" s="11"/>
      <c r="P147" s="2">
        <v>599.29</v>
      </c>
      <c r="Q147" s="2"/>
      <c r="R147" s="19">
        <f t="shared" si="34"/>
        <v>8.3800538921826494E-5</v>
      </c>
      <c r="S147" s="2"/>
      <c r="T147" s="2">
        <v>26401.390000000003</v>
      </c>
      <c r="U147" s="2"/>
      <c r="V147" s="19">
        <f t="shared" si="35"/>
        <v>1.0477404094069009E-3</v>
      </c>
      <c r="W147" s="2"/>
      <c r="X147" s="2">
        <f t="shared" si="36"/>
        <v>-25802.100000000002</v>
      </c>
      <c r="Y147" s="2"/>
      <c r="Z147" s="19">
        <f t="shared" si="37"/>
        <v>-0.97730081635853261</v>
      </c>
    </row>
    <row r="148" spans="1:26" s="24" customFormat="1" hidden="1" outlineLevel="1" x14ac:dyDescent="0.25">
      <c r="A148" s="44"/>
      <c r="B148" s="11" t="str">
        <f>CONCATENATE("          ", "5026", " - ", "PURCHASES @ COST-WRITING INSTR")</f>
        <v xml:space="preserve">          5026 - PURCHASES @ COST-WRITING INSTR</v>
      </c>
      <c r="C148" s="11"/>
      <c r="D148" s="2"/>
      <c r="E148" s="2"/>
      <c r="F148" s="19">
        <f t="shared" si="30"/>
        <v>0</v>
      </c>
      <c r="G148" s="2"/>
      <c r="H148" s="2">
        <v>2265.86</v>
      </c>
      <c r="I148" s="2"/>
      <c r="J148" s="19">
        <f t="shared" si="31"/>
        <v>6.5360538762652433E-4</v>
      </c>
      <c r="K148" s="2"/>
      <c r="L148" s="2">
        <f t="shared" si="32"/>
        <v>-2265.86</v>
      </c>
      <c r="M148" s="2"/>
      <c r="N148" s="19">
        <f t="shared" si="33"/>
        <v>-1</v>
      </c>
      <c r="O148" s="11"/>
      <c r="P148" s="2">
        <v>374.91</v>
      </c>
      <c r="Q148" s="2"/>
      <c r="R148" s="19">
        <f t="shared" si="34"/>
        <v>5.2424802761904881E-5</v>
      </c>
      <c r="S148" s="2"/>
      <c r="T148" s="2">
        <v>45762.009999999995</v>
      </c>
      <c r="U148" s="2"/>
      <c r="V148" s="19">
        <f t="shared" si="35"/>
        <v>1.8160675287430957E-3</v>
      </c>
      <c r="W148" s="2"/>
      <c r="X148" s="2">
        <f t="shared" si="36"/>
        <v>-45387.099999999991</v>
      </c>
      <c r="Y148" s="2"/>
      <c r="Z148" s="19">
        <f t="shared" si="37"/>
        <v>-0.99180739657195993</v>
      </c>
    </row>
    <row r="149" spans="1:26" s="24" customFormat="1" hidden="1" outlineLevel="1" x14ac:dyDescent="0.25">
      <c r="A149" s="44"/>
      <c r="B149" s="11" t="str">
        <f>CONCATENATE("          ", "5027", " - ", "PURCHASES @ COST-SCHOOL SUPPLI")</f>
        <v xml:space="preserve">          5027 - PURCHASES @ COST-SCHOOL SUPPLI</v>
      </c>
      <c r="C149" s="11"/>
      <c r="D149" s="2"/>
      <c r="E149" s="2"/>
      <c r="F149" s="19">
        <f t="shared" si="30"/>
        <v>0</v>
      </c>
      <c r="G149" s="2"/>
      <c r="H149" s="2">
        <v>-2462.8200000000002</v>
      </c>
      <c r="I149" s="2"/>
      <c r="J149" s="19">
        <f t="shared" si="31"/>
        <v>-7.1042007041668802E-4</v>
      </c>
      <c r="K149" s="2"/>
      <c r="L149" s="2">
        <f t="shared" si="32"/>
        <v>2462.8200000000002</v>
      </c>
      <c r="M149" s="2"/>
      <c r="N149" s="19">
        <f t="shared" si="33"/>
        <v>-1</v>
      </c>
      <c r="O149" s="11"/>
      <c r="P149" s="2">
        <v>19071.350000000002</v>
      </c>
      <c r="Q149" s="2"/>
      <c r="R149" s="19">
        <f t="shared" si="34"/>
        <v>2.6668047322110765E-3</v>
      </c>
      <c r="S149" s="2"/>
      <c r="T149" s="2">
        <v>118351.2</v>
      </c>
      <c r="U149" s="2"/>
      <c r="V149" s="19">
        <f t="shared" si="35"/>
        <v>4.6967729631583032E-3</v>
      </c>
      <c r="W149" s="2"/>
      <c r="X149" s="2">
        <f t="shared" si="36"/>
        <v>-99279.849999999991</v>
      </c>
      <c r="Y149" s="2"/>
      <c r="Z149" s="19">
        <f t="shared" si="37"/>
        <v>-0.83885799214541124</v>
      </c>
    </row>
    <row r="150" spans="1:26" s="24" customFormat="1" hidden="1" outlineLevel="1" x14ac:dyDescent="0.25">
      <c r="A150" s="44"/>
      <c r="B150" s="11" t="str">
        <f>CONCATENATE("          ", "5028", " - ", "PURCHASES @ COST-ART/TECH")</f>
        <v xml:space="preserve">          5028 - PURCHASES @ COST-ART/TECH</v>
      </c>
      <c r="C150" s="11"/>
      <c r="D150" s="2">
        <v>833.13</v>
      </c>
      <c r="E150" s="2"/>
      <c r="F150" s="19">
        <f t="shared" si="30"/>
        <v>1.5255149810119498E-3</v>
      </c>
      <c r="G150" s="2"/>
      <c r="H150" s="2">
        <v>11525.28</v>
      </c>
      <c r="I150" s="2"/>
      <c r="J150" s="19">
        <f t="shared" si="31"/>
        <v>3.3245589321071155E-3</v>
      </c>
      <c r="K150" s="2"/>
      <c r="L150" s="2">
        <f t="shared" si="32"/>
        <v>-10692.150000000001</v>
      </c>
      <c r="M150" s="2"/>
      <c r="N150" s="19">
        <f t="shared" si="33"/>
        <v>-0.92771281912456793</v>
      </c>
      <c r="O150" s="11"/>
      <c r="P150" s="2">
        <v>42191.58</v>
      </c>
      <c r="Q150" s="2"/>
      <c r="R150" s="19">
        <f t="shared" si="34"/>
        <v>5.8997766389616993E-3</v>
      </c>
      <c r="S150" s="2"/>
      <c r="T150" s="2">
        <v>146652.78</v>
      </c>
      <c r="U150" s="2"/>
      <c r="V150" s="19">
        <f t="shared" si="35"/>
        <v>5.8199225024841549E-3</v>
      </c>
      <c r="W150" s="2"/>
      <c r="X150" s="2">
        <f t="shared" si="36"/>
        <v>-104461.2</v>
      </c>
      <c r="Y150" s="2"/>
      <c r="Z150" s="19">
        <f t="shared" si="37"/>
        <v>-0.71230289667880831</v>
      </c>
    </row>
    <row r="151" spans="1:26" s="24" customFormat="1" hidden="1" outlineLevel="1" x14ac:dyDescent="0.25">
      <c r="A151" s="44"/>
      <c r="B151" s="11" t="str">
        <f>CONCATENATE("          ", "5031", " - ", "PURCHASES @ COST-FOOD")</f>
        <v xml:space="preserve">          5031 - PURCHASES @ COST-FOOD</v>
      </c>
      <c r="C151" s="11"/>
      <c r="D151" s="2">
        <v>271.45999999999998</v>
      </c>
      <c r="E151" s="2"/>
      <c r="F151" s="19">
        <f t="shared" si="30"/>
        <v>4.9706083893930584E-4</v>
      </c>
      <c r="G151" s="2"/>
      <c r="H151" s="2">
        <v>5225.67</v>
      </c>
      <c r="I151" s="2"/>
      <c r="J151" s="19">
        <f t="shared" si="31"/>
        <v>1.5073861871246676E-3</v>
      </c>
      <c r="K151" s="2"/>
      <c r="L151" s="2">
        <f t="shared" si="32"/>
        <v>-4954.21</v>
      </c>
      <c r="M151" s="2"/>
      <c r="N151" s="19">
        <f t="shared" si="33"/>
        <v>-0.94805259421279953</v>
      </c>
      <c r="O151" s="11"/>
      <c r="P151" s="2">
        <v>7785.72</v>
      </c>
      <c r="Q151" s="2"/>
      <c r="R151" s="19">
        <f t="shared" si="34"/>
        <v>1.088700849162247E-3</v>
      </c>
      <c r="S151" s="2"/>
      <c r="T151" s="2">
        <v>30126.060000000005</v>
      </c>
      <c r="U151" s="2"/>
      <c r="V151" s="19">
        <f t="shared" si="35"/>
        <v>1.1955541143181046E-3</v>
      </c>
      <c r="W151" s="2"/>
      <c r="X151" s="2">
        <f t="shared" si="36"/>
        <v>-22340.340000000004</v>
      </c>
      <c r="Y151" s="2"/>
      <c r="Z151" s="19">
        <f t="shared" si="37"/>
        <v>-0.74156195665812252</v>
      </c>
    </row>
    <row r="152" spans="1:26" s="24" customFormat="1" hidden="1" outlineLevel="1" x14ac:dyDescent="0.25">
      <c r="A152" s="44"/>
      <c r="B152" s="11" t="str">
        <f>CONCATENATE("          ", "5032", " - ", "PURCHASES @ COST-JUICE")</f>
        <v xml:space="preserve">          5032 - PURCHASES @ COST-JUICE</v>
      </c>
      <c r="C152" s="11"/>
      <c r="D152" s="2"/>
      <c r="E152" s="2"/>
      <c r="F152" s="19">
        <f t="shared" si="30"/>
        <v>0</v>
      </c>
      <c r="G152" s="2"/>
      <c r="H152" s="2">
        <v>1720.97</v>
      </c>
      <c r="I152" s="2"/>
      <c r="J152" s="19">
        <f t="shared" si="31"/>
        <v>4.9642752153426057E-4</v>
      </c>
      <c r="K152" s="2"/>
      <c r="L152" s="2">
        <f t="shared" si="32"/>
        <v>-1720.97</v>
      </c>
      <c r="M152" s="2"/>
      <c r="N152" s="19">
        <f t="shared" si="33"/>
        <v>-1</v>
      </c>
      <c r="O152" s="11"/>
      <c r="P152" s="2"/>
      <c r="Q152" s="2"/>
      <c r="R152" s="19">
        <f t="shared" si="34"/>
        <v>0</v>
      </c>
      <c r="S152" s="2"/>
      <c r="T152" s="2">
        <v>7113.48</v>
      </c>
      <c r="U152" s="2"/>
      <c r="V152" s="19">
        <f t="shared" si="35"/>
        <v>2.8229878985567804E-4</v>
      </c>
      <c r="W152" s="2"/>
      <c r="X152" s="2">
        <f t="shared" si="36"/>
        <v>-7113.48</v>
      </c>
      <c r="Y152" s="2"/>
      <c r="Z152" s="19">
        <f t="shared" si="37"/>
        <v>-1</v>
      </c>
    </row>
    <row r="153" spans="1:26" s="24" customFormat="1" hidden="1" outlineLevel="1" x14ac:dyDescent="0.25">
      <c r="A153" s="44"/>
      <c r="B153" s="11" t="str">
        <f>CONCATENATE("          ", "5033", " - ", "PURCHASES @ COST-CANDY")</f>
        <v xml:space="preserve">          5033 - PURCHASES @ COST-CANDY</v>
      </c>
      <c r="C153" s="11"/>
      <c r="D153" s="2"/>
      <c r="E153" s="2"/>
      <c r="F153" s="19">
        <f t="shared" si="30"/>
        <v>0</v>
      </c>
      <c r="G153" s="2"/>
      <c r="H153" s="2">
        <v>1821.44</v>
      </c>
      <c r="I153" s="2"/>
      <c r="J153" s="19">
        <f t="shared" si="31"/>
        <v>5.2540889429993759E-4</v>
      </c>
      <c r="K153" s="2"/>
      <c r="L153" s="2">
        <f t="shared" si="32"/>
        <v>-1821.44</v>
      </c>
      <c r="M153" s="2"/>
      <c r="N153" s="19">
        <f t="shared" si="33"/>
        <v>-1</v>
      </c>
      <c r="O153" s="11"/>
      <c r="P153" s="2"/>
      <c r="Q153" s="2"/>
      <c r="R153" s="19">
        <f t="shared" si="34"/>
        <v>0</v>
      </c>
      <c r="S153" s="2"/>
      <c r="T153" s="2">
        <v>8825.06</v>
      </c>
      <c r="U153" s="2"/>
      <c r="V153" s="19">
        <f t="shared" si="35"/>
        <v>3.5022292301429821E-4</v>
      </c>
      <c r="W153" s="2"/>
      <c r="X153" s="2">
        <f t="shared" si="36"/>
        <v>-8825.06</v>
      </c>
      <c r="Y153" s="2"/>
      <c r="Z153" s="19">
        <f t="shared" si="37"/>
        <v>-1</v>
      </c>
    </row>
    <row r="154" spans="1:26" s="24" customFormat="1" hidden="1" outlineLevel="1" x14ac:dyDescent="0.25">
      <c r="A154" s="44"/>
      <c r="B154" s="11" t="str">
        <f>CONCATENATE("          ", "5034", " - ", "PURCHASES @ COST-SODA")</f>
        <v xml:space="preserve">          5034 - PURCHASES @ COST-SODA</v>
      </c>
      <c r="C154" s="11"/>
      <c r="D154" s="2"/>
      <c r="E154" s="2"/>
      <c r="F154" s="19">
        <f t="shared" si="30"/>
        <v>0</v>
      </c>
      <c r="G154" s="2"/>
      <c r="H154" s="2">
        <v>1637.93</v>
      </c>
      <c r="I154" s="2"/>
      <c r="J154" s="19">
        <f t="shared" si="31"/>
        <v>4.7247397127585689E-4</v>
      </c>
      <c r="K154" s="2"/>
      <c r="L154" s="2">
        <f t="shared" si="32"/>
        <v>-1637.93</v>
      </c>
      <c r="M154" s="2"/>
      <c r="N154" s="19">
        <f t="shared" si="33"/>
        <v>-1</v>
      </c>
      <c r="O154" s="11"/>
      <c r="P154" s="2"/>
      <c r="Q154" s="2"/>
      <c r="R154" s="19">
        <f t="shared" si="34"/>
        <v>0</v>
      </c>
      <c r="S154" s="2"/>
      <c r="T154" s="2">
        <v>3762.09</v>
      </c>
      <c r="U154" s="2"/>
      <c r="V154" s="19">
        <f t="shared" si="35"/>
        <v>1.4929871937900268E-4</v>
      </c>
      <c r="W154" s="2"/>
      <c r="X154" s="2">
        <f t="shared" si="36"/>
        <v>-3762.09</v>
      </c>
      <c r="Y154" s="2"/>
      <c r="Z154" s="19">
        <f t="shared" si="37"/>
        <v>-1</v>
      </c>
    </row>
    <row r="155" spans="1:26" s="24" customFormat="1" hidden="1" outlineLevel="1" x14ac:dyDescent="0.25">
      <c r="A155" s="44"/>
      <c r="B155" s="11" t="str">
        <f>CONCATENATE("          ", "5035", " - ", "PURCHASES @ COST-HEALTH &amp; BEAU")</f>
        <v xml:space="preserve">          5035 - PURCHASES @ COST-HEALTH &amp; BEAU</v>
      </c>
      <c r="C155" s="11"/>
      <c r="D155" s="2"/>
      <c r="E155" s="2"/>
      <c r="F155" s="19">
        <f t="shared" si="30"/>
        <v>0</v>
      </c>
      <c r="G155" s="2"/>
      <c r="H155" s="2">
        <v>198.47</v>
      </c>
      <c r="I155" s="2"/>
      <c r="J155" s="19">
        <f t="shared" si="31"/>
        <v>5.7250254332675575E-5</v>
      </c>
      <c r="K155" s="2"/>
      <c r="L155" s="2">
        <f t="shared" si="32"/>
        <v>-198.47</v>
      </c>
      <c r="M155" s="2"/>
      <c r="N155" s="19">
        <f t="shared" si="33"/>
        <v>-1</v>
      </c>
      <c r="O155" s="11"/>
      <c r="P155" s="2"/>
      <c r="Q155" s="2"/>
      <c r="R155" s="19">
        <f t="shared" si="34"/>
        <v>0</v>
      </c>
      <c r="S155" s="2"/>
      <c r="T155" s="2">
        <v>1055.67</v>
      </c>
      <c r="U155" s="2"/>
      <c r="V155" s="19">
        <f t="shared" si="35"/>
        <v>4.189431382205948E-5</v>
      </c>
      <c r="W155" s="2"/>
      <c r="X155" s="2">
        <f t="shared" si="36"/>
        <v>-1055.67</v>
      </c>
      <c r="Y155" s="2"/>
      <c r="Z155" s="19">
        <f t="shared" si="37"/>
        <v>-1</v>
      </c>
    </row>
    <row r="156" spans="1:26" s="24" customFormat="1" hidden="1" outlineLevel="1" x14ac:dyDescent="0.25">
      <c r="A156" s="44"/>
      <c r="B156" s="11" t="str">
        <f>CONCATENATE("          ", "5037", " - ", "PURCHASES @ COST-WATER")</f>
        <v xml:space="preserve">          5037 - PURCHASES @ COST-WATER</v>
      </c>
      <c r="C156" s="11"/>
      <c r="D156" s="2"/>
      <c r="E156" s="2"/>
      <c r="F156" s="19">
        <f t="shared" si="30"/>
        <v>0</v>
      </c>
      <c r="G156" s="2"/>
      <c r="H156" s="2">
        <v>1540.46</v>
      </c>
      <c r="I156" s="2"/>
      <c r="J156" s="19">
        <f t="shared" si="31"/>
        <v>4.443579724357002E-4</v>
      </c>
      <c r="K156" s="2"/>
      <c r="L156" s="2">
        <f t="shared" si="32"/>
        <v>-1540.46</v>
      </c>
      <c r="M156" s="2"/>
      <c r="N156" s="19">
        <f t="shared" si="33"/>
        <v>-1</v>
      </c>
      <c r="O156" s="11"/>
      <c r="P156" s="2"/>
      <c r="Q156" s="2"/>
      <c r="R156" s="19">
        <f t="shared" si="34"/>
        <v>0</v>
      </c>
      <c r="S156" s="2"/>
      <c r="T156" s="2">
        <v>5299.73</v>
      </c>
      <c r="U156" s="2"/>
      <c r="V156" s="19">
        <f t="shared" si="35"/>
        <v>2.1032003542033331E-4</v>
      </c>
      <c r="W156" s="2"/>
      <c r="X156" s="2">
        <f t="shared" si="36"/>
        <v>-5299.73</v>
      </c>
      <c r="Y156" s="2"/>
      <c r="Z156" s="19">
        <f t="shared" si="37"/>
        <v>-1</v>
      </c>
    </row>
    <row r="157" spans="1:26" s="24" customFormat="1" hidden="1" outlineLevel="1" x14ac:dyDescent="0.25">
      <c r="A157" s="44"/>
      <c r="B157" s="11" t="str">
        <f>CONCATENATE("          ", "5040", " - ", "PURCHASES @ COST-LOGO CLOTHING")</f>
        <v xml:space="preserve">          5040 - PURCHASES @ COST-LOGO CLOTHING</v>
      </c>
      <c r="C157" s="11"/>
      <c r="D157" s="2">
        <v>26599.9</v>
      </c>
      <c r="E157" s="2"/>
      <c r="F157" s="19">
        <f t="shared" si="30"/>
        <v>4.8706139430124668E-2</v>
      </c>
      <c r="G157" s="2"/>
      <c r="H157" s="2">
        <v>90806.55</v>
      </c>
      <c r="I157" s="2"/>
      <c r="J157" s="19">
        <f t="shared" si="31"/>
        <v>2.6193873545487086E-2</v>
      </c>
      <c r="K157" s="2"/>
      <c r="L157" s="2">
        <f t="shared" si="32"/>
        <v>-64206.65</v>
      </c>
      <c r="M157" s="2"/>
      <c r="N157" s="19">
        <f t="shared" si="33"/>
        <v>-0.70707069038521997</v>
      </c>
      <c r="O157" s="11"/>
      <c r="P157" s="2">
        <v>193971.09</v>
      </c>
      <c r="Q157" s="2"/>
      <c r="R157" s="19">
        <f t="shared" si="34"/>
        <v>2.712356601520818E-2</v>
      </c>
      <c r="S157" s="2"/>
      <c r="T157" s="2">
        <v>901545.55999999994</v>
      </c>
      <c r="U157" s="2"/>
      <c r="V157" s="19">
        <f t="shared" si="35"/>
        <v>3.5777878139498474E-2</v>
      </c>
      <c r="W157" s="2"/>
      <c r="X157" s="2">
        <f t="shared" si="36"/>
        <v>-707574.47</v>
      </c>
      <c r="Y157" s="2"/>
      <c r="Z157" s="19">
        <f t="shared" si="37"/>
        <v>-0.7848460481575662</v>
      </c>
    </row>
    <row r="158" spans="1:26" s="24" customFormat="1" hidden="1" outlineLevel="1" x14ac:dyDescent="0.25">
      <c r="A158" s="44"/>
      <c r="B158" s="11" t="str">
        <f>CONCATENATE("          ", "5041", " - ", "PURCHASES @ COST-LOGO GIFTS")</f>
        <v xml:space="preserve">          5041 - PURCHASES @ COST-LOGO GIFTS</v>
      </c>
      <c r="C158" s="11"/>
      <c r="D158" s="2">
        <v>26592.809999999998</v>
      </c>
      <c r="E158" s="2"/>
      <c r="F158" s="19">
        <f t="shared" si="30"/>
        <v>4.8693157180997426E-2</v>
      </c>
      <c r="G158" s="2"/>
      <c r="H158" s="2">
        <v>10366.19</v>
      </c>
      <c r="I158" s="2"/>
      <c r="J158" s="19">
        <f t="shared" si="31"/>
        <v>2.9902101776633156E-3</v>
      </c>
      <c r="K158" s="2"/>
      <c r="L158" s="2">
        <f t="shared" si="32"/>
        <v>16226.619999999997</v>
      </c>
      <c r="M158" s="2"/>
      <c r="N158" s="19">
        <f t="shared" si="33"/>
        <v>1.5653407857660333</v>
      </c>
      <c r="O158" s="11"/>
      <c r="P158" s="2">
        <v>67563.81</v>
      </c>
      <c r="Q158" s="2"/>
      <c r="R158" s="19">
        <f t="shared" si="34"/>
        <v>9.447652538190009E-3</v>
      </c>
      <c r="S158" s="2"/>
      <c r="T158" s="2">
        <v>134382.06</v>
      </c>
      <c r="U158" s="2"/>
      <c r="V158" s="19">
        <f t="shared" si="35"/>
        <v>5.3329583995896691E-3</v>
      </c>
      <c r="W158" s="2"/>
      <c r="X158" s="2">
        <f t="shared" si="36"/>
        <v>-66818.25</v>
      </c>
      <c r="Y158" s="2"/>
      <c r="Z158" s="19">
        <f t="shared" si="37"/>
        <v>-0.49722596900211236</v>
      </c>
    </row>
    <row r="159" spans="1:26" s="24" customFormat="1" hidden="1" outlineLevel="1" x14ac:dyDescent="0.25">
      <c r="A159" s="44"/>
      <c r="B159" s="11" t="str">
        <f>CONCATENATE("          ", "5042", " - ", "PURCHASES @ COST-EVERYDAY GIFT")</f>
        <v xml:space="preserve">          5042 - PURCHASES @ COST-EVERYDAY GIFT</v>
      </c>
      <c r="C159" s="11"/>
      <c r="D159" s="2">
        <v>1196.2</v>
      </c>
      <c r="E159" s="2"/>
      <c r="F159" s="19">
        <f t="shared" si="30"/>
        <v>2.1903196623414044E-3</v>
      </c>
      <c r="G159" s="2"/>
      <c r="H159" s="2">
        <v>8647</v>
      </c>
      <c r="I159" s="2"/>
      <c r="J159" s="19">
        <f t="shared" si="31"/>
        <v>2.4942961113248638E-3</v>
      </c>
      <c r="K159" s="2"/>
      <c r="L159" s="2">
        <f t="shared" si="32"/>
        <v>-7450.8</v>
      </c>
      <c r="M159" s="2"/>
      <c r="N159" s="19">
        <f t="shared" si="33"/>
        <v>-0.86166300451023481</v>
      </c>
      <c r="O159" s="11"/>
      <c r="P159" s="2">
        <v>19018.18</v>
      </c>
      <c r="Q159" s="2"/>
      <c r="R159" s="19">
        <f t="shared" si="34"/>
        <v>2.6593698097954286E-3</v>
      </c>
      <c r="S159" s="2"/>
      <c r="T159" s="2">
        <v>100007.97</v>
      </c>
      <c r="U159" s="2"/>
      <c r="V159" s="19">
        <f t="shared" si="35"/>
        <v>3.9688210140357404E-3</v>
      </c>
      <c r="W159" s="2"/>
      <c r="X159" s="2">
        <f t="shared" si="36"/>
        <v>-80989.790000000008</v>
      </c>
      <c r="Y159" s="2"/>
      <c r="Z159" s="19">
        <f t="shared" si="37"/>
        <v>-0.80983335628150444</v>
      </c>
    </row>
    <row r="160" spans="1:26" s="24" customFormat="1" hidden="1" outlineLevel="1" x14ac:dyDescent="0.25">
      <c r="A160" s="44"/>
      <c r="B160" s="11" t="str">
        <f>CONCATENATE("          ", "5043", " - ", "PURCHASES @ COST-CARDS")</f>
        <v xml:space="preserve">          5043 - PURCHASES @ COST-CARDS</v>
      </c>
      <c r="C160" s="11"/>
      <c r="D160" s="2"/>
      <c r="E160" s="2"/>
      <c r="F160" s="19">
        <f t="shared" si="30"/>
        <v>0</v>
      </c>
      <c r="G160" s="2"/>
      <c r="H160" s="2">
        <v>18340.75</v>
      </c>
      <c r="I160" s="2"/>
      <c r="J160" s="19">
        <f t="shared" si="31"/>
        <v>5.290535608162541E-3</v>
      </c>
      <c r="K160" s="2"/>
      <c r="L160" s="2">
        <f t="shared" si="32"/>
        <v>-18340.75</v>
      </c>
      <c r="M160" s="2"/>
      <c r="N160" s="19">
        <f t="shared" si="33"/>
        <v>-1</v>
      </c>
      <c r="O160" s="11"/>
      <c r="P160" s="2">
        <v>55364.33</v>
      </c>
      <c r="Q160" s="2"/>
      <c r="R160" s="19">
        <f t="shared" si="34"/>
        <v>7.7417622370569289E-3</v>
      </c>
      <c r="S160" s="2"/>
      <c r="T160" s="2">
        <v>29035.16</v>
      </c>
      <c r="U160" s="2"/>
      <c r="V160" s="19">
        <f t="shared" si="35"/>
        <v>1.152261696281706E-3</v>
      </c>
      <c r="W160" s="2"/>
      <c r="X160" s="2">
        <f t="shared" si="36"/>
        <v>26329.170000000002</v>
      </c>
      <c r="Y160" s="2"/>
      <c r="Z160" s="19">
        <f t="shared" si="37"/>
        <v>0.90680299333635506</v>
      </c>
    </row>
    <row r="161" spans="1:26" s="24" customFormat="1" hidden="1" outlineLevel="1" x14ac:dyDescent="0.25">
      <c r="A161" s="44"/>
      <c r="B161" s="11" t="str">
        <f>CONCATENATE("          ", "5044", " - ", "PURCHASES @ COST-ACCESSORIES")</f>
        <v xml:space="preserve">          5044 - PURCHASES @ COST-ACCESSORIES</v>
      </c>
      <c r="C161" s="11"/>
      <c r="D161" s="2"/>
      <c r="E161" s="2"/>
      <c r="F161" s="19">
        <f t="shared" si="30"/>
        <v>0</v>
      </c>
      <c r="G161" s="2"/>
      <c r="H161" s="2">
        <v>12532.23</v>
      </c>
      <c r="I161" s="2"/>
      <c r="J161" s="19">
        <f t="shared" si="31"/>
        <v>3.6150216902080257E-3</v>
      </c>
      <c r="K161" s="2"/>
      <c r="L161" s="2">
        <f t="shared" si="32"/>
        <v>-12532.23</v>
      </c>
      <c r="M161" s="2"/>
      <c r="N161" s="19">
        <f t="shared" si="33"/>
        <v>-1</v>
      </c>
      <c r="O161" s="11"/>
      <c r="P161" s="2">
        <v>1064.83</v>
      </c>
      <c r="Q161" s="2"/>
      <c r="R161" s="19">
        <f t="shared" si="34"/>
        <v>1.4889840955151681E-4</v>
      </c>
      <c r="S161" s="2"/>
      <c r="T161" s="2">
        <v>33399.440000000002</v>
      </c>
      <c r="U161" s="2"/>
      <c r="V161" s="19">
        <f t="shared" si="35"/>
        <v>1.3254583542594242E-3</v>
      </c>
      <c r="W161" s="2"/>
      <c r="X161" s="2">
        <f t="shared" si="36"/>
        <v>-32334.61</v>
      </c>
      <c r="Y161" s="2"/>
      <c r="Z161" s="19">
        <f t="shared" si="37"/>
        <v>-0.968118327732441</v>
      </c>
    </row>
    <row r="162" spans="1:26" s="24" customFormat="1" hidden="1" outlineLevel="1" x14ac:dyDescent="0.25">
      <c r="A162" s="44"/>
      <c r="B162" s="11" t="str">
        <f>CONCATENATE("          ", "5045", " - ", "PURCHASES @ COST-SPECIAL ORDER")</f>
        <v xml:space="preserve">          5045 - PURCHASES @ COST-SPECIAL ORDER</v>
      </c>
      <c r="C162" s="11"/>
      <c r="D162" s="2">
        <v>1909.13</v>
      </c>
      <c r="E162" s="2"/>
      <c r="F162" s="19">
        <f t="shared" si="30"/>
        <v>3.4957406595601454E-3</v>
      </c>
      <c r="G162" s="2"/>
      <c r="H162" s="2">
        <v>2948.55</v>
      </c>
      <c r="I162" s="2"/>
      <c r="J162" s="19">
        <f t="shared" si="31"/>
        <v>8.5053276269769025E-4</v>
      </c>
      <c r="K162" s="2"/>
      <c r="L162" s="2">
        <f t="shared" si="32"/>
        <v>-1039.42</v>
      </c>
      <c r="M162" s="2"/>
      <c r="N162" s="19">
        <f t="shared" si="33"/>
        <v>-0.35251903477980701</v>
      </c>
      <c r="O162" s="11"/>
      <c r="P162" s="2">
        <v>95373.51</v>
      </c>
      <c r="Q162" s="2"/>
      <c r="R162" s="19">
        <f t="shared" si="34"/>
        <v>1.3336367262704547E-2</v>
      </c>
      <c r="S162" s="2"/>
      <c r="T162" s="2">
        <v>50964.780000000006</v>
      </c>
      <c r="U162" s="2"/>
      <c r="V162" s="19">
        <f t="shared" si="35"/>
        <v>2.0225397019828363E-3</v>
      </c>
      <c r="W162" s="2"/>
      <c r="X162" s="2">
        <f t="shared" si="36"/>
        <v>44408.729999999989</v>
      </c>
      <c r="Y162" s="2"/>
      <c r="Z162" s="19">
        <f t="shared" si="37"/>
        <v>0.87136116353293358</v>
      </c>
    </row>
    <row r="163" spans="1:26" s="24" customFormat="1" hidden="1" outlineLevel="1" x14ac:dyDescent="0.25">
      <c r="A163" s="44"/>
      <c r="B163" s="11" t="str">
        <f>CONCATENATE("          ", "5053", " - ", "PURCHASES @ COST-FOOD")</f>
        <v xml:space="preserve">          5053 - PURCHASES @ COST-FOOD</v>
      </c>
      <c r="C163" s="11"/>
      <c r="D163" s="2">
        <v>44580.84</v>
      </c>
      <c r="E163" s="2"/>
      <c r="F163" s="19">
        <f t="shared" si="30"/>
        <v>8.1630404962126882E-2</v>
      </c>
      <c r="G163" s="2"/>
      <c r="H163" s="2">
        <v>766817.62</v>
      </c>
      <c r="I163" s="2"/>
      <c r="J163" s="19">
        <f t="shared" si="31"/>
        <v>0.22119465799252772</v>
      </c>
      <c r="K163" s="2"/>
      <c r="L163" s="2">
        <f t="shared" si="32"/>
        <v>-722236.78</v>
      </c>
      <c r="M163" s="2"/>
      <c r="N163" s="19">
        <f t="shared" si="33"/>
        <v>-0.94186252527687098</v>
      </c>
      <c r="O163" s="11"/>
      <c r="P163" s="2">
        <v>342281.24</v>
      </c>
      <c r="Q163" s="2"/>
      <c r="R163" s="19">
        <f t="shared" si="34"/>
        <v>4.7862224256755556E-2</v>
      </c>
      <c r="S163" s="2"/>
      <c r="T163" s="2">
        <v>4532386.66</v>
      </c>
      <c r="U163" s="2"/>
      <c r="V163" s="19">
        <f t="shared" si="35"/>
        <v>0.17986797872152852</v>
      </c>
      <c r="W163" s="2"/>
      <c r="X163" s="2">
        <f t="shared" si="36"/>
        <v>-4190105.42</v>
      </c>
      <c r="Y163" s="2"/>
      <c r="Z163" s="19">
        <f t="shared" si="37"/>
        <v>-0.9244810150420838</v>
      </c>
    </row>
    <row r="164" spans="1:26" s="24" customFormat="1" hidden="1" outlineLevel="1" x14ac:dyDescent="0.25">
      <c r="A164" s="44"/>
      <c r="B164" s="11" t="str">
        <f>CONCATENATE("          ", "5059", " - ", "PURCHASES @ COST-FOOD")</f>
        <v xml:space="preserve">          5059 - PURCHASES @ COST-FOOD</v>
      </c>
      <c r="C164" s="11"/>
      <c r="D164" s="2">
        <v>12491</v>
      </c>
      <c r="E164" s="2"/>
      <c r="F164" s="19">
        <f t="shared" si="30"/>
        <v>2.2871829879875006E-2</v>
      </c>
      <c r="G164" s="2"/>
      <c r="H164" s="2">
        <v>8457.57</v>
      </c>
      <c r="I164" s="2"/>
      <c r="J164" s="19">
        <f t="shared" si="31"/>
        <v>2.4396535170877563E-3</v>
      </c>
      <c r="K164" s="2"/>
      <c r="L164" s="2">
        <f t="shared" si="32"/>
        <v>4033.4300000000003</v>
      </c>
      <c r="M164" s="2"/>
      <c r="N164" s="19">
        <f t="shared" si="33"/>
        <v>0.47690175783351491</v>
      </c>
      <c r="O164" s="11"/>
      <c r="P164" s="2">
        <v>26686.289999999997</v>
      </c>
      <c r="Q164" s="2"/>
      <c r="R164" s="19">
        <f t="shared" si="34"/>
        <v>3.7316248958336518E-3</v>
      </c>
      <c r="S164" s="2"/>
      <c r="T164" s="2">
        <v>-100029.2</v>
      </c>
      <c r="U164" s="2"/>
      <c r="V164" s="19">
        <f t="shared" si="35"/>
        <v>-3.9696635275886898E-3</v>
      </c>
      <c r="W164" s="2"/>
      <c r="X164" s="2">
        <f t="shared" si="36"/>
        <v>126715.48999999999</v>
      </c>
      <c r="Y164" s="2"/>
      <c r="Z164" s="19">
        <f t="shared" si="37"/>
        <v>-1.2667849987803561</v>
      </c>
    </row>
    <row r="165" spans="1:26" s="24" customFormat="1" hidden="1" outlineLevel="1" x14ac:dyDescent="0.25">
      <c r="A165" s="44"/>
      <c r="B165" s="11" t="str">
        <f>CONCATENATE("          ", "5081", " - ", "PURCHASES @ COST-ELECTRONICS")</f>
        <v xml:space="preserve">          5081 - PURCHASES @ COST-ELECTRONICS</v>
      </c>
      <c r="C165" s="11"/>
      <c r="D165" s="2">
        <v>6584.13</v>
      </c>
      <c r="E165" s="2"/>
      <c r="F165" s="19">
        <f t="shared" si="30"/>
        <v>1.2055968398605512E-2</v>
      </c>
      <c r="G165" s="2"/>
      <c r="H165" s="2">
        <v>7374.68</v>
      </c>
      <c r="I165" s="2"/>
      <c r="J165" s="19">
        <f t="shared" si="31"/>
        <v>2.1272852603521739E-3</v>
      </c>
      <c r="K165" s="2"/>
      <c r="L165" s="2">
        <f t="shared" si="32"/>
        <v>-790.55000000000018</v>
      </c>
      <c r="M165" s="2"/>
      <c r="N165" s="19">
        <f t="shared" si="33"/>
        <v>-0.10719787163646424</v>
      </c>
      <c r="O165" s="11"/>
      <c r="P165" s="2">
        <v>32157.900000000005</v>
      </c>
      <c r="Q165" s="2"/>
      <c r="R165" s="19">
        <f t="shared" si="34"/>
        <v>4.4967367227789629E-3</v>
      </c>
      <c r="S165" s="2"/>
      <c r="T165" s="2">
        <v>229021.47999999998</v>
      </c>
      <c r="U165" s="2"/>
      <c r="V165" s="19">
        <f t="shared" si="35"/>
        <v>9.0887282532538752E-3</v>
      </c>
      <c r="W165" s="2"/>
      <c r="X165" s="2">
        <f t="shared" si="36"/>
        <v>-196863.58</v>
      </c>
      <c r="Y165" s="2"/>
      <c r="Z165" s="19">
        <f t="shared" si="37"/>
        <v>-0.85958565982544521</v>
      </c>
    </row>
    <row r="166" spans="1:26" s="24" customFormat="1" hidden="1" outlineLevel="1" x14ac:dyDescent="0.25">
      <c r="A166" s="44"/>
      <c r="B166" s="11" t="str">
        <f>CONCATENATE("          ", "5082", " - ", "PURCHASES @ COST-COMPUTER HARD")</f>
        <v xml:space="preserve">          5082 - PURCHASES @ COST-COMPUTER HARD</v>
      </c>
      <c r="C166" s="11"/>
      <c r="D166" s="2">
        <v>184376.31</v>
      </c>
      <c r="E166" s="2"/>
      <c r="F166" s="19">
        <f t="shared" si="30"/>
        <v>0.33760496326948181</v>
      </c>
      <c r="G166" s="2"/>
      <c r="H166" s="2">
        <v>43635.82</v>
      </c>
      <c r="I166" s="2"/>
      <c r="J166" s="19">
        <f t="shared" si="31"/>
        <v>1.2587100282233343E-2</v>
      </c>
      <c r="K166" s="2"/>
      <c r="L166" s="2">
        <f t="shared" si="32"/>
        <v>140740.49</v>
      </c>
      <c r="M166" s="2"/>
      <c r="N166" s="19">
        <f t="shared" si="33"/>
        <v>3.2253430782325161</v>
      </c>
      <c r="O166" s="11"/>
      <c r="P166" s="2">
        <v>1263577.8400000001</v>
      </c>
      <c r="Q166" s="2"/>
      <c r="R166" s="19">
        <f t="shared" si="34"/>
        <v>0.17668992301169295</v>
      </c>
      <c r="S166" s="2"/>
      <c r="T166" s="2">
        <v>1211298.58</v>
      </c>
      <c r="U166" s="2"/>
      <c r="V166" s="19">
        <f t="shared" si="35"/>
        <v>4.807044137157921E-2</v>
      </c>
      <c r="W166" s="2"/>
      <c r="X166" s="2">
        <f t="shared" si="36"/>
        <v>52279.260000000009</v>
      </c>
      <c r="Y166" s="2"/>
      <c r="Z166" s="19">
        <f t="shared" si="37"/>
        <v>4.315968074527092E-2</v>
      </c>
    </row>
    <row r="167" spans="1:26" s="24" customFormat="1" hidden="1" outlineLevel="1" x14ac:dyDescent="0.25">
      <c r="A167" s="44"/>
      <c r="B167" s="11" t="str">
        <f>CONCATENATE("          ", "5083", " - ", "PURCHASES @ COST-COMPUTER EQUI")</f>
        <v xml:space="preserve">          5083 - PURCHASES @ COST-COMPUTER EQUI</v>
      </c>
      <c r="C167" s="11"/>
      <c r="D167" s="2">
        <v>8631.6</v>
      </c>
      <c r="E167" s="2"/>
      <c r="F167" s="19">
        <f t="shared" si="30"/>
        <v>1.5805018556651118E-2</v>
      </c>
      <c r="G167" s="2"/>
      <c r="H167" s="2">
        <v>6151.02</v>
      </c>
      <c r="I167" s="2"/>
      <c r="J167" s="19">
        <f t="shared" si="31"/>
        <v>1.7743107744514241E-3</v>
      </c>
      <c r="K167" s="2"/>
      <c r="L167" s="2">
        <f t="shared" si="32"/>
        <v>2480.58</v>
      </c>
      <c r="M167" s="2"/>
      <c r="N167" s="19">
        <f t="shared" si="33"/>
        <v>0.40327945609020938</v>
      </c>
      <c r="O167" s="11"/>
      <c r="P167" s="2">
        <v>99188.26999999999</v>
      </c>
      <c r="Q167" s="2"/>
      <c r="R167" s="19">
        <f t="shared" si="34"/>
        <v>1.3869796727333404E-2</v>
      </c>
      <c r="S167" s="2"/>
      <c r="T167" s="2">
        <v>71511.8</v>
      </c>
      <c r="U167" s="2"/>
      <c r="V167" s="19">
        <f t="shared" si="35"/>
        <v>2.8379491613670497E-3</v>
      </c>
      <c r="W167" s="2"/>
      <c r="X167" s="2">
        <f t="shared" si="36"/>
        <v>27676.469999999987</v>
      </c>
      <c r="Y167" s="2"/>
      <c r="Z167" s="19">
        <f t="shared" si="37"/>
        <v>0.38701962473326063</v>
      </c>
    </row>
    <row r="168" spans="1:26" s="24" customFormat="1" hidden="1" outlineLevel="1" x14ac:dyDescent="0.25">
      <c r="A168" s="44"/>
      <c r="B168" s="11" t="str">
        <f>CONCATENATE("          ", "5084", " - ", "PURCHASES @ COST-SOFTWARE LICE")</f>
        <v xml:space="preserve">          5084 - PURCHASES @ COST-SOFTWARE LICE</v>
      </c>
      <c r="C168" s="11"/>
      <c r="D168" s="2"/>
      <c r="E168" s="2"/>
      <c r="F168" s="19">
        <f t="shared" si="30"/>
        <v>0</v>
      </c>
      <c r="G168" s="2"/>
      <c r="H168" s="2"/>
      <c r="I168" s="2"/>
      <c r="J168" s="19">
        <f t="shared" si="31"/>
        <v>0</v>
      </c>
      <c r="K168" s="2"/>
      <c r="L168" s="2">
        <f t="shared" si="32"/>
        <v>0</v>
      </c>
      <c r="M168" s="2"/>
      <c r="N168" s="19">
        <f t="shared" si="33"/>
        <v>0</v>
      </c>
      <c r="O168" s="11"/>
      <c r="P168" s="2"/>
      <c r="Q168" s="2"/>
      <c r="R168" s="19">
        <f t="shared" si="34"/>
        <v>0</v>
      </c>
      <c r="S168" s="2"/>
      <c r="T168" s="2">
        <v>2728</v>
      </c>
      <c r="U168" s="2"/>
      <c r="V168" s="19">
        <f t="shared" si="35"/>
        <v>1.0826080887642755E-4</v>
      </c>
      <c r="W168" s="2"/>
      <c r="X168" s="2">
        <f t="shared" si="36"/>
        <v>-2728</v>
      </c>
      <c r="Y168" s="2"/>
      <c r="Z168" s="19">
        <f t="shared" si="37"/>
        <v>-1</v>
      </c>
    </row>
    <row r="169" spans="1:26" s="24" customFormat="1" hidden="1" outlineLevel="1" x14ac:dyDescent="0.25">
      <c r="A169" s="44"/>
      <c r="B169" s="11" t="str">
        <f>CONCATENATE("          ", "5085", " - ", "PURCHASES @ COST-SOFTWARE")</f>
        <v xml:space="preserve">          5085 - PURCHASES @ COST-SOFTWARE</v>
      </c>
      <c r="C169" s="11"/>
      <c r="D169" s="2">
        <v>1399.23</v>
      </c>
      <c r="E169" s="2"/>
      <c r="F169" s="19">
        <f t="shared" si="30"/>
        <v>2.5620807399581703E-3</v>
      </c>
      <c r="G169" s="2"/>
      <c r="H169" s="2">
        <v>1301.73</v>
      </c>
      <c r="I169" s="2"/>
      <c r="J169" s="19">
        <f t="shared" si="31"/>
        <v>3.7549440002254133E-4</v>
      </c>
      <c r="K169" s="2"/>
      <c r="L169" s="2">
        <f t="shared" si="32"/>
        <v>97.5</v>
      </c>
      <c r="M169" s="2"/>
      <c r="N169" s="19">
        <f t="shared" si="33"/>
        <v>7.490032495217902E-2</v>
      </c>
      <c r="O169" s="11"/>
      <c r="P169" s="2">
        <v>30145.449999999997</v>
      </c>
      <c r="Q169" s="2"/>
      <c r="R169" s="19">
        <f t="shared" si="34"/>
        <v>4.2153297335863682E-3</v>
      </c>
      <c r="S169" s="2"/>
      <c r="T169" s="2">
        <v>9162.39</v>
      </c>
      <c r="U169" s="2"/>
      <c r="V169" s="19">
        <f t="shared" si="35"/>
        <v>3.6360988000047319E-4</v>
      </c>
      <c r="W169" s="2"/>
      <c r="X169" s="2">
        <f t="shared" si="36"/>
        <v>20983.059999999998</v>
      </c>
      <c r="Y169" s="2"/>
      <c r="Z169" s="19">
        <f t="shared" si="37"/>
        <v>2.2901295404365016</v>
      </c>
    </row>
    <row r="170" spans="1:26" s="24" customFormat="1" hidden="1" outlineLevel="1" x14ac:dyDescent="0.25">
      <c r="A170" s="44"/>
      <c r="B170" s="11" t="str">
        <f>CONCATENATE("          ", "5086", " - ", "PURCHASES @ COST-COMPUTER SUPP")</f>
        <v xml:space="preserve">          5086 - PURCHASES @ COST-COMPUTER SUPP</v>
      </c>
      <c r="C170" s="11"/>
      <c r="D170" s="2">
        <v>398.64</v>
      </c>
      <c r="E170" s="2"/>
      <c r="F170" s="19">
        <f t="shared" si="30"/>
        <v>7.2993565473648012E-4</v>
      </c>
      <c r="G170" s="2"/>
      <c r="H170" s="2">
        <v>4080.56</v>
      </c>
      <c r="I170" s="2"/>
      <c r="J170" s="19">
        <f t="shared" si="31"/>
        <v>1.1770700751737929E-3</v>
      </c>
      <c r="K170" s="2"/>
      <c r="L170" s="2">
        <f t="shared" si="32"/>
        <v>-3681.92</v>
      </c>
      <c r="M170" s="2"/>
      <c r="N170" s="19">
        <f t="shared" si="33"/>
        <v>-0.90230752641794265</v>
      </c>
      <c r="O170" s="11"/>
      <c r="P170" s="2">
        <v>23138.489999999998</v>
      </c>
      <c r="Q170" s="2"/>
      <c r="R170" s="19">
        <f t="shared" si="34"/>
        <v>3.2355252579507302E-3</v>
      </c>
      <c r="S170" s="2"/>
      <c r="T170" s="2">
        <v>29428.32</v>
      </c>
      <c r="U170" s="2"/>
      <c r="V170" s="19">
        <f t="shared" si="35"/>
        <v>1.167864269455407E-3</v>
      </c>
      <c r="W170" s="2"/>
      <c r="X170" s="2">
        <f t="shared" si="36"/>
        <v>-6289.8300000000017</v>
      </c>
      <c r="Y170" s="2"/>
      <c r="Z170" s="19">
        <f t="shared" si="37"/>
        <v>-0.21373391345479462</v>
      </c>
    </row>
    <row r="171" spans="1:26" s="24" customFormat="1" hidden="1" outlineLevel="1" x14ac:dyDescent="0.25">
      <c r="A171" s="44"/>
      <c r="B171" s="11" t="str">
        <f>CONCATENATE("          ", "5088", " - ", "PURCHASES @ COST-MUSIC")</f>
        <v xml:space="preserve">          5088 - PURCHASES @ COST-MUSIC</v>
      </c>
      <c r="C171" s="11"/>
      <c r="D171" s="2"/>
      <c r="E171" s="2"/>
      <c r="F171" s="19">
        <f t="shared" si="30"/>
        <v>0</v>
      </c>
      <c r="G171" s="2"/>
      <c r="H171" s="2">
        <v>6.9</v>
      </c>
      <c r="I171" s="2"/>
      <c r="J171" s="19">
        <f t="shared" si="31"/>
        <v>1.9903600286968382E-6</v>
      </c>
      <c r="K171" s="2"/>
      <c r="L171" s="2">
        <f t="shared" si="32"/>
        <v>-6.9</v>
      </c>
      <c r="M171" s="2"/>
      <c r="N171" s="19">
        <f t="shared" si="33"/>
        <v>-1</v>
      </c>
      <c r="O171" s="11"/>
      <c r="P171" s="2"/>
      <c r="Q171" s="2"/>
      <c r="R171" s="19">
        <f t="shared" si="34"/>
        <v>0</v>
      </c>
      <c r="S171" s="2"/>
      <c r="T171" s="2">
        <v>95.65</v>
      </c>
      <c r="U171" s="2"/>
      <c r="V171" s="19">
        <f t="shared" si="35"/>
        <v>3.79587476870612E-6</v>
      </c>
      <c r="W171" s="2"/>
      <c r="X171" s="2">
        <f t="shared" si="36"/>
        <v>-95.65</v>
      </c>
      <c r="Y171" s="2"/>
      <c r="Z171" s="19">
        <f t="shared" si="37"/>
        <v>-1</v>
      </c>
    </row>
    <row r="172" spans="1:26" s="24" customFormat="1" hidden="1" outlineLevel="1" x14ac:dyDescent="0.25">
      <c r="A172" s="44"/>
      <c r="B172" s="11" t="str">
        <f>CONCATENATE("          ", "5092", " - ", "PURCHASES @ COST-GRAD MERCH")</f>
        <v xml:space="preserve">          5092 - PURCHASES @ COST-GRAD MERCH</v>
      </c>
      <c r="C172" s="11"/>
      <c r="D172" s="2"/>
      <c r="E172" s="2"/>
      <c r="F172" s="19">
        <f t="shared" si="30"/>
        <v>0</v>
      </c>
      <c r="G172" s="2"/>
      <c r="H172" s="2">
        <v>-137.06</v>
      </c>
      <c r="I172" s="2"/>
      <c r="J172" s="19">
        <f t="shared" si="31"/>
        <v>-3.9536050077273717E-5</v>
      </c>
      <c r="K172" s="2"/>
      <c r="L172" s="2">
        <f t="shared" si="32"/>
        <v>137.06</v>
      </c>
      <c r="M172" s="2"/>
      <c r="N172" s="19">
        <f t="shared" si="33"/>
        <v>-1</v>
      </c>
      <c r="O172" s="11"/>
      <c r="P172" s="2"/>
      <c r="Q172" s="2"/>
      <c r="R172" s="19">
        <f t="shared" si="34"/>
        <v>0</v>
      </c>
      <c r="S172" s="2"/>
      <c r="T172" s="2">
        <v>1909.8</v>
      </c>
      <c r="U172" s="2"/>
      <c r="V172" s="19">
        <f t="shared" si="35"/>
        <v>7.5790503222947692E-5</v>
      </c>
      <c r="W172" s="2"/>
      <c r="X172" s="2">
        <f t="shared" si="36"/>
        <v>-1909.8</v>
      </c>
      <c r="Y172" s="2"/>
      <c r="Z172" s="19">
        <f t="shared" si="37"/>
        <v>-1</v>
      </c>
    </row>
    <row r="173" spans="1:26" s="24" customFormat="1" hidden="1" outlineLevel="1" x14ac:dyDescent="0.25">
      <c r="A173" s="44"/>
      <c r="B173" s="11" t="str">
        <f>CONCATENATE("          ", "5095", " - ", "PURCHASES @ COST-CUSTOMER SERV")</f>
        <v xml:space="preserve">          5095 - PURCHASES @ COST-CUSTOMER SERV</v>
      </c>
      <c r="C173" s="11"/>
      <c r="D173" s="2"/>
      <c r="E173" s="2"/>
      <c r="F173" s="19">
        <f t="shared" si="30"/>
        <v>0</v>
      </c>
      <c r="G173" s="2"/>
      <c r="H173" s="2"/>
      <c r="I173" s="2"/>
      <c r="J173" s="19">
        <f t="shared" si="31"/>
        <v>0</v>
      </c>
      <c r="K173" s="2"/>
      <c r="L173" s="2">
        <f t="shared" si="32"/>
        <v>0</v>
      </c>
      <c r="M173" s="2"/>
      <c r="N173" s="19">
        <f t="shared" si="33"/>
        <v>0</v>
      </c>
      <c r="O173" s="11"/>
      <c r="P173" s="2"/>
      <c r="Q173" s="2"/>
      <c r="R173" s="19">
        <f t="shared" si="34"/>
        <v>0</v>
      </c>
      <c r="S173" s="2"/>
      <c r="T173" s="2">
        <v>0</v>
      </c>
      <c r="U173" s="2"/>
      <c r="V173" s="19">
        <f t="shared" si="35"/>
        <v>0</v>
      </c>
      <c r="W173" s="2"/>
      <c r="X173" s="2">
        <f t="shared" si="36"/>
        <v>0</v>
      </c>
      <c r="Y173" s="2"/>
      <c r="Z173" s="19">
        <f t="shared" si="37"/>
        <v>0</v>
      </c>
    </row>
    <row r="174" spans="1:26" s="24" customFormat="1" hidden="1" outlineLevel="1" x14ac:dyDescent="0.25">
      <c r="A174" s="44"/>
      <c r="B174" s="11" t="str">
        <f>CONCATENATE("          ", "5200", " - ", "PURCHASES OFFSET")</f>
        <v xml:space="preserve">          5200 - PURCHASES OFFSET</v>
      </c>
      <c r="C174" s="11"/>
      <c r="D174" s="2">
        <v>-46641.740000000005</v>
      </c>
      <c r="E174" s="2"/>
      <c r="F174" s="19">
        <f t="shared" si="30"/>
        <v>-8.540404631985922E-2</v>
      </c>
      <c r="G174" s="2"/>
      <c r="H174" s="2">
        <v>-211466</v>
      </c>
      <c r="I174" s="2"/>
      <c r="J174" s="19">
        <f t="shared" si="31"/>
        <v>-6.0999054178029796E-2</v>
      </c>
      <c r="K174" s="2"/>
      <c r="L174" s="2">
        <f t="shared" si="32"/>
        <v>164824.26</v>
      </c>
      <c r="M174" s="2"/>
      <c r="N174" s="19">
        <f t="shared" si="33"/>
        <v>-0.7794362214256666</v>
      </c>
      <c r="O174" s="11"/>
      <c r="P174" s="2">
        <v>-3425688.92</v>
      </c>
      <c r="Q174" s="2"/>
      <c r="R174" s="19">
        <f t="shared" si="34"/>
        <v>-0.47902447508640189</v>
      </c>
      <c r="S174" s="2"/>
      <c r="T174" s="2">
        <v>-5724961</v>
      </c>
      <c r="U174" s="2"/>
      <c r="V174" s="19">
        <f t="shared" si="35"/>
        <v>-0.22719534774413544</v>
      </c>
      <c r="W174" s="2"/>
      <c r="X174" s="2">
        <f t="shared" si="36"/>
        <v>2299272.08</v>
      </c>
      <c r="Y174" s="2"/>
      <c r="Z174" s="19">
        <f t="shared" si="37"/>
        <v>-0.40162231323497227</v>
      </c>
    </row>
    <row r="175" spans="1:26" s="24" customFormat="1" hidden="1" outlineLevel="1" x14ac:dyDescent="0.25">
      <c r="A175" s="44"/>
      <c r="B175" s="11" t="str">
        <f>CONCATENATE("          ", "5300", " - ", "COG$ OFFSET")</f>
        <v xml:space="preserve">          5300 - COG$ OFFSET</v>
      </c>
      <c r="C175" s="11"/>
      <c r="D175" s="2">
        <v>286283</v>
      </c>
      <c r="E175" s="2"/>
      <c r="F175" s="19">
        <f t="shared" si="30"/>
        <v>0.52420271183253997</v>
      </c>
      <c r="G175" s="2"/>
      <c r="H175" s="2">
        <v>564760</v>
      </c>
      <c r="I175" s="2"/>
      <c r="J175" s="19">
        <f t="shared" si="31"/>
        <v>0.16290952605896034</v>
      </c>
      <c r="K175" s="2"/>
      <c r="L175" s="2">
        <f t="shared" si="32"/>
        <v>-278477</v>
      </c>
      <c r="M175" s="2"/>
      <c r="N175" s="19">
        <f t="shared" si="33"/>
        <v>-0.49308909979460303</v>
      </c>
      <c r="O175" s="11"/>
      <c r="P175" s="2">
        <v>3584463</v>
      </c>
      <c r="Q175" s="2"/>
      <c r="R175" s="19">
        <f t="shared" si="34"/>
        <v>0.50122633640699321</v>
      </c>
      <c r="S175" s="2"/>
      <c r="T175" s="2">
        <v>5398957.4700000007</v>
      </c>
      <c r="U175" s="2"/>
      <c r="V175" s="19">
        <f t="shared" si="35"/>
        <v>0.21425788225499665</v>
      </c>
      <c r="W175" s="2"/>
      <c r="X175" s="2">
        <f t="shared" si="36"/>
        <v>-1814494.4700000007</v>
      </c>
      <c r="Y175" s="2"/>
      <c r="Z175" s="19">
        <f t="shared" si="37"/>
        <v>-0.33608237888193632</v>
      </c>
    </row>
    <row r="176" spans="1:26" s="24" customFormat="1" hidden="1" outlineLevel="1" x14ac:dyDescent="0.25">
      <c r="A176" s="44"/>
      <c r="B176" s="11" t="str">
        <f>CONCATENATE("          ", "5500", " - ", "FREIGHT-IN")</f>
        <v xml:space="preserve">          5500 - FREIGHT-IN</v>
      </c>
      <c r="C176" s="11"/>
      <c r="D176" s="2"/>
      <c r="E176" s="2"/>
      <c r="F176" s="19">
        <f t="shared" si="30"/>
        <v>0</v>
      </c>
      <c r="G176" s="2"/>
      <c r="H176" s="2">
        <v>33.950000000000003</v>
      </c>
      <c r="I176" s="2"/>
      <c r="J176" s="19">
        <f t="shared" si="31"/>
        <v>9.7931482571387918E-6</v>
      </c>
      <c r="K176" s="2"/>
      <c r="L176" s="2">
        <f t="shared" si="32"/>
        <v>-33.950000000000003</v>
      </c>
      <c r="M176" s="2"/>
      <c r="N176" s="19">
        <f t="shared" si="33"/>
        <v>-1</v>
      </c>
      <c r="O176" s="11"/>
      <c r="P176" s="2"/>
      <c r="Q176" s="2"/>
      <c r="R176" s="19">
        <f t="shared" si="34"/>
        <v>0</v>
      </c>
      <c r="S176" s="2"/>
      <c r="T176" s="2">
        <v>156.47999999999999</v>
      </c>
      <c r="U176" s="2"/>
      <c r="V176" s="19">
        <f t="shared" si="35"/>
        <v>6.2099161924425882E-6</v>
      </c>
      <c r="W176" s="2"/>
      <c r="X176" s="2">
        <f t="shared" si="36"/>
        <v>-156.47999999999999</v>
      </c>
      <c r="Y176" s="2"/>
      <c r="Z176" s="19">
        <f t="shared" si="37"/>
        <v>-1</v>
      </c>
    </row>
    <row r="177" spans="1:26" s="24" customFormat="1" hidden="1" outlineLevel="1" x14ac:dyDescent="0.25">
      <c r="A177" s="44"/>
      <c r="B177" s="11" t="str">
        <f>CONCATENATE("          ", "5501", " - ", "FREIGHT-IN-NEW TEXT")</f>
        <v xml:space="preserve">          5501 - FREIGHT-IN-NEW TEXT</v>
      </c>
      <c r="C177" s="11"/>
      <c r="D177" s="2">
        <v>4638.13</v>
      </c>
      <c r="E177" s="2"/>
      <c r="F177" s="19">
        <f t="shared" si="30"/>
        <v>8.4927163814542215E-3</v>
      </c>
      <c r="G177" s="2"/>
      <c r="H177" s="2">
        <v>23947.37</v>
      </c>
      <c r="I177" s="2"/>
      <c r="J177" s="19">
        <f t="shared" si="31"/>
        <v>6.907809860929536E-3</v>
      </c>
      <c r="K177" s="2"/>
      <c r="L177" s="2">
        <f t="shared" si="32"/>
        <v>-19309.239999999998</v>
      </c>
      <c r="M177" s="2"/>
      <c r="N177" s="19">
        <f t="shared" si="33"/>
        <v>-0.80631985892396529</v>
      </c>
      <c r="O177" s="11"/>
      <c r="P177" s="2">
        <v>49256.92</v>
      </c>
      <c r="Q177" s="2"/>
      <c r="R177" s="19">
        <f t="shared" si="34"/>
        <v>6.8877445671199156E-3</v>
      </c>
      <c r="S177" s="2"/>
      <c r="T177" s="2">
        <v>66024.739999999991</v>
      </c>
      <c r="U177" s="2"/>
      <c r="V177" s="19">
        <f t="shared" si="35"/>
        <v>2.6201949260468548E-3</v>
      </c>
      <c r="W177" s="2"/>
      <c r="X177" s="2">
        <f t="shared" si="36"/>
        <v>-16767.819999999992</v>
      </c>
      <c r="Y177" s="2"/>
      <c r="Z177" s="19">
        <f t="shared" si="37"/>
        <v>-0.25396268126159977</v>
      </c>
    </row>
    <row r="178" spans="1:26" s="24" customFormat="1" hidden="1" outlineLevel="1" x14ac:dyDescent="0.25">
      <c r="A178" s="44"/>
      <c r="B178" s="11" t="str">
        <f>CONCATENATE("          ", "5502", " - ", "FREIGHT-IN-USED TEXT")</f>
        <v xml:space="preserve">          5502 - FREIGHT-IN-USED TEXT</v>
      </c>
      <c r="C178" s="11"/>
      <c r="D178" s="2">
        <v>1484.45</v>
      </c>
      <c r="E178" s="2"/>
      <c r="F178" s="19">
        <f t="shared" si="30"/>
        <v>2.7181240785509931E-3</v>
      </c>
      <c r="G178" s="2"/>
      <c r="H178" s="2">
        <v>2979.86</v>
      </c>
      <c r="I178" s="2"/>
      <c r="J178" s="19">
        <f t="shared" si="31"/>
        <v>8.5956438190037108E-4</v>
      </c>
      <c r="K178" s="2"/>
      <c r="L178" s="2">
        <f t="shared" si="32"/>
        <v>-1495.41</v>
      </c>
      <c r="M178" s="2"/>
      <c r="N178" s="19">
        <f t="shared" si="33"/>
        <v>-0.50183901257106034</v>
      </c>
      <c r="O178" s="11"/>
      <c r="P178" s="2">
        <v>17136.759999999998</v>
      </c>
      <c r="Q178" s="2"/>
      <c r="R178" s="19">
        <f t="shared" si="34"/>
        <v>2.3962851430425992E-3</v>
      </c>
      <c r="S178" s="2"/>
      <c r="T178" s="2">
        <v>14758.089999999998</v>
      </c>
      <c r="U178" s="2"/>
      <c r="V178" s="19">
        <f t="shared" si="35"/>
        <v>5.8567549885304852E-4</v>
      </c>
      <c r="W178" s="2"/>
      <c r="X178" s="2">
        <f t="shared" si="36"/>
        <v>2378.67</v>
      </c>
      <c r="Y178" s="2"/>
      <c r="Z178" s="19">
        <f t="shared" si="37"/>
        <v>0.16117736102707059</v>
      </c>
    </row>
    <row r="179" spans="1:26" s="24" customFormat="1" hidden="1" outlineLevel="1" x14ac:dyDescent="0.25">
      <c r="A179" s="44"/>
      <c r="B179" s="11" t="str">
        <f>CONCATENATE("          ", "5504", " - ", "FREIGHT-IN-DIGITAL TEXT")</f>
        <v xml:space="preserve">          5504 - FREIGHT-IN-DIGITAL TEXT</v>
      </c>
      <c r="C179" s="11"/>
      <c r="D179" s="2">
        <v>6.94</v>
      </c>
      <c r="E179" s="2"/>
      <c r="F179" s="19">
        <f t="shared" si="30"/>
        <v>1.2707589413684457E-5</v>
      </c>
      <c r="G179" s="2"/>
      <c r="H179" s="2"/>
      <c r="I179" s="2"/>
      <c r="J179" s="19">
        <f t="shared" si="31"/>
        <v>0</v>
      </c>
      <c r="K179" s="2"/>
      <c r="L179" s="2">
        <f t="shared" si="32"/>
        <v>6.94</v>
      </c>
      <c r="M179" s="2"/>
      <c r="N179" s="19">
        <f t="shared" si="33"/>
        <v>0</v>
      </c>
      <c r="O179" s="11"/>
      <c r="P179" s="2">
        <v>28.92</v>
      </c>
      <c r="Q179" s="2"/>
      <c r="R179" s="19">
        <f t="shared" si="34"/>
        <v>4.0439713421202128E-6</v>
      </c>
      <c r="S179" s="2"/>
      <c r="T179" s="2">
        <v>105.97</v>
      </c>
      <c r="U179" s="2"/>
      <c r="V179" s="19">
        <f t="shared" si="35"/>
        <v>4.2054244562445115E-6</v>
      </c>
      <c r="W179" s="2"/>
      <c r="X179" s="2">
        <f t="shared" si="36"/>
        <v>-77.05</v>
      </c>
      <c r="Y179" s="2"/>
      <c r="Z179" s="19">
        <f t="shared" si="37"/>
        <v>-0.72709257336982158</v>
      </c>
    </row>
    <row r="180" spans="1:26" s="24" customFormat="1" hidden="1" outlineLevel="1" x14ac:dyDescent="0.25">
      <c r="A180" s="44"/>
      <c r="B180" s="11" t="str">
        <f>CONCATENATE("          ", "5513", " - ", "FREIGHT-IN-TRADE BOOKS")</f>
        <v xml:space="preserve">          5513 - FREIGHT-IN-TRADE BOOKS</v>
      </c>
      <c r="C180" s="11"/>
      <c r="D180" s="2"/>
      <c r="E180" s="2"/>
      <c r="F180" s="19">
        <f t="shared" si="30"/>
        <v>0</v>
      </c>
      <c r="G180" s="2"/>
      <c r="H180" s="2"/>
      <c r="I180" s="2"/>
      <c r="J180" s="19">
        <f t="shared" si="31"/>
        <v>0</v>
      </c>
      <c r="K180" s="2"/>
      <c r="L180" s="2">
        <f t="shared" si="32"/>
        <v>0</v>
      </c>
      <c r="M180" s="2"/>
      <c r="N180" s="19">
        <f t="shared" si="33"/>
        <v>0</v>
      </c>
      <c r="O180" s="11"/>
      <c r="P180" s="2">
        <v>33.520000000000003</v>
      </c>
      <c r="Q180" s="2"/>
      <c r="R180" s="19">
        <f t="shared" si="34"/>
        <v>4.6872032983357381E-6</v>
      </c>
      <c r="S180" s="2"/>
      <c r="T180" s="2">
        <v>21.41</v>
      </c>
      <c r="U180" s="2"/>
      <c r="V180" s="19">
        <f t="shared" si="35"/>
        <v>8.4965686145319417E-7</v>
      </c>
      <c r="W180" s="2"/>
      <c r="X180" s="2">
        <f t="shared" si="36"/>
        <v>12.110000000000003</v>
      </c>
      <c r="Y180" s="2"/>
      <c r="Z180" s="19">
        <f t="shared" si="37"/>
        <v>0.56562354040168161</v>
      </c>
    </row>
    <row r="181" spans="1:26" s="24" customFormat="1" hidden="1" outlineLevel="1" x14ac:dyDescent="0.25">
      <c r="A181" s="44"/>
      <c r="B181" s="11" t="str">
        <f>CONCATENATE("          ", "5518", " - ", "FREIGHT-IN-STUDY GUIDES")</f>
        <v xml:space="preserve">          5518 - FREIGHT-IN-STUDY GUIDES</v>
      </c>
      <c r="C181" s="11"/>
      <c r="D181" s="2"/>
      <c r="E181" s="2"/>
      <c r="F181" s="19">
        <f t="shared" si="30"/>
        <v>0</v>
      </c>
      <c r="G181" s="2"/>
      <c r="H181" s="2"/>
      <c r="I181" s="2"/>
      <c r="J181" s="19">
        <f t="shared" si="31"/>
        <v>0</v>
      </c>
      <c r="K181" s="2"/>
      <c r="L181" s="2">
        <f t="shared" si="32"/>
        <v>0</v>
      </c>
      <c r="M181" s="2"/>
      <c r="N181" s="19">
        <f t="shared" si="33"/>
        <v>0</v>
      </c>
      <c r="O181" s="11"/>
      <c r="P181" s="2"/>
      <c r="Q181" s="2"/>
      <c r="R181" s="19">
        <f t="shared" si="34"/>
        <v>0</v>
      </c>
      <c r="S181" s="2"/>
      <c r="T181" s="2">
        <v>21.13</v>
      </c>
      <c r="U181" s="2"/>
      <c r="V181" s="19">
        <f t="shared" si="35"/>
        <v>8.3854504822540832E-7</v>
      </c>
      <c r="W181" s="2"/>
      <c r="X181" s="2">
        <f t="shared" si="36"/>
        <v>-21.13</v>
      </c>
      <c r="Y181" s="2"/>
      <c r="Z181" s="19">
        <f t="shared" si="37"/>
        <v>-1</v>
      </c>
    </row>
    <row r="182" spans="1:26" s="24" customFormat="1" hidden="1" outlineLevel="1" x14ac:dyDescent="0.25">
      <c r="A182" s="44"/>
      <c r="B182" s="11" t="str">
        <f>CONCATENATE("          ", "5525", " - ", "FREIGHT-IN-TEST FORMS")</f>
        <v xml:space="preserve">          5525 - FREIGHT-IN-TEST FORMS</v>
      </c>
      <c r="C182" s="11"/>
      <c r="D182" s="2"/>
      <c r="E182" s="2"/>
      <c r="F182" s="19">
        <f t="shared" si="30"/>
        <v>0</v>
      </c>
      <c r="G182" s="2"/>
      <c r="H182" s="2">
        <v>532.61</v>
      </c>
      <c r="I182" s="2"/>
      <c r="J182" s="19">
        <f t="shared" si="31"/>
        <v>1.5363560215713378E-4</v>
      </c>
      <c r="K182" s="2"/>
      <c r="L182" s="2">
        <f t="shared" si="32"/>
        <v>-532.61</v>
      </c>
      <c r="M182" s="2"/>
      <c r="N182" s="19">
        <f t="shared" si="33"/>
        <v>-1</v>
      </c>
      <c r="O182" s="11"/>
      <c r="P182" s="2">
        <v>48.14</v>
      </c>
      <c r="Q182" s="2"/>
      <c r="R182" s="19">
        <f t="shared" si="34"/>
        <v>6.7315622548294279E-6</v>
      </c>
      <c r="S182" s="2"/>
      <c r="T182" s="2">
        <v>1155.02</v>
      </c>
      <c r="U182" s="2"/>
      <c r="V182" s="19">
        <f t="shared" si="35"/>
        <v>4.5837023265561341E-5</v>
      </c>
      <c r="W182" s="2"/>
      <c r="X182" s="2">
        <f t="shared" si="36"/>
        <v>-1106.8799999999999</v>
      </c>
      <c r="Y182" s="2"/>
      <c r="Z182" s="19">
        <f t="shared" si="37"/>
        <v>-0.95832106803345385</v>
      </c>
    </row>
    <row r="183" spans="1:26" s="24" customFormat="1" hidden="1" outlineLevel="1" x14ac:dyDescent="0.25">
      <c r="A183" s="44"/>
      <c r="B183" s="11" t="str">
        <f>CONCATENATE("          ", "5526", " - ", "FREIGHT-IN-WRITING INSTRUMENTS")</f>
        <v xml:space="preserve">          5526 - FREIGHT-IN-WRITING INSTRUMENTS</v>
      </c>
      <c r="C183" s="11"/>
      <c r="D183" s="2"/>
      <c r="E183" s="2"/>
      <c r="F183" s="19">
        <f t="shared" si="30"/>
        <v>0</v>
      </c>
      <c r="G183" s="2"/>
      <c r="H183" s="2"/>
      <c r="I183" s="2"/>
      <c r="J183" s="19">
        <f t="shared" si="31"/>
        <v>0</v>
      </c>
      <c r="K183" s="2"/>
      <c r="L183" s="2">
        <f t="shared" si="32"/>
        <v>0</v>
      </c>
      <c r="M183" s="2"/>
      <c r="N183" s="19">
        <f t="shared" si="33"/>
        <v>0</v>
      </c>
      <c r="O183" s="11"/>
      <c r="P183" s="2"/>
      <c r="Q183" s="2"/>
      <c r="R183" s="19">
        <f t="shared" si="34"/>
        <v>0</v>
      </c>
      <c r="S183" s="2"/>
      <c r="T183" s="2">
        <v>260.35000000000002</v>
      </c>
      <c r="U183" s="2"/>
      <c r="V183" s="19">
        <f t="shared" si="35"/>
        <v>1.0332002049478707E-5</v>
      </c>
      <c r="W183" s="2"/>
      <c r="X183" s="2">
        <f t="shared" si="36"/>
        <v>-260.35000000000002</v>
      </c>
      <c r="Y183" s="2"/>
      <c r="Z183" s="19">
        <f t="shared" si="37"/>
        <v>-1</v>
      </c>
    </row>
    <row r="184" spans="1:26" s="24" customFormat="1" hidden="1" outlineLevel="1" x14ac:dyDescent="0.25">
      <c r="A184" s="44"/>
      <c r="B184" s="11" t="str">
        <f>CONCATENATE("          ", "5527", " - ", "FREIGHT-IN-SCHOOL SUPPLIES")</f>
        <v xml:space="preserve">          5527 - FREIGHT-IN-SCHOOL SUPPLIES</v>
      </c>
      <c r="C184" s="11"/>
      <c r="D184" s="2"/>
      <c r="E184" s="2"/>
      <c r="F184" s="19">
        <f t="shared" si="30"/>
        <v>0</v>
      </c>
      <c r="G184" s="2"/>
      <c r="H184" s="2">
        <v>431.76</v>
      </c>
      <c r="I184" s="2"/>
      <c r="J184" s="19">
        <f t="shared" si="31"/>
        <v>1.2454461536089086E-4</v>
      </c>
      <c r="K184" s="2"/>
      <c r="L184" s="2">
        <f t="shared" si="32"/>
        <v>-431.76</v>
      </c>
      <c r="M184" s="2"/>
      <c r="N184" s="19">
        <f t="shared" si="33"/>
        <v>-1</v>
      </c>
      <c r="O184" s="11"/>
      <c r="P184" s="2">
        <v>177.5</v>
      </c>
      <c r="Q184" s="2"/>
      <c r="R184" s="19">
        <f t="shared" si="34"/>
        <v>2.4820363527881666E-5</v>
      </c>
      <c r="S184" s="2"/>
      <c r="T184" s="2">
        <v>1651.6</v>
      </c>
      <c r="U184" s="2"/>
      <c r="V184" s="19">
        <f t="shared" si="35"/>
        <v>6.554382402503948E-5</v>
      </c>
      <c r="W184" s="2"/>
      <c r="X184" s="2">
        <f t="shared" si="36"/>
        <v>-1474.1</v>
      </c>
      <c r="Y184" s="2"/>
      <c r="Z184" s="19">
        <f t="shared" si="37"/>
        <v>-0.89252845725357233</v>
      </c>
    </row>
    <row r="185" spans="1:26" s="24" customFormat="1" hidden="1" outlineLevel="1" x14ac:dyDescent="0.25">
      <c r="A185" s="44"/>
      <c r="B185" s="11" t="str">
        <f>CONCATENATE("          ", "5528", " - ", "FREIGHT-IN-ART/TECH")</f>
        <v xml:space="preserve">          5528 - FREIGHT-IN-ART/TECH</v>
      </c>
      <c r="C185" s="11"/>
      <c r="D185" s="2">
        <v>12.76</v>
      </c>
      <c r="E185" s="2"/>
      <c r="F185" s="19">
        <f t="shared" si="30"/>
        <v>2.3364386299512057E-5</v>
      </c>
      <c r="G185" s="2"/>
      <c r="H185" s="2">
        <v>164.79</v>
      </c>
      <c r="I185" s="2"/>
      <c r="J185" s="19">
        <f t="shared" si="31"/>
        <v>4.7534989728833614E-5</v>
      </c>
      <c r="K185" s="2"/>
      <c r="L185" s="2">
        <f t="shared" si="32"/>
        <v>-152.03</v>
      </c>
      <c r="M185" s="2"/>
      <c r="N185" s="19">
        <f t="shared" si="33"/>
        <v>-0.92256811699739072</v>
      </c>
      <c r="O185" s="11"/>
      <c r="P185" s="2">
        <v>351.5</v>
      </c>
      <c r="Q185" s="2"/>
      <c r="R185" s="19">
        <f t="shared" si="34"/>
        <v>4.9151311436903695E-5</v>
      </c>
      <c r="S185" s="2"/>
      <c r="T185" s="2">
        <v>1496.25</v>
      </c>
      <c r="U185" s="2"/>
      <c r="V185" s="19">
        <f t="shared" si="35"/>
        <v>5.9378751935980467E-5</v>
      </c>
      <c r="W185" s="2"/>
      <c r="X185" s="2">
        <f t="shared" si="36"/>
        <v>-1144.75</v>
      </c>
      <c r="Y185" s="2"/>
      <c r="Z185" s="19">
        <f t="shared" si="37"/>
        <v>-0.76507936507936503</v>
      </c>
    </row>
    <row r="186" spans="1:26" s="24" customFormat="1" hidden="1" outlineLevel="1" x14ac:dyDescent="0.25">
      <c r="A186" s="44"/>
      <c r="B186" s="11" t="str">
        <f>CONCATENATE("          ", "5540", " - ", "FREIGHT-IN-LOGO CLOTHING")</f>
        <v xml:space="preserve">          5540 - FREIGHT-IN-LOGO CLOTHING</v>
      </c>
      <c r="C186" s="11"/>
      <c r="D186" s="2">
        <v>150.6</v>
      </c>
      <c r="E186" s="2"/>
      <c r="F186" s="19">
        <f t="shared" si="30"/>
        <v>2.7575835240646672E-4</v>
      </c>
      <c r="G186" s="2"/>
      <c r="H186" s="2">
        <v>2803.41</v>
      </c>
      <c r="I186" s="2"/>
      <c r="J186" s="19">
        <f t="shared" si="31"/>
        <v>8.0866597218101491E-4</v>
      </c>
      <c r="K186" s="2"/>
      <c r="L186" s="2">
        <f t="shared" si="32"/>
        <v>-2652.81</v>
      </c>
      <c r="M186" s="2"/>
      <c r="N186" s="19">
        <f t="shared" si="33"/>
        <v>-0.94627970935396533</v>
      </c>
      <c r="O186" s="11"/>
      <c r="P186" s="2">
        <v>5941.23</v>
      </c>
      <c r="Q186" s="2"/>
      <c r="R186" s="19">
        <f t="shared" si="34"/>
        <v>8.3078021635355707E-4</v>
      </c>
      <c r="S186" s="2"/>
      <c r="T186" s="2">
        <v>28481.3</v>
      </c>
      <c r="U186" s="2"/>
      <c r="V186" s="19">
        <f t="shared" si="35"/>
        <v>1.1302817360162008E-3</v>
      </c>
      <c r="W186" s="2"/>
      <c r="X186" s="2">
        <f t="shared" si="36"/>
        <v>-22540.07</v>
      </c>
      <c r="Y186" s="2"/>
      <c r="Z186" s="19">
        <f t="shared" si="37"/>
        <v>-0.79139891788647287</v>
      </c>
    </row>
    <row r="187" spans="1:26" s="24" customFormat="1" hidden="1" outlineLevel="1" x14ac:dyDescent="0.25">
      <c r="A187" s="44"/>
      <c r="B187" s="11" t="str">
        <f>CONCATENATE("          ", "5541", " - ", "FREIGHT-IN-LOGO GIFTS")</f>
        <v xml:space="preserve">          5541 - FREIGHT-IN-LOGO GIFTS</v>
      </c>
      <c r="C187" s="11"/>
      <c r="D187" s="2">
        <v>375.06</v>
      </c>
      <c r="E187" s="2"/>
      <c r="F187" s="19">
        <f t="shared" si="30"/>
        <v>6.8675914776606523E-4</v>
      </c>
      <c r="G187" s="2"/>
      <c r="H187" s="2">
        <v>486.35</v>
      </c>
      <c r="I187" s="2"/>
      <c r="J187" s="19">
        <f t="shared" si="31"/>
        <v>1.4029153622560975E-4</v>
      </c>
      <c r="K187" s="2"/>
      <c r="L187" s="2">
        <f t="shared" si="32"/>
        <v>-111.29000000000002</v>
      </c>
      <c r="M187" s="2"/>
      <c r="N187" s="19">
        <f t="shared" si="33"/>
        <v>-0.22882697645728389</v>
      </c>
      <c r="O187" s="11"/>
      <c r="P187" s="2">
        <v>2077.9299999999998</v>
      </c>
      <c r="Q187" s="2"/>
      <c r="R187" s="19">
        <f t="shared" si="34"/>
        <v>2.9056325625628814E-4</v>
      </c>
      <c r="S187" s="2"/>
      <c r="T187" s="2">
        <v>4073.92</v>
      </c>
      <c r="U187" s="2"/>
      <c r="V187" s="19">
        <f t="shared" si="35"/>
        <v>1.6167370766050429E-4</v>
      </c>
      <c r="W187" s="2"/>
      <c r="X187" s="2">
        <f t="shared" si="36"/>
        <v>-1995.9900000000002</v>
      </c>
      <c r="Y187" s="2"/>
      <c r="Z187" s="19">
        <f t="shared" si="37"/>
        <v>-0.48994334694839375</v>
      </c>
    </row>
    <row r="188" spans="1:26" s="24" customFormat="1" hidden="1" outlineLevel="1" x14ac:dyDescent="0.25">
      <c r="A188" s="44"/>
      <c r="B188" s="11" t="str">
        <f>CONCATENATE("          ", "5542", " - ", "FREIGHT-IN-EVERYDAY GIFTS")</f>
        <v xml:space="preserve">          5542 - FREIGHT-IN-EVERYDAY GIFTS</v>
      </c>
      <c r="C188" s="11"/>
      <c r="D188" s="2"/>
      <c r="E188" s="2"/>
      <c r="F188" s="19">
        <f t="shared" si="30"/>
        <v>0</v>
      </c>
      <c r="G188" s="2"/>
      <c r="H188" s="2">
        <v>43.37</v>
      </c>
      <c r="I188" s="2"/>
      <c r="J188" s="19">
        <f t="shared" si="31"/>
        <v>1.2510422383272735E-5</v>
      </c>
      <c r="K188" s="2"/>
      <c r="L188" s="2">
        <f t="shared" si="32"/>
        <v>-43.37</v>
      </c>
      <c r="M188" s="2"/>
      <c r="N188" s="19">
        <f t="shared" si="33"/>
        <v>-1</v>
      </c>
      <c r="O188" s="11"/>
      <c r="P188" s="2">
        <v>383.93</v>
      </c>
      <c r="Q188" s="2"/>
      <c r="R188" s="19">
        <f t="shared" si="34"/>
        <v>5.3686096728223149E-5</v>
      </c>
      <c r="S188" s="2"/>
      <c r="T188" s="2">
        <v>1751.7</v>
      </c>
      <c r="U188" s="2"/>
      <c r="V188" s="19">
        <f t="shared" si="35"/>
        <v>6.9516297253972918E-5</v>
      </c>
      <c r="W188" s="2"/>
      <c r="X188" s="2">
        <f t="shared" si="36"/>
        <v>-1367.77</v>
      </c>
      <c r="Y188" s="2"/>
      <c r="Z188" s="19">
        <f t="shared" si="37"/>
        <v>-0.78082434206770568</v>
      </c>
    </row>
    <row r="189" spans="1:26" s="24" customFormat="1" hidden="1" outlineLevel="1" x14ac:dyDescent="0.25">
      <c r="A189" s="44"/>
      <c r="B189" s="11" t="str">
        <f>CONCATENATE("          ", "5543", " - ", "FREIGHT-IN-CARDS")</f>
        <v xml:space="preserve">          5543 - FREIGHT-IN-CARDS</v>
      </c>
      <c r="C189" s="11"/>
      <c r="D189" s="2"/>
      <c r="E189" s="2"/>
      <c r="F189" s="19">
        <f t="shared" si="30"/>
        <v>0</v>
      </c>
      <c r="G189" s="2"/>
      <c r="H189" s="2">
        <v>2779.77</v>
      </c>
      <c r="I189" s="2"/>
      <c r="J189" s="19">
        <f t="shared" si="31"/>
        <v>8.0184682564791445E-4</v>
      </c>
      <c r="K189" s="2"/>
      <c r="L189" s="2">
        <f t="shared" si="32"/>
        <v>-2779.77</v>
      </c>
      <c r="M189" s="2"/>
      <c r="N189" s="19">
        <f t="shared" si="33"/>
        <v>-1</v>
      </c>
      <c r="O189" s="11"/>
      <c r="P189" s="2">
        <v>9110.5300000000007</v>
      </c>
      <c r="Q189" s="2"/>
      <c r="R189" s="19">
        <f t="shared" si="34"/>
        <v>1.2739530508826579E-3</v>
      </c>
      <c r="S189" s="2"/>
      <c r="T189" s="2">
        <v>2901.12</v>
      </c>
      <c r="U189" s="2"/>
      <c r="V189" s="19">
        <f t="shared" si="35"/>
        <v>1.1513108425497854E-4</v>
      </c>
      <c r="W189" s="2"/>
      <c r="X189" s="2">
        <f t="shared" si="36"/>
        <v>6209.4100000000008</v>
      </c>
      <c r="Y189" s="2"/>
      <c r="Z189" s="19">
        <f t="shared" si="37"/>
        <v>2.1403492444297378</v>
      </c>
    </row>
    <row r="190" spans="1:26" s="24" customFormat="1" hidden="1" outlineLevel="1" x14ac:dyDescent="0.25">
      <c r="A190" s="44"/>
      <c r="B190" s="11" t="str">
        <f>CONCATENATE("          ", "5544", " - ", "FREIGHT-IN-ACCESSORIES")</f>
        <v xml:space="preserve">          5544 - FREIGHT-IN-ACCESSORIES</v>
      </c>
      <c r="C190" s="11"/>
      <c r="D190" s="2"/>
      <c r="E190" s="2"/>
      <c r="F190" s="19">
        <f t="shared" si="30"/>
        <v>0</v>
      </c>
      <c r="G190" s="2"/>
      <c r="H190" s="2">
        <v>41.13</v>
      </c>
      <c r="I190" s="2"/>
      <c r="J190" s="19">
        <f t="shared" si="31"/>
        <v>1.1864276518884198E-5</v>
      </c>
      <c r="K190" s="2"/>
      <c r="L190" s="2">
        <f t="shared" si="32"/>
        <v>-41.13</v>
      </c>
      <c r="M190" s="2"/>
      <c r="N190" s="19">
        <f t="shared" si="33"/>
        <v>-1</v>
      </c>
      <c r="O190" s="11"/>
      <c r="P190" s="2"/>
      <c r="Q190" s="2"/>
      <c r="R190" s="19">
        <f t="shared" si="34"/>
        <v>0</v>
      </c>
      <c r="S190" s="2"/>
      <c r="T190" s="2">
        <v>483.44</v>
      </c>
      <c r="U190" s="2"/>
      <c r="V190" s="19">
        <f t="shared" si="35"/>
        <v>1.9185339238717057E-5</v>
      </c>
      <c r="W190" s="2"/>
      <c r="X190" s="2">
        <f t="shared" si="36"/>
        <v>-483.44</v>
      </c>
      <c r="Y190" s="2"/>
      <c r="Z190" s="19">
        <f t="shared" si="37"/>
        <v>-1</v>
      </c>
    </row>
    <row r="191" spans="1:26" s="24" customFormat="1" hidden="1" outlineLevel="1" x14ac:dyDescent="0.25">
      <c r="A191" s="44"/>
      <c r="B191" s="11" t="str">
        <f>CONCATENATE("          ", "5545", " - ", "FREIGHT-IN-SPECIAL ORDERS")</f>
        <v xml:space="preserve">          5545 - FREIGHT-IN-SPECIAL ORDERS</v>
      </c>
      <c r="C191" s="11"/>
      <c r="D191" s="2">
        <v>134.74</v>
      </c>
      <c r="E191" s="2"/>
      <c r="F191" s="19">
        <f t="shared" si="30"/>
        <v>2.4671766536020804E-4</v>
      </c>
      <c r="G191" s="2"/>
      <c r="H191" s="2">
        <v>4.49</v>
      </c>
      <c r="I191" s="2"/>
      <c r="J191" s="19">
        <f t="shared" si="31"/>
        <v>1.2951763085288121E-6</v>
      </c>
      <c r="K191" s="2"/>
      <c r="L191" s="2">
        <f t="shared" si="32"/>
        <v>130.25</v>
      </c>
      <c r="M191" s="2"/>
      <c r="N191" s="19">
        <f t="shared" si="33"/>
        <v>29.008908685968819</v>
      </c>
      <c r="O191" s="11"/>
      <c r="P191" s="2">
        <v>1248.53</v>
      </c>
      <c r="Q191" s="2"/>
      <c r="R191" s="19">
        <f t="shared" si="34"/>
        <v>1.7458573788994985E-4</v>
      </c>
      <c r="S191" s="2"/>
      <c r="T191" s="2">
        <v>846.39</v>
      </c>
      <c r="U191" s="2"/>
      <c r="V191" s="19">
        <f t="shared" si="35"/>
        <v>3.3589027135234421E-5</v>
      </c>
      <c r="W191" s="2"/>
      <c r="X191" s="2">
        <f t="shared" si="36"/>
        <v>402.14</v>
      </c>
      <c r="Y191" s="2"/>
      <c r="Z191" s="19">
        <f t="shared" si="37"/>
        <v>0.47512376091399944</v>
      </c>
    </row>
    <row r="192" spans="1:26" s="24" customFormat="1" hidden="1" outlineLevel="1" x14ac:dyDescent="0.25">
      <c r="A192" s="44"/>
      <c r="B192" s="11" t="str">
        <f>CONCATENATE("          ", "5581", " - ", "FREIGHT-IN-ELECTRONICS")</f>
        <v xml:space="preserve">          5581 - FREIGHT-IN-ELECTRONICS</v>
      </c>
      <c r="C192" s="11"/>
      <c r="D192" s="2"/>
      <c r="E192" s="2"/>
      <c r="F192" s="19">
        <f t="shared" si="30"/>
        <v>0</v>
      </c>
      <c r="G192" s="2"/>
      <c r="H192" s="2"/>
      <c r="I192" s="2"/>
      <c r="J192" s="19">
        <f t="shared" si="31"/>
        <v>0</v>
      </c>
      <c r="K192" s="2"/>
      <c r="L192" s="2">
        <f t="shared" si="32"/>
        <v>0</v>
      </c>
      <c r="M192" s="2"/>
      <c r="N192" s="19">
        <f t="shared" si="33"/>
        <v>0</v>
      </c>
      <c r="O192" s="11"/>
      <c r="P192" s="2">
        <v>31</v>
      </c>
      <c r="Q192" s="2"/>
      <c r="R192" s="19">
        <f t="shared" si="34"/>
        <v>4.3348240527567985E-6</v>
      </c>
      <c r="S192" s="2"/>
      <c r="T192" s="2">
        <v>105.75</v>
      </c>
      <c r="U192" s="2"/>
      <c r="V192" s="19">
        <f t="shared" si="35"/>
        <v>4.1966937458512508E-6</v>
      </c>
      <c r="W192" s="2"/>
      <c r="X192" s="2">
        <f t="shared" si="36"/>
        <v>-74.75</v>
      </c>
      <c r="Y192" s="2"/>
      <c r="Z192" s="19">
        <f t="shared" si="37"/>
        <v>-0.70685579196217496</v>
      </c>
    </row>
    <row r="193" spans="1:26" s="24" customFormat="1" hidden="1" outlineLevel="1" x14ac:dyDescent="0.25">
      <c r="A193" s="44"/>
      <c r="B193" s="11" t="str">
        <f>CONCATENATE("          ", "5582", " - ", "FREIGHT-IN-COMPUTER HARDWARE")</f>
        <v xml:space="preserve">          5582 - FREIGHT-IN-COMPUTER HARDWARE</v>
      </c>
      <c r="C193" s="11"/>
      <c r="D193" s="2">
        <v>31</v>
      </c>
      <c r="E193" s="2"/>
      <c r="F193" s="19">
        <f t="shared" si="30"/>
        <v>5.6763007467466592E-5</v>
      </c>
      <c r="G193" s="2"/>
      <c r="H193" s="2"/>
      <c r="I193" s="2"/>
      <c r="J193" s="19">
        <f t="shared" si="31"/>
        <v>0</v>
      </c>
      <c r="K193" s="2"/>
      <c r="L193" s="2">
        <f t="shared" si="32"/>
        <v>31</v>
      </c>
      <c r="M193" s="2"/>
      <c r="N193" s="19">
        <f t="shared" si="33"/>
        <v>0</v>
      </c>
      <c r="O193" s="11"/>
      <c r="P193" s="2">
        <v>125</v>
      </c>
      <c r="Q193" s="2"/>
      <c r="R193" s="19">
        <f t="shared" si="34"/>
        <v>1.7479129244987088E-5</v>
      </c>
      <c r="S193" s="2"/>
      <c r="T193" s="2">
        <v>4.84</v>
      </c>
      <c r="U193" s="2"/>
      <c r="V193" s="19">
        <f t="shared" si="35"/>
        <v>1.9207562865172627E-7</v>
      </c>
      <c r="W193" s="2"/>
      <c r="X193" s="2">
        <f t="shared" si="36"/>
        <v>120.16</v>
      </c>
      <c r="Y193" s="2"/>
      <c r="Z193" s="19">
        <f t="shared" si="37"/>
        <v>24.826446280991735</v>
      </c>
    </row>
    <row r="194" spans="1:26" s="24" customFormat="1" hidden="1" outlineLevel="1" x14ac:dyDescent="0.25">
      <c r="A194" s="44"/>
      <c r="B194" s="11" t="str">
        <f>CONCATENATE("          ", "5583", " - ", "FREIGHT-IN-COMPUTER EQUIPMENT")</f>
        <v xml:space="preserve">          5583 - FREIGHT-IN-COMPUTER EQUIPMENT</v>
      </c>
      <c r="C194" s="11"/>
      <c r="D194" s="2"/>
      <c r="E194" s="2"/>
      <c r="F194" s="19">
        <f t="shared" si="30"/>
        <v>0</v>
      </c>
      <c r="G194" s="2"/>
      <c r="H194" s="2">
        <v>8.3800000000000008</v>
      </c>
      <c r="I194" s="2"/>
      <c r="J194" s="19">
        <f t="shared" si="31"/>
        <v>2.4172778319535514E-6</v>
      </c>
      <c r="K194" s="2"/>
      <c r="L194" s="2">
        <f t="shared" si="32"/>
        <v>-8.3800000000000008</v>
      </c>
      <c r="M194" s="2"/>
      <c r="N194" s="19">
        <f t="shared" si="33"/>
        <v>-1</v>
      </c>
      <c r="O194" s="11"/>
      <c r="P194" s="2">
        <v>242.46</v>
      </c>
      <c r="Q194" s="2"/>
      <c r="R194" s="19">
        <f t="shared" si="34"/>
        <v>3.390391741391656E-5</v>
      </c>
      <c r="S194" s="2"/>
      <c r="T194" s="2">
        <v>57.5</v>
      </c>
      <c r="U194" s="2"/>
      <c r="V194" s="19">
        <f t="shared" si="35"/>
        <v>2.2818902164203018E-6</v>
      </c>
      <c r="W194" s="2"/>
      <c r="X194" s="2">
        <f t="shared" si="36"/>
        <v>184.96</v>
      </c>
      <c r="Y194" s="2"/>
      <c r="Z194" s="19">
        <f t="shared" si="37"/>
        <v>3.2166956521739132</v>
      </c>
    </row>
    <row r="195" spans="1:26" s="24" customFormat="1" hidden="1" outlineLevel="1" x14ac:dyDescent="0.25">
      <c r="A195" s="44"/>
      <c r="B195" s="11" t="str">
        <f>CONCATENATE("          ", "5586", " - ", "FREIGHT-IN-COMPUTER SUPPLIES")</f>
        <v xml:space="preserve">          5586 - FREIGHT-IN-COMPUTER SUPPLIES</v>
      </c>
      <c r="C195" s="11"/>
      <c r="D195" s="2"/>
      <c r="E195" s="2"/>
      <c r="F195" s="19">
        <f t="shared" si="30"/>
        <v>0</v>
      </c>
      <c r="G195" s="2"/>
      <c r="H195" s="2">
        <v>74.489999999999995</v>
      </c>
      <c r="I195" s="2"/>
      <c r="J195" s="19">
        <f t="shared" si="31"/>
        <v>2.1487234570670647E-5</v>
      </c>
      <c r="K195" s="2"/>
      <c r="L195" s="2">
        <f t="shared" si="32"/>
        <v>-74.489999999999995</v>
      </c>
      <c r="M195" s="2"/>
      <c r="N195" s="19">
        <f t="shared" si="33"/>
        <v>-1</v>
      </c>
      <c r="O195" s="11"/>
      <c r="P195" s="2">
        <v>24.12</v>
      </c>
      <c r="Q195" s="2"/>
      <c r="R195" s="19">
        <f t="shared" si="34"/>
        <v>3.3727727791127089E-6</v>
      </c>
      <c r="S195" s="2"/>
      <c r="T195" s="2">
        <v>270.31</v>
      </c>
      <c r="U195" s="2"/>
      <c r="V195" s="19">
        <f t="shared" si="35"/>
        <v>1.0727265120009944E-5</v>
      </c>
      <c r="W195" s="2"/>
      <c r="X195" s="2">
        <f t="shared" si="36"/>
        <v>-246.19</v>
      </c>
      <c r="Y195" s="2"/>
      <c r="Z195" s="19">
        <f t="shared" si="37"/>
        <v>-0.91076911693980989</v>
      </c>
    </row>
    <row r="196" spans="1:26" s="24" customFormat="1" hidden="1" outlineLevel="1" x14ac:dyDescent="0.25">
      <c r="A196" s="44"/>
      <c r="B196" s="11" t="str">
        <f>CONCATENATE("          ", "5592", " - ", "FREIGHT-IN-GRAD MERCH")</f>
        <v xml:space="preserve">          5592 - FREIGHT-IN-GRAD MERCH</v>
      </c>
      <c r="C196" s="11"/>
      <c r="D196" s="2"/>
      <c r="E196" s="2"/>
      <c r="F196" s="19">
        <f t="shared" si="30"/>
        <v>0</v>
      </c>
      <c r="G196" s="2"/>
      <c r="H196" s="2"/>
      <c r="I196" s="2"/>
      <c r="J196" s="19">
        <f t="shared" si="31"/>
        <v>0</v>
      </c>
      <c r="K196" s="2"/>
      <c r="L196" s="2">
        <f t="shared" si="32"/>
        <v>0</v>
      </c>
      <c r="M196" s="2"/>
      <c r="N196" s="19">
        <f t="shared" si="33"/>
        <v>0</v>
      </c>
      <c r="O196" s="11"/>
      <c r="P196" s="2"/>
      <c r="Q196" s="2"/>
      <c r="R196" s="19">
        <f t="shared" si="34"/>
        <v>0</v>
      </c>
      <c r="S196" s="2"/>
      <c r="T196" s="2">
        <v>105.78</v>
      </c>
      <c r="U196" s="2"/>
      <c r="V196" s="19">
        <f t="shared" si="35"/>
        <v>4.1978842972685139E-6</v>
      </c>
      <c r="W196" s="2"/>
      <c r="X196" s="2">
        <f t="shared" si="36"/>
        <v>-105.78</v>
      </c>
      <c r="Y196" s="2"/>
      <c r="Z196" s="19">
        <f t="shared" si="37"/>
        <v>-1</v>
      </c>
    </row>
    <row r="197" spans="1:26" x14ac:dyDescent="0.25">
      <c r="A197" s="9"/>
      <c r="B197" s="10"/>
      <c r="C197" s="10"/>
      <c r="D197" s="3"/>
      <c r="E197" s="3"/>
      <c r="F197" s="8"/>
      <c r="G197" s="3"/>
      <c r="H197" s="3"/>
      <c r="I197" s="3"/>
      <c r="J197" s="8"/>
      <c r="K197" s="3"/>
      <c r="L197" s="3"/>
      <c r="M197" s="3"/>
      <c r="N197" s="8"/>
      <c r="O197" s="10"/>
      <c r="P197" s="3"/>
      <c r="Q197" s="3"/>
      <c r="R197" s="8"/>
      <c r="S197" s="3"/>
      <c r="T197" s="3"/>
      <c r="U197" s="3"/>
      <c r="V197" s="8"/>
      <c r="W197" s="3"/>
      <c r="X197" s="3"/>
      <c r="Y197" s="3"/>
      <c r="Z197" s="8"/>
    </row>
    <row r="198" spans="1:26" s="23" customFormat="1" x14ac:dyDescent="0.25">
      <c r="A198" s="10"/>
      <c r="B198" s="29" t="s">
        <v>6</v>
      </c>
      <c r="C198" s="29"/>
      <c r="D198" s="22">
        <f>D12-D137</f>
        <v>190788.35000000009</v>
      </c>
      <c r="E198" s="14"/>
      <c r="F198" s="20">
        <f>IF(D$12=0,0,D198/D$12)</f>
        <v>0.34934582373405276</v>
      </c>
      <c r="G198" s="14"/>
      <c r="H198" s="22">
        <f>H12-H137</f>
        <v>2105235.3599999994</v>
      </c>
      <c r="I198" s="14"/>
      <c r="J198" s="20">
        <f>IF(H$12=0,0,H198/H$12)</f>
        <v>0.60727192920915907</v>
      </c>
      <c r="K198" s="16"/>
      <c r="L198" s="22">
        <f>+D198-H198</f>
        <v>-1914447.0099999993</v>
      </c>
      <c r="M198" s="16"/>
      <c r="N198" s="20">
        <f>IF(H198=0,0,L198/H198)</f>
        <v>-0.90937433712874738</v>
      </c>
      <c r="O198" s="28"/>
      <c r="P198" s="22">
        <f>P12-P137</f>
        <v>2651395.7100000028</v>
      </c>
      <c r="Q198" s="14"/>
      <c r="R198" s="20">
        <f>IF(P$12=0,0,P198/P$12)</f>
        <v>0.37075270635755486</v>
      </c>
      <c r="S198" s="14"/>
      <c r="T198" s="22">
        <f>T12-T137</f>
        <v>14181592.629999993</v>
      </c>
      <c r="U198" s="14"/>
      <c r="V198" s="20">
        <f>IF(T$12=0,0,T198/T$12)</f>
        <v>0.56279717348965641</v>
      </c>
      <c r="W198" s="16"/>
      <c r="X198" s="22">
        <f>+P198-T198</f>
        <v>-11530196.919999991</v>
      </c>
      <c r="Y198" s="16"/>
      <c r="Z198" s="20">
        <f>IF(T198=0,0,X198/T198)</f>
        <v>-0.81303963671956048</v>
      </c>
    </row>
    <row r="199" spans="1:26" x14ac:dyDescent="0.25">
      <c r="A199" s="9"/>
      <c r="B199" s="10"/>
      <c r="C199" s="9"/>
      <c r="D199" s="1"/>
      <c r="E199" s="1"/>
      <c r="F199" s="5"/>
      <c r="G199" s="1"/>
      <c r="H199" s="1"/>
      <c r="I199" s="1"/>
      <c r="J199" s="5"/>
      <c r="K199" s="1"/>
      <c r="L199" s="1"/>
      <c r="M199" s="1"/>
      <c r="N199" s="5"/>
      <c r="O199" s="37"/>
      <c r="P199" s="1"/>
      <c r="Q199" s="1"/>
      <c r="R199" s="5"/>
      <c r="S199" s="1"/>
      <c r="T199" s="1"/>
      <c r="U199" s="1"/>
      <c r="V199" s="5"/>
      <c r="W199" s="1"/>
      <c r="X199" s="1"/>
      <c r="Y199" s="1"/>
      <c r="Z199" s="5"/>
    </row>
    <row r="200" spans="1:26" s="23" customFormat="1" x14ac:dyDescent="0.25">
      <c r="A200" s="10"/>
      <c r="B200" s="28" t="s">
        <v>9</v>
      </c>
      <c r="C200" s="10"/>
      <c r="D200" s="21">
        <f>SUM(OSRRefD22x_0)</f>
        <v>615195.79000000015</v>
      </c>
      <c r="E200" s="21"/>
      <c r="F200" s="32">
        <f t="shared" ref="F200:F211" si="38">IF(D$12=0,0,D200/D$12)</f>
        <v>1.1264633297330329</v>
      </c>
      <c r="G200" s="21"/>
      <c r="H200" s="21">
        <f>SUM(OSRRefH22x_0)</f>
        <v>1796508.5400000003</v>
      </c>
      <c r="I200" s="21"/>
      <c r="J200" s="32">
        <f t="shared" ref="J200:J211" si="39">IF(H$12=0,0,H200/H$12)</f>
        <v>0.51821721583021962</v>
      </c>
      <c r="K200" s="4"/>
      <c r="L200" s="21">
        <f t="shared" ref="L200:L211" si="40">+D200-H200</f>
        <v>-1181312.75</v>
      </c>
      <c r="M200" s="4"/>
      <c r="N200" s="32">
        <f t="shared" ref="N200:N211" si="41">IF(H200=0,0,L200/H200)</f>
        <v>-0.65756033088492849</v>
      </c>
      <c r="O200" s="10"/>
      <c r="P200" s="21">
        <f>SUM(OSRRefP22x_0)</f>
        <v>5485281.3099999996</v>
      </c>
      <c r="Q200" s="21"/>
      <c r="R200" s="32">
        <f t="shared" ref="R200:R211" si="42">IF(P$12=0,0,P200/P$12)</f>
        <v>0.76702352770081672</v>
      </c>
      <c r="S200" s="21"/>
      <c r="T200" s="21">
        <f>SUM(OSRRefT22x_0)</f>
        <v>12302781.810000001</v>
      </c>
      <c r="U200" s="21"/>
      <c r="V200" s="32">
        <f t="shared" ref="V200:V211" si="43">IF(T$12=0,0,T200/T$12)</f>
        <v>0.48823647733900272</v>
      </c>
      <c r="W200" s="4"/>
      <c r="X200" s="21">
        <f t="shared" ref="X200:X211" si="44">+P200-T200</f>
        <v>-6817500.5000000009</v>
      </c>
      <c r="Y200" s="4"/>
      <c r="Z200" s="32">
        <f t="shared" ref="Z200:Z211" si="45">IF(T200=0,0,X200/T200)</f>
        <v>-0.55414300645879699</v>
      </c>
    </row>
    <row r="201" spans="1:26" s="25" customFormat="1" outlineLevel="1" collapsed="1" x14ac:dyDescent="0.25">
      <c r="A201" s="27"/>
      <c r="B201" s="13" t="str">
        <f>CONCATENATE("     ","*Benefits                                         ")</f>
        <v xml:space="preserve">     *Benefits                                         </v>
      </c>
      <c r="C201" s="13"/>
      <c r="D201" s="1">
        <f>SUM(OSRRefD22_0x_0)</f>
        <v>145357.65</v>
      </c>
      <c r="E201" s="1"/>
      <c r="F201" s="5">
        <f t="shared" si="38"/>
        <v>0.26615927007752888</v>
      </c>
      <c r="G201" s="1"/>
      <c r="H201" s="1">
        <f>SUM(OSRRefH22_0x_0)</f>
        <v>232733.82</v>
      </c>
      <c r="I201" s="1"/>
      <c r="J201" s="5">
        <f t="shared" si="39"/>
        <v>6.7133926471583311E-2</v>
      </c>
      <c r="K201" s="1"/>
      <c r="L201" s="1">
        <f t="shared" si="40"/>
        <v>-87376.170000000013</v>
      </c>
      <c r="M201" s="1"/>
      <c r="N201" s="5">
        <f t="shared" si="41"/>
        <v>-0.37543391845671598</v>
      </c>
      <c r="O201" s="13"/>
      <c r="P201" s="1">
        <f>SUM(OSRRefP22_0x_0)</f>
        <v>1240061.1199999999</v>
      </c>
      <c r="Q201" s="1"/>
      <c r="R201" s="5">
        <f t="shared" si="42"/>
        <v>0.17340150870530754</v>
      </c>
      <c r="S201" s="1"/>
      <c r="T201" s="1">
        <f>SUM(OSRRefT22_0x_0)</f>
        <v>1870587.77</v>
      </c>
      <c r="U201" s="1"/>
      <c r="V201" s="5">
        <f t="shared" si="43"/>
        <v>7.4234364022929919E-2</v>
      </c>
      <c r="W201" s="1"/>
      <c r="X201" s="1">
        <f t="shared" si="44"/>
        <v>-630526.65000000014</v>
      </c>
      <c r="Y201" s="1"/>
      <c r="Z201" s="5">
        <f t="shared" si="45"/>
        <v>-0.33707407912754617</v>
      </c>
    </row>
    <row r="202" spans="1:26" s="24" customFormat="1" hidden="1" outlineLevel="2" x14ac:dyDescent="0.25">
      <c r="A202" s="26"/>
      <c r="B202" s="11" t="str">
        <f>CONCATENATE("          ", "6111", " - ", "F.I.C.A.")</f>
        <v xml:space="preserve">          6111 - F.I.C.A.</v>
      </c>
      <c r="C202" s="11"/>
      <c r="D202" s="6">
        <v>18392.79</v>
      </c>
      <c r="E202" s="2"/>
      <c r="F202" s="7">
        <f t="shared" si="38"/>
        <v>3.3678389552178868E-2</v>
      </c>
      <c r="G202" s="2"/>
      <c r="H202" s="6">
        <v>37140.6</v>
      </c>
      <c r="I202" s="2"/>
      <c r="J202" s="7">
        <f t="shared" si="39"/>
        <v>1.0713502272727216E-2</v>
      </c>
      <c r="K202" s="2"/>
      <c r="L202" s="6">
        <f t="shared" si="40"/>
        <v>-18747.809999999998</v>
      </c>
      <c r="M202" s="2"/>
      <c r="N202" s="7">
        <f t="shared" si="41"/>
        <v>-0.5047794058254309</v>
      </c>
      <c r="O202" s="11"/>
      <c r="P202" s="6">
        <v>170766.83</v>
      </c>
      <c r="Q202" s="2"/>
      <c r="R202" s="7">
        <f t="shared" si="42"/>
        <v>2.3878843938613906E-2</v>
      </c>
      <c r="S202" s="2"/>
      <c r="T202" s="6">
        <v>320283.06</v>
      </c>
      <c r="U202" s="2"/>
      <c r="V202" s="7">
        <f t="shared" si="43"/>
        <v>1.2710448366941853E-2</v>
      </c>
      <c r="W202" s="2"/>
      <c r="X202" s="6">
        <f t="shared" si="44"/>
        <v>-149516.23000000001</v>
      </c>
      <c r="Y202" s="2"/>
      <c r="Z202" s="7">
        <f t="shared" si="45"/>
        <v>-0.46682528261095046</v>
      </c>
    </row>
    <row r="203" spans="1:26" s="24" customFormat="1" hidden="1" outlineLevel="2" x14ac:dyDescent="0.25">
      <c r="A203" s="26"/>
      <c r="B203" s="11" t="str">
        <f>CONCATENATE("          ", "6112", " - ", "COMPENSATION INSURANCE")</f>
        <v xml:space="preserve">          6112 - COMPENSATION INSURANCE</v>
      </c>
      <c r="C203" s="11"/>
      <c r="D203" s="6">
        <v>7333.96</v>
      </c>
      <c r="E203" s="2"/>
      <c r="F203" s="7">
        <f t="shared" si="38"/>
        <v>1.3428955685358106E-2</v>
      </c>
      <c r="G203" s="2"/>
      <c r="H203" s="6">
        <v>25905.52</v>
      </c>
      <c r="I203" s="2"/>
      <c r="J203" s="7">
        <f t="shared" si="39"/>
        <v>7.4726538450154371E-3</v>
      </c>
      <c r="K203" s="2"/>
      <c r="L203" s="6">
        <f t="shared" si="40"/>
        <v>-18571.560000000001</v>
      </c>
      <c r="M203" s="2"/>
      <c r="N203" s="7">
        <f t="shared" si="41"/>
        <v>-0.71689585848884718</v>
      </c>
      <c r="O203" s="11"/>
      <c r="P203" s="6">
        <v>66487.740000000005</v>
      </c>
      <c r="Q203" s="2"/>
      <c r="R203" s="7">
        <f t="shared" si="42"/>
        <v>9.2971824053367843E-3</v>
      </c>
      <c r="S203" s="2"/>
      <c r="T203" s="6">
        <v>149574.39999999999</v>
      </c>
      <c r="U203" s="2"/>
      <c r="V203" s="7">
        <f t="shared" si="43"/>
        <v>5.9358671302075965E-3</v>
      </c>
      <c r="W203" s="2"/>
      <c r="X203" s="6">
        <f t="shared" si="44"/>
        <v>-83086.659999999989</v>
      </c>
      <c r="Y203" s="2"/>
      <c r="Z203" s="7">
        <f t="shared" si="45"/>
        <v>-0.55548716892730299</v>
      </c>
    </row>
    <row r="204" spans="1:26" s="24" customFormat="1" hidden="1" outlineLevel="2" x14ac:dyDescent="0.25">
      <c r="A204" s="26"/>
      <c r="B204" s="11" t="str">
        <f>CONCATENATE("          ", "6113", " - ", "GROUP INSURANCE")</f>
        <v xml:space="preserve">          6113 - GROUP INSURANCE</v>
      </c>
      <c r="C204" s="11"/>
      <c r="D204" s="6">
        <v>74518.17</v>
      </c>
      <c r="E204" s="2"/>
      <c r="F204" s="7">
        <f t="shared" si="38"/>
        <v>0.13644759484425628</v>
      </c>
      <c r="G204" s="2"/>
      <c r="H204" s="6">
        <v>101154.84000000001</v>
      </c>
      <c r="I204" s="2"/>
      <c r="J204" s="7">
        <f t="shared" si="39"/>
        <v>2.9178920325394798E-2</v>
      </c>
      <c r="K204" s="2"/>
      <c r="L204" s="6">
        <f t="shared" si="40"/>
        <v>-26636.670000000013</v>
      </c>
      <c r="M204" s="2"/>
      <c r="N204" s="7">
        <f t="shared" si="41"/>
        <v>-0.26332570937782129</v>
      </c>
      <c r="O204" s="11"/>
      <c r="P204" s="6">
        <v>600975.82999999996</v>
      </c>
      <c r="Q204" s="2"/>
      <c r="R204" s="7">
        <f t="shared" si="42"/>
        <v>8.4036273645467105E-2</v>
      </c>
      <c r="S204" s="2"/>
      <c r="T204" s="6">
        <v>771541.30999999994</v>
      </c>
      <c r="U204" s="2"/>
      <c r="V204" s="7">
        <f t="shared" si="43"/>
        <v>3.0618653336575707E-2</v>
      </c>
      <c r="W204" s="2"/>
      <c r="X204" s="6">
        <f t="shared" si="44"/>
        <v>-170565.47999999998</v>
      </c>
      <c r="Y204" s="2"/>
      <c r="Z204" s="7">
        <f t="shared" si="45"/>
        <v>-0.2210710920974536</v>
      </c>
    </row>
    <row r="205" spans="1:26" s="24" customFormat="1" hidden="1" outlineLevel="2" x14ac:dyDescent="0.25">
      <c r="A205" s="26"/>
      <c r="B205" s="11" t="str">
        <f>CONCATENATE("          ", "6114", " - ", "STATE UNEMPLOYMENT INSURANCE")</f>
        <v xml:space="preserve">          6114 - STATE UNEMPLOYMENT INSURANCE</v>
      </c>
      <c r="C205" s="11"/>
      <c r="D205" s="6">
        <v>739.84</v>
      </c>
      <c r="E205" s="2"/>
      <c r="F205" s="7">
        <f t="shared" si="38"/>
        <v>1.3546949498300157E-3</v>
      </c>
      <c r="G205" s="2"/>
      <c r="H205" s="6">
        <v>2207.11</v>
      </c>
      <c r="I205" s="2"/>
      <c r="J205" s="7">
        <f t="shared" si="39"/>
        <v>6.3665848158508389E-4</v>
      </c>
      <c r="K205" s="2"/>
      <c r="L205" s="6">
        <f t="shared" si="40"/>
        <v>-1467.27</v>
      </c>
      <c r="M205" s="2"/>
      <c r="N205" s="7">
        <f t="shared" si="41"/>
        <v>-0.66479242085804513</v>
      </c>
      <c r="O205" s="11"/>
      <c r="P205" s="6">
        <v>6806.59</v>
      </c>
      <c r="Q205" s="2"/>
      <c r="R205" s="7">
        <f t="shared" si="42"/>
        <v>9.5178613062109341E-4</v>
      </c>
      <c r="S205" s="2"/>
      <c r="T205" s="6">
        <v>16009.78</v>
      </c>
      <c r="U205" s="2"/>
      <c r="V205" s="7">
        <f t="shared" si="43"/>
        <v>6.3534887563550301E-4</v>
      </c>
      <c r="W205" s="2"/>
      <c r="X205" s="6">
        <f t="shared" si="44"/>
        <v>-9203.19</v>
      </c>
      <c r="Y205" s="2"/>
      <c r="Z205" s="7">
        <f t="shared" si="45"/>
        <v>-0.5748479991605131</v>
      </c>
    </row>
    <row r="206" spans="1:26" s="24" customFormat="1" hidden="1" outlineLevel="2" x14ac:dyDescent="0.25">
      <c r="A206" s="26"/>
      <c r="B206" s="11" t="str">
        <f>CONCATENATE("          ", "6115", " - ", "P.E.R.S.")</f>
        <v xml:space="preserve">          6115 - P.E.R.S.</v>
      </c>
      <c r="C206" s="11"/>
      <c r="D206" s="6">
        <v>13405.85</v>
      </c>
      <c r="E206" s="2"/>
      <c r="F206" s="7">
        <f t="shared" si="38"/>
        <v>2.454697947283023E-2</v>
      </c>
      <c r="G206" s="2"/>
      <c r="H206" s="6">
        <v>18979.060000000001</v>
      </c>
      <c r="I206" s="2"/>
      <c r="J206" s="7">
        <f t="shared" si="39"/>
        <v>5.4746612182955097E-3</v>
      </c>
      <c r="K206" s="2"/>
      <c r="L206" s="6">
        <f t="shared" si="40"/>
        <v>-5573.2100000000009</v>
      </c>
      <c r="M206" s="2"/>
      <c r="N206" s="7">
        <f t="shared" si="41"/>
        <v>-0.29365047584021553</v>
      </c>
      <c r="O206" s="11"/>
      <c r="P206" s="6">
        <v>128827.09000000001</v>
      </c>
      <c r="Q206" s="2"/>
      <c r="R206" s="7">
        <f t="shared" si="42"/>
        <v>1.8014282850924671E-2</v>
      </c>
      <c r="S206" s="2"/>
      <c r="T206" s="6">
        <v>172993.09</v>
      </c>
      <c r="U206" s="2"/>
      <c r="V206" s="7">
        <f t="shared" si="43"/>
        <v>6.8652389492055085E-3</v>
      </c>
      <c r="W206" s="2"/>
      <c r="X206" s="6">
        <f t="shared" si="44"/>
        <v>-44165.999999999985</v>
      </c>
      <c r="Y206" s="2"/>
      <c r="Z206" s="7">
        <f t="shared" si="45"/>
        <v>-0.25530499513015226</v>
      </c>
    </row>
    <row r="207" spans="1:26" s="24" customFormat="1" hidden="1" outlineLevel="2" x14ac:dyDescent="0.25">
      <c r="A207" s="26"/>
      <c r="B207" s="11" t="str">
        <f>CONCATENATE("          ", "6116", " - ", "EDUCATIONAL BENEFITS")</f>
        <v xml:space="preserve">          6116 - EDUCATIONAL BENEFITS</v>
      </c>
      <c r="C207" s="11"/>
      <c r="D207" s="6"/>
      <c r="E207" s="2"/>
      <c r="F207" s="7">
        <f t="shared" si="38"/>
        <v>0</v>
      </c>
      <c r="G207" s="2"/>
      <c r="H207" s="6"/>
      <c r="I207" s="2"/>
      <c r="J207" s="7">
        <f t="shared" si="39"/>
        <v>0</v>
      </c>
      <c r="K207" s="2"/>
      <c r="L207" s="6">
        <f t="shared" si="40"/>
        <v>0</v>
      </c>
      <c r="M207" s="2"/>
      <c r="N207" s="7">
        <f t="shared" si="41"/>
        <v>0</v>
      </c>
      <c r="O207" s="11"/>
      <c r="P207" s="6">
        <v>0</v>
      </c>
      <c r="Q207" s="2"/>
      <c r="R207" s="7">
        <f t="shared" si="42"/>
        <v>0</v>
      </c>
      <c r="S207" s="2"/>
      <c r="T207" s="6"/>
      <c r="U207" s="2"/>
      <c r="V207" s="7">
        <f t="shared" si="43"/>
        <v>0</v>
      </c>
      <c r="W207" s="2"/>
      <c r="X207" s="6">
        <f t="shared" si="44"/>
        <v>0</v>
      </c>
      <c r="Y207" s="2"/>
      <c r="Z207" s="7">
        <f t="shared" si="45"/>
        <v>0</v>
      </c>
    </row>
    <row r="208" spans="1:26" s="24" customFormat="1" hidden="1" outlineLevel="2" x14ac:dyDescent="0.25">
      <c r="A208" s="26"/>
      <c r="B208" s="11" t="str">
        <f>CONCATENATE("          ", "6117", " - ", "RETIREMENT STAFF HOURLY")</f>
        <v xml:space="preserve">          6117 - RETIREMENT STAFF HOURLY</v>
      </c>
      <c r="C208" s="11"/>
      <c r="D208" s="6">
        <v>2202.4699999999998</v>
      </c>
      <c r="E208" s="2"/>
      <c r="F208" s="7">
        <f t="shared" si="38"/>
        <v>4.0328651953829399E-3</v>
      </c>
      <c r="G208" s="2"/>
      <c r="H208" s="6">
        <v>1246.9100000000001</v>
      </c>
      <c r="I208" s="2"/>
      <c r="J208" s="7">
        <f t="shared" si="39"/>
        <v>3.5968113382353259E-4</v>
      </c>
      <c r="K208" s="2"/>
      <c r="L208" s="6">
        <f t="shared" si="40"/>
        <v>955.55999999999972</v>
      </c>
      <c r="M208" s="2"/>
      <c r="N208" s="7">
        <f t="shared" si="41"/>
        <v>0.76634239840886642</v>
      </c>
      <c r="O208" s="11"/>
      <c r="P208" s="6">
        <v>16807.72</v>
      </c>
      <c r="Q208" s="2"/>
      <c r="R208" s="7">
        <f t="shared" si="42"/>
        <v>2.3502744815484355E-3</v>
      </c>
      <c r="S208" s="2"/>
      <c r="T208" s="6">
        <v>16684.79</v>
      </c>
      <c r="U208" s="2"/>
      <c r="V208" s="7">
        <f t="shared" si="43"/>
        <v>6.6213667937438771E-4</v>
      </c>
      <c r="W208" s="2"/>
      <c r="X208" s="6">
        <f t="shared" si="44"/>
        <v>122.93000000000029</v>
      </c>
      <c r="Y208" s="2"/>
      <c r="Z208" s="7">
        <f t="shared" si="45"/>
        <v>7.3677882670384392E-3</v>
      </c>
    </row>
    <row r="209" spans="1:26" s="24" customFormat="1" hidden="1" outlineLevel="2" x14ac:dyDescent="0.25">
      <c r="A209" s="26"/>
      <c r="B209" s="11" t="str">
        <f>CONCATENATE("          ", "6118", " - ", "VACATION")</f>
        <v xml:space="preserve">          6118 - VACATION</v>
      </c>
      <c r="C209" s="11"/>
      <c r="D209" s="6">
        <v>14515.96</v>
      </c>
      <c r="E209" s="2"/>
      <c r="F209" s="7">
        <f t="shared" si="38"/>
        <v>2.6579662770240205E-2</v>
      </c>
      <c r="G209" s="2"/>
      <c r="H209" s="6">
        <v>19701.150000000001</v>
      </c>
      <c r="I209" s="2"/>
      <c r="J209" s="7">
        <f t="shared" si="39"/>
        <v>5.68295383758851E-3</v>
      </c>
      <c r="K209" s="2"/>
      <c r="L209" s="6">
        <f t="shared" si="40"/>
        <v>-5185.1900000000023</v>
      </c>
      <c r="M209" s="2"/>
      <c r="N209" s="7">
        <f t="shared" si="41"/>
        <v>-0.26319225019859255</v>
      </c>
      <c r="O209" s="11"/>
      <c r="P209" s="6">
        <v>126946.87</v>
      </c>
      <c r="Q209" s="2"/>
      <c r="R209" s="7">
        <f t="shared" si="42"/>
        <v>1.7751365983812592E-2</v>
      </c>
      <c r="S209" s="2"/>
      <c r="T209" s="6">
        <v>186240.15</v>
      </c>
      <c r="U209" s="2"/>
      <c r="V209" s="7">
        <f t="shared" si="43"/>
        <v>7.3909491511243387E-3</v>
      </c>
      <c r="W209" s="2"/>
      <c r="X209" s="6">
        <f t="shared" si="44"/>
        <v>-59293.279999999999</v>
      </c>
      <c r="Y209" s="2"/>
      <c r="Z209" s="7">
        <f t="shared" si="45"/>
        <v>-0.31837001849493785</v>
      </c>
    </row>
    <row r="210" spans="1:26" s="24" customFormat="1" hidden="1" outlineLevel="2" x14ac:dyDescent="0.25">
      <c r="A210" s="26"/>
      <c r="B210" s="11" t="str">
        <f>CONCATENATE("          ", "6119", " - ", "SICK LEAVE")</f>
        <v xml:space="preserve">          6119 - SICK LEAVE</v>
      </c>
      <c r="C210" s="11"/>
      <c r="D210" s="6">
        <v>9922.65</v>
      </c>
      <c r="E210" s="2"/>
      <c r="F210" s="7">
        <f t="shared" si="38"/>
        <v>1.8169014711195398E-2</v>
      </c>
      <c r="G210" s="2"/>
      <c r="H210" s="6">
        <v>14894.529999999999</v>
      </c>
      <c r="I210" s="2"/>
      <c r="J210" s="7">
        <f t="shared" si="39"/>
        <v>4.2964459649602778E-3</v>
      </c>
      <c r="K210" s="2"/>
      <c r="L210" s="6">
        <f t="shared" si="40"/>
        <v>-4971.8799999999992</v>
      </c>
      <c r="M210" s="2"/>
      <c r="N210" s="7">
        <f t="shared" si="41"/>
        <v>-0.33380576627795572</v>
      </c>
      <c r="O210" s="11"/>
      <c r="P210" s="6">
        <v>85504.909999999989</v>
      </c>
      <c r="Q210" s="2"/>
      <c r="R210" s="7">
        <f t="shared" si="42"/>
        <v>1.195641098376791E-2</v>
      </c>
      <c r="S210" s="2"/>
      <c r="T210" s="6">
        <v>159253.25</v>
      </c>
      <c r="U210" s="2"/>
      <c r="V210" s="7">
        <f t="shared" si="43"/>
        <v>6.3199727497067204E-3</v>
      </c>
      <c r="W210" s="2"/>
      <c r="X210" s="6">
        <f t="shared" si="44"/>
        <v>-73748.340000000011</v>
      </c>
      <c r="Y210" s="2"/>
      <c r="Z210" s="7">
        <f t="shared" si="45"/>
        <v>-0.46308844560472084</v>
      </c>
    </row>
    <row r="211" spans="1:26" s="24" customFormat="1" hidden="1" outlineLevel="2" x14ac:dyDescent="0.25">
      <c r="A211" s="26"/>
      <c r="B211" s="11" t="str">
        <f>CONCATENATE("          ", "6156", " - ", "EMPLOYEE MEALS")</f>
        <v xml:space="preserve">          6156 - EMPLOYEE MEALS</v>
      </c>
      <c r="C211" s="11"/>
      <c r="D211" s="6">
        <v>4325.96</v>
      </c>
      <c r="E211" s="2"/>
      <c r="F211" s="7">
        <f t="shared" si="38"/>
        <v>7.9211128962568319E-3</v>
      </c>
      <c r="G211" s="2"/>
      <c r="H211" s="6">
        <v>11504.1</v>
      </c>
      <c r="I211" s="2"/>
      <c r="J211" s="7">
        <f t="shared" si="39"/>
        <v>3.3184493921929415E-3</v>
      </c>
      <c r="K211" s="2"/>
      <c r="L211" s="6">
        <f t="shared" si="40"/>
        <v>-7178.14</v>
      </c>
      <c r="M211" s="2"/>
      <c r="N211" s="7">
        <f t="shared" si="41"/>
        <v>-0.62396363035787239</v>
      </c>
      <c r="O211" s="11"/>
      <c r="P211" s="6">
        <v>36937.539999999994</v>
      </c>
      <c r="Q211" s="2"/>
      <c r="R211" s="7">
        <f t="shared" si="42"/>
        <v>5.1650882852150425E-3</v>
      </c>
      <c r="S211" s="2"/>
      <c r="T211" s="6">
        <v>78007.94</v>
      </c>
      <c r="U211" s="2"/>
      <c r="V211" s="7">
        <f t="shared" si="43"/>
        <v>3.0957487841582945E-3</v>
      </c>
      <c r="W211" s="2"/>
      <c r="X211" s="6">
        <f t="shared" si="44"/>
        <v>-41070.400000000009</v>
      </c>
      <c r="Y211" s="2"/>
      <c r="Z211" s="7">
        <f t="shared" si="45"/>
        <v>-0.52648999576196998</v>
      </c>
    </row>
    <row r="212" spans="1:26" s="25" customFormat="1" outlineLevel="1" collapsed="1" x14ac:dyDescent="0.25">
      <c r="A212" s="27"/>
      <c r="B212" s="13" t="str">
        <f>CONCATENATE("     ","*Payroll                                          ")</f>
        <v xml:space="preserve">     *Payroll                                          </v>
      </c>
      <c r="C212" s="13"/>
      <c r="D212" s="1">
        <f>SUM(OSRRefD22_1x_0)</f>
        <v>255263.19999999998</v>
      </c>
      <c r="E212" s="1"/>
      <c r="F212" s="5">
        <f t="shared" ref="F212:F219" si="46">IF(D$12=0,0,D212/D$12)</f>
        <v>0.46740344928288446</v>
      </c>
      <c r="G212" s="1"/>
      <c r="H212" s="1">
        <f>SUM(OSRRefH22_1x_0)</f>
        <v>796900.99000000011</v>
      </c>
      <c r="I212" s="1"/>
      <c r="J212" s="5">
        <f t="shared" ref="J212:J219" si="47">IF(H$12=0,0,H212/H$12)</f>
        <v>0.2298724459891216</v>
      </c>
      <c r="K212" s="1"/>
      <c r="L212" s="1">
        <f t="shared" ref="L212:L219" si="48">+D212-H212</f>
        <v>-541637.79000000015</v>
      </c>
      <c r="M212" s="1"/>
      <c r="N212" s="5">
        <f t="shared" ref="N212:N219" si="49">IF(H212=0,0,L212/H212)</f>
        <v>-0.67968015700419704</v>
      </c>
      <c r="O212" s="13"/>
      <c r="P212" s="1">
        <f>SUM(OSRRefP22_1x_0)</f>
        <v>2308023.3099999996</v>
      </c>
      <c r="Q212" s="1"/>
      <c r="R212" s="5">
        <f t="shared" ref="R212:R219" si="50">IF(P$12=0,0,P212/P$12)</f>
        <v>0.32273790188746315</v>
      </c>
      <c r="S212" s="1"/>
      <c r="T212" s="1">
        <f>SUM(OSRRefT22_1x_0)</f>
        <v>5917453.4799999986</v>
      </c>
      <c r="U212" s="1"/>
      <c r="V212" s="5">
        <f t="shared" ref="V212:V219" si="51">IF(T$12=0,0,T212/T$12)</f>
        <v>0.23483442090668288</v>
      </c>
      <c r="W212" s="1"/>
      <c r="X212" s="1">
        <f t="shared" ref="X212:X219" si="52">+P212-T212</f>
        <v>-3609430.169999999</v>
      </c>
      <c r="Y212" s="1"/>
      <c r="Z212" s="5">
        <f t="shared" ref="Z212:Z219" si="53">IF(T212=0,0,X212/T212)</f>
        <v>-0.60996342129249825</v>
      </c>
    </row>
    <row r="213" spans="1:26" s="24" customFormat="1" hidden="1" outlineLevel="2" x14ac:dyDescent="0.25">
      <c r="A213" s="26"/>
      <c r="B213" s="11" t="str">
        <f>CONCATENATE("          ", "6001", " - ", "ADMINISTRATIVE SALARIES")</f>
        <v xml:space="preserve">          6001 - ADMINISTRATIVE SALARIES</v>
      </c>
      <c r="C213" s="11"/>
      <c r="D213" s="6">
        <v>28111.82</v>
      </c>
      <c r="E213" s="2"/>
      <c r="F213" s="7">
        <f t="shared" si="46"/>
        <v>5.1474562857550865E-2</v>
      </c>
      <c r="G213" s="2"/>
      <c r="H213" s="6">
        <v>35705.08</v>
      </c>
      <c r="I213" s="2"/>
      <c r="J213" s="7">
        <f t="shared" si="47"/>
        <v>1.0299415080206219E-2</v>
      </c>
      <c r="K213" s="2"/>
      <c r="L213" s="6">
        <f t="shared" si="48"/>
        <v>-7593.260000000002</v>
      </c>
      <c r="M213" s="2"/>
      <c r="N213" s="7">
        <f t="shared" si="49"/>
        <v>-0.2126660968131146</v>
      </c>
      <c r="O213" s="11"/>
      <c r="P213" s="6">
        <v>229967.18</v>
      </c>
      <c r="Q213" s="2"/>
      <c r="R213" s="7">
        <f t="shared" si="50"/>
        <v>3.2157008490601678E-2</v>
      </c>
      <c r="S213" s="2"/>
      <c r="T213" s="6">
        <v>294174.64</v>
      </c>
      <c r="U213" s="2"/>
      <c r="V213" s="7">
        <f t="shared" si="51"/>
        <v>1.1674334485825468E-2</v>
      </c>
      <c r="W213" s="2"/>
      <c r="X213" s="6">
        <f t="shared" si="52"/>
        <v>-64207.460000000021</v>
      </c>
      <c r="Y213" s="2"/>
      <c r="Z213" s="7">
        <f t="shared" si="53"/>
        <v>-0.21826306985537577</v>
      </c>
    </row>
    <row r="214" spans="1:26" s="24" customFormat="1" hidden="1" outlineLevel="2" x14ac:dyDescent="0.25">
      <c r="A214" s="26"/>
      <c r="B214" s="11" t="str">
        <f>CONCATENATE("          ", "6002", " - ", "STAFF SALARIES")</f>
        <v xml:space="preserve">          6002 - STAFF SALARIES</v>
      </c>
      <c r="C214" s="11"/>
      <c r="D214" s="6">
        <v>107681.93</v>
      </c>
      <c r="E214" s="2"/>
      <c r="F214" s="7">
        <f t="shared" si="46"/>
        <v>0.19717258699036178</v>
      </c>
      <c r="G214" s="2"/>
      <c r="H214" s="6">
        <v>168798.88</v>
      </c>
      <c r="I214" s="2"/>
      <c r="J214" s="7">
        <f t="shared" si="47"/>
        <v>4.869138313634698E-2</v>
      </c>
      <c r="K214" s="2"/>
      <c r="L214" s="6">
        <f t="shared" si="48"/>
        <v>-61116.950000000012</v>
      </c>
      <c r="M214" s="2"/>
      <c r="N214" s="7">
        <f t="shared" si="49"/>
        <v>-0.36206964169430517</v>
      </c>
      <c r="O214" s="11"/>
      <c r="P214" s="6">
        <v>904483.07000000007</v>
      </c>
      <c r="Q214" s="2"/>
      <c r="R214" s="7">
        <f t="shared" si="50"/>
        <v>0.12647661184346165</v>
      </c>
      <c r="S214" s="2"/>
      <c r="T214" s="6">
        <v>1484263.43</v>
      </c>
      <c r="U214" s="2"/>
      <c r="V214" s="7">
        <f t="shared" si="51"/>
        <v>5.890306433925982E-2</v>
      </c>
      <c r="W214" s="2"/>
      <c r="X214" s="6">
        <f t="shared" si="52"/>
        <v>-579780.35999999987</v>
      </c>
      <c r="Y214" s="2"/>
      <c r="Z214" s="7">
        <f t="shared" si="53"/>
        <v>-0.39061823412303565</v>
      </c>
    </row>
    <row r="215" spans="1:26" s="24" customFormat="1" hidden="1" outlineLevel="2" x14ac:dyDescent="0.25">
      <c r="A215" s="26"/>
      <c r="B215" s="11" t="str">
        <f>CONCATENATE("          ", "6004", " - ", "STAFF HOURLY")</f>
        <v xml:space="preserve">          6004 - STAFF HOURLY</v>
      </c>
      <c r="C215" s="11"/>
      <c r="D215" s="6">
        <v>58536.49</v>
      </c>
      <c r="E215" s="2"/>
      <c r="F215" s="7">
        <f t="shared" si="46"/>
        <v>0.10718410383836399</v>
      </c>
      <c r="G215" s="2"/>
      <c r="H215" s="6">
        <v>100370.66</v>
      </c>
      <c r="I215" s="2"/>
      <c r="J215" s="7">
        <f t="shared" si="47"/>
        <v>2.8952717350423277E-2</v>
      </c>
      <c r="K215" s="2"/>
      <c r="L215" s="6">
        <f t="shared" si="48"/>
        <v>-41834.170000000006</v>
      </c>
      <c r="M215" s="2"/>
      <c r="N215" s="7">
        <f t="shared" si="49"/>
        <v>-0.41679680097749683</v>
      </c>
      <c r="O215" s="11"/>
      <c r="P215" s="6">
        <v>527621.05999999994</v>
      </c>
      <c r="Q215" s="2"/>
      <c r="R215" s="7">
        <f t="shared" si="50"/>
        <v>7.3778853600936695E-2</v>
      </c>
      <c r="S215" s="2"/>
      <c r="T215" s="6">
        <v>679390.2300000001</v>
      </c>
      <c r="U215" s="2"/>
      <c r="V215" s="7">
        <f t="shared" si="51"/>
        <v>2.6961633373365892E-2</v>
      </c>
      <c r="W215" s="2"/>
      <c r="X215" s="6">
        <f t="shared" si="52"/>
        <v>-151769.17000000016</v>
      </c>
      <c r="Y215" s="2"/>
      <c r="Z215" s="7">
        <f t="shared" si="53"/>
        <v>-0.22339027454074536</v>
      </c>
    </row>
    <row r="216" spans="1:26" s="24" customFormat="1" hidden="1" outlineLevel="2" x14ac:dyDescent="0.25">
      <c r="A216" s="26"/>
      <c r="B216" s="11" t="str">
        <f>CONCATENATE("          ", "6005", " - ", "TEMPORARY WAGES-HOURLY")</f>
        <v xml:space="preserve">          6005 - TEMPORARY WAGES-HOURLY</v>
      </c>
      <c r="C216" s="11"/>
      <c r="D216" s="6">
        <v>28487.8</v>
      </c>
      <c r="E216" s="2"/>
      <c r="F216" s="7">
        <f t="shared" si="46"/>
        <v>5.2163006584893382E-2</v>
      </c>
      <c r="G216" s="2"/>
      <c r="H216" s="6">
        <v>146071.62</v>
      </c>
      <c r="I216" s="2"/>
      <c r="J216" s="7">
        <f t="shared" si="47"/>
        <v>4.2135523735506324E-2</v>
      </c>
      <c r="K216" s="2"/>
      <c r="L216" s="6">
        <f t="shared" si="48"/>
        <v>-117583.81999999999</v>
      </c>
      <c r="M216" s="2"/>
      <c r="N216" s="7">
        <f t="shared" si="49"/>
        <v>-0.80497375191703902</v>
      </c>
      <c r="O216" s="11"/>
      <c r="P216" s="6">
        <v>259456.95</v>
      </c>
      <c r="Q216" s="2"/>
      <c r="R216" s="7">
        <f t="shared" si="50"/>
        <v>3.6280652500481222E-2</v>
      </c>
      <c r="S216" s="2"/>
      <c r="T216" s="6">
        <v>993037.97</v>
      </c>
      <c r="U216" s="2"/>
      <c r="V216" s="7">
        <f t="shared" si="51"/>
        <v>3.940875875264134E-2</v>
      </c>
      <c r="W216" s="2"/>
      <c r="X216" s="6">
        <f t="shared" si="52"/>
        <v>-733581.02</v>
      </c>
      <c r="Y216" s="2"/>
      <c r="Z216" s="7">
        <f t="shared" si="53"/>
        <v>-0.73872403892068705</v>
      </c>
    </row>
    <row r="217" spans="1:26" s="24" customFormat="1" hidden="1" outlineLevel="2" x14ac:dyDescent="0.25">
      <c r="A217" s="26"/>
      <c r="B217" s="11" t="str">
        <f>CONCATENATE("          ", "6006", " - ", "TEMPORARY PART TIME")</f>
        <v xml:space="preserve">          6006 - TEMPORARY PART TIME</v>
      </c>
      <c r="C217" s="11"/>
      <c r="D217" s="6">
        <v>2651.44</v>
      </c>
      <c r="E217" s="2"/>
      <c r="F217" s="7">
        <f t="shared" si="46"/>
        <v>4.8549583393399879E-3</v>
      </c>
      <c r="G217" s="2"/>
      <c r="H217" s="6">
        <v>10217.09</v>
      </c>
      <c r="I217" s="2"/>
      <c r="J217" s="7">
        <f t="shared" si="47"/>
        <v>2.9472010935649535E-3</v>
      </c>
      <c r="K217" s="2"/>
      <c r="L217" s="6">
        <f t="shared" si="48"/>
        <v>-7565.65</v>
      </c>
      <c r="M217" s="2"/>
      <c r="N217" s="7">
        <f t="shared" si="49"/>
        <v>-0.74048970890928822</v>
      </c>
      <c r="O217" s="11"/>
      <c r="P217" s="6">
        <v>12639.4</v>
      </c>
      <c r="Q217" s="2"/>
      <c r="R217" s="7">
        <f t="shared" si="50"/>
        <v>1.7674056494327184E-3</v>
      </c>
      <c r="S217" s="2"/>
      <c r="T217" s="6">
        <v>91495.67</v>
      </c>
      <c r="U217" s="2"/>
      <c r="V217" s="7">
        <f t="shared" si="51"/>
        <v>3.6310099863968784E-3</v>
      </c>
      <c r="W217" s="2"/>
      <c r="X217" s="6">
        <f t="shared" si="52"/>
        <v>-78856.27</v>
      </c>
      <c r="Y217" s="2"/>
      <c r="Z217" s="7">
        <f t="shared" si="53"/>
        <v>-0.86185794366006618</v>
      </c>
    </row>
    <row r="218" spans="1:26" s="24" customFormat="1" hidden="1" outlineLevel="2" x14ac:dyDescent="0.25">
      <c r="A218" s="26"/>
      <c r="B218" s="11" t="str">
        <f>CONCATENATE("          ", "6007", " - ", "STUDENT HOURLY")</f>
        <v xml:space="preserve">          6007 - STUDENT HOURLY</v>
      </c>
      <c r="C218" s="11"/>
      <c r="D218" s="6">
        <v>28121.279999999999</v>
      </c>
      <c r="E218" s="2"/>
      <c r="F218" s="7">
        <f t="shared" si="46"/>
        <v>5.1491884730152225E-2</v>
      </c>
      <c r="G218" s="2"/>
      <c r="H218" s="6">
        <v>301343.74</v>
      </c>
      <c r="I218" s="2"/>
      <c r="J218" s="7">
        <f t="shared" si="47"/>
        <v>8.692500507159602E-2</v>
      </c>
      <c r="K218" s="2"/>
      <c r="L218" s="6">
        <f t="shared" si="48"/>
        <v>-273222.45999999996</v>
      </c>
      <c r="M218" s="2"/>
      <c r="N218" s="7">
        <f t="shared" si="49"/>
        <v>-0.90668039097145325</v>
      </c>
      <c r="O218" s="11"/>
      <c r="P218" s="6">
        <v>352013.64</v>
      </c>
      <c r="Q218" s="2"/>
      <c r="R218" s="7">
        <f t="shared" si="50"/>
        <v>4.9223135276466858E-2</v>
      </c>
      <c r="S218" s="2"/>
      <c r="T218" s="6">
        <v>2174265.19</v>
      </c>
      <c r="U218" s="2"/>
      <c r="V218" s="7">
        <f t="shared" si="51"/>
        <v>8.6285816781986588E-2</v>
      </c>
      <c r="W218" s="2"/>
      <c r="X218" s="6">
        <f t="shared" si="52"/>
        <v>-1822251.5499999998</v>
      </c>
      <c r="Y218" s="2"/>
      <c r="Z218" s="7">
        <f t="shared" si="53"/>
        <v>-0.83809995136793769</v>
      </c>
    </row>
    <row r="219" spans="1:26" s="24" customFormat="1" hidden="1" outlineLevel="2" x14ac:dyDescent="0.25">
      <c r="A219" s="26"/>
      <c r="B219" s="11" t="str">
        <f>CONCATENATE("          ", "6008", " - ", "STUDENT HOURLY-FICA EXEMPT")</f>
        <v xml:space="preserve">          6008 - STUDENT HOURLY-FICA EXEMPT</v>
      </c>
      <c r="C219" s="11"/>
      <c r="D219" s="6">
        <v>1672.44</v>
      </c>
      <c r="E219" s="2"/>
      <c r="F219" s="7">
        <f t="shared" si="46"/>
        <v>3.0623459422222526E-3</v>
      </c>
      <c r="G219" s="2"/>
      <c r="H219" s="6">
        <v>34393.919999999998</v>
      </c>
      <c r="I219" s="2"/>
      <c r="J219" s="7">
        <f t="shared" si="47"/>
        <v>9.9212005214777913E-3</v>
      </c>
      <c r="K219" s="2"/>
      <c r="L219" s="6">
        <f t="shared" si="48"/>
        <v>-32721.48</v>
      </c>
      <c r="M219" s="2"/>
      <c r="N219" s="7">
        <f t="shared" si="49"/>
        <v>-0.95137396377034089</v>
      </c>
      <c r="O219" s="11"/>
      <c r="P219" s="6">
        <v>21842.01</v>
      </c>
      <c r="Q219" s="2"/>
      <c r="R219" s="7">
        <f t="shared" si="50"/>
        <v>3.0542345260824032E-3</v>
      </c>
      <c r="S219" s="2"/>
      <c r="T219" s="6">
        <v>200826.35</v>
      </c>
      <c r="U219" s="2"/>
      <c r="V219" s="7">
        <f t="shared" si="51"/>
        <v>7.9698031872069437E-3</v>
      </c>
      <c r="W219" s="2"/>
      <c r="X219" s="6">
        <f t="shared" si="52"/>
        <v>-178984.34</v>
      </c>
      <c r="Y219" s="2"/>
      <c r="Z219" s="7">
        <f t="shared" si="53"/>
        <v>-0.89123932193160904</v>
      </c>
    </row>
    <row r="220" spans="1:26" s="25" customFormat="1" outlineLevel="1" collapsed="1" x14ac:dyDescent="0.25">
      <c r="A220" s="27"/>
      <c r="B220" s="13" t="str">
        <f>CONCATENATE("     ","Advertising/Promo                                 ")</f>
        <v xml:space="preserve">     Advertising/Promo                                 </v>
      </c>
      <c r="C220" s="13"/>
      <c r="D220" s="1">
        <f>SUM(OSRRefD22_2x_0)</f>
        <v>193.13</v>
      </c>
      <c r="E220" s="1"/>
      <c r="F220" s="5">
        <f t="shared" ref="F220:F224" si="54">IF(D$12=0,0,D220/D$12)</f>
        <v>3.5363353652231687E-4</v>
      </c>
      <c r="G220" s="1"/>
      <c r="H220" s="1">
        <f>SUM(OSRRefH22_2x_0)</f>
        <v>5937.37</v>
      </c>
      <c r="I220" s="1"/>
      <c r="J220" s="5">
        <f t="shared" ref="J220:J224" si="55">IF(H$12=0,0,H220/H$12)</f>
        <v>1.7126817280556153E-3</v>
      </c>
      <c r="K220" s="1"/>
      <c r="L220" s="1">
        <f t="shared" ref="L220:L224" si="56">+D220-H220</f>
        <v>-5744.24</v>
      </c>
      <c r="M220" s="1"/>
      <c r="N220" s="5">
        <f t="shared" ref="N220:N224" si="57">IF(H220=0,0,L220/H220)</f>
        <v>-0.96747212991610765</v>
      </c>
      <c r="O220" s="13"/>
      <c r="P220" s="1">
        <f>SUM(OSRRefP22_2x_0)</f>
        <v>18410.72</v>
      </c>
      <c r="Q220" s="1"/>
      <c r="R220" s="5">
        <f t="shared" ref="R220:R224" si="58">IF(P$12=0,0,P220/P$12)</f>
        <v>2.57442683498615E-3</v>
      </c>
      <c r="S220" s="1"/>
      <c r="T220" s="1">
        <f>SUM(OSRRefT22_2x_0)</f>
        <v>83091.289999999994</v>
      </c>
      <c r="U220" s="1"/>
      <c r="V220" s="5">
        <f t="shared" ref="V220:V224" si="59">IF(T$12=0,0,T220/T$12)</f>
        <v>3.2974817690563834E-3</v>
      </c>
      <c r="W220" s="1"/>
      <c r="X220" s="1">
        <f t="shared" ref="X220:X224" si="60">+P220-T220</f>
        <v>-64680.569999999992</v>
      </c>
      <c r="Y220" s="1"/>
      <c r="Z220" s="5">
        <f t="shared" ref="Z220:Z224" si="61">IF(T220=0,0,X220/T220)</f>
        <v>-0.77842779911107407</v>
      </c>
    </row>
    <row r="221" spans="1:26" s="24" customFormat="1" hidden="1" outlineLevel="2" x14ac:dyDescent="0.25">
      <c r="A221" s="26"/>
      <c r="B221" s="11" t="str">
        <f>CONCATENATE("          ", "6362", " - ", "ADVERTISING EXPENSE")</f>
        <v xml:space="preserve">          6362 - ADVERTISING EXPENSE</v>
      </c>
      <c r="C221" s="11"/>
      <c r="D221" s="6">
        <v>193.13</v>
      </c>
      <c r="E221" s="2"/>
      <c r="F221" s="7">
        <f t="shared" si="54"/>
        <v>3.5363353652231687E-4</v>
      </c>
      <c r="G221" s="2"/>
      <c r="H221" s="6">
        <v>5937.37</v>
      </c>
      <c r="I221" s="2"/>
      <c r="J221" s="7">
        <f t="shared" si="55"/>
        <v>1.7126817280556153E-3</v>
      </c>
      <c r="K221" s="2"/>
      <c r="L221" s="6">
        <f t="shared" si="56"/>
        <v>-5744.24</v>
      </c>
      <c r="M221" s="2"/>
      <c r="N221" s="7">
        <f t="shared" si="57"/>
        <v>-0.96747212991610765</v>
      </c>
      <c r="O221" s="11"/>
      <c r="P221" s="6">
        <v>18410.72</v>
      </c>
      <c r="Q221" s="2"/>
      <c r="R221" s="7">
        <f t="shared" si="58"/>
        <v>2.57442683498615E-3</v>
      </c>
      <c r="S221" s="2"/>
      <c r="T221" s="6">
        <v>83091.289999999994</v>
      </c>
      <c r="U221" s="2"/>
      <c r="V221" s="7">
        <f t="shared" si="59"/>
        <v>3.2974817690563834E-3</v>
      </c>
      <c r="W221" s="2"/>
      <c r="X221" s="6">
        <f t="shared" si="60"/>
        <v>-64680.569999999992</v>
      </c>
      <c r="Y221" s="2"/>
      <c r="Z221" s="7">
        <f t="shared" si="61"/>
        <v>-0.77842779911107407</v>
      </c>
    </row>
    <row r="222" spans="1:26" s="25" customFormat="1" outlineLevel="1" collapsed="1" x14ac:dyDescent="0.25">
      <c r="A222" s="27"/>
      <c r="B222" s="13" t="str">
        <f>CONCATENATE("     ","Bad Debts/Over/Short                              ")</f>
        <v xml:space="preserve">     Bad Debts/Over/Short                              </v>
      </c>
      <c r="C222" s="13"/>
      <c r="D222" s="1">
        <f>SUM(OSRRefD22_3x_0)</f>
        <v>3266.2</v>
      </c>
      <c r="E222" s="1"/>
      <c r="F222" s="5">
        <f t="shared" si="54"/>
        <v>5.9806237093625609E-3</v>
      </c>
      <c r="G222" s="1"/>
      <c r="H222" s="1">
        <f>SUM(OSRRefH22_3x_0)</f>
        <v>131.12</v>
      </c>
      <c r="I222" s="1"/>
      <c r="J222" s="5">
        <f t="shared" si="55"/>
        <v>3.7822609704743397E-5</v>
      </c>
      <c r="K222" s="1"/>
      <c r="L222" s="1">
        <f t="shared" si="56"/>
        <v>3135.08</v>
      </c>
      <c r="M222" s="1"/>
      <c r="N222" s="5">
        <f t="shared" si="57"/>
        <v>23.910006101281269</v>
      </c>
      <c r="O222" s="13"/>
      <c r="P222" s="1">
        <f>SUM(OSRRefP22_3x_0)</f>
        <v>5266.1</v>
      </c>
      <c r="Q222" s="1"/>
      <c r="R222" s="5">
        <f t="shared" si="58"/>
        <v>7.3637474013621212E-4</v>
      </c>
      <c r="S222" s="1"/>
      <c r="T222" s="1">
        <f>SUM(OSRRefT22_3x_0)</f>
        <v>-607.6</v>
      </c>
      <c r="U222" s="1"/>
      <c r="V222" s="5">
        <f t="shared" si="59"/>
        <v>-2.4112634704295227E-5</v>
      </c>
      <c r="W222" s="1"/>
      <c r="X222" s="1">
        <f t="shared" si="60"/>
        <v>5873.7000000000007</v>
      </c>
      <c r="Y222" s="1"/>
      <c r="Z222" s="5">
        <f t="shared" si="61"/>
        <v>-9.6670506912442402</v>
      </c>
    </row>
    <row r="223" spans="1:26" s="24" customFormat="1" hidden="1" outlineLevel="2" x14ac:dyDescent="0.25">
      <c r="A223" s="26"/>
      <c r="B223" s="11" t="str">
        <f>CONCATENATE("          ", "6272", " - ", "CASH (OVER/SHORT)")</f>
        <v xml:space="preserve">          6272 - CASH (OVER/SHORT)</v>
      </c>
      <c r="C223" s="11"/>
      <c r="D223" s="6">
        <v>-86.44</v>
      </c>
      <c r="E223" s="2"/>
      <c r="F223" s="7">
        <f t="shared" si="54"/>
        <v>-1.5827723759638104E-4</v>
      </c>
      <c r="G223" s="2"/>
      <c r="H223" s="6">
        <v>131.12</v>
      </c>
      <c r="I223" s="2"/>
      <c r="J223" s="7">
        <f t="shared" si="55"/>
        <v>3.7822609704743397E-5</v>
      </c>
      <c r="K223" s="2"/>
      <c r="L223" s="6">
        <f t="shared" si="56"/>
        <v>-217.56</v>
      </c>
      <c r="M223" s="2"/>
      <c r="N223" s="7">
        <f t="shared" si="57"/>
        <v>-1.6592434411226358</v>
      </c>
      <c r="O223" s="11"/>
      <c r="P223" s="6">
        <v>-83.32</v>
      </c>
      <c r="Q223" s="2"/>
      <c r="R223" s="7">
        <f t="shared" si="58"/>
        <v>-1.1650888389538593E-5</v>
      </c>
      <c r="S223" s="2"/>
      <c r="T223" s="6">
        <v>-652.4</v>
      </c>
      <c r="U223" s="2"/>
      <c r="V223" s="7">
        <f t="shared" si="59"/>
        <v>-2.5890524820740954E-5</v>
      </c>
      <c r="W223" s="2"/>
      <c r="X223" s="6">
        <f t="shared" si="60"/>
        <v>569.07999999999993</v>
      </c>
      <c r="Y223" s="2"/>
      <c r="Z223" s="7">
        <f t="shared" si="61"/>
        <v>-0.87228694052728384</v>
      </c>
    </row>
    <row r="224" spans="1:26" s="24" customFormat="1" hidden="1" outlineLevel="2" x14ac:dyDescent="0.25">
      <c r="A224" s="26"/>
      <c r="B224" s="11" t="str">
        <f>CONCATENATE("          ", "6342", " - ", "BAD DEBT")</f>
        <v xml:space="preserve">          6342 - BAD DEBT</v>
      </c>
      <c r="C224" s="11"/>
      <c r="D224" s="6">
        <v>3352.64</v>
      </c>
      <c r="E224" s="2"/>
      <c r="F224" s="7">
        <f t="shared" si="54"/>
        <v>6.1389009469589419E-3</v>
      </c>
      <c r="G224" s="2"/>
      <c r="H224" s="6"/>
      <c r="I224" s="2"/>
      <c r="J224" s="7">
        <f t="shared" si="55"/>
        <v>0</v>
      </c>
      <c r="K224" s="2"/>
      <c r="L224" s="6">
        <f t="shared" si="56"/>
        <v>3352.64</v>
      </c>
      <c r="M224" s="2"/>
      <c r="N224" s="7">
        <f t="shared" si="57"/>
        <v>0</v>
      </c>
      <c r="O224" s="11"/>
      <c r="P224" s="6">
        <v>5349.42</v>
      </c>
      <c r="Q224" s="2"/>
      <c r="R224" s="7">
        <f t="shared" si="58"/>
        <v>7.4802562852575069E-4</v>
      </c>
      <c r="S224" s="2"/>
      <c r="T224" s="6">
        <v>44.8</v>
      </c>
      <c r="U224" s="2"/>
      <c r="V224" s="7">
        <f t="shared" si="59"/>
        <v>1.7778901164457309E-6</v>
      </c>
      <c r="W224" s="2"/>
      <c r="X224" s="6">
        <f t="shared" si="60"/>
        <v>5304.62</v>
      </c>
      <c r="Y224" s="2"/>
      <c r="Z224" s="7">
        <f t="shared" si="61"/>
        <v>118.40669642857144</v>
      </c>
    </row>
    <row r="225" spans="1:26" s="25" customFormat="1" outlineLevel="1" collapsed="1" x14ac:dyDescent="0.25">
      <c r="A225" s="27"/>
      <c r="B225" s="13" t="str">
        <f>CONCATENATE("     ","Bank/card Fees                                    ")</f>
        <v xml:space="preserve">     Bank/card Fees                                    </v>
      </c>
      <c r="C225" s="13"/>
      <c r="D225" s="1">
        <f>SUM(OSRRefD22_4x_0)</f>
        <v>4877.83</v>
      </c>
      <c r="E225" s="1"/>
      <c r="F225" s="5">
        <f t="shared" ref="F225:F230" si="62">IF(D$12=0,0,D225/D$12)</f>
        <v>8.9316226037107291E-3</v>
      </c>
      <c r="G225" s="1"/>
      <c r="H225" s="1">
        <f>SUM(OSRRefH22_4x_0)</f>
        <v>51319.07</v>
      </c>
      <c r="I225" s="1"/>
      <c r="J225" s="5">
        <f t="shared" ref="J225:J230" si="63">IF(H$12=0,0,H225/H$12)</f>
        <v>1.480339501998479E-2</v>
      </c>
      <c r="K225" s="1"/>
      <c r="L225" s="1">
        <f t="shared" ref="L225:L230" si="64">+D225-H225</f>
        <v>-46441.24</v>
      </c>
      <c r="M225" s="1"/>
      <c r="N225" s="5">
        <f t="shared" ref="N225:N230" si="65">IF(H225=0,0,L225/H225)</f>
        <v>-0.90495092759864892</v>
      </c>
      <c r="O225" s="13"/>
      <c r="P225" s="1">
        <f>SUM(OSRRefP22_4x_0)</f>
        <v>72469.509999999995</v>
      </c>
      <c r="Q225" s="1"/>
      <c r="R225" s="5">
        <f t="shared" ref="R225:R230" si="66">IF(P$12=0,0,P225/P$12)</f>
        <v>1.0133631452887074E-2</v>
      </c>
      <c r="S225" s="1"/>
      <c r="T225" s="1">
        <f>SUM(OSRRefT22_4x_0)</f>
        <v>364179.92</v>
      </c>
      <c r="U225" s="1"/>
      <c r="V225" s="5">
        <f t="shared" ref="V225:V230" si="67">IF(T$12=0,0,T225/T$12)</f>
        <v>1.4452497329821359E-2</v>
      </c>
      <c r="W225" s="1"/>
      <c r="X225" s="1">
        <f t="shared" ref="X225:X230" si="68">+P225-T225</f>
        <v>-291710.40999999997</v>
      </c>
      <c r="Y225" s="1"/>
      <c r="Z225" s="5">
        <f t="shared" ref="Z225:Z230" si="69">IF(T225=0,0,X225/T225)</f>
        <v>-0.80100629930392642</v>
      </c>
    </row>
    <row r="226" spans="1:26" s="24" customFormat="1" hidden="1" outlineLevel="2" x14ac:dyDescent="0.25">
      <c r="A226" s="26"/>
      <c r="B226" s="11" t="str">
        <f>CONCATENATE("          ", "6381", " - ", "BANK/CREDIT CARD FEES")</f>
        <v xml:space="preserve">          6381 - BANK/CREDIT CARD FEES</v>
      </c>
      <c r="C226" s="11"/>
      <c r="D226" s="6">
        <v>4877.83</v>
      </c>
      <c r="E226" s="2"/>
      <c r="F226" s="7">
        <f t="shared" si="62"/>
        <v>8.9316226037107291E-3</v>
      </c>
      <c r="G226" s="2"/>
      <c r="H226" s="6">
        <v>51319.07</v>
      </c>
      <c r="I226" s="2"/>
      <c r="J226" s="7">
        <f t="shared" si="63"/>
        <v>1.480339501998479E-2</v>
      </c>
      <c r="K226" s="2"/>
      <c r="L226" s="6">
        <f t="shared" si="64"/>
        <v>-46441.24</v>
      </c>
      <c r="M226" s="2"/>
      <c r="N226" s="7">
        <f t="shared" si="65"/>
        <v>-0.90495092759864892</v>
      </c>
      <c r="O226" s="11"/>
      <c r="P226" s="6">
        <v>72469.509999999995</v>
      </c>
      <c r="Q226" s="2"/>
      <c r="R226" s="7">
        <f t="shared" si="66"/>
        <v>1.0133631452887074E-2</v>
      </c>
      <c r="S226" s="2"/>
      <c r="T226" s="6">
        <v>364179.92</v>
      </c>
      <c r="U226" s="2"/>
      <c r="V226" s="7">
        <f t="shared" si="67"/>
        <v>1.4452497329821359E-2</v>
      </c>
      <c r="W226" s="2"/>
      <c r="X226" s="6">
        <f t="shared" si="68"/>
        <v>-291710.40999999997</v>
      </c>
      <c r="Y226" s="2"/>
      <c r="Z226" s="7">
        <f t="shared" si="69"/>
        <v>-0.80100629930392642</v>
      </c>
    </row>
    <row r="227" spans="1:26" s="25" customFormat="1" outlineLevel="1" collapsed="1" x14ac:dyDescent="0.25">
      <c r="A227" s="27"/>
      <c r="B227" s="13" t="str">
        <f>CONCATENATE("     ","Depreciation                                      ")</f>
        <v xml:space="preserve">     Depreciation                                      </v>
      </c>
      <c r="C227" s="13"/>
      <c r="D227" s="1">
        <f>SUM(OSRRefD22_5x_0)</f>
        <v>77647.64</v>
      </c>
      <c r="E227" s="1"/>
      <c r="F227" s="5">
        <f t="shared" si="62"/>
        <v>0.14217785706939218</v>
      </c>
      <c r="G227" s="1"/>
      <c r="H227" s="1">
        <f>SUM(OSRRefH22_5x_0)</f>
        <v>80109.070000000007</v>
      </c>
      <c r="I227" s="1"/>
      <c r="J227" s="5">
        <f t="shared" si="63"/>
        <v>2.3108100125228556E-2</v>
      </c>
      <c r="K227" s="1"/>
      <c r="L227" s="1">
        <f t="shared" si="64"/>
        <v>-2461.4300000000076</v>
      </c>
      <c r="M227" s="1"/>
      <c r="N227" s="5">
        <f t="shared" si="65"/>
        <v>-3.0725983961616424E-2</v>
      </c>
      <c r="O227" s="13"/>
      <c r="P227" s="1">
        <f>SUM(OSRRefP22_5x_0)</f>
        <v>623952.97</v>
      </c>
      <c r="Q227" s="1"/>
      <c r="R227" s="5">
        <f t="shared" si="66"/>
        <v>8.7249236843388409E-2</v>
      </c>
      <c r="S227" s="1"/>
      <c r="T227" s="1">
        <f>SUM(OSRRefT22_5x_0)</f>
        <v>628121.61</v>
      </c>
      <c r="U227" s="1"/>
      <c r="V227" s="5">
        <f t="shared" si="67"/>
        <v>2.4927035766629017E-2</v>
      </c>
      <c r="W227" s="1"/>
      <c r="X227" s="1">
        <f t="shared" si="68"/>
        <v>-4168.640000000014</v>
      </c>
      <c r="Y227" s="1"/>
      <c r="Z227" s="5">
        <f t="shared" si="69"/>
        <v>-6.6366766142626652E-3</v>
      </c>
    </row>
    <row r="228" spans="1:26" s="24" customFormat="1" hidden="1" outlineLevel="2" x14ac:dyDescent="0.25">
      <c r="A228" s="26"/>
      <c r="B228" s="11" t="str">
        <f>CONCATENATE("          ", "6321", " - ", "BUILDING DEPRECIATION")</f>
        <v xml:space="preserve">          6321 - BUILDING DEPRECIATION</v>
      </c>
      <c r="C228" s="11"/>
      <c r="D228" s="6">
        <v>45060.52</v>
      </c>
      <c r="E228" s="2"/>
      <c r="F228" s="7">
        <f t="shared" si="62"/>
        <v>8.250873010477186E-2</v>
      </c>
      <c r="G228" s="2"/>
      <c r="H228" s="6">
        <v>45519.990000000005</v>
      </c>
      <c r="I228" s="2"/>
      <c r="J228" s="7">
        <f t="shared" si="63"/>
        <v>1.3130604145315913E-2</v>
      </c>
      <c r="K228" s="2"/>
      <c r="L228" s="6">
        <f t="shared" si="64"/>
        <v>-459.47000000000844</v>
      </c>
      <c r="M228" s="2"/>
      <c r="N228" s="7">
        <f t="shared" si="65"/>
        <v>-1.0093807138358519E-2</v>
      </c>
      <c r="O228" s="11"/>
      <c r="P228" s="6">
        <v>361268.35</v>
      </c>
      <c r="Q228" s="2"/>
      <c r="R228" s="7">
        <f t="shared" si="66"/>
        <v>5.0517249454185849E-2</v>
      </c>
      <c r="S228" s="2"/>
      <c r="T228" s="6">
        <v>364159.92000000004</v>
      </c>
      <c r="U228" s="2"/>
      <c r="V228" s="7">
        <f t="shared" si="67"/>
        <v>1.445170362887652E-2</v>
      </c>
      <c r="W228" s="2"/>
      <c r="X228" s="6">
        <f t="shared" si="68"/>
        <v>-2891.5700000000652</v>
      </c>
      <c r="Y228" s="2"/>
      <c r="Z228" s="7">
        <f t="shared" si="69"/>
        <v>-7.940385092351912E-3</v>
      </c>
    </row>
    <row r="229" spans="1:26" s="24" customFormat="1" hidden="1" outlineLevel="2" x14ac:dyDescent="0.25">
      <c r="A229" s="26"/>
      <c r="B229" s="11" t="str">
        <f>CONCATENATE("          ", "6322", " - ", "EQUIPMENT DEPRECIATION EXPENSE")</f>
        <v xml:space="preserve">          6322 - EQUIPMENT DEPRECIATION EXPENSE</v>
      </c>
      <c r="C229" s="11"/>
      <c r="D229" s="6">
        <v>32587.119999999999</v>
      </c>
      <c r="E229" s="2"/>
      <c r="F229" s="7">
        <f t="shared" si="62"/>
        <v>5.9669126964620324E-2</v>
      </c>
      <c r="G229" s="2"/>
      <c r="H229" s="6">
        <v>34164.83</v>
      </c>
      <c r="I229" s="2"/>
      <c r="J229" s="7">
        <f t="shared" si="63"/>
        <v>9.8551176839453049E-3</v>
      </c>
      <c r="K229" s="2"/>
      <c r="L229" s="6">
        <f t="shared" si="64"/>
        <v>-1577.7100000000028</v>
      </c>
      <c r="M229" s="2"/>
      <c r="N229" s="7">
        <f t="shared" si="65"/>
        <v>-4.6179360470987349E-2</v>
      </c>
      <c r="O229" s="11"/>
      <c r="P229" s="6">
        <v>262684.62</v>
      </c>
      <c r="Q229" s="2"/>
      <c r="R229" s="7">
        <f t="shared" si="66"/>
        <v>3.673198738920256E-2</v>
      </c>
      <c r="S229" s="2"/>
      <c r="T229" s="6">
        <v>260567.68999999997</v>
      </c>
      <c r="U229" s="2"/>
      <c r="V229" s="7">
        <f t="shared" si="67"/>
        <v>1.0340641087412837E-2</v>
      </c>
      <c r="W229" s="2"/>
      <c r="X229" s="6">
        <f t="shared" si="68"/>
        <v>2116.9300000000221</v>
      </c>
      <c r="Y229" s="2"/>
      <c r="Z229" s="7">
        <f t="shared" si="69"/>
        <v>8.1242996781374626E-3</v>
      </c>
    </row>
    <row r="230" spans="1:26" s="24" customFormat="1" hidden="1" outlineLevel="2" x14ac:dyDescent="0.25">
      <c r="A230" s="26"/>
      <c r="B230" s="11" t="str">
        <f>CONCATENATE("          ", "6326", " - ", "VEHICLES DEPRECIATION EXPENSE")</f>
        <v xml:space="preserve">          6326 - VEHICLES DEPRECIATION EXPENSE</v>
      </c>
      <c r="C230" s="11"/>
      <c r="D230" s="6"/>
      <c r="E230" s="2"/>
      <c r="F230" s="7">
        <f t="shared" si="62"/>
        <v>0</v>
      </c>
      <c r="G230" s="2"/>
      <c r="H230" s="6">
        <v>424.25</v>
      </c>
      <c r="I230" s="2"/>
      <c r="J230" s="7">
        <f t="shared" si="63"/>
        <v>1.223782959673382E-4</v>
      </c>
      <c r="K230" s="2"/>
      <c r="L230" s="6">
        <f t="shared" si="64"/>
        <v>-424.25</v>
      </c>
      <c r="M230" s="2"/>
      <c r="N230" s="7">
        <f t="shared" si="65"/>
        <v>-1</v>
      </c>
      <c r="O230" s="11"/>
      <c r="P230" s="6"/>
      <c r="Q230" s="2"/>
      <c r="R230" s="7">
        <f t="shared" si="66"/>
        <v>0</v>
      </c>
      <c r="S230" s="2"/>
      <c r="T230" s="6">
        <v>3394</v>
      </c>
      <c r="U230" s="2"/>
      <c r="V230" s="7">
        <f t="shared" si="67"/>
        <v>1.3469105033966095E-4</v>
      </c>
      <c r="W230" s="2"/>
      <c r="X230" s="6">
        <f t="shared" si="68"/>
        <v>-3394</v>
      </c>
      <c r="Y230" s="2"/>
      <c r="Z230" s="7">
        <f t="shared" si="69"/>
        <v>-1</v>
      </c>
    </row>
    <row r="231" spans="1:26" s="25" customFormat="1" outlineLevel="1" collapsed="1" x14ac:dyDescent="0.25">
      <c r="A231" s="27"/>
      <c r="B231" s="13" t="str">
        <f>CONCATENATE("     ","Discounts and Markdowns                           ")</f>
        <v xml:space="preserve">     Discounts and Markdowns                           </v>
      </c>
      <c r="C231" s="13"/>
      <c r="D231" s="1">
        <f>SUM(OSRRefD22_6x_0)</f>
        <v>42.86</v>
      </c>
      <c r="E231" s="1"/>
      <c r="F231" s="5">
        <f t="shared" ref="F231:F233" si="70">IF(D$12=0,0,D231/D$12)</f>
        <v>7.8479435485665099E-5</v>
      </c>
      <c r="G231" s="1"/>
      <c r="H231" s="1">
        <f>SUM(OSRRefH22_6x_0)</f>
        <v>33293.860000000008</v>
      </c>
      <c r="I231" s="1"/>
      <c r="J231" s="5">
        <f t="shared" ref="J231:J233" si="71">IF(H$12=0,0,H231/H$12)</f>
        <v>9.603879441308482E-3</v>
      </c>
      <c r="K231" s="1"/>
      <c r="L231" s="1">
        <f t="shared" ref="L231:L233" si="72">+D231-H231</f>
        <v>-33251.000000000007</v>
      </c>
      <c r="M231" s="1"/>
      <c r="N231" s="5">
        <f t="shared" ref="N231:N233" si="73">IF(H231=0,0,L231/H231)</f>
        <v>-0.99871267555038679</v>
      </c>
      <c r="O231" s="13"/>
      <c r="P231" s="1">
        <f>SUM(OSRRefP22_6x_0)</f>
        <v>0</v>
      </c>
      <c r="Q231" s="1"/>
      <c r="R231" s="5">
        <f t="shared" ref="R231:R233" si="74">IF(P$12=0,0,P231/P$12)</f>
        <v>0</v>
      </c>
      <c r="S231" s="1"/>
      <c r="T231" s="1">
        <f>SUM(OSRRefT22_6x_0)</f>
        <v>308773.95999999996</v>
      </c>
      <c r="U231" s="1"/>
      <c r="V231" s="5">
        <f t="shared" ref="V231:V233" si="75">IF(T$12=0,0,T231/T$12)</f>
        <v>1.2253709189727888E-2</v>
      </c>
      <c r="W231" s="1"/>
      <c r="X231" s="1">
        <f t="shared" ref="X231:X233" si="76">+P231-T231</f>
        <v>-308773.95999999996</v>
      </c>
      <c r="Y231" s="1"/>
      <c r="Z231" s="5">
        <f t="shared" ref="Z231:Z233" si="77">IF(T231=0,0,X231/T231)</f>
        <v>-1</v>
      </c>
    </row>
    <row r="232" spans="1:26" s="24" customFormat="1" hidden="1" outlineLevel="2" x14ac:dyDescent="0.25">
      <c r="A232" s="26"/>
      <c r="B232" s="11" t="str">
        <f>CONCATENATE("          ", "6382", " - ", "DISCOUNTS/MARK DOWNS")</f>
        <v xml:space="preserve">          6382 - DISCOUNTS/MARK DOWNS</v>
      </c>
      <c r="C232" s="11"/>
      <c r="D232" s="6"/>
      <c r="E232" s="2"/>
      <c r="F232" s="7">
        <f t="shared" si="70"/>
        <v>0</v>
      </c>
      <c r="G232" s="2"/>
      <c r="H232" s="6">
        <v>33482.630000000005</v>
      </c>
      <c r="I232" s="2"/>
      <c r="J232" s="7">
        <f t="shared" si="71"/>
        <v>9.6583316532819746E-3</v>
      </c>
      <c r="K232" s="2"/>
      <c r="L232" s="6">
        <f t="shared" si="72"/>
        <v>-33482.630000000005</v>
      </c>
      <c r="M232" s="2"/>
      <c r="N232" s="7">
        <f t="shared" si="73"/>
        <v>-1</v>
      </c>
      <c r="O232" s="11"/>
      <c r="P232" s="6">
        <v>0</v>
      </c>
      <c r="Q232" s="2"/>
      <c r="R232" s="7">
        <f t="shared" si="74"/>
        <v>0</v>
      </c>
      <c r="S232" s="2"/>
      <c r="T232" s="6">
        <v>311869.73</v>
      </c>
      <c r="U232" s="2"/>
      <c r="V232" s="7">
        <f t="shared" si="75"/>
        <v>1.237656496842854E-2</v>
      </c>
      <c r="W232" s="2"/>
      <c r="X232" s="6">
        <f t="shared" si="76"/>
        <v>-311869.73</v>
      </c>
      <c r="Y232" s="2"/>
      <c r="Z232" s="7">
        <f t="shared" si="77"/>
        <v>-1</v>
      </c>
    </row>
    <row r="233" spans="1:26" s="24" customFormat="1" hidden="1" outlineLevel="2" x14ac:dyDescent="0.25">
      <c r="A233" s="26"/>
      <c r="B233" s="11" t="str">
        <f>CONCATENATE("          ", "9175", " - ", "EARNED DISCOUNTS")</f>
        <v xml:space="preserve">          9175 - EARNED DISCOUNTS</v>
      </c>
      <c r="C233" s="11"/>
      <c r="D233" s="6">
        <v>42.86</v>
      </c>
      <c r="E233" s="2"/>
      <c r="F233" s="7">
        <f t="shared" si="70"/>
        <v>7.8479435485665099E-5</v>
      </c>
      <c r="G233" s="2"/>
      <c r="H233" s="6">
        <v>-188.77</v>
      </c>
      <c r="I233" s="2"/>
      <c r="J233" s="7">
        <f t="shared" si="71"/>
        <v>-5.4452211973493066E-5</v>
      </c>
      <c r="K233" s="2"/>
      <c r="L233" s="6">
        <f t="shared" si="72"/>
        <v>231.63</v>
      </c>
      <c r="M233" s="2"/>
      <c r="N233" s="7">
        <f t="shared" si="73"/>
        <v>-1.2270487895322348</v>
      </c>
      <c r="O233" s="11"/>
      <c r="P233" s="6">
        <v>0</v>
      </c>
      <c r="Q233" s="2"/>
      <c r="R233" s="7">
        <f t="shared" si="74"/>
        <v>0</v>
      </c>
      <c r="S233" s="2"/>
      <c r="T233" s="6">
        <v>-3095.77</v>
      </c>
      <c r="U233" s="2"/>
      <c r="V233" s="7">
        <f t="shared" si="75"/>
        <v>-1.2285577870065179E-4</v>
      </c>
      <c r="W233" s="2"/>
      <c r="X233" s="6">
        <f t="shared" si="76"/>
        <v>3095.77</v>
      </c>
      <c r="Y233" s="2"/>
      <c r="Z233" s="7">
        <f t="shared" si="77"/>
        <v>-1</v>
      </c>
    </row>
    <row r="234" spans="1:26" s="25" customFormat="1" outlineLevel="1" collapsed="1" x14ac:dyDescent="0.25">
      <c r="A234" s="27"/>
      <c r="B234" s="13" t="str">
        <f>CONCATENATE("     ","Donations                                         ")</f>
        <v xml:space="preserve">     Donations                                         </v>
      </c>
      <c r="C234" s="13"/>
      <c r="D234" s="1">
        <f>SUM(OSRRefD22_7x_0)</f>
        <v>5361.28</v>
      </c>
      <c r="E234" s="1"/>
      <c r="F234" s="5">
        <f t="shared" ref="F234:F242" si="78">IF(D$12=0,0,D234/D$12)</f>
        <v>9.8168508604896537E-3</v>
      </c>
      <c r="G234" s="1"/>
      <c r="H234" s="1">
        <f>SUM(OSRRefH22_7x_0)</f>
        <v>20791.060000000001</v>
      </c>
      <c r="I234" s="1"/>
      <c r="J234" s="5">
        <f t="shared" ref="J234:J242" si="79">IF(H$12=0,0,H234/H$12)</f>
        <v>5.9973470693098097E-3</v>
      </c>
      <c r="K234" s="1"/>
      <c r="L234" s="1">
        <f t="shared" ref="L234:L242" si="80">+D234-H234</f>
        <v>-15429.780000000002</v>
      </c>
      <c r="M234" s="1"/>
      <c r="N234" s="5">
        <f t="shared" ref="N234:N242" si="81">IF(H234=0,0,L234/H234)</f>
        <v>-0.74213532162381335</v>
      </c>
      <c r="O234" s="13"/>
      <c r="P234" s="1">
        <f>SUM(OSRRefP22_7x_0)</f>
        <v>43642.43</v>
      </c>
      <c r="Q234" s="1"/>
      <c r="R234" s="5">
        <f t="shared" ref="R234:R242" si="82">IF(P$12=0,0,P234/P$12)</f>
        <v>6.1026533962824153E-3</v>
      </c>
      <c r="S234" s="1"/>
      <c r="T234" s="1">
        <f>SUM(OSRRefT22_7x_0)</f>
        <v>117745.17</v>
      </c>
      <c r="U234" s="1"/>
      <c r="V234" s="5">
        <f t="shared" ref="V234:V242" si="83">IF(T$12=0,0,T234/T$12)</f>
        <v>4.6727226339781779E-3</v>
      </c>
      <c r="W234" s="1"/>
      <c r="X234" s="1">
        <f t="shared" ref="X234:X242" si="84">+P234-T234</f>
        <v>-74102.739999999991</v>
      </c>
      <c r="Y234" s="1"/>
      <c r="Z234" s="5">
        <f t="shared" ref="Z234:Z242" si="85">IF(T234=0,0,X234/T234)</f>
        <v>-0.62934844800852541</v>
      </c>
    </row>
    <row r="235" spans="1:26" s="24" customFormat="1" hidden="1" outlineLevel="2" x14ac:dyDescent="0.25">
      <c r="A235" s="26"/>
      <c r="B235" s="11" t="str">
        <f>CONCATENATE("          ", "6399", " - ", "DONATION-ON CAMPUS")</f>
        <v xml:space="preserve">          6399 - DONATION-ON CAMPUS</v>
      </c>
      <c r="C235" s="11"/>
      <c r="D235" s="6">
        <v>5361.28</v>
      </c>
      <c r="E235" s="2"/>
      <c r="F235" s="7">
        <f t="shared" si="78"/>
        <v>9.8168508604896537E-3</v>
      </c>
      <c r="G235" s="2"/>
      <c r="H235" s="6">
        <v>20791.060000000001</v>
      </c>
      <c r="I235" s="2"/>
      <c r="J235" s="7">
        <f t="shared" si="79"/>
        <v>5.9973470693098097E-3</v>
      </c>
      <c r="K235" s="2"/>
      <c r="L235" s="6">
        <f t="shared" si="80"/>
        <v>-15429.780000000002</v>
      </c>
      <c r="M235" s="2"/>
      <c r="N235" s="7">
        <f t="shared" si="81"/>
        <v>-0.74213532162381335</v>
      </c>
      <c r="O235" s="11"/>
      <c r="P235" s="6">
        <v>43642.43</v>
      </c>
      <c r="Q235" s="2"/>
      <c r="R235" s="7">
        <f t="shared" si="82"/>
        <v>6.1026533962824153E-3</v>
      </c>
      <c r="S235" s="2"/>
      <c r="T235" s="6">
        <v>117745.17</v>
      </c>
      <c r="U235" s="2"/>
      <c r="V235" s="7">
        <f t="shared" si="83"/>
        <v>4.6727226339781779E-3</v>
      </c>
      <c r="W235" s="2"/>
      <c r="X235" s="6">
        <f t="shared" si="84"/>
        <v>-74102.739999999991</v>
      </c>
      <c r="Y235" s="2"/>
      <c r="Z235" s="7">
        <f t="shared" si="85"/>
        <v>-0.62934844800852541</v>
      </c>
    </row>
    <row r="236" spans="1:26" s="25" customFormat="1" outlineLevel="1" collapsed="1" x14ac:dyDescent="0.25">
      <c r="A236" s="27"/>
      <c r="B236" s="13" t="str">
        <f>CONCATENATE("     ","Employees' Appreciation                           ")</f>
        <v xml:space="preserve">     Employees' Appreciation                           </v>
      </c>
      <c r="C236" s="13"/>
      <c r="D236" s="1">
        <f>SUM(OSRRefD22_8x_0)</f>
        <v>0</v>
      </c>
      <c r="E236" s="1"/>
      <c r="F236" s="5">
        <f t="shared" si="78"/>
        <v>0</v>
      </c>
      <c r="G236" s="1"/>
      <c r="H236" s="1">
        <f>SUM(OSRRefH22_8x_0)</f>
        <v>204.47</v>
      </c>
      <c r="I236" s="1"/>
      <c r="J236" s="5">
        <f t="shared" si="79"/>
        <v>5.8981002183716305E-5</v>
      </c>
      <c r="K236" s="1"/>
      <c r="L236" s="1">
        <f t="shared" si="80"/>
        <v>-204.47</v>
      </c>
      <c r="M236" s="1"/>
      <c r="N236" s="5">
        <f t="shared" si="81"/>
        <v>-1</v>
      </c>
      <c r="O236" s="13"/>
      <c r="P236" s="1">
        <f>SUM(OSRRefP22_8x_0)</f>
        <v>196.03</v>
      </c>
      <c r="Q236" s="1"/>
      <c r="R236" s="5">
        <f t="shared" si="82"/>
        <v>2.7411469647158554E-5</v>
      </c>
      <c r="S236" s="1"/>
      <c r="T236" s="1">
        <f>SUM(OSRRefT22_8x_0)</f>
        <v>4770.66</v>
      </c>
      <c r="U236" s="1"/>
      <c r="V236" s="5">
        <f t="shared" si="83"/>
        <v>1.8932386747595961E-4</v>
      </c>
      <c r="W236" s="1"/>
      <c r="X236" s="1">
        <f t="shared" si="84"/>
        <v>-4574.63</v>
      </c>
      <c r="Y236" s="1"/>
      <c r="Z236" s="5">
        <f t="shared" si="85"/>
        <v>-0.95890924945395406</v>
      </c>
    </row>
    <row r="237" spans="1:26" s="24" customFormat="1" hidden="1" outlineLevel="2" x14ac:dyDescent="0.25">
      <c r="A237" s="26"/>
      <c r="B237" s="11" t="str">
        <f>CONCATENATE("          ", "6277", " - ", "EMPLOYEE APPRECIATION")</f>
        <v xml:space="preserve">          6277 - EMPLOYEE APPRECIATION</v>
      </c>
      <c r="C237" s="11"/>
      <c r="D237" s="6"/>
      <c r="E237" s="2"/>
      <c r="F237" s="7">
        <f t="shared" si="78"/>
        <v>0</v>
      </c>
      <c r="G237" s="2"/>
      <c r="H237" s="6">
        <v>204.47</v>
      </c>
      <c r="I237" s="2"/>
      <c r="J237" s="7">
        <f t="shared" si="79"/>
        <v>5.8981002183716305E-5</v>
      </c>
      <c r="K237" s="2"/>
      <c r="L237" s="6">
        <f t="shared" si="80"/>
        <v>-204.47</v>
      </c>
      <c r="M237" s="2"/>
      <c r="N237" s="7">
        <f t="shared" si="81"/>
        <v>-1</v>
      </c>
      <c r="O237" s="11"/>
      <c r="P237" s="6">
        <v>196.03</v>
      </c>
      <c r="Q237" s="2"/>
      <c r="R237" s="7">
        <f t="shared" si="82"/>
        <v>2.7411469647158554E-5</v>
      </c>
      <c r="S237" s="2"/>
      <c r="T237" s="6">
        <v>4770.66</v>
      </c>
      <c r="U237" s="2"/>
      <c r="V237" s="7">
        <f t="shared" si="83"/>
        <v>1.8932386747595961E-4</v>
      </c>
      <c r="W237" s="2"/>
      <c r="X237" s="6">
        <f t="shared" si="84"/>
        <v>-4574.63</v>
      </c>
      <c r="Y237" s="2"/>
      <c r="Z237" s="7">
        <f t="shared" si="85"/>
        <v>-0.95890924945395406</v>
      </c>
    </row>
    <row r="238" spans="1:26" s="25" customFormat="1" outlineLevel="1" collapsed="1" x14ac:dyDescent="0.25">
      <c r="A238" s="27"/>
      <c r="B238" s="13" t="str">
        <f>CONCATENATE("     ","Equipment Rental                                  ")</f>
        <v xml:space="preserve">     Equipment Rental                                  </v>
      </c>
      <c r="C238" s="13"/>
      <c r="D238" s="1">
        <f>SUM(OSRRefD22_9x_0)</f>
        <v>2772.7</v>
      </c>
      <c r="E238" s="1"/>
      <c r="F238" s="5">
        <f t="shared" si="78"/>
        <v>5.0769932517756326E-3</v>
      </c>
      <c r="G238" s="1"/>
      <c r="H238" s="1">
        <f>SUM(OSRRefH22_9x_0)</f>
        <v>4018.93</v>
      </c>
      <c r="I238" s="1"/>
      <c r="J238" s="5">
        <f t="shared" si="79"/>
        <v>1.1592924101638527E-3</v>
      </c>
      <c r="K238" s="1"/>
      <c r="L238" s="1">
        <f t="shared" si="80"/>
        <v>-1246.23</v>
      </c>
      <c r="M238" s="1"/>
      <c r="N238" s="5">
        <f t="shared" si="81"/>
        <v>-0.31008999907935697</v>
      </c>
      <c r="O238" s="13"/>
      <c r="P238" s="1">
        <f>SUM(OSRRefP22_9x_0)</f>
        <v>21148.05</v>
      </c>
      <c r="Q238" s="1"/>
      <c r="R238" s="5">
        <f t="shared" si="82"/>
        <v>2.9571959938355934E-3</v>
      </c>
      <c r="S238" s="1"/>
      <c r="T238" s="1">
        <f>SUM(OSRRefT22_9x_0)</f>
        <v>40728.39</v>
      </c>
      <c r="U238" s="1"/>
      <c r="V238" s="5">
        <f t="shared" si="83"/>
        <v>1.6163080812443558E-3</v>
      </c>
      <c r="W238" s="1"/>
      <c r="X238" s="1">
        <f t="shared" si="84"/>
        <v>-19580.34</v>
      </c>
      <c r="Y238" s="1"/>
      <c r="Z238" s="5">
        <f t="shared" si="85"/>
        <v>-0.48075408824164179</v>
      </c>
    </row>
    <row r="239" spans="1:26" s="24" customFormat="1" hidden="1" outlineLevel="2" x14ac:dyDescent="0.25">
      <c r="A239" s="26"/>
      <c r="B239" s="11" t="str">
        <f>CONCATENATE("          ", "6351", " - ", "EQUIPMENT RENTAL")</f>
        <v xml:space="preserve">          6351 - EQUIPMENT RENTAL</v>
      </c>
      <c r="C239" s="11"/>
      <c r="D239" s="6">
        <v>2772.7</v>
      </c>
      <c r="E239" s="2"/>
      <c r="F239" s="7">
        <f t="shared" si="78"/>
        <v>5.0769932517756326E-3</v>
      </c>
      <c r="G239" s="2"/>
      <c r="H239" s="6">
        <v>4018.93</v>
      </c>
      <c r="I239" s="2"/>
      <c r="J239" s="7">
        <f t="shared" si="79"/>
        <v>1.1592924101638527E-3</v>
      </c>
      <c r="K239" s="2"/>
      <c r="L239" s="6">
        <f t="shared" si="80"/>
        <v>-1246.23</v>
      </c>
      <c r="M239" s="2"/>
      <c r="N239" s="7">
        <f t="shared" si="81"/>
        <v>-0.31008999907935697</v>
      </c>
      <c r="O239" s="11"/>
      <c r="P239" s="6">
        <v>21148.05</v>
      </c>
      <c r="Q239" s="2"/>
      <c r="R239" s="7">
        <f t="shared" si="82"/>
        <v>2.9571959938355934E-3</v>
      </c>
      <c r="S239" s="2"/>
      <c r="T239" s="6">
        <v>40728.39</v>
      </c>
      <c r="U239" s="2"/>
      <c r="V239" s="7">
        <f t="shared" si="83"/>
        <v>1.6163080812443558E-3</v>
      </c>
      <c r="W239" s="2"/>
      <c r="X239" s="6">
        <f t="shared" si="84"/>
        <v>-19580.34</v>
      </c>
      <c r="Y239" s="2"/>
      <c r="Z239" s="7">
        <f t="shared" si="85"/>
        <v>-0.48075408824164179</v>
      </c>
    </row>
    <row r="240" spans="1:26" s="25" customFormat="1" outlineLevel="1" collapsed="1" x14ac:dyDescent="0.25">
      <c r="A240" s="27"/>
      <c r="B240" s="13" t="str">
        <f>CONCATENATE("     ","Freight out/Postage                               ")</f>
        <v xml:space="preserve">     Freight out/Postage                               </v>
      </c>
      <c r="C240" s="13"/>
      <c r="D240" s="1">
        <f>SUM(OSRRefD22_10x_0)</f>
        <v>4344.1700000000019</v>
      </c>
      <c r="E240" s="1"/>
      <c r="F240" s="5">
        <f t="shared" si="78"/>
        <v>7.9544565854820799E-3</v>
      </c>
      <c r="G240" s="1"/>
      <c r="H240" s="1">
        <f>SUM(OSRRefH22_10x_0)</f>
        <v>5448.8099999999995</v>
      </c>
      <c r="I240" s="1"/>
      <c r="J240" s="5">
        <f t="shared" si="79"/>
        <v>1.5717526997048722E-3</v>
      </c>
      <c r="K240" s="1"/>
      <c r="L240" s="1">
        <f t="shared" si="80"/>
        <v>-1104.6399999999976</v>
      </c>
      <c r="M240" s="1"/>
      <c r="N240" s="5">
        <f t="shared" si="81"/>
        <v>-0.2027305044587713</v>
      </c>
      <c r="O240" s="13"/>
      <c r="P240" s="1">
        <f>SUM(OSRRefP22_10x_0)</f>
        <v>-31366.97</v>
      </c>
      <c r="Q240" s="1"/>
      <c r="R240" s="5">
        <f t="shared" si="82"/>
        <v>-4.3861385812290618E-3</v>
      </c>
      <c r="S240" s="1"/>
      <c r="T240" s="1">
        <f>SUM(OSRRefT22_10x_0)</f>
        <v>-933.65000000000873</v>
      </c>
      <c r="U240" s="1"/>
      <c r="V240" s="5">
        <f t="shared" si="83"/>
        <v>-3.7051944357579733E-5</v>
      </c>
      <c r="W240" s="1"/>
      <c r="X240" s="1">
        <f t="shared" si="84"/>
        <v>-30433.319999999992</v>
      </c>
      <c r="Y240" s="1"/>
      <c r="Z240" s="5">
        <f t="shared" si="85"/>
        <v>32.596069190809949</v>
      </c>
    </row>
    <row r="241" spans="1:26" s="24" customFormat="1" hidden="1" outlineLevel="2" x14ac:dyDescent="0.25">
      <c r="A241" s="26"/>
      <c r="B241" s="11" t="str">
        <f>CONCATENATE("          ", "6305", " - ", "FREIGHT OUT")</f>
        <v xml:space="preserve">          6305 - FREIGHT OUT</v>
      </c>
      <c r="C241" s="11"/>
      <c r="D241" s="6">
        <v>26356.7</v>
      </c>
      <c r="E241" s="2"/>
      <c r="F241" s="7">
        <f t="shared" si="78"/>
        <v>4.8260824481218607E-2</v>
      </c>
      <c r="G241" s="2"/>
      <c r="H241" s="6">
        <v>8993.6299999999992</v>
      </c>
      <c r="I241" s="2"/>
      <c r="J241" s="7">
        <f t="shared" si="79"/>
        <v>2.5942842992592381E-3</v>
      </c>
      <c r="K241" s="2"/>
      <c r="L241" s="6">
        <f t="shared" si="80"/>
        <v>17363.07</v>
      </c>
      <c r="M241" s="2"/>
      <c r="N241" s="7">
        <f t="shared" si="81"/>
        <v>1.9305964332533139</v>
      </c>
      <c r="O241" s="11"/>
      <c r="P241" s="6">
        <v>162946.46</v>
      </c>
      <c r="Q241" s="2"/>
      <c r="R241" s="7">
        <f t="shared" si="82"/>
        <v>2.2785297874824952E-2</v>
      </c>
      <c r="S241" s="2"/>
      <c r="T241" s="6">
        <v>46288.979999999996</v>
      </c>
      <c r="U241" s="2"/>
      <c r="V241" s="7">
        <f t="shared" si="83"/>
        <v>1.8369803580882611E-3</v>
      </c>
      <c r="W241" s="2"/>
      <c r="X241" s="6">
        <f t="shared" si="84"/>
        <v>116657.48</v>
      </c>
      <c r="Y241" s="2"/>
      <c r="Z241" s="7">
        <f t="shared" si="85"/>
        <v>2.5201998402211498</v>
      </c>
    </row>
    <row r="242" spans="1:26" s="24" customFormat="1" hidden="1" outlineLevel="2" x14ac:dyDescent="0.25">
      <c r="A242" s="26"/>
      <c r="B242" s="11" t="str">
        <f>CONCATENATE("          ", "6307", " - ", "POSTAGE")</f>
        <v xml:space="preserve">          6307 - POSTAGE</v>
      </c>
      <c r="C242" s="11"/>
      <c r="D242" s="6">
        <v>-22012.53</v>
      </c>
      <c r="E242" s="2"/>
      <c r="F242" s="7">
        <f t="shared" si="78"/>
        <v>-4.0306367895736529E-2</v>
      </c>
      <c r="G242" s="2"/>
      <c r="H242" s="6">
        <v>-3544.82</v>
      </c>
      <c r="I242" s="2"/>
      <c r="J242" s="7">
        <f t="shared" si="79"/>
        <v>-1.0225315995543661E-3</v>
      </c>
      <c r="K242" s="2"/>
      <c r="L242" s="6">
        <f t="shared" si="80"/>
        <v>-18467.71</v>
      </c>
      <c r="M242" s="2"/>
      <c r="N242" s="7">
        <f t="shared" si="81"/>
        <v>5.2097736979592755</v>
      </c>
      <c r="O242" s="11"/>
      <c r="P242" s="6">
        <v>-194313.43</v>
      </c>
      <c r="Q242" s="2"/>
      <c r="R242" s="7">
        <f t="shared" si="82"/>
        <v>-2.7171436456054011E-2</v>
      </c>
      <c r="S242" s="2"/>
      <c r="T242" s="6">
        <v>-47222.630000000005</v>
      </c>
      <c r="U242" s="2"/>
      <c r="V242" s="7">
        <f t="shared" si="83"/>
        <v>-1.8740323024458408E-3</v>
      </c>
      <c r="W242" s="2"/>
      <c r="X242" s="6">
        <f t="shared" si="84"/>
        <v>-147090.79999999999</v>
      </c>
      <c r="Y242" s="2"/>
      <c r="Z242" s="7">
        <f t="shared" si="85"/>
        <v>3.1148371024654913</v>
      </c>
    </row>
    <row r="243" spans="1:26" s="25" customFormat="1" outlineLevel="1" collapsed="1" x14ac:dyDescent="0.25">
      <c r="A243" s="27"/>
      <c r="B243" s="13" t="str">
        <f>CONCATENATE("     ","General                                           ")</f>
        <v xml:space="preserve">     General                                           </v>
      </c>
      <c r="C243" s="13"/>
      <c r="D243" s="1">
        <f>SUM(OSRRefD22_11x_0)</f>
        <v>1888.82</v>
      </c>
      <c r="E243" s="1"/>
      <c r="F243" s="5">
        <f t="shared" ref="F243:F245" si="86">IF(D$12=0,0,D243/D$12)</f>
        <v>3.4585517343451696E-3</v>
      </c>
      <c r="G243" s="1"/>
      <c r="H243" s="1">
        <f>SUM(OSRRefH22_11x_0)</f>
        <v>7673.39</v>
      </c>
      <c r="I243" s="1"/>
      <c r="J243" s="5">
        <f t="shared" ref="J243:J245" si="87">IF(H$12=0,0,H243/H$12)</f>
        <v>2.2134505421162365E-3</v>
      </c>
      <c r="K243" s="1"/>
      <c r="L243" s="1">
        <f t="shared" ref="L243:L245" si="88">+D243-H243</f>
        <v>-5784.5700000000006</v>
      </c>
      <c r="M243" s="1"/>
      <c r="N243" s="5">
        <f t="shared" ref="N243:N245" si="89">IF(H243=0,0,L243/H243)</f>
        <v>-0.75384803848103643</v>
      </c>
      <c r="O243" s="13"/>
      <c r="P243" s="1">
        <f>SUM(OSRRefP22_11x_0)</f>
        <v>19397.04</v>
      </c>
      <c r="Q243" s="1"/>
      <c r="R243" s="5">
        <f t="shared" ref="R243:R245" si="90">IF(P$12=0,0,P243/P$12)</f>
        <v>2.7123469530414752E-3</v>
      </c>
      <c r="S243" s="1"/>
      <c r="T243" s="1">
        <f>SUM(OSRRefT22_11x_0)</f>
        <v>100520.09999999999</v>
      </c>
      <c r="U243" s="1"/>
      <c r="V243" s="5">
        <f t="shared" ref="V243:V245" si="91">IF(T$12=0,0,T243/T$12)</f>
        <v>3.9891449172798328E-3</v>
      </c>
      <c r="W243" s="1"/>
      <c r="X243" s="1">
        <f t="shared" ref="X243:X245" si="92">+P243-T243</f>
        <v>-81123.06</v>
      </c>
      <c r="Y243" s="1"/>
      <c r="Z243" s="5">
        <f t="shared" ref="Z243:Z245" si="93">IF(T243=0,0,X243/T243)</f>
        <v>-0.80703322022162738</v>
      </c>
    </row>
    <row r="244" spans="1:26" s="24" customFormat="1" hidden="1" outlineLevel="2" x14ac:dyDescent="0.25">
      <c r="A244" s="26"/>
      <c r="B244" s="11" t="str">
        <f>CONCATENATE("          ", "6269", " - ", "ENTERTAINMENT")</f>
        <v xml:space="preserve">          6269 - ENTERTAINMENT</v>
      </c>
      <c r="C244" s="11"/>
      <c r="D244" s="6"/>
      <c r="E244" s="2"/>
      <c r="F244" s="7">
        <f t="shared" si="86"/>
        <v>0</v>
      </c>
      <c r="G244" s="2"/>
      <c r="H244" s="6">
        <v>2700</v>
      </c>
      <c r="I244" s="2"/>
      <c r="J244" s="7">
        <f t="shared" si="87"/>
        <v>7.7883653296832798E-4</v>
      </c>
      <c r="K244" s="2"/>
      <c r="L244" s="6">
        <f t="shared" si="88"/>
        <v>-2700</v>
      </c>
      <c r="M244" s="2"/>
      <c r="N244" s="7">
        <f t="shared" si="89"/>
        <v>-1</v>
      </c>
      <c r="O244" s="11"/>
      <c r="P244" s="6"/>
      <c r="Q244" s="2"/>
      <c r="R244" s="7">
        <f t="shared" si="90"/>
        <v>0</v>
      </c>
      <c r="S244" s="2"/>
      <c r="T244" s="6">
        <v>10050</v>
      </c>
      <c r="U244" s="2"/>
      <c r="V244" s="7">
        <f t="shared" si="91"/>
        <v>3.9883472478302666E-4</v>
      </c>
      <c r="W244" s="2"/>
      <c r="X244" s="6">
        <f t="shared" si="92"/>
        <v>-10050</v>
      </c>
      <c r="Y244" s="2"/>
      <c r="Z244" s="7">
        <f t="shared" si="93"/>
        <v>-1</v>
      </c>
    </row>
    <row r="245" spans="1:26" s="24" customFormat="1" hidden="1" outlineLevel="2" x14ac:dyDescent="0.25">
      <c r="A245" s="26"/>
      <c r="B245" s="11" t="str">
        <f>CONCATENATE("          ", "6279", " - ", "GENERAL EXPENSE")</f>
        <v xml:space="preserve">          6279 - GENERAL EXPENSE</v>
      </c>
      <c r="C245" s="11"/>
      <c r="D245" s="6">
        <v>1888.82</v>
      </c>
      <c r="E245" s="2"/>
      <c r="F245" s="7">
        <f t="shared" si="86"/>
        <v>3.4585517343451696E-3</v>
      </c>
      <c r="G245" s="2"/>
      <c r="H245" s="6">
        <v>4973.3900000000003</v>
      </c>
      <c r="I245" s="2"/>
      <c r="J245" s="7">
        <f t="shared" si="87"/>
        <v>1.4346140091479086E-3</v>
      </c>
      <c r="K245" s="2"/>
      <c r="L245" s="6">
        <f t="shared" si="88"/>
        <v>-3084.5700000000006</v>
      </c>
      <c r="M245" s="2"/>
      <c r="N245" s="7">
        <f t="shared" si="89"/>
        <v>-0.62021478307552802</v>
      </c>
      <c r="O245" s="11"/>
      <c r="P245" s="6">
        <v>19397.04</v>
      </c>
      <c r="Q245" s="2"/>
      <c r="R245" s="7">
        <f t="shared" si="90"/>
        <v>2.7123469530414752E-3</v>
      </c>
      <c r="S245" s="2"/>
      <c r="T245" s="6">
        <v>90470.099999999991</v>
      </c>
      <c r="U245" s="2"/>
      <c r="V245" s="7">
        <f t="shared" si="91"/>
        <v>3.590310192496806E-3</v>
      </c>
      <c r="W245" s="2"/>
      <c r="X245" s="6">
        <f t="shared" si="92"/>
        <v>-71073.06</v>
      </c>
      <c r="Y245" s="2"/>
      <c r="Z245" s="7">
        <f t="shared" si="93"/>
        <v>-0.78559723046619823</v>
      </c>
    </row>
    <row r="246" spans="1:26" s="25" customFormat="1" outlineLevel="1" collapsed="1" x14ac:dyDescent="0.25">
      <c r="A246" s="27"/>
      <c r="B246" s="13" t="str">
        <f>CONCATENATE("     ","Insurance                                         ")</f>
        <v xml:space="preserve">     Insurance                                         </v>
      </c>
      <c r="C246" s="13"/>
      <c r="D246" s="1">
        <f>SUM(OSRRefD22_12x_0)</f>
        <v>8563.32</v>
      </c>
      <c r="E246" s="1"/>
      <c r="F246" s="5">
        <f t="shared" ref="F246:F262" si="94">IF(D$12=0,0,D246/D$12)</f>
        <v>1.5679993455042129E-2</v>
      </c>
      <c r="G246" s="1"/>
      <c r="H246" s="1">
        <f>SUM(OSRRefH22_12x_0)</f>
        <v>14324.32</v>
      </c>
      <c r="I246" s="1"/>
      <c r="J246" s="5">
        <f t="shared" ref="J246:J262" si="95">IF(H$12=0,0,H246/H$12)</f>
        <v>4.1319643429366219E-3</v>
      </c>
      <c r="K246" s="1"/>
      <c r="L246" s="1">
        <f t="shared" ref="L246:L262" si="96">+D246-H246</f>
        <v>-5761</v>
      </c>
      <c r="M246" s="1"/>
      <c r="N246" s="5">
        <f t="shared" ref="N246:N262" si="97">IF(H246=0,0,L246/H246)</f>
        <v>-0.40218314028170271</v>
      </c>
      <c r="O246" s="13"/>
      <c r="P246" s="1">
        <f>SUM(OSRRefP22_12x_0)</f>
        <v>74618.559999999998</v>
      </c>
      <c r="Q246" s="1"/>
      <c r="R246" s="5">
        <f t="shared" ref="R246:R262" si="98">IF(P$12=0,0,P246/P$12)</f>
        <v>1.0434139634518591E-2</v>
      </c>
      <c r="S246" s="1"/>
      <c r="T246" s="1">
        <f>SUM(OSRRefT22_12x_0)</f>
        <v>74267.56</v>
      </c>
      <c r="U246" s="1"/>
      <c r="V246" s="5">
        <f t="shared" ref="V246:V262" si="99">IF(T$12=0,0,T246/T$12)</f>
        <v>2.9473116271549176E-3</v>
      </c>
      <c r="W246" s="1"/>
      <c r="X246" s="1">
        <f t="shared" ref="X246:X262" si="100">+P246-T246</f>
        <v>351</v>
      </c>
      <c r="Y246" s="1"/>
      <c r="Z246" s="5">
        <f t="shared" ref="Z246:Z262" si="101">IF(T246=0,0,X246/T246)</f>
        <v>4.7261549995718183E-3</v>
      </c>
    </row>
    <row r="247" spans="1:26" s="24" customFormat="1" hidden="1" outlineLevel="2" x14ac:dyDescent="0.25">
      <c r="A247" s="26"/>
      <c r="B247" s="11" t="str">
        <f>CONCATENATE("          ", "6314", " - ", "LIABILITY INSURANCE")</f>
        <v xml:space="preserve">          6314 - LIABILITY INSURANCE</v>
      </c>
      <c r="C247" s="11"/>
      <c r="D247" s="6">
        <v>8563.32</v>
      </c>
      <c r="E247" s="2"/>
      <c r="F247" s="7">
        <f t="shared" si="94"/>
        <v>1.5679993455042129E-2</v>
      </c>
      <c r="G247" s="2"/>
      <c r="H247" s="6">
        <v>14324.32</v>
      </c>
      <c r="I247" s="2"/>
      <c r="J247" s="7">
        <f t="shared" si="95"/>
        <v>4.1319643429366219E-3</v>
      </c>
      <c r="K247" s="2"/>
      <c r="L247" s="6">
        <f t="shared" si="96"/>
        <v>-5761</v>
      </c>
      <c r="M247" s="2"/>
      <c r="N247" s="7">
        <f t="shared" si="97"/>
        <v>-0.40218314028170271</v>
      </c>
      <c r="O247" s="11"/>
      <c r="P247" s="6">
        <v>74618.559999999998</v>
      </c>
      <c r="Q247" s="2"/>
      <c r="R247" s="7">
        <f t="shared" si="98"/>
        <v>1.0434139634518591E-2</v>
      </c>
      <c r="S247" s="2"/>
      <c r="T247" s="6">
        <v>74267.56</v>
      </c>
      <c r="U247" s="2"/>
      <c r="V247" s="7">
        <f t="shared" si="99"/>
        <v>2.9473116271549176E-3</v>
      </c>
      <c r="W247" s="2"/>
      <c r="X247" s="6">
        <f t="shared" si="100"/>
        <v>351</v>
      </c>
      <c r="Y247" s="2"/>
      <c r="Z247" s="7">
        <f t="shared" si="101"/>
        <v>4.7261549995718183E-3</v>
      </c>
    </row>
    <row r="248" spans="1:26" s="25" customFormat="1" outlineLevel="1" collapsed="1" x14ac:dyDescent="0.25">
      <c r="A248" s="27"/>
      <c r="B248" s="13" t="str">
        <f>CONCATENATE("     ","Interest                                          ")</f>
        <v xml:space="preserve">     Interest                                          </v>
      </c>
      <c r="C248" s="13"/>
      <c r="D248" s="1">
        <f>SUM(OSRRefD22_13x_0)</f>
        <v>11554</v>
      </c>
      <c r="E248" s="1"/>
      <c r="F248" s="5">
        <f t="shared" si="94"/>
        <v>2.1156122202551905E-2</v>
      </c>
      <c r="G248" s="1"/>
      <c r="H248" s="1">
        <f>SUM(OSRRefH22_13x_0)</f>
        <v>11929</v>
      </c>
      <c r="I248" s="1"/>
      <c r="J248" s="5">
        <f t="shared" si="95"/>
        <v>3.4410151858441426E-3</v>
      </c>
      <c r="K248" s="1"/>
      <c r="L248" s="1">
        <f t="shared" si="96"/>
        <v>-375</v>
      </c>
      <c r="M248" s="1"/>
      <c r="N248" s="5">
        <f t="shared" si="97"/>
        <v>-3.1435996311509763E-2</v>
      </c>
      <c r="O248" s="13"/>
      <c r="P248" s="1">
        <f>SUM(OSRRefP22_13x_0)</f>
        <v>91683</v>
      </c>
      <c r="Q248" s="1"/>
      <c r="R248" s="5">
        <f t="shared" si="98"/>
        <v>1.282031205254521E-2</v>
      </c>
      <c r="S248" s="1"/>
      <c r="T248" s="1">
        <f>SUM(OSRRefT22_13x_0)</f>
        <v>94833</v>
      </c>
      <c r="U248" s="1"/>
      <c r="V248" s="5">
        <f t="shared" si="99"/>
        <v>3.7634520851093302E-3</v>
      </c>
      <c r="W248" s="1"/>
      <c r="X248" s="1">
        <f t="shared" si="100"/>
        <v>-3150</v>
      </c>
      <c r="Y248" s="1"/>
      <c r="Z248" s="5">
        <f t="shared" si="101"/>
        <v>-3.32162854702477E-2</v>
      </c>
    </row>
    <row r="249" spans="1:26" s="24" customFormat="1" hidden="1" outlineLevel="2" x14ac:dyDescent="0.25">
      <c r="A249" s="26"/>
      <c r="B249" s="11" t="str">
        <f>CONCATENATE("          ", "6401", " - ", "INTEREST EXPENSE")</f>
        <v xml:space="preserve">          6401 - INTEREST EXPENSE</v>
      </c>
      <c r="C249" s="11"/>
      <c r="D249" s="6">
        <v>11554</v>
      </c>
      <c r="E249" s="2"/>
      <c r="F249" s="7">
        <f t="shared" si="94"/>
        <v>2.1156122202551905E-2</v>
      </c>
      <c r="G249" s="2"/>
      <c r="H249" s="6">
        <v>11929</v>
      </c>
      <c r="I249" s="2"/>
      <c r="J249" s="7">
        <f t="shared" si="95"/>
        <v>3.4410151858441426E-3</v>
      </c>
      <c r="K249" s="2"/>
      <c r="L249" s="6">
        <f t="shared" si="96"/>
        <v>-375</v>
      </c>
      <c r="M249" s="2"/>
      <c r="N249" s="7">
        <f t="shared" si="97"/>
        <v>-3.1435996311509763E-2</v>
      </c>
      <c r="O249" s="11"/>
      <c r="P249" s="6">
        <v>91683</v>
      </c>
      <c r="Q249" s="2"/>
      <c r="R249" s="7">
        <f t="shared" si="98"/>
        <v>1.282031205254521E-2</v>
      </c>
      <c r="S249" s="2"/>
      <c r="T249" s="6">
        <v>94833</v>
      </c>
      <c r="U249" s="2"/>
      <c r="V249" s="7">
        <f t="shared" si="99"/>
        <v>3.7634520851093302E-3</v>
      </c>
      <c r="W249" s="2"/>
      <c r="X249" s="6">
        <f t="shared" si="100"/>
        <v>-3150</v>
      </c>
      <c r="Y249" s="2"/>
      <c r="Z249" s="7">
        <f t="shared" si="101"/>
        <v>-3.32162854702477E-2</v>
      </c>
    </row>
    <row r="250" spans="1:26" s="25" customFormat="1" outlineLevel="1" collapsed="1" x14ac:dyDescent="0.25">
      <c r="A250" s="27"/>
      <c r="B250" s="13" t="str">
        <f>CONCATENATE("     ","Inventory Adjustment                              ")</f>
        <v xml:space="preserve">     Inventory Adjustment                              </v>
      </c>
      <c r="C250" s="13"/>
      <c r="D250" s="1">
        <f>SUM(OSRRefD22_14x_0)</f>
        <v>3350</v>
      </c>
      <c r="E250" s="1"/>
      <c r="F250" s="5">
        <f t="shared" si="94"/>
        <v>6.1340669360004227E-3</v>
      </c>
      <c r="G250" s="1"/>
      <c r="H250" s="1">
        <f>SUM(OSRRefH22_14x_0)</f>
        <v>4250</v>
      </c>
      <c r="I250" s="1"/>
      <c r="J250" s="5">
        <f t="shared" si="95"/>
        <v>1.225946394487183E-3</v>
      </c>
      <c r="K250" s="1"/>
      <c r="L250" s="1">
        <f t="shared" si="96"/>
        <v>-900</v>
      </c>
      <c r="M250" s="1"/>
      <c r="N250" s="5">
        <f t="shared" si="97"/>
        <v>-0.21176470588235294</v>
      </c>
      <c r="O250" s="13"/>
      <c r="P250" s="1">
        <f>SUM(OSRRefP22_14x_0)</f>
        <v>31800</v>
      </c>
      <c r="Q250" s="1"/>
      <c r="R250" s="5">
        <f t="shared" si="98"/>
        <v>4.4466904799247151E-3</v>
      </c>
      <c r="S250" s="1"/>
      <c r="T250" s="1">
        <f>SUM(OSRRefT22_14x_0)</f>
        <v>39700</v>
      </c>
      <c r="U250" s="1"/>
      <c r="V250" s="5">
        <f t="shared" si="99"/>
        <v>1.5754963755110606E-3</v>
      </c>
      <c r="W250" s="1"/>
      <c r="X250" s="1">
        <f t="shared" si="100"/>
        <v>-7900</v>
      </c>
      <c r="Y250" s="1"/>
      <c r="Z250" s="5">
        <f t="shared" si="101"/>
        <v>-0.19899244332493704</v>
      </c>
    </row>
    <row r="251" spans="1:26" s="24" customFormat="1" hidden="1" outlineLevel="2" x14ac:dyDescent="0.25">
      <c r="A251" s="26"/>
      <c r="B251" s="11" t="str">
        <f>CONCATENATE("          ", "6408", " - ", "INVENTORY ADJUSTMENT")</f>
        <v xml:space="preserve">          6408 - INVENTORY ADJUSTMENT</v>
      </c>
      <c r="C251" s="11"/>
      <c r="D251" s="6">
        <v>3350</v>
      </c>
      <c r="E251" s="2"/>
      <c r="F251" s="7">
        <f t="shared" si="94"/>
        <v>6.1340669360004227E-3</v>
      </c>
      <c r="G251" s="2"/>
      <c r="H251" s="6">
        <v>4250</v>
      </c>
      <c r="I251" s="2"/>
      <c r="J251" s="7">
        <f t="shared" si="95"/>
        <v>1.225946394487183E-3</v>
      </c>
      <c r="K251" s="2"/>
      <c r="L251" s="6">
        <f t="shared" si="96"/>
        <v>-900</v>
      </c>
      <c r="M251" s="2"/>
      <c r="N251" s="7">
        <f t="shared" si="97"/>
        <v>-0.21176470588235294</v>
      </c>
      <c r="O251" s="11"/>
      <c r="P251" s="6">
        <v>31800</v>
      </c>
      <c r="Q251" s="2"/>
      <c r="R251" s="7">
        <f t="shared" si="98"/>
        <v>4.4466904799247151E-3</v>
      </c>
      <c r="S251" s="2"/>
      <c r="T251" s="6">
        <v>39700</v>
      </c>
      <c r="U251" s="2"/>
      <c r="V251" s="7">
        <f t="shared" si="99"/>
        <v>1.5754963755110606E-3</v>
      </c>
      <c r="W251" s="2"/>
      <c r="X251" s="6">
        <f t="shared" si="100"/>
        <v>-7900</v>
      </c>
      <c r="Y251" s="2"/>
      <c r="Z251" s="7">
        <f t="shared" si="101"/>
        <v>-0.19899244332493704</v>
      </c>
    </row>
    <row r="252" spans="1:26" s="25" customFormat="1" outlineLevel="1" collapsed="1" x14ac:dyDescent="0.25">
      <c r="A252" s="27"/>
      <c r="B252" s="13" t="str">
        <f>CONCATENATE("     ","Professional Services                             ")</f>
        <v xml:space="preserve">     Professional Services                             </v>
      </c>
      <c r="C252" s="13"/>
      <c r="D252" s="1">
        <f>SUM(OSRRefD22_15x_0)</f>
        <v>0</v>
      </c>
      <c r="E252" s="1"/>
      <c r="F252" s="5">
        <f t="shared" si="94"/>
        <v>0</v>
      </c>
      <c r="G252" s="1"/>
      <c r="H252" s="1">
        <f>SUM(OSRRefH22_15x_0)</f>
        <v>0</v>
      </c>
      <c r="I252" s="1"/>
      <c r="J252" s="5">
        <f t="shared" si="95"/>
        <v>0</v>
      </c>
      <c r="K252" s="1"/>
      <c r="L252" s="1">
        <f t="shared" si="96"/>
        <v>0</v>
      </c>
      <c r="M252" s="1"/>
      <c r="N252" s="5">
        <f t="shared" si="97"/>
        <v>0</v>
      </c>
      <c r="O252" s="13"/>
      <c r="P252" s="1">
        <f>SUM(OSRRefP22_15x_0)</f>
        <v>0</v>
      </c>
      <c r="Q252" s="1"/>
      <c r="R252" s="5">
        <f t="shared" si="98"/>
        <v>0</v>
      </c>
      <c r="S252" s="1"/>
      <c r="T252" s="1">
        <f>SUM(OSRRefT22_15x_0)</f>
        <v>6324.56</v>
      </c>
      <c r="U252" s="1"/>
      <c r="V252" s="5">
        <f t="shared" si="99"/>
        <v>2.509904623854467E-4</v>
      </c>
      <c r="W252" s="1"/>
      <c r="X252" s="1">
        <f t="shared" si="100"/>
        <v>-6324.56</v>
      </c>
      <c r="Y252" s="1"/>
      <c r="Z252" s="5">
        <f t="shared" si="101"/>
        <v>-1</v>
      </c>
    </row>
    <row r="253" spans="1:26" s="24" customFormat="1" hidden="1" outlineLevel="2" x14ac:dyDescent="0.25">
      <c r="A253" s="26"/>
      <c r="B253" s="11" t="str">
        <f>CONCATENATE("          ", "6336", " - ", "PROFESSIONAL SERVICES")</f>
        <v xml:space="preserve">          6336 - PROFESSIONAL SERVICES</v>
      </c>
      <c r="C253" s="11"/>
      <c r="D253" s="6"/>
      <c r="E253" s="2"/>
      <c r="F253" s="7">
        <f t="shared" si="94"/>
        <v>0</v>
      </c>
      <c r="G253" s="2"/>
      <c r="H253" s="6"/>
      <c r="I253" s="2"/>
      <c r="J253" s="7">
        <f t="shared" si="95"/>
        <v>0</v>
      </c>
      <c r="K253" s="2"/>
      <c r="L253" s="6">
        <f t="shared" si="96"/>
        <v>0</v>
      </c>
      <c r="M253" s="2"/>
      <c r="N253" s="7">
        <f t="shared" si="97"/>
        <v>0</v>
      </c>
      <c r="O253" s="11"/>
      <c r="P253" s="6"/>
      <c r="Q253" s="2"/>
      <c r="R253" s="7">
        <f t="shared" si="98"/>
        <v>0</v>
      </c>
      <c r="S253" s="2"/>
      <c r="T253" s="6">
        <v>6324.56</v>
      </c>
      <c r="U253" s="2"/>
      <c r="V253" s="7">
        <f t="shared" si="99"/>
        <v>2.509904623854467E-4</v>
      </c>
      <c r="W253" s="2"/>
      <c r="X253" s="6">
        <f t="shared" si="100"/>
        <v>-6324.56</v>
      </c>
      <c r="Y253" s="2"/>
      <c r="Z253" s="7">
        <f t="shared" si="101"/>
        <v>-1</v>
      </c>
    </row>
    <row r="254" spans="1:26" s="25" customFormat="1" outlineLevel="1" collapsed="1" x14ac:dyDescent="0.25">
      <c r="A254" s="27"/>
      <c r="B254" s="13" t="str">
        <f>CONCATENATE("     ","R/H Commissions                                   ")</f>
        <v xml:space="preserve">     R/H Commissions                                   </v>
      </c>
      <c r="C254" s="13"/>
      <c r="D254" s="1">
        <f>SUM(OSRRefD22_16x_0)</f>
        <v>6342.49</v>
      </c>
      <c r="E254" s="1"/>
      <c r="F254" s="5">
        <f t="shared" si="94"/>
        <v>1.1613509910720392E-2</v>
      </c>
      <c r="G254" s="1"/>
      <c r="H254" s="1">
        <f>SUM(OSRRefH22_16x_0)</f>
        <v>102261.27</v>
      </c>
      <c r="I254" s="1"/>
      <c r="J254" s="5">
        <f t="shared" si="95"/>
        <v>2.9498078882865961E-2</v>
      </c>
      <c r="K254" s="1"/>
      <c r="L254" s="1">
        <f t="shared" si="96"/>
        <v>-95918.78</v>
      </c>
      <c r="M254" s="1"/>
      <c r="N254" s="5">
        <f t="shared" si="97"/>
        <v>-0.93797759405882597</v>
      </c>
      <c r="O254" s="13"/>
      <c r="P254" s="1">
        <f>SUM(OSRRefP22_16x_0)</f>
        <v>52255.85</v>
      </c>
      <c r="Q254" s="1"/>
      <c r="R254" s="5">
        <f t="shared" si="98"/>
        <v>7.3070940476532686E-3</v>
      </c>
      <c r="S254" s="1"/>
      <c r="T254" s="1">
        <f>SUM(OSRRefT22_16x_0)</f>
        <v>626051.28</v>
      </c>
      <c r="U254" s="1"/>
      <c r="V254" s="5">
        <f t="shared" si="99"/>
        <v>2.4844874622772298E-2</v>
      </c>
      <c r="W254" s="1"/>
      <c r="X254" s="1">
        <f t="shared" si="100"/>
        <v>-573795.43000000005</v>
      </c>
      <c r="Y254" s="1"/>
      <c r="Z254" s="5">
        <f t="shared" si="101"/>
        <v>-0.9165310387992498</v>
      </c>
    </row>
    <row r="255" spans="1:26" s="24" customFormat="1" hidden="1" outlineLevel="2" x14ac:dyDescent="0.25">
      <c r="A255" s="26"/>
      <c r="B255" s="11" t="str">
        <f>CONCATENATE("          ", "6387", " - ", "COMMISSION DUE HOUSING")</f>
        <v xml:space="preserve">          6387 - COMMISSION DUE HOUSING</v>
      </c>
      <c r="C255" s="11"/>
      <c r="D255" s="6">
        <v>6342.49</v>
      </c>
      <c r="E255" s="2"/>
      <c r="F255" s="7">
        <f t="shared" si="94"/>
        <v>1.1613509910720392E-2</v>
      </c>
      <c r="G255" s="2"/>
      <c r="H255" s="6">
        <v>102261.27</v>
      </c>
      <c r="I255" s="2"/>
      <c r="J255" s="7">
        <f t="shared" si="95"/>
        <v>2.9498078882865961E-2</v>
      </c>
      <c r="K255" s="2"/>
      <c r="L255" s="6">
        <f t="shared" si="96"/>
        <v>-95918.78</v>
      </c>
      <c r="M255" s="2"/>
      <c r="N255" s="7">
        <f t="shared" si="97"/>
        <v>-0.93797759405882597</v>
      </c>
      <c r="O255" s="11"/>
      <c r="P255" s="6">
        <v>52255.85</v>
      </c>
      <c r="Q255" s="2"/>
      <c r="R255" s="7">
        <f t="shared" si="98"/>
        <v>7.3070940476532686E-3</v>
      </c>
      <c r="S255" s="2"/>
      <c r="T255" s="6">
        <v>626051.28</v>
      </c>
      <c r="U255" s="2"/>
      <c r="V255" s="7">
        <f t="shared" si="99"/>
        <v>2.4844874622772298E-2</v>
      </c>
      <c r="W255" s="2"/>
      <c r="X255" s="6">
        <f t="shared" si="100"/>
        <v>-573795.43000000005</v>
      </c>
      <c r="Y255" s="2"/>
      <c r="Z255" s="7">
        <f t="shared" si="101"/>
        <v>-0.9165310387992498</v>
      </c>
    </row>
    <row r="256" spans="1:26" s="25" customFormat="1" outlineLevel="1" collapsed="1" x14ac:dyDescent="0.25">
      <c r="A256" s="27"/>
      <c r="B256" s="13" t="str">
        <f>CONCATENATE("     ","Rent                                              ")</f>
        <v xml:space="preserve">     Rent                                              </v>
      </c>
      <c r="C256" s="13"/>
      <c r="D256" s="1">
        <f>SUM(OSRRefD22_17x_0)</f>
        <v>6900</v>
      </c>
      <c r="E256" s="1"/>
      <c r="F256" s="5">
        <f t="shared" si="94"/>
        <v>1.2634346823403855E-2</v>
      </c>
      <c r="G256" s="1"/>
      <c r="H256" s="1">
        <f>SUM(OSRRefH22_17x_0)</f>
        <v>9900</v>
      </c>
      <c r="I256" s="1"/>
      <c r="J256" s="5">
        <f t="shared" si="95"/>
        <v>2.8557339542172027E-3</v>
      </c>
      <c r="K256" s="1"/>
      <c r="L256" s="1">
        <f t="shared" si="96"/>
        <v>-3000</v>
      </c>
      <c r="M256" s="1"/>
      <c r="N256" s="5">
        <f t="shared" si="97"/>
        <v>-0.30303030303030304</v>
      </c>
      <c r="O256" s="13"/>
      <c r="P256" s="1">
        <f>SUM(OSRRefP22_17x_0)</f>
        <v>66300</v>
      </c>
      <c r="Q256" s="1"/>
      <c r="R256" s="5">
        <f t="shared" si="98"/>
        <v>9.2709301515411513E-3</v>
      </c>
      <c r="S256" s="1"/>
      <c r="T256" s="1">
        <f>SUM(OSRRefT22_17x_0)</f>
        <v>79200</v>
      </c>
      <c r="U256" s="1"/>
      <c r="V256" s="5">
        <f t="shared" si="99"/>
        <v>3.1430557415737027E-3</v>
      </c>
      <c r="W256" s="1"/>
      <c r="X256" s="1">
        <f t="shared" si="100"/>
        <v>-12900</v>
      </c>
      <c r="Y256" s="1"/>
      <c r="Z256" s="5">
        <f t="shared" si="101"/>
        <v>-0.16287878787878787</v>
      </c>
    </row>
    <row r="257" spans="1:26" s="24" customFormat="1" hidden="1" outlineLevel="2" x14ac:dyDescent="0.25">
      <c r="A257" s="26"/>
      <c r="B257" s="11" t="str">
        <f>CONCATENATE("          ", "6273", " - ", "RENT")</f>
        <v xml:space="preserve">          6273 - RENT</v>
      </c>
      <c r="C257" s="11"/>
      <c r="D257" s="6">
        <v>6900</v>
      </c>
      <c r="E257" s="2"/>
      <c r="F257" s="7">
        <f t="shared" si="94"/>
        <v>1.2634346823403855E-2</v>
      </c>
      <c r="G257" s="2"/>
      <c r="H257" s="6">
        <v>9900</v>
      </c>
      <c r="I257" s="2"/>
      <c r="J257" s="7">
        <f t="shared" si="95"/>
        <v>2.8557339542172027E-3</v>
      </c>
      <c r="K257" s="2"/>
      <c r="L257" s="6">
        <f t="shared" si="96"/>
        <v>-3000</v>
      </c>
      <c r="M257" s="2"/>
      <c r="N257" s="7">
        <f t="shared" si="97"/>
        <v>-0.30303030303030304</v>
      </c>
      <c r="O257" s="11"/>
      <c r="P257" s="6">
        <v>66300</v>
      </c>
      <c r="Q257" s="2"/>
      <c r="R257" s="7">
        <f t="shared" si="98"/>
        <v>9.2709301515411513E-3</v>
      </c>
      <c r="S257" s="2"/>
      <c r="T257" s="6">
        <v>79200</v>
      </c>
      <c r="U257" s="2"/>
      <c r="V257" s="7">
        <f t="shared" si="99"/>
        <v>3.1430557415737027E-3</v>
      </c>
      <c r="W257" s="2"/>
      <c r="X257" s="6">
        <f t="shared" si="100"/>
        <v>-12900</v>
      </c>
      <c r="Y257" s="2"/>
      <c r="Z257" s="7">
        <f t="shared" si="101"/>
        <v>-0.16287878787878787</v>
      </c>
    </row>
    <row r="258" spans="1:26" s="25" customFormat="1" outlineLevel="1" collapsed="1" x14ac:dyDescent="0.25">
      <c r="A258" s="27"/>
      <c r="B258" s="13" t="str">
        <f>CONCATENATE("     ","Repair and Maintenance                            ")</f>
        <v xml:space="preserve">     Repair and Maintenance                            </v>
      </c>
      <c r="C258" s="13"/>
      <c r="D258" s="1">
        <f>SUM(OSRRefD22_18x_0)</f>
        <v>21860.95</v>
      </c>
      <c r="E258" s="1"/>
      <c r="F258" s="5">
        <f t="shared" si="94"/>
        <v>4.0028815099868192E-2</v>
      </c>
      <c r="G258" s="1"/>
      <c r="H258" s="1">
        <f>SUM(OSRRefH22_18x_0)</f>
        <v>178588.27000000002</v>
      </c>
      <c r="I258" s="1"/>
      <c r="J258" s="5">
        <f t="shared" si="95"/>
        <v>5.151521075393025E-2</v>
      </c>
      <c r="K258" s="1"/>
      <c r="L258" s="1">
        <f t="shared" si="96"/>
        <v>-156727.32</v>
      </c>
      <c r="M258" s="1"/>
      <c r="N258" s="5">
        <f t="shared" si="97"/>
        <v>-0.87759022471072701</v>
      </c>
      <c r="O258" s="13"/>
      <c r="P258" s="1">
        <f>SUM(OSRRefP22_18x_0)</f>
        <v>298334.94000000006</v>
      </c>
      <c r="Q258" s="1"/>
      <c r="R258" s="5">
        <f t="shared" si="98"/>
        <v>4.1717079796443755E-2</v>
      </c>
      <c r="S258" s="1"/>
      <c r="T258" s="1">
        <f>SUM(OSRRefT22_18x_0)</f>
        <v>496703.45999999996</v>
      </c>
      <c r="U258" s="1"/>
      <c r="V258" s="5">
        <f t="shared" si="99"/>
        <v>1.9711700275410655E-2</v>
      </c>
      <c r="W258" s="1"/>
      <c r="X258" s="1">
        <f t="shared" si="100"/>
        <v>-198368.5199999999</v>
      </c>
      <c r="Y258" s="1"/>
      <c r="Z258" s="5">
        <f t="shared" si="101"/>
        <v>-0.39937011914513321</v>
      </c>
    </row>
    <row r="259" spans="1:26" s="24" customFormat="1" hidden="1" outlineLevel="2" x14ac:dyDescent="0.25">
      <c r="A259" s="26"/>
      <c r="B259" s="11" t="str">
        <f>CONCATENATE("          ", "6371", " - ", "COMPUTER SOFTWARE MAINTENANCE")</f>
        <v xml:space="preserve">          6371 - COMPUTER SOFTWARE MAINTENANCE</v>
      </c>
      <c r="C259" s="11"/>
      <c r="D259" s="6">
        <v>5533.52</v>
      </c>
      <c r="E259" s="2"/>
      <c r="F259" s="7">
        <f t="shared" si="94"/>
        <v>1.0132233454237928E-2</v>
      </c>
      <c r="G259" s="2"/>
      <c r="H259" s="6">
        <v>40846</v>
      </c>
      <c r="I259" s="2"/>
      <c r="J259" s="7">
        <f t="shared" si="95"/>
        <v>1.1782354453934935E-2</v>
      </c>
      <c r="K259" s="2"/>
      <c r="L259" s="6">
        <f t="shared" si="96"/>
        <v>-35312.479999999996</v>
      </c>
      <c r="M259" s="2"/>
      <c r="N259" s="7">
        <f t="shared" si="97"/>
        <v>-0.86452724869020214</v>
      </c>
      <c r="O259" s="11"/>
      <c r="P259" s="6">
        <v>70969.990000000005</v>
      </c>
      <c r="Q259" s="2"/>
      <c r="R259" s="7">
        <f t="shared" si="98"/>
        <v>9.9239490218035308E-3</v>
      </c>
      <c r="S259" s="2"/>
      <c r="T259" s="6">
        <v>90900.26</v>
      </c>
      <c r="U259" s="2"/>
      <c r="V259" s="7">
        <f t="shared" si="99"/>
        <v>3.6073811124184645E-3</v>
      </c>
      <c r="W259" s="2"/>
      <c r="X259" s="6">
        <f t="shared" si="100"/>
        <v>-19930.26999999999</v>
      </c>
      <c r="Y259" s="2"/>
      <c r="Z259" s="7">
        <f t="shared" si="101"/>
        <v>-0.21925426835962836</v>
      </c>
    </row>
    <row r="260" spans="1:26" s="24" customFormat="1" hidden="1" outlineLevel="2" x14ac:dyDescent="0.25">
      <c r="A260" s="26"/>
      <c r="B260" s="11" t="str">
        <f>CONCATENATE("          ", "6372", " - ", "COMPUTER HARDWARE MAINTENANCE")</f>
        <v xml:space="preserve">          6372 - COMPUTER HARDWARE MAINTENANCE</v>
      </c>
      <c r="C260" s="11"/>
      <c r="D260" s="6">
        <v>-1.1499999999999999</v>
      </c>
      <c r="E260" s="2"/>
      <c r="F260" s="7">
        <f t="shared" si="94"/>
        <v>-2.1057244705673088E-6</v>
      </c>
      <c r="G260" s="2"/>
      <c r="H260" s="6"/>
      <c r="I260" s="2"/>
      <c r="J260" s="7">
        <f t="shared" si="95"/>
        <v>0</v>
      </c>
      <c r="K260" s="2"/>
      <c r="L260" s="6">
        <f t="shared" si="96"/>
        <v>-1.1499999999999999</v>
      </c>
      <c r="M260" s="2"/>
      <c r="N260" s="7">
        <f t="shared" si="97"/>
        <v>0</v>
      </c>
      <c r="O260" s="11"/>
      <c r="P260" s="6">
        <v>-1.1499999999999999</v>
      </c>
      <c r="Q260" s="2"/>
      <c r="R260" s="7">
        <f t="shared" si="98"/>
        <v>-1.608079890538812E-7</v>
      </c>
      <c r="S260" s="2"/>
      <c r="T260" s="6">
        <v>52.31</v>
      </c>
      <c r="U260" s="2"/>
      <c r="V260" s="7">
        <f t="shared" si="99"/>
        <v>2.0759248212338434E-6</v>
      </c>
      <c r="W260" s="2"/>
      <c r="X260" s="6">
        <f t="shared" si="100"/>
        <v>-53.46</v>
      </c>
      <c r="Y260" s="2"/>
      <c r="Z260" s="7">
        <f t="shared" si="101"/>
        <v>-1.0219843242209903</v>
      </c>
    </row>
    <row r="261" spans="1:26" s="24" customFormat="1" hidden="1" outlineLevel="2" x14ac:dyDescent="0.25">
      <c r="A261" s="26"/>
      <c r="B261" s="11" t="str">
        <f>CONCATENATE("          ", "6373", " - ", "MAINTENANCE CONTRACTS")</f>
        <v xml:space="preserve">          6373 - MAINTENANCE CONTRACTS</v>
      </c>
      <c r="C261" s="11"/>
      <c r="D261" s="6">
        <v>3382.04</v>
      </c>
      <c r="E261" s="2"/>
      <c r="F261" s="7">
        <f t="shared" si="94"/>
        <v>6.1927342508151847E-3</v>
      </c>
      <c r="G261" s="2"/>
      <c r="H261" s="6">
        <v>128858.66</v>
      </c>
      <c r="I261" s="2"/>
      <c r="J261" s="7">
        <f t="shared" si="95"/>
        <v>3.7170308147164655E-2</v>
      </c>
      <c r="K261" s="2"/>
      <c r="L261" s="6">
        <f t="shared" si="96"/>
        <v>-125476.62000000001</v>
      </c>
      <c r="M261" s="2"/>
      <c r="N261" s="7">
        <f t="shared" si="97"/>
        <v>-0.97375387886231324</v>
      </c>
      <c r="O261" s="11"/>
      <c r="P261" s="6">
        <v>178743.07</v>
      </c>
      <c r="Q261" s="2"/>
      <c r="R261" s="7">
        <f t="shared" si="98"/>
        <v>2.4994185777406197E-2</v>
      </c>
      <c r="S261" s="2"/>
      <c r="T261" s="6">
        <v>247583.22</v>
      </c>
      <c r="U261" s="2"/>
      <c r="V261" s="7">
        <f t="shared" si="99"/>
        <v>9.8253517820493085E-3</v>
      </c>
      <c r="W261" s="2"/>
      <c r="X261" s="6">
        <f t="shared" si="100"/>
        <v>-68840.149999999994</v>
      </c>
      <c r="Y261" s="2"/>
      <c r="Z261" s="7">
        <f t="shared" si="101"/>
        <v>-0.27804852849074341</v>
      </c>
    </row>
    <row r="262" spans="1:26" s="24" customFormat="1" hidden="1" outlineLevel="2" x14ac:dyDescent="0.25">
      <c r="A262" s="26"/>
      <c r="B262" s="11" t="str">
        <f>CONCATENATE("          ", "6375", " - ", "OUTSIDE REPAIRS &amp; MAINTENANCE")</f>
        <v xml:space="preserve">          6375 - OUTSIDE REPAIRS &amp; MAINTENANCE</v>
      </c>
      <c r="C262" s="11"/>
      <c r="D262" s="6">
        <v>12946.54</v>
      </c>
      <c r="E262" s="2"/>
      <c r="F262" s="7">
        <f t="shared" si="94"/>
        <v>2.3705953119285646E-2</v>
      </c>
      <c r="G262" s="2"/>
      <c r="H262" s="6">
        <v>8883.61</v>
      </c>
      <c r="I262" s="2"/>
      <c r="J262" s="7">
        <f t="shared" si="95"/>
        <v>2.5625481528306552E-3</v>
      </c>
      <c r="K262" s="2"/>
      <c r="L262" s="6">
        <f t="shared" si="96"/>
        <v>4062.9300000000003</v>
      </c>
      <c r="M262" s="2"/>
      <c r="N262" s="7">
        <f t="shared" si="97"/>
        <v>0.45735123446436754</v>
      </c>
      <c r="O262" s="11"/>
      <c r="P262" s="6">
        <v>48623.03</v>
      </c>
      <c r="Q262" s="2"/>
      <c r="R262" s="7">
        <f t="shared" si="98"/>
        <v>6.7991058052230763E-3</v>
      </c>
      <c r="S262" s="2"/>
      <c r="T262" s="6">
        <v>158167.66999999998</v>
      </c>
      <c r="U262" s="2"/>
      <c r="V262" s="7">
        <f t="shared" si="99"/>
        <v>6.2768914561216497E-3</v>
      </c>
      <c r="W262" s="2"/>
      <c r="X262" s="6">
        <f t="shared" si="100"/>
        <v>-109544.63999999998</v>
      </c>
      <c r="Y262" s="2"/>
      <c r="Z262" s="7">
        <f t="shared" si="101"/>
        <v>-0.69258553280831658</v>
      </c>
    </row>
    <row r="263" spans="1:26" s="25" customFormat="1" outlineLevel="1" collapsed="1" x14ac:dyDescent="0.25">
      <c r="A263" s="27"/>
      <c r="B263" s="13" t="str">
        <f>CONCATENATE("     ","Royalty &amp; Commissions                             ")</f>
        <v xml:space="preserve">     Royalty &amp; Commissions                             </v>
      </c>
      <c r="C263" s="13"/>
      <c r="D263" s="1">
        <f>SUM(OSRRefD22_19x_0)</f>
        <v>468.34</v>
      </c>
      <c r="E263" s="1"/>
      <c r="F263" s="5">
        <f t="shared" ref="F263:F266" si="102">IF(D$12=0,0,D263/D$12)</f>
        <v>8.5756086830042911E-4</v>
      </c>
      <c r="G263" s="1"/>
      <c r="H263" s="1">
        <f>SUM(OSRRefH22_19x_0)</f>
        <v>81592.45</v>
      </c>
      <c r="I263" s="1"/>
      <c r="J263" s="5">
        <f t="shared" ref="J263:J266" si="103">IF(H$12=0,0,H263/H$12)</f>
        <v>2.3535992916441352E-2</v>
      </c>
      <c r="K263" s="1"/>
      <c r="L263" s="1">
        <f t="shared" ref="L263:L266" si="104">+D263-H263</f>
        <v>-81124.11</v>
      </c>
      <c r="M263" s="1"/>
      <c r="N263" s="5">
        <f t="shared" ref="N263:N266" si="105">IF(H263=0,0,L263/H263)</f>
        <v>-0.99426000812575188</v>
      </c>
      <c r="O263" s="13"/>
      <c r="P263" s="1">
        <f>SUM(OSRRefP22_19x_0)</f>
        <v>37019.69</v>
      </c>
      <c r="Q263" s="1"/>
      <c r="R263" s="5">
        <f t="shared" ref="R263:R266" si="106">IF(P$12=0,0,P263/P$12)</f>
        <v>5.1765755689548495E-3</v>
      </c>
      <c r="S263" s="1"/>
      <c r="T263" s="1">
        <f>SUM(OSRRefT22_19x_0)</f>
        <v>328541.51</v>
      </c>
      <c r="U263" s="1"/>
      <c r="V263" s="5">
        <f t="shared" ref="V263:V266" si="107">IF(T$12=0,0,T263/T$12)</f>
        <v>1.3038185345338309E-2</v>
      </c>
      <c r="W263" s="1"/>
      <c r="X263" s="1">
        <f t="shared" ref="X263:X266" si="108">+P263-T263</f>
        <v>-291521.82</v>
      </c>
      <c r="Y263" s="1"/>
      <c r="Z263" s="5">
        <f t="shared" ref="Z263:Z266" si="109">IF(T263=0,0,X263/T263)</f>
        <v>-0.88732111811381154</v>
      </c>
    </row>
    <row r="264" spans="1:26" s="24" customFormat="1" hidden="1" outlineLevel="2" x14ac:dyDescent="0.25">
      <c r="A264" s="26"/>
      <c r="B264" s="11" t="str">
        <f>CONCATENATE("          ", "6253", " - ", "ROYALTY DUE ATHLETICS-LRG")</f>
        <v xml:space="preserve">          6253 - ROYALTY DUE ATHLETICS-LRG</v>
      </c>
      <c r="C264" s="11"/>
      <c r="D264" s="6"/>
      <c r="E264" s="2"/>
      <c r="F264" s="7">
        <f t="shared" si="102"/>
        <v>0</v>
      </c>
      <c r="G264" s="2"/>
      <c r="H264" s="6">
        <v>12278.49</v>
      </c>
      <c r="I264" s="2"/>
      <c r="J264" s="7">
        <f t="shared" si="103"/>
        <v>3.5418283635875133E-3</v>
      </c>
      <c r="K264" s="2"/>
      <c r="L264" s="6">
        <f t="shared" si="104"/>
        <v>-12278.49</v>
      </c>
      <c r="M264" s="2"/>
      <c r="N264" s="7">
        <f t="shared" si="105"/>
        <v>-1</v>
      </c>
      <c r="O264" s="11"/>
      <c r="P264" s="6">
        <v>26197.58</v>
      </c>
      <c r="Q264" s="2"/>
      <c r="R264" s="7">
        <f t="shared" si="106"/>
        <v>3.6632870938071113E-3</v>
      </c>
      <c r="S264" s="2"/>
      <c r="T264" s="6">
        <v>16645.439999999999</v>
      </c>
      <c r="U264" s="2"/>
      <c r="V264" s="7">
        <f t="shared" si="107"/>
        <v>6.6057507276541126E-4</v>
      </c>
      <c r="W264" s="2"/>
      <c r="X264" s="6">
        <f t="shared" si="108"/>
        <v>9552.1400000000031</v>
      </c>
      <c r="Y264" s="2"/>
      <c r="Z264" s="7">
        <f t="shared" si="109"/>
        <v>0.57385926716265856</v>
      </c>
    </row>
    <row r="265" spans="1:26" s="24" customFormat="1" hidden="1" outlineLevel="2" x14ac:dyDescent="0.25">
      <c r="A265" s="26"/>
      <c r="B265" s="11" t="str">
        <f>CONCATENATE("          ", "6254", " - ", "ROYALTY &amp; COMMISSIONS")</f>
        <v xml:space="preserve">          6254 - ROYALTY &amp; COMMISSIONS</v>
      </c>
      <c r="C265" s="11"/>
      <c r="D265" s="6"/>
      <c r="E265" s="2"/>
      <c r="F265" s="7">
        <f t="shared" si="102"/>
        <v>0</v>
      </c>
      <c r="G265" s="2"/>
      <c r="H265" s="6">
        <v>43894.16</v>
      </c>
      <c r="I265" s="2"/>
      <c r="J265" s="7">
        <f t="shared" si="103"/>
        <v>1.2661620515539655E-2</v>
      </c>
      <c r="K265" s="2"/>
      <c r="L265" s="6">
        <f t="shared" si="104"/>
        <v>-43894.16</v>
      </c>
      <c r="M265" s="2"/>
      <c r="N265" s="7">
        <f t="shared" si="105"/>
        <v>-1</v>
      </c>
      <c r="O265" s="11"/>
      <c r="P265" s="6">
        <v>185.7</v>
      </c>
      <c r="Q265" s="2"/>
      <c r="R265" s="7">
        <f t="shared" si="106"/>
        <v>2.5966994406352819E-5</v>
      </c>
      <c r="S265" s="2"/>
      <c r="T265" s="6">
        <v>141222.03</v>
      </c>
      <c r="U265" s="2"/>
      <c r="V265" s="7">
        <f t="shared" si="107"/>
        <v>5.604402932174163E-3</v>
      </c>
      <c r="W265" s="2"/>
      <c r="X265" s="6">
        <f t="shared" si="108"/>
        <v>-141036.32999999999</v>
      </c>
      <c r="Y265" s="2"/>
      <c r="Z265" s="7">
        <f t="shared" si="109"/>
        <v>-0.99868504935101121</v>
      </c>
    </row>
    <row r="266" spans="1:26" s="24" customFormat="1" hidden="1" outlineLevel="2" x14ac:dyDescent="0.25">
      <c r="A266" s="26"/>
      <c r="B266" s="11" t="str">
        <f>CONCATENATE("          ", "6259", " - ", "ROYALTY &amp; COMMISSIONS")</f>
        <v xml:space="preserve">          6259 - ROYALTY &amp; COMMISSIONS</v>
      </c>
      <c r="C266" s="11"/>
      <c r="D266" s="6">
        <v>468.34</v>
      </c>
      <c r="E266" s="2"/>
      <c r="F266" s="7">
        <f t="shared" si="102"/>
        <v>8.5756086830042911E-4</v>
      </c>
      <c r="G266" s="2"/>
      <c r="H266" s="6">
        <v>25419.8</v>
      </c>
      <c r="I266" s="2"/>
      <c r="J266" s="7">
        <f t="shared" si="103"/>
        <v>7.3325440373141863E-3</v>
      </c>
      <c r="K266" s="2"/>
      <c r="L266" s="6">
        <f t="shared" si="104"/>
        <v>-24951.46</v>
      </c>
      <c r="M266" s="2"/>
      <c r="N266" s="7">
        <f t="shared" si="105"/>
        <v>-0.98157577951046038</v>
      </c>
      <c r="O266" s="11"/>
      <c r="P266" s="6">
        <v>10636.41</v>
      </c>
      <c r="Q266" s="2"/>
      <c r="R266" s="7">
        <f t="shared" si="106"/>
        <v>1.4873214807413851E-3</v>
      </c>
      <c r="S266" s="2"/>
      <c r="T266" s="6">
        <v>170674.04</v>
      </c>
      <c r="U266" s="2"/>
      <c r="V266" s="7">
        <f t="shared" si="107"/>
        <v>6.7732073403987351E-3</v>
      </c>
      <c r="W266" s="2"/>
      <c r="X266" s="6">
        <f t="shared" si="108"/>
        <v>-160037.63</v>
      </c>
      <c r="Y266" s="2"/>
      <c r="Z266" s="7">
        <f t="shared" si="109"/>
        <v>-0.93767997757596877</v>
      </c>
    </row>
    <row r="267" spans="1:26" s="25" customFormat="1" outlineLevel="1" collapsed="1" x14ac:dyDescent="0.25">
      <c r="A267" s="27"/>
      <c r="B267" s="13" t="str">
        <f>CONCATENATE("     ","Services                                          ")</f>
        <v xml:space="preserve">     Services                                          </v>
      </c>
      <c r="C267" s="13"/>
      <c r="D267" s="1">
        <f>SUM(OSRRefD22_20x_0)</f>
        <v>20762.95</v>
      </c>
      <c r="E267" s="1"/>
      <c r="F267" s="5">
        <f t="shared" ref="F267:F272" si="110">IF(D$12=0,0,D267/D$12)</f>
        <v>3.8018305996665662E-2</v>
      </c>
      <c r="G267" s="1"/>
      <c r="H267" s="1">
        <f>SUM(OSRRefH22_20x_0)</f>
        <v>50893.83</v>
      </c>
      <c r="I267" s="1"/>
      <c r="J267" s="5">
        <f t="shared" ref="J267:J272" si="111">IF(H$12=0,0,H267/H$12)</f>
        <v>1.4680731150622031E-2</v>
      </c>
      <c r="K267" s="1"/>
      <c r="L267" s="1">
        <f t="shared" ref="L267:L272" si="112">+D267-H267</f>
        <v>-30130.880000000001</v>
      </c>
      <c r="M267" s="1"/>
      <c r="N267" s="5">
        <f t="shared" ref="N267:N272" si="113">IF(H267=0,0,L267/H267)</f>
        <v>-0.59203404420535843</v>
      </c>
      <c r="O267" s="13"/>
      <c r="P267" s="1">
        <f>SUM(OSRRefP22_20x_0)</f>
        <v>169712.11000000002</v>
      </c>
      <c r="Q267" s="1"/>
      <c r="R267" s="5">
        <f t="shared" ref="R267:R272" si="114">IF(P$12=0,0,P267/P$12)</f>
        <v>2.373135924103573E-2</v>
      </c>
      <c r="S267" s="1"/>
      <c r="T267" s="1">
        <f>SUM(OSRRefT22_20x_0)</f>
        <v>381685.58999999997</v>
      </c>
      <c r="U267" s="1"/>
      <c r="V267" s="5">
        <f t="shared" ref="V267:V272" si="115">IF(T$12=0,0,T267/T$12)</f>
        <v>1.5147210670775835E-2</v>
      </c>
      <c r="W267" s="1"/>
      <c r="X267" s="1">
        <f t="shared" ref="X267:X272" si="116">+P267-T267</f>
        <v>-211973.47999999995</v>
      </c>
      <c r="Y267" s="1"/>
      <c r="Z267" s="5">
        <f t="shared" ref="Z267:Z272" si="117">IF(T267=0,0,X267/T267)</f>
        <v>-0.55536149530821943</v>
      </c>
    </row>
    <row r="268" spans="1:26" s="24" customFormat="1" hidden="1" outlineLevel="2" x14ac:dyDescent="0.25">
      <c r="A268" s="26"/>
      <c r="B268" s="11" t="str">
        <f>CONCATENATE("          ", "6282", " - ", "JANITORIAL/EXTERMINATOR EXPENS")</f>
        <v xml:space="preserve">          6282 - JANITORIAL/EXTERMINATOR EXPENS</v>
      </c>
      <c r="C268" s="11"/>
      <c r="D268" s="6">
        <v>1189.53</v>
      </c>
      <c r="E268" s="2"/>
      <c r="F268" s="7">
        <f t="shared" si="110"/>
        <v>2.1781064604121142E-3</v>
      </c>
      <c r="G268" s="2"/>
      <c r="H268" s="6">
        <v>5689.65</v>
      </c>
      <c r="I268" s="2"/>
      <c r="J268" s="7">
        <f t="shared" si="111"/>
        <v>1.6412249184456472E-3</v>
      </c>
      <c r="K268" s="2"/>
      <c r="L268" s="6">
        <f t="shared" si="112"/>
        <v>-4500.12</v>
      </c>
      <c r="M268" s="2"/>
      <c r="N268" s="7">
        <f t="shared" si="113"/>
        <v>-0.79093090084627349</v>
      </c>
      <c r="O268" s="11"/>
      <c r="P268" s="6">
        <v>25187.89</v>
      </c>
      <c r="Q268" s="2"/>
      <c r="R268" s="7">
        <f t="shared" si="114"/>
        <v>3.5220990777481429E-3</v>
      </c>
      <c r="S268" s="2"/>
      <c r="T268" s="6">
        <v>32933.660000000003</v>
      </c>
      <c r="U268" s="2"/>
      <c r="V268" s="7">
        <f t="shared" si="115"/>
        <v>1.3069738529550025E-3</v>
      </c>
      <c r="W268" s="2"/>
      <c r="X268" s="6">
        <f t="shared" si="116"/>
        <v>-7745.7700000000041</v>
      </c>
      <c r="Y268" s="2"/>
      <c r="Z268" s="7">
        <f t="shared" si="117"/>
        <v>-0.2351931124569818</v>
      </c>
    </row>
    <row r="269" spans="1:26" s="24" customFormat="1" hidden="1" outlineLevel="2" x14ac:dyDescent="0.25">
      <c r="A269" s="26"/>
      <c r="B269" s="11" t="str">
        <f>CONCATENATE("          ", "6283", " - ", "PLANT SERVICE")</f>
        <v xml:space="preserve">          6283 - PLANT SERVICE</v>
      </c>
      <c r="C269" s="11"/>
      <c r="D269" s="6"/>
      <c r="E269" s="2"/>
      <c r="F269" s="7">
        <f t="shared" si="110"/>
        <v>0</v>
      </c>
      <c r="G269" s="2"/>
      <c r="H269" s="6">
        <v>199.78</v>
      </c>
      <c r="I269" s="2"/>
      <c r="J269" s="7">
        <f t="shared" si="111"/>
        <v>5.7628134280152804E-5</v>
      </c>
      <c r="K269" s="2"/>
      <c r="L269" s="6">
        <f t="shared" si="112"/>
        <v>-199.78</v>
      </c>
      <c r="M269" s="2"/>
      <c r="N269" s="7">
        <f t="shared" si="113"/>
        <v>-1</v>
      </c>
      <c r="O269" s="11"/>
      <c r="P269" s="6">
        <v>171.31</v>
      </c>
      <c r="Q269" s="2"/>
      <c r="R269" s="7">
        <f t="shared" si="114"/>
        <v>2.3954797047669908E-5</v>
      </c>
      <c r="S269" s="2"/>
      <c r="T269" s="6">
        <v>1540.88</v>
      </c>
      <c r="U269" s="2"/>
      <c r="V269" s="7">
        <f t="shared" si="115"/>
        <v>6.1149895594395039E-5</v>
      </c>
      <c r="W269" s="2"/>
      <c r="X269" s="6">
        <f t="shared" si="116"/>
        <v>-1369.5700000000002</v>
      </c>
      <c r="Y269" s="2"/>
      <c r="Z269" s="7">
        <f t="shared" si="117"/>
        <v>-0.88882326981984328</v>
      </c>
    </row>
    <row r="270" spans="1:26" s="24" customFormat="1" hidden="1" outlineLevel="2" x14ac:dyDescent="0.25">
      <c r="A270" s="26"/>
      <c r="B270" s="11" t="str">
        <f>CONCATENATE("          ", "6284", " - ", "TRASH REMOVAL EXPENSE")</f>
        <v xml:space="preserve">          6284 - TRASH REMOVAL EXPENSE</v>
      </c>
      <c r="C270" s="11"/>
      <c r="D270" s="6">
        <v>5800.57</v>
      </c>
      <c r="E270" s="2"/>
      <c r="F270" s="7">
        <f t="shared" si="110"/>
        <v>1.0621219297598796E-2</v>
      </c>
      <c r="G270" s="2"/>
      <c r="H270" s="6">
        <v>5553.82</v>
      </c>
      <c r="I270" s="2"/>
      <c r="J270" s="7">
        <f t="shared" si="111"/>
        <v>1.6020436716778367E-3</v>
      </c>
      <c r="K270" s="2"/>
      <c r="L270" s="6">
        <f t="shared" si="112"/>
        <v>246.75</v>
      </c>
      <c r="M270" s="2"/>
      <c r="N270" s="7">
        <f t="shared" si="113"/>
        <v>4.4428879581981412E-2</v>
      </c>
      <c r="O270" s="11"/>
      <c r="P270" s="6">
        <v>32200.329999999998</v>
      </c>
      <c r="Q270" s="2"/>
      <c r="R270" s="7">
        <f t="shared" si="114"/>
        <v>4.5026698384098805E-3</v>
      </c>
      <c r="S270" s="2"/>
      <c r="T270" s="6">
        <v>36542.559999999998</v>
      </c>
      <c r="U270" s="2"/>
      <c r="V270" s="7">
        <f t="shared" si="115"/>
        <v>1.4501932199469888E-3</v>
      </c>
      <c r="W270" s="2"/>
      <c r="X270" s="6">
        <f t="shared" si="116"/>
        <v>-4342.2299999999996</v>
      </c>
      <c r="Y270" s="2"/>
      <c r="Z270" s="7">
        <f t="shared" si="117"/>
        <v>-0.11882665034961973</v>
      </c>
    </row>
    <row r="271" spans="1:26" s="24" customFormat="1" hidden="1" outlineLevel="2" x14ac:dyDescent="0.25">
      <c r="A271" s="26"/>
      <c r="B271" s="11" t="str">
        <f>CONCATENATE("          ", "6285", " - ", "JANITORIAL SERVICES")</f>
        <v xml:space="preserve">          6285 - JANITORIAL SERVICES</v>
      </c>
      <c r="C271" s="11"/>
      <c r="D271" s="6">
        <v>12687.19</v>
      </c>
      <c r="E271" s="2"/>
      <c r="F271" s="7">
        <f t="shared" si="110"/>
        <v>2.323106647455379E-2</v>
      </c>
      <c r="G271" s="2"/>
      <c r="H271" s="6">
        <v>30888.68</v>
      </c>
      <c r="I271" s="2"/>
      <c r="J271" s="7">
        <f t="shared" si="111"/>
        <v>8.9100860885807896E-3</v>
      </c>
      <c r="K271" s="2"/>
      <c r="L271" s="6">
        <f t="shared" si="112"/>
        <v>-18201.489999999998</v>
      </c>
      <c r="M271" s="2"/>
      <c r="N271" s="7">
        <f t="shared" si="113"/>
        <v>-0.58926085543312301</v>
      </c>
      <c r="O271" s="11"/>
      <c r="P271" s="6">
        <v>99444.450000000012</v>
      </c>
      <c r="Q271" s="2"/>
      <c r="R271" s="7">
        <f t="shared" si="114"/>
        <v>1.3905619153973252E-2</v>
      </c>
      <c r="S271" s="2"/>
      <c r="T271" s="6">
        <v>242701.9</v>
      </c>
      <c r="U271" s="2"/>
      <c r="V271" s="7">
        <f t="shared" si="115"/>
        <v>9.6316363672455385E-3</v>
      </c>
      <c r="W271" s="2"/>
      <c r="X271" s="6">
        <f t="shared" si="116"/>
        <v>-143257.44999999998</v>
      </c>
      <c r="Y271" s="2"/>
      <c r="Z271" s="7">
        <f t="shared" si="117"/>
        <v>-0.59026093326834272</v>
      </c>
    </row>
    <row r="272" spans="1:26" s="24" customFormat="1" hidden="1" outlineLevel="2" x14ac:dyDescent="0.25">
      <c r="A272" s="26"/>
      <c r="B272" s="11" t="str">
        <f>CONCATENATE("          ", "6286", " - ", "LAUNDRY EXPENSE")</f>
        <v xml:space="preserve">          6286 - LAUNDRY EXPENSE</v>
      </c>
      <c r="C272" s="11"/>
      <c r="D272" s="6">
        <v>1085.6600000000001</v>
      </c>
      <c r="E272" s="2"/>
      <c r="F272" s="7">
        <f t="shared" si="110"/>
        <v>1.9879137641009609E-3</v>
      </c>
      <c r="G272" s="2"/>
      <c r="H272" s="6">
        <v>8561.9</v>
      </c>
      <c r="I272" s="2"/>
      <c r="J272" s="7">
        <f t="shared" si="111"/>
        <v>2.4697483376376027E-3</v>
      </c>
      <c r="K272" s="2"/>
      <c r="L272" s="6">
        <f t="shared" si="112"/>
        <v>-7476.24</v>
      </c>
      <c r="M272" s="2"/>
      <c r="N272" s="7">
        <f t="shared" si="113"/>
        <v>-0.8731987058947196</v>
      </c>
      <c r="O272" s="11"/>
      <c r="P272" s="6">
        <v>12708.13</v>
      </c>
      <c r="Q272" s="2"/>
      <c r="R272" s="7">
        <f t="shared" si="114"/>
        <v>1.7770163738567821E-3</v>
      </c>
      <c r="S272" s="2"/>
      <c r="T272" s="6">
        <v>67966.59</v>
      </c>
      <c r="U272" s="2"/>
      <c r="V272" s="7">
        <f t="shared" si="115"/>
        <v>2.6972573350339114E-3</v>
      </c>
      <c r="W272" s="2"/>
      <c r="X272" s="6">
        <f t="shared" si="116"/>
        <v>-55258.46</v>
      </c>
      <c r="Y272" s="2"/>
      <c r="Z272" s="7">
        <f t="shared" si="117"/>
        <v>-0.81302386952177541</v>
      </c>
    </row>
    <row r="273" spans="1:26" s="25" customFormat="1" outlineLevel="1" collapsed="1" x14ac:dyDescent="0.25">
      <c r="A273" s="27"/>
      <c r="B273" s="13" t="str">
        <f>CONCATENATE("     ","Subscriptions &amp; Dues                              ")</f>
        <v xml:space="preserve">     Subscriptions &amp; Dues                              </v>
      </c>
      <c r="C273" s="13"/>
      <c r="D273" s="1">
        <f>SUM(OSRRefD22_21x_0)</f>
        <v>444.25</v>
      </c>
      <c r="E273" s="1"/>
      <c r="F273" s="5">
        <f t="shared" ref="F273:F275" si="118">IF(D$12=0,0,D273/D$12)</f>
        <v>8.1345051830393662E-4</v>
      </c>
      <c r="G273" s="1"/>
      <c r="H273" s="1">
        <f>SUM(OSRRefH22_21x_0)</f>
        <v>2068</v>
      </c>
      <c r="I273" s="1"/>
      <c r="J273" s="5">
        <f t="shared" ref="J273:J275" si="119">IF(H$12=0,0,H273/H$12)</f>
        <v>5.9653109265870457E-4</v>
      </c>
      <c r="K273" s="1"/>
      <c r="L273" s="1">
        <f t="shared" ref="L273:L275" si="120">+D273-H273</f>
        <v>-1623.75</v>
      </c>
      <c r="M273" s="1"/>
      <c r="N273" s="5">
        <f t="shared" ref="N273:N275" si="121">IF(H273=0,0,L273/H273)</f>
        <v>-0.78517891682785301</v>
      </c>
      <c r="O273" s="13"/>
      <c r="P273" s="1">
        <f>SUM(OSRRefP22_21x_0)</f>
        <v>5618.55</v>
      </c>
      <c r="Q273" s="1"/>
      <c r="R273" s="5">
        <f t="shared" ref="R273:R275" si="122">IF(P$12=0,0,P273/P$12)</f>
        <v>7.8565889295537767E-4</v>
      </c>
      <c r="S273" s="1"/>
      <c r="T273" s="1">
        <f>SUM(OSRRefT22_21x_0)</f>
        <v>8789.24</v>
      </c>
      <c r="U273" s="1"/>
      <c r="V273" s="5">
        <f t="shared" ref="V273:V275" si="123">IF(T$12=0,0,T273/T$12)</f>
        <v>3.4880140462208652E-4</v>
      </c>
      <c r="W273" s="1"/>
      <c r="X273" s="1">
        <f t="shared" ref="X273:X275" si="124">+P273-T273</f>
        <v>-3170.6899999999996</v>
      </c>
      <c r="Y273" s="1"/>
      <c r="Z273" s="5">
        <f t="shared" ref="Z273:Z275" si="125">IF(T273=0,0,X273/T273)</f>
        <v>-0.36074677674065103</v>
      </c>
    </row>
    <row r="274" spans="1:26" s="24" customFormat="1" hidden="1" outlineLevel="2" x14ac:dyDescent="0.25">
      <c r="A274" s="26"/>
      <c r="B274" s="11" t="str">
        <f>CONCATENATE("          ", "6258", " - ", "MEMBERSHIP DUES")</f>
        <v xml:space="preserve">          6258 - MEMBERSHIP DUES</v>
      </c>
      <c r="C274" s="11"/>
      <c r="D274" s="6">
        <v>181.41</v>
      </c>
      <c r="E274" s="2"/>
      <c r="F274" s="7">
        <f t="shared" si="118"/>
        <v>3.3217345757010047E-4</v>
      </c>
      <c r="G274" s="2"/>
      <c r="H274" s="6">
        <v>1486.67</v>
      </c>
      <c r="I274" s="2"/>
      <c r="J274" s="7">
        <f t="shared" si="119"/>
        <v>4.2884181795112009E-4</v>
      </c>
      <c r="K274" s="2"/>
      <c r="L274" s="6">
        <f t="shared" si="120"/>
        <v>-1305.26</v>
      </c>
      <c r="M274" s="2"/>
      <c r="N274" s="7">
        <f t="shared" si="121"/>
        <v>-0.87797560992015711</v>
      </c>
      <c r="O274" s="11"/>
      <c r="P274" s="6">
        <v>2668.73</v>
      </c>
      <c r="Q274" s="2"/>
      <c r="R274" s="7">
        <f t="shared" si="122"/>
        <v>3.7317661271979517E-4</v>
      </c>
      <c r="S274" s="2"/>
      <c r="T274" s="6">
        <v>3108.37</v>
      </c>
      <c r="U274" s="2"/>
      <c r="V274" s="7">
        <f t="shared" si="123"/>
        <v>1.2335581029590214E-4</v>
      </c>
      <c r="W274" s="2"/>
      <c r="X274" s="6">
        <f t="shared" si="124"/>
        <v>-439.63999999999987</v>
      </c>
      <c r="Y274" s="2"/>
      <c r="Z274" s="7">
        <f t="shared" si="125"/>
        <v>-0.14143747365982812</v>
      </c>
    </row>
    <row r="275" spans="1:26" s="24" customFormat="1" hidden="1" outlineLevel="2" x14ac:dyDescent="0.25">
      <c r="A275" s="26"/>
      <c r="B275" s="11" t="str">
        <f>CONCATENATE("          ", "6275", " - ", "SUBSCRIPTIONS")</f>
        <v xml:space="preserve">          6275 - SUBSCRIPTIONS</v>
      </c>
      <c r="C275" s="11"/>
      <c r="D275" s="6">
        <v>262.83999999999997</v>
      </c>
      <c r="E275" s="2"/>
      <c r="F275" s="7">
        <f t="shared" si="118"/>
        <v>4.812770607338361E-4</v>
      </c>
      <c r="G275" s="2"/>
      <c r="H275" s="6">
        <v>581.33000000000004</v>
      </c>
      <c r="I275" s="2"/>
      <c r="J275" s="7">
        <f t="shared" si="119"/>
        <v>1.6768927470758451E-4</v>
      </c>
      <c r="K275" s="2"/>
      <c r="L275" s="6">
        <f t="shared" si="120"/>
        <v>-318.49000000000007</v>
      </c>
      <c r="M275" s="2"/>
      <c r="N275" s="7">
        <f t="shared" si="121"/>
        <v>-0.54786437995630721</v>
      </c>
      <c r="O275" s="11"/>
      <c r="P275" s="6">
        <v>2949.82</v>
      </c>
      <c r="Q275" s="2"/>
      <c r="R275" s="7">
        <f t="shared" si="122"/>
        <v>4.1248228023558255E-4</v>
      </c>
      <c r="S275" s="2"/>
      <c r="T275" s="6">
        <v>5680.87</v>
      </c>
      <c r="U275" s="2"/>
      <c r="V275" s="7">
        <f t="shared" si="123"/>
        <v>2.2544559432618436E-4</v>
      </c>
      <c r="W275" s="2"/>
      <c r="X275" s="6">
        <f t="shared" si="124"/>
        <v>-2731.0499999999997</v>
      </c>
      <c r="Y275" s="2"/>
      <c r="Z275" s="7">
        <f t="shared" si="125"/>
        <v>-0.4807450267300607</v>
      </c>
    </row>
    <row r="276" spans="1:26" s="25" customFormat="1" outlineLevel="1" collapsed="1" x14ac:dyDescent="0.25">
      <c r="A276" s="27"/>
      <c r="B276" s="13" t="str">
        <f>CONCATENATE("     ","Supplies                                          ")</f>
        <v xml:space="preserve">     Supplies                                          </v>
      </c>
      <c r="C276" s="13"/>
      <c r="D276" s="1">
        <f>SUM(OSRRefD22_22x_0)</f>
        <v>20079.38</v>
      </c>
      <c r="E276" s="1"/>
      <c r="F276" s="5">
        <f t="shared" ref="F276:F286" si="126">IF(D$12=0,0,D276/D$12)</f>
        <v>3.6766645060712887E-2</v>
      </c>
      <c r="G276" s="1"/>
      <c r="H276" s="1">
        <f>SUM(OSRRefH22_22x_0)</f>
        <v>63762.830000000009</v>
      </c>
      <c r="I276" s="1"/>
      <c r="J276" s="5">
        <f t="shared" ref="J276:J286" si="127">IF(H$12=0,0,H276/H$12)</f>
        <v>1.8392896833129224E-2</v>
      </c>
      <c r="K276" s="1"/>
      <c r="L276" s="1">
        <f t="shared" ref="L276:L286" si="128">+D276-H276</f>
        <v>-43683.450000000012</v>
      </c>
      <c r="M276" s="1"/>
      <c r="N276" s="5">
        <f t="shared" ref="N276:N286" si="129">IF(H276=0,0,L276/H276)</f>
        <v>-0.68509270996911531</v>
      </c>
      <c r="O276" s="13"/>
      <c r="P276" s="1">
        <f>SUM(OSRRefP22_22x_0)</f>
        <v>235361.98</v>
      </c>
      <c r="Q276" s="1"/>
      <c r="R276" s="5">
        <f t="shared" ref="R276:R286" si="130">IF(P$12=0,0,P276/P$12)</f>
        <v>3.2911379742208535E-2</v>
      </c>
      <c r="S276" s="1"/>
      <c r="T276" s="1">
        <f>SUM(OSRRefT22_22x_0)</f>
        <v>470002.81</v>
      </c>
      <c r="U276" s="1"/>
      <c r="V276" s="5">
        <f t="shared" ref="V276:V286" si="131">IF(T$12=0,0,T276/T$12)</f>
        <v>1.8652083718766088E-2</v>
      </c>
      <c r="W276" s="1"/>
      <c r="X276" s="1">
        <f t="shared" ref="X276:X286" si="132">+P276-T276</f>
        <v>-234640.83</v>
      </c>
      <c r="Y276" s="1"/>
      <c r="Z276" s="5">
        <f t="shared" ref="Z276:Z286" si="133">IF(T276=0,0,X276/T276)</f>
        <v>-0.49923282373567085</v>
      </c>
    </row>
    <row r="277" spans="1:26" s="24" customFormat="1" hidden="1" outlineLevel="2" x14ac:dyDescent="0.25">
      <c r="A277" s="26"/>
      <c r="B277" s="11" t="str">
        <f>CONCATENATE("          ", "6234", " - ", "EXPENDABLE SUPPLIES &amp; EQUIPMEN")</f>
        <v xml:space="preserve">          6234 - EXPENDABLE SUPPLIES &amp; EQUIPMEN</v>
      </c>
      <c r="C277" s="11"/>
      <c r="D277" s="6"/>
      <c r="E277" s="2"/>
      <c r="F277" s="7">
        <f t="shared" si="126"/>
        <v>0</v>
      </c>
      <c r="G277" s="2"/>
      <c r="H277" s="6">
        <v>378.95</v>
      </c>
      <c r="I277" s="2"/>
      <c r="J277" s="7">
        <f t="shared" si="127"/>
        <v>1.0931114969198071E-4</v>
      </c>
      <c r="K277" s="2"/>
      <c r="L277" s="6">
        <f t="shared" si="128"/>
        <v>-378.95</v>
      </c>
      <c r="M277" s="2"/>
      <c r="N277" s="7">
        <f t="shared" si="129"/>
        <v>-1</v>
      </c>
      <c r="O277" s="11"/>
      <c r="P277" s="6">
        <v>574.74</v>
      </c>
      <c r="Q277" s="2"/>
      <c r="R277" s="7">
        <f t="shared" si="130"/>
        <v>8.036763793811104E-5</v>
      </c>
      <c r="S277" s="2"/>
      <c r="T277" s="6">
        <v>18357.14</v>
      </c>
      <c r="U277" s="2"/>
      <c r="V277" s="7">
        <f t="shared" si="131"/>
        <v>7.2850396812970046E-4</v>
      </c>
      <c r="W277" s="2"/>
      <c r="X277" s="6">
        <f t="shared" si="132"/>
        <v>-17782.399999999998</v>
      </c>
      <c r="Y277" s="2"/>
      <c r="Z277" s="7">
        <f t="shared" si="133"/>
        <v>-0.96869120135271602</v>
      </c>
    </row>
    <row r="278" spans="1:26" s="24" customFormat="1" hidden="1" outlineLevel="2" x14ac:dyDescent="0.25">
      <c r="A278" s="26"/>
      <c r="B278" s="11" t="str">
        <f>CONCATENATE("          ", "6235", " - ", "COVID-19 EXPENSES")</f>
        <v xml:space="preserve">          6235 - COVID-19 EXPENSES</v>
      </c>
      <c r="C278" s="11"/>
      <c r="D278" s="6">
        <v>5913.34</v>
      </c>
      <c r="E278" s="2"/>
      <c r="F278" s="7">
        <f t="shared" si="126"/>
        <v>1.0827708470247385E-2</v>
      </c>
      <c r="G278" s="2"/>
      <c r="H278" s="6"/>
      <c r="I278" s="2"/>
      <c r="J278" s="7">
        <f t="shared" si="127"/>
        <v>0</v>
      </c>
      <c r="K278" s="2"/>
      <c r="L278" s="6">
        <f t="shared" si="128"/>
        <v>5913.34</v>
      </c>
      <c r="M278" s="2"/>
      <c r="N278" s="7">
        <f t="shared" si="129"/>
        <v>0</v>
      </c>
      <c r="O278" s="11"/>
      <c r="P278" s="6">
        <v>98617.97</v>
      </c>
      <c r="Q278" s="2"/>
      <c r="R278" s="7">
        <f t="shared" si="130"/>
        <v>1.3790049948066076E-2</v>
      </c>
      <c r="S278" s="2"/>
      <c r="T278" s="6"/>
      <c r="U278" s="2"/>
      <c r="V278" s="7">
        <f t="shared" si="131"/>
        <v>0</v>
      </c>
      <c r="W278" s="2"/>
      <c r="X278" s="6">
        <f t="shared" si="132"/>
        <v>98617.97</v>
      </c>
      <c r="Y278" s="2"/>
      <c r="Z278" s="7">
        <f t="shared" si="133"/>
        <v>0</v>
      </c>
    </row>
    <row r="279" spans="1:26" s="24" customFormat="1" hidden="1" outlineLevel="2" x14ac:dyDescent="0.25">
      <c r="A279" s="26"/>
      <c r="B279" s="11" t="str">
        <f>CONCATENATE("          ", "6237", " - ", "JANITORIAL SUPPLIES")</f>
        <v xml:space="preserve">          6237 - JANITORIAL SUPPLIES</v>
      </c>
      <c r="C279" s="11"/>
      <c r="D279" s="6">
        <v>648.99</v>
      </c>
      <c r="E279" s="2"/>
      <c r="F279" s="7">
        <f t="shared" si="126"/>
        <v>1.1883427166551983E-3</v>
      </c>
      <c r="G279" s="2"/>
      <c r="H279" s="6">
        <v>17222.75</v>
      </c>
      <c r="I279" s="2"/>
      <c r="J279" s="7">
        <f t="shared" si="127"/>
        <v>4.9680395919186188E-3</v>
      </c>
      <c r="K279" s="2"/>
      <c r="L279" s="6">
        <f t="shared" si="128"/>
        <v>-16573.759999999998</v>
      </c>
      <c r="M279" s="2"/>
      <c r="N279" s="7">
        <f t="shared" si="129"/>
        <v>-0.96231786445254086</v>
      </c>
      <c r="O279" s="11"/>
      <c r="P279" s="6">
        <v>20824.929999999997</v>
      </c>
      <c r="Q279" s="2"/>
      <c r="R279" s="7">
        <f t="shared" si="130"/>
        <v>2.9120131439024713E-3</v>
      </c>
      <c r="S279" s="2"/>
      <c r="T279" s="6">
        <v>116696.92000000001</v>
      </c>
      <c r="U279" s="2"/>
      <c r="V279" s="7">
        <f t="shared" si="131"/>
        <v>4.6311227832066554E-3</v>
      </c>
      <c r="W279" s="2"/>
      <c r="X279" s="6">
        <f t="shared" si="132"/>
        <v>-95871.99000000002</v>
      </c>
      <c r="Y279" s="2"/>
      <c r="Z279" s="7">
        <f t="shared" si="133"/>
        <v>-0.82154687544452765</v>
      </c>
    </row>
    <row r="280" spans="1:26" s="24" customFormat="1" hidden="1" outlineLevel="2" x14ac:dyDescent="0.25">
      <c r="A280" s="26"/>
      <c r="B280" s="11" t="str">
        <f>CONCATENATE("          ", "6239", " - ", "KITCHEN SUPPLIES")</f>
        <v xml:space="preserve">          6239 - KITCHEN SUPPLIES</v>
      </c>
      <c r="C280" s="11"/>
      <c r="D280" s="6">
        <v>253.3</v>
      </c>
      <c r="E280" s="2"/>
      <c r="F280" s="7">
        <f t="shared" si="126"/>
        <v>4.6380870295191257E-4</v>
      </c>
      <c r="G280" s="2"/>
      <c r="H280" s="6">
        <v>9796.6</v>
      </c>
      <c r="I280" s="2"/>
      <c r="J280" s="7">
        <f t="shared" si="127"/>
        <v>2.8259073995842675E-3</v>
      </c>
      <c r="K280" s="2"/>
      <c r="L280" s="6">
        <f t="shared" si="128"/>
        <v>-9543.3000000000011</v>
      </c>
      <c r="M280" s="2"/>
      <c r="N280" s="7">
        <f t="shared" si="129"/>
        <v>-0.97414409080701481</v>
      </c>
      <c r="O280" s="11"/>
      <c r="P280" s="6">
        <v>7067.16</v>
      </c>
      <c r="Q280" s="2"/>
      <c r="R280" s="7">
        <f t="shared" si="130"/>
        <v>9.8822242428002363E-4</v>
      </c>
      <c r="S280" s="2"/>
      <c r="T280" s="6">
        <v>70640.070000000007</v>
      </c>
      <c r="U280" s="2"/>
      <c r="V280" s="7">
        <f t="shared" si="131"/>
        <v>2.8033545151347006E-3</v>
      </c>
      <c r="W280" s="2"/>
      <c r="X280" s="6">
        <f t="shared" si="132"/>
        <v>-63572.91</v>
      </c>
      <c r="Y280" s="2"/>
      <c r="Z280" s="7">
        <f t="shared" si="133"/>
        <v>-0.89995536527639342</v>
      </c>
    </row>
    <row r="281" spans="1:26" s="24" customFormat="1" hidden="1" outlineLevel="2" x14ac:dyDescent="0.25">
      <c r="A281" s="26"/>
      <c r="B281" s="11" t="str">
        <f>CONCATENATE("          ", "6241", " - ", "OFFICE EXPENSE")</f>
        <v xml:space="preserve">          6241 - OFFICE EXPENSE</v>
      </c>
      <c r="C281" s="11"/>
      <c r="D281" s="6">
        <v>1775.82</v>
      </c>
      <c r="E281" s="2"/>
      <c r="F281" s="7">
        <f t="shared" si="126"/>
        <v>3.2516414168024684E-3</v>
      </c>
      <c r="G281" s="2"/>
      <c r="H281" s="6">
        <v>6329.33</v>
      </c>
      <c r="I281" s="2"/>
      <c r="J281" s="7">
        <f t="shared" si="127"/>
        <v>1.8257457160046028E-3</v>
      </c>
      <c r="K281" s="2"/>
      <c r="L281" s="6">
        <f t="shared" si="128"/>
        <v>-4553.51</v>
      </c>
      <c r="M281" s="2"/>
      <c r="N281" s="7">
        <f t="shared" si="129"/>
        <v>-0.71943001865916301</v>
      </c>
      <c r="O281" s="11"/>
      <c r="P281" s="6">
        <v>29788.25</v>
      </c>
      <c r="Q281" s="2"/>
      <c r="R281" s="7">
        <f t="shared" si="130"/>
        <v>4.1653813738558934E-3</v>
      </c>
      <c r="S281" s="2"/>
      <c r="T281" s="6">
        <v>90699.73000000001</v>
      </c>
      <c r="U281" s="2"/>
      <c r="V281" s="7">
        <f t="shared" si="131"/>
        <v>3.5994230698950082E-3</v>
      </c>
      <c r="W281" s="2"/>
      <c r="X281" s="6">
        <f t="shared" si="132"/>
        <v>-60911.48000000001</v>
      </c>
      <c r="Y281" s="2"/>
      <c r="Z281" s="7">
        <f t="shared" si="133"/>
        <v>-0.67157289222360428</v>
      </c>
    </row>
    <row r="282" spans="1:26" s="24" customFormat="1" hidden="1" outlineLevel="2" x14ac:dyDescent="0.25">
      <c r="A282" s="26"/>
      <c r="B282" s="11" t="str">
        <f>CONCATENATE("          ", "6243", " - ", "PAPER SUPPLIES")</f>
        <v xml:space="preserve">          6243 - PAPER SUPPLIES</v>
      </c>
      <c r="C282" s="11"/>
      <c r="D282" s="6">
        <v>7200.74</v>
      </c>
      <c r="E282" s="2"/>
      <c r="F282" s="7">
        <f t="shared" si="126"/>
        <v>1.3185021238428562E-2</v>
      </c>
      <c r="G282" s="2"/>
      <c r="H282" s="6">
        <v>12240.56</v>
      </c>
      <c r="I282" s="2"/>
      <c r="J282" s="7">
        <f t="shared" si="127"/>
        <v>3.5308871525891838E-3</v>
      </c>
      <c r="K282" s="2"/>
      <c r="L282" s="6">
        <f t="shared" si="128"/>
        <v>-5039.82</v>
      </c>
      <c r="M282" s="2"/>
      <c r="N282" s="7">
        <f t="shared" si="129"/>
        <v>-0.41173116262654647</v>
      </c>
      <c r="O282" s="11"/>
      <c r="P282" s="6">
        <v>30492.380000000005</v>
      </c>
      <c r="Q282" s="2"/>
      <c r="R282" s="7">
        <f t="shared" si="130"/>
        <v>4.2638420080580762E-3</v>
      </c>
      <c r="S282" s="2"/>
      <c r="T282" s="6">
        <v>93879.23</v>
      </c>
      <c r="U282" s="2"/>
      <c r="V282" s="7">
        <f t="shared" si="131"/>
        <v>3.7256016776012397E-3</v>
      </c>
      <c r="W282" s="2"/>
      <c r="X282" s="6">
        <f t="shared" si="132"/>
        <v>-63386.849999999991</v>
      </c>
      <c r="Y282" s="2"/>
      <c r="Z282" s="7">
        <f t="shared" si="133"/>
        <v>-0.67519567427214722</v>
      </c>
    </row>
    <row r="283" spans="1:26" s="24" customFormat="1" hidden="1" outlineLevel="2" x14ac:dyDescent="0.25">
      <c r="A283" s="26"/>
      <c r="B283" s="11" t="str">
        <f>CONCATENATE("          ", "6245", " - ", "PRINTING")</f>
        <v xml:space="preserve">          6245 - PRINTING</v>
      </c>
      <c r="C283" s="11"/>
      <c r="D283" s="6">
        <v>398.67</v>
      </c>
      <c r="E283" s="2"/>
      <c r="F283" s="7">
        <f t="shared" si="126"/>
        <v>7.299905866791906E-4</v>
      </c>
      <c r="G283" s="2"/>
      <c r="H283" s="6">
        <v>3266.4</v>
      </c>
      <c r="I283" s="2"/>
      <c r="J283" s="7">
        <f t="shared" si="127"/>
        <v>9.4221913010657287E-4</v>
      </c>
      <c r="K283" s="2"/>
      <c r="L283" s="6">
        <f t="shared" si="128"/>
        <v>-2867.73</v>
      </c>
      <c r="M283" s="2"/>
      <c r="N283" s="7">
        <f t="shared" si="129"/>
        <v>-0.87794819985304917</v>
      </c>
      <c r="O283" s="11"/>
      <c r="P283" s="6">
        <v>906.94</v>
      </c>
      <c r="Q283" s="2"/>
      <c r="R283" s="7">
        <f t="shared" si="130"/>
        <v>1.2682017181958873E-4</v>
      </c>
      <c r="S283" s="2"/>
      <c r="T283" s="6">
        <v>11954.58</v>
      </c>
      <c r="U283" s="2"/>
      <c r="V283" s="7">
        <f t="shared" si="131"/>
        <v>4.7441807205937067E-4</v>
      </c>
      <c r="W283" s="2"/>
      <c r="X283" s="6">
        <f t="shared" si="132"/>
        <v>-11047.64</v>
      </c>
      <c r="Y283" s="2"/>
      <c r="Z283" s="7">
        <f t="shared" si="133"/>
        <v>-0.92413451580900374</v>
      </c>
    </row>
    <row r="284" spans="1:26" s="24" customFormat="1" hidden="1" outlineLevel="2" x14ac:dyDescent="0.25">
      <c r="A284" s="26"/>
      <c r="B284" s="11" t="str">
        <f>CONCATENATE("          ", "6246", " - ", "REPLACEMENTS")</f>
        <v xml:space="preserve">          6246 - REPLACEMENTS</v>
      </c>
      <c r="C284" s="11"/>
      <c r="D284" s="6"/>
      <c r="E284" s="2"/>
      <c r="F284" s="7">
        <f t="shared" si="126"/>
        <v>0</v>
      </c>
      <c r="G284" s="2"/>
      <c r="H284" s="6">
        <v>25.87</v>
      </c>
      <c r="I284" s="2"/>
      <c r="J284" s="7">
        <f t="shared" si="127"/>
        <v>7.4624078177372767E-6</v>
      </c>
      <c r="K284" s="2"/>
      <c r="L284" s="6">
        <f t="shared" si="128"/>
        <v>-25.87</v>
      </c>
      <c r="M284" s="2"/>
      <c r="N284" s="7">
        <f t="shared" si="129"/>
        <v>-1</v>
      </c>
      <c r="O284" s="11"/>
      <c r="P284" s="6"/>
      <c r="Q284" s="2"/>
      <c r="R284" s="7">
        <f t="shared" si="130"/>
        <v>0</v>
      </c>
      <c r="S284" s="2"/>
      <c r="T284" s="6">
        <v>25.87</v>
      </c>
      <c r="U284" s="2"/>
      <c r="V284" s="7">
        <f t="shared" si="131"/>
        <v>1.0266521721529254E-6</v>
      </c>
      <c r="W284" s="2"/>
      <c r="X284" s="6">
        <f t="shared" si="132"/>
        <v>-25.87</v>
      </c>
      <c r="Y284" s="2"/>
      <c r="Z284" s="7">
        <f t="shared" si="133"/>
        <v>-1</v>
      </c>
    </row>
    <row r="285" spans="1:26" s="24" customFormat="1" hidden="1" outlineLevel="2" x14ac:dyDescent="0.25">
      <c r="A285" s="26"/>
      <c r="B285" s="11" t="str">
        <f>CONCATENATE("          ", "6247", " - ", "STORE SUPPLIES")</f>
        <v xml:space="preserve">          6247 - STORE SUPPLIES</v>
      </c>
      <c r="C285" s="11"/>
      <c r="D285" s="6">
        <v>3888.52</v>
      </c>
      <c r="E285" s="2"/>
      <c r="F285" s="7">
        <f t="shared" si="126"/>
        <v>7.1201319289481676E-3</v>
      </c>
      <c r="G285" s="2"/>
      <c r="H285" s="6">
        <v>14044.3</v>
      </c>
      <c r="I285" s="2"/>
      <c r="J285" s="7">
        <f t="shared" si="127"/>
        <v>4.0511903407285509E-3</v>
      </c>
      <c r="K285" s="2"/>
      <c r="L285" s="6">
        <f t="shared" si="128"/>
        <v>-10155.779999999999</v>
      </c>
      <c r="M285" s="2"/>
      <c r="N285" s="7">
        <f t="shared" si="129"/>
        <v>-0.72312468403551611</v>
      </c>
      <c r="O285" s="11"/>
      <c r="P285" s="6">
        <v>42589.020000000004</v>
      </c>
      <c r="Q285" s="2"/>
      <c r="R285" s="7">
        <f t="shared" si="130"/>
        <v>5.9553518799787212E-3</v>
      </c>
      <c r="S285" s="2"/>
      <c r="T285" s="6">
        <v>65104.84</v>
      </c>
      <c r="U285" s="2"/>
      <c r="V285" s="7">
        <f t="shared" si="131"/>
        <v>2.5836886510888541E-3</v>
      </c>
      <c r="W285" s="2"/>
      <c r="X285" s="6">
        <f t="shared" si="132"/>
        <v>-22515.819999999992</v>
      </c>
      <c r="Y285" s="2"/>
      <c r="Z285" s="7">
        <f t="shared" si="133"/>
        <v>-0.34583941839039917</v>
      </c>
    </row>
    <row r="286" spans="1:26" s="24" customFormat="1" hidden="1" outlineLevel="2" x14ac:dyDescent="0.25">
      <c r="A286" s="26"/>
      <c r="B286" s="11" t="str">
        <f>CONCATENATE("          ", "6248", " - ", "UNIFORMS")</f>
        <v xml:space="preserve">          6248 - UNIFORMS</v>
      </c>
      <c r="C286" s="11"/>
      <c r="D286" s="6"/>
      <c r="E286" s="2"/>
      <c r="F286" s="7">
        <f t="shared" si="126"/>
        <v>0</v>
      </c>
      <c r="G286" s="2"/>
      <c r="H286" s="6">
        <v>458.07</v>
      </c>
      <c r="I286" s="2"/>
      <c r="J286" s="7">
        <f t="shared" si="127"/>
        <v>1.3213394468770444E-4</v>
      </c>
      <c r="K286" s="2"/>
      <c r="L286" s="6">
        <f t="shared" si="128"/>
        <v>-458.07</v>
      </c>
      <c r="M286" s="2"/>
      <c r="N286" s="7">
        <f t="shared" si="129"/>
        <v>-1</v>
      </c>
      <c r="O286" s="11"/>
      <c r="P286" s="6">
        <v>4500.59</v>
      </c>
      <c r="Q286" s="2"/>
      <c r="R286" s="7">
        <f t="shared" si="130"/>
        <v>6.2933115430957153E-4</v>
      </c>
      <c r="S286" s="2"/>
      <c r="T286" s="6">
        <v>2644.43</v>
      </c>
      <c r="U286" s="2"/>
      <c r="V286" s="7">
        <f t="shared" si="131"/>
        <v>1.0494432947840589E-4</v>
      </c>
      <c r="W286" s="2"/>
      <c r="X286" s="6">
        <f t="shared" si="132"/>
        <v>1856.1600000000003</v>
      </c>
      <c r="Y286" s="2"/>
      <c r="Z286" s="7">
        <f t="shared" si="133"/>
        <v>0.70191307767647482</v>
      </c>
    </row>
    <row r="287" spans="1:26" s="25" customFormat="1" outlineLevel="1" collapsed="1" x14ac:dyDescent="0.25">
      <c r="A287" s="27"/>
      <c r="B287" s="13" t="str">
        <f>CONCATENATE("     ","Telephone/Data Lines                              ")</f>
        <v xml:space="preserve">     Telephone/Data Lines                              </v>
      </c>
      <c r="C287" s="13"/>
      <c r="D287" s="1">
        <f>SUM(OSRRefD22_23x_0)</f>
        <v>2147.4899999999998</v>
      </c>
      <c r="E287" s="1"/>
      <c r="F287" s="5">
        <f t="shared" ref="F287:F289" si="134">IF(D$12=0,0,D287/D$12)</f>
        <v>3.9321932550422526E-3</v>
      </c>
      <c r="G287" s="1"/>
      <c r="H287" s="1">
        <f>SUM(OSRRefH22_23x_0)</f>
        <v>6010.07</v>
      </c>
      <c r="I287" s="1"/>
      <c r="J287" s="5">
        <f t="shared" ref="J287:J289" si="135">IF(H$12=0,0,H287/H$12)</f>
        <v>1.7336526228507254E-3</v>
      </c>
      <c r="K287" s="1"/>
      <c r="L287" s="1">
        <f t="shared" ref="L287:L289" si="136">+D287-H287</f>
        <v>-3862.58</v>
      </c>
      <c r="M287" s="1"/>
      <c r="N287" s="5">
        <f t="shared" ref="N287:N289" si="137">IF(H287=0,0,L287/H287)</f>
        <v>-0.64268469418825402</v>
      </c>
      <c r="O287" s="13"/>
      <c r="P287" s="1">
        <f>SUM(OSRRefP22_23x_0)</f>
        <v>34873</v>
      </c>
      <c r="Q287" s="1"/>
      <c r="R287" s="5">
        <f t="shared" ref="R287:R289" si="138">IF(P$12=0,0,P287/P$12)</f>
        <v>4.876397393283478E-3</v>
      </c>
      <c r="S287" s="1"/>
      <c r="T287" s="1">
        <f>SUM(OSRRefT22_23x_0)</f>
        <v>48045.91</v>
      </c>
      <c r="U287" s="1"/>
      <c r="V287" s="5">
        <f t="shared" ref="V287:V289" si="139">IF(T$12=0,0,T287/T$12)</f>
        <v>1.9067042081393104E-3</v>
      </c>
      <c r="W287" s="1"/>
      <c r="X287" s="1">
        <f t="shared" ref="X287:X289" si="140">+P287-T287</f>
        <v>-13172.910000000003</v>
      </c>
      <c r="Y287" s="1"/>
      <c r="Z287" s="5">
        <f t="shared" ref="Z287:Z289" si="141">IF(T287=0,0,X287/T287)</f>
        <v>-0.27417338957676113</v>
      </c>
    </row>
    <row r="288" spans="1:26" s="24" customFormat="1" hidden="1" outlineLevel="2" x14ac:dyDescent="0.25">
      <c r="A288" s="26"/>
      <c r="B288" s="11" t="str">
        <f>CONCATENATE("          ", "6303", " - ", "DATA PHONE LINES")</f>
        <v xml:space="preserve">          6303 - DATA PHONE LINES</v>
      </c>
      <c r="C288" s="11"/>
      <c r="D288" s="6">
        <v>590</v>
      </c>
      <c r="E288" s="2"/>
      <c r="F288" s="7">
        <f t="shared" si="134"/>
        <v>1.0803282066388805E-3</v>
      </c>
      <c r="G288" s="2"/>
      <c r="H288" s="6">
        <v>295</v>
      </c>
      <c r="I288" s="2"/>
      <c r="J288" s="7">
        <f t="shared" si="135"/>
        <v>8.5095102676169173E-5</v>
      </c>
      <c r="K288" s="2"/>
      <c r="L288" s="6">
        <f t="shared" si="136"/>
        <v>295</v>
      </c>
      <c r="M288" s="2"/>
      <c r="N288" s="7">
        <f t="shared" si="137"/>
        <v>1</v>
      </c>
      <c r="O288" s="11"/>
      <c r="P288" s="6">
        <v>2950</v>
      </c>
      <c r="Q288" s="2"/>
      <c r="R288" s="7">
        <f t="shared" si="138"/>
        <v>4.1250745018169531E-4</v>
      </c>
      <c r="S288" s="2"/>
      <c r="T288" s="6">
        <v>2360</v>
      </c>
      <c r="U288" s="2"/>
      <c r="V288" s="7">
        <f t="shared" si="139"/>
        <v>9.3656711491337606E-5</v>
      </c>
      <c r="W288" s="2"/>
      <c r="X288" s="6">
        <f t="shared" si="140"/>
        <v>590</v>
      </c>
      <c r="Y288" s="2"/>
      <c r="Z288" s="7">
        <f t="shared" si="141"/>
        <v>0.25</v>
      </c>
    </row>
    <row r="289" spans="1:26" s="24" customFormat="1" hidden="1" outlineLevel="2" x14ac:dyDescent="0.25">
      <c r="A289" s="26"/>
      <c r="B289" s="11" t="str">
        <f>CONCATENATE("          ", "6309", " - ", "TELEPHONE")</f>
        <v xml:space="preserve">          6309 - TELEPHONE</v>
      </c>
      <c r="C289" s="11"/>
      <c r="D289" s="6">
        <v>1557.49</v>
      </c>
      <c r="E289" s="2"/>
      <c r="F289" s="7">
        <f t="shared" si="134"/>
        <v>2.8518650484033723E-3</v>
      </c>
      <c r="G289" s="2"/>
      <c r="H289" s="6">
        <v>5715.07</v>
      </c>
      <c r="I289" s="2"/>
      <c r="J289" s="7">
        <f t="shared" si="135"/>
        <v>1.6485575201745564E-3</v>
      </c>
      <c r="K289" s="2"/>
      <c r="L289" s="6">
        <f t="shared" si="136"/>
        <v>-4157.58</v>
      </c>
      <c r="M289" s="2"/>
      <c r="N289" s="7">
        <f t="shared" si="137"/>
        <v>-0.72747665382926197</v>
      </c>
      <c r="O289" s="11"/>
      <c r="P289" s="6">
        <v>31923</v>
      </c>
      <c r="Q289" s="2"/>
      <c r="R289" s="7">
        <f t="shared" si="138"/>
        <v>4.4638899431017828E-3</v>
      </c>
      <c r="S289" s="2"/>
      <c r="T289" s="6">
        <v>45685.91</v>
      </c>
      <c r="U289" s="2"/>
      <c r="V289" s="7">
        <f t="shared" si="139"/>
        <v>1.8130474966479729E-3</v>
      </c>
      <c r="W289" s="2"/>
      <c r="X289" s="6">
        <f t="shared" si="140"/>
        <v>-13762.910000000003</v>
      </c>
      <c r="Y289" s="2"/>
      <c r="Z289" s="7">
        <f t="shared" si="141"/>
        <v>-0.30125064817577241</v>
      </c>
    </row>
    <row r="290" spans="1:26" s="25" customFormat="1" outlineLevel="1" collapsed="1" x14ac:dyDescent="0.25">
      <c r="A290" s="27"/>
      <c r="B290" s="13" t="str">
        <f>CONCATENATE("     ","Training                                          ")</f>
        <v xml:space="preserve">     Training                                          </v>
      </c>
      <c r="C290" s="13"/>
      <c r="D290" s="1">
        <f>SUM(OSRRefD22_24x_0)</f>
        <v>750</v>
      </c>
      <c r="E290" s="1"/>
      <c r="F290" s="5">
        <f t="shared" ref="F290:F295" si="142">IF(D$12=0,0,D290/D$12)</f>
        <v>1.3732985677612885E-3</v>
      </c>
      <c r="G290" s="1"/>
      <c r="H290" s="1">
        <f>SUM(OSRRefH22_24x_0)</f>
        <v>6883.95</v>
      </c>
      <c r="I290" s="1"/>
      <c r="J290" s="5">
        <f t="shared" ref="J290:J295" si="143">IF(H$12=0,0,H290/H$12)</f>
        <v>1.9857302781953043E-3</v>
      </c>
      <c r="K290" s="1"/>
      <c r="L290" s="1">
        <f t="shared" ref="L290:L295" si="144">+D290-H290</f>
        <v>-6133.95</v>
      </c>
      <c r="M290" s="1"/>
      <c r="N290" s="5">
        <f t="shared" ref="N290:N295" si="145">IF(H290=0,0,L290/H290)</f>
        <v>-0.89105092279868392</v>
      </c>
      <c r="O290" s="13"/>
      <c r="P290" s="1">
        <f>SUM(OSRRefP22_24x_0)</f>
        <v>2130.63</v>
      </c>
      <c r="Q290" s="1"/>
      <c r="R290" s="5">
        <f t="shared" ref="R290:R295" si="146">IF(P$12=0,0,P290/P$12)</f>
        <v>2.9793245714597477E-4</v>
      </c>
      <c r="S290" s="1"/>
      <c r="T290" s="1">
        <f>SUM(OSRRefT22_24x_0)</f>
        <v>25609.670000000002</v>
      </c>
      <c r="U290" s="1"/>
      <c r="V290" s="5">
        <f t="shared" ref="V290:V295" si="147">IF(T$12=0,0,T290/T$12)</f>
        <v>1.0163209638043916E-3</v>
      </c>
      <c r="W290" s="1"/>
      <c r="X290" s="1">
        <f t="shared" ref="X290:X295" si="148">+P290-T290</f>
        <v>-23479.040000000001</v>
      </c>
      <c r="Y290" s="1"/>
      <c r="Z290" s="5">
        <f t="shared" ref="Z290:Z295" si="149">IF(T290=0,0,X290/T290)</f>
        <v>-0.91680369173050646</v>
      </c>
    </row>
    <row r="291" spans="1:26" s="24" customFormat="1" hidden="1" outlineLevel="2" x14ac:dyDescent="0.25">
      <c r="A291" s="26"/>
      <c r="B291" s="11" t="str">
        <f>CONCATENATE("          ", "6376", " - ", "TRAINING")</f>
        <v xml:space="preserve">          6376 - TRAINING</v>
      </c>
      <c r="C291" s="11"/>
      <c r="D291" s="6">
        <v>750</v>
      </c>
      <c r="E291" s="2"/>
      <c r="F291" s="7">
        <f t="shared" si="142"/>
        <v>1.3732985677612885E-3</v>
      </c>
      <c r="G291" s="2"/>
      <c r="H291" s="6">
        <v>6883.95</v>
      </c>
      <c r="I291" s="2"/>
      <c r="J291" s="7">
        <f t="shared" si="143"/>
        <v>1.9857302781953043E-3</v>
      </c>
      <c r="K291" s="2"/>
      <c r="L291" s="6">
        <f t="shared" si="144"/>
        <v>-6133.95</v>
      </c>
      <c r="M291" s="2"/>
      <c r="N291" s="7">
        <f t="shared" si="145"/>
        <v>-0.89105092279868392</v>
      </c>
      <c r="O291" s="11"/>
      <c r="P291" s="6">
        <v>2130.63</v>
      </c>
      <c r="Q291" s="2"/>
      <c r="R291" s="7">
        <f t="shared" si="146"/>
        <v>2.9793245714597477E-4</v>
      </c>
      <c r="S291" s="2"/>
      <c r="T291" s="6">
        <v>25609.670000000002</v>
      </c>
      <c r="U291" s="2"/>
      <c r="V291" s="7">
        <f t="shared" si="147"/>
        <v>1.0163209638043916E-3</v>
      </c>
      <c r="W291" s="2"/>
      <c r="X291" s="6">
        <f t="shared" si="148"/>
        <v>-23479.040000000001</v>
      </c>
      <c r="Y291" s="2"/>
      <c r="Z291" s="7">
        <f t="shared" si="149"/>
        <v>-0.91680369173050646</v>
      </c>
    </row>
    <row r="292" spans="1:26" s="25" customFormat="1" outlineLevel="1" collapsed="1" x14ac:dyDescent="0.25">
      <c r="A292" s="27"/>
      <c r="B292" s="13" t="str">
        <f>CONCATENATE("     ","Travel                                            ")</f>
        <v xml:space="preserve">     Travel                                            </v>
      </c>
      <c r="C292" s="13"/>
      <c r="D292" s="1">
        <f>SUM(OSRRefD22_25x_0)</f>
        <v>0</v>
      </c>
      <c r="E292" s="1"/>
      <c r="F292" s="5">
        <f t="shared" si="142"/>
        <v>0</v>
      </c>
      <c r="G292" s="1"/>
      <c r="H292" s="1">
        <f>SUM(OSRRefH22_25x_0)</f>
        <v>247.62</v>
      </c>
      <c r="I292" s="1"/>
      <c r="J292" s="5">
        <f t="shared" si="143"/>
        <v>7.1427963812450889E-5</v>
      </c>
      <c r="K292" s="1"/>
      <c r="L292" s="1">
        <f t="shared" si="144"/>
        <v>-247.62</v>
      </c>
      <c r="M292" s="1"/>
      <c r="N292" s="5">
        <f t="shared" si="145"/>
        <v>-1</v>
      </c>
      <c r="O292" s="13"/>
      <c r="P292" s="1">
        <f>SUM(OSRRefP22_25x_0)</f>
        <v>1142.52</v>
      </c>
      <c r="Q292" s="1"/>
      <c r="R292" s="5">
        <f t="shared" si="146"/>
        <v>1.597620379598612E-4</v>
      </c>
      <c r="S292" s="1"/>
      <c r="T292" s="1">
        <f>SUM(OSRRefT22_25x_0)</f>
        <v>6003.21</v>
      </c>
      <c r="U292" s="1"/>
      <c r="V292" s="5">
        <f t="shared" si="147"/>
        <v>2.3823767245420037E-4</v>
      </c>
      <c r="W292" s="1"/>
      <c r="X292" s="1">
        <f t="shared" si="148"/>
        <v>-4860.6900000000005</v>
      </c>
      <c r="Y292" s="1"/>
      <c r="Z292" s="5">
        <f t="shared" si="149"/>
        <v>-0.80968182022617907</v>
      </c>
    </row>
    <row r="293" spans="1:26" s="24" customFormat="1" hidden="1" outlineLevel="2" x14ac:dyDescent="0.25">
      <c r="A293" s="26"/>
      <c r="B293" s="11" t="str">
        <f>CONCATENATE("          ", "6292", " - ", "TRAVEL/CONFERENCE")</f>
        <v xml:space="preserve">          6292 - TRAVEL/CONFERENCE</v>
      </c>
      <c r="C293" s="11"/>
      <c r="D293" s="6"/>
      <c r="E293" s="2"/>
      <c r="F293" s="7">
        <f t="shared" si="142"/>
        <v>0</v>
      </c>
      <c r="G293" s="2"/>
      <c r="H293" s="6">
        <v>136.79</v>
      </c>
      <c r="I293" s="2"/>
      <c r="J293" s="7">
        <f t="shared" si="143"/>
        <v>3.9458166423976882E-5</v>
      </c>
      <c r="K293" s="2"/>
      <c r="L293" s="6">
        <f t="shared" si="144"/>
        <v>-136.79</v>
      </c>
      <c r="M293" s="2"/>
      <c r="N293" s="7">
        <f t="shared" si="145"/>
        <v>-1</v>
      </c>
      <c r="O293" s="11"/>
      <c r="P293" s="6">
        <v>299.16000000000003</v>
      </c>
      <c r="Q293" s="2"/>
      <c r="R293" s="7">
        <f t="shared" si="146"/>
        <v>4.1832450439442705E-5</v>
      </c>
      <c r="S293" s="2"/>
      <c r="T293" s="6">
        <v>4365.63</v>
      </c>
      <c r="U293" s="2"/>
      <c r="V293" s="7">
        <f t="shared" si="147"/>
        <v>1.7325023279149499E-4</v>
      </c>
      <c r="W293" s="2"/>
      <c r="X293" s="6">
        <f t="shared" si="148"/>
        <v>-4066.4700000000003</v>
      </c>
      <c r="Y293" s="2"/>
      <c r="Z293" s="7">
        <f t="shared" si="149"/>
        <v>-0.93147380790401391</v>
      </c>
    </row>
    <row r="294" spans="1:26" s="24" customFormat="1" hidden="1" outlineLevel="2" x14ac:dyDescent="0.25">
      <c r="A294" s="26"/>
      <c r="B294" s="11" t="str">
        <f>CONCATENATE("          ", "6294", " - ", "TRAVEL OPERATIONAL")</f>
        <v xml:space="preserve">          6294 - TRAVEL OPERATIONAL</v>
      </c>
      <c r="C294" s="11"/>
      <c r="D294" s="6"/>
      <c r="E294" s="2"/>
      <c r="F294" s="7">
        <f t="shared" si="142"/>
        <v>0</v>
      </c>
      <c r="G294" s="2"/>
      <c r="H294" s="6">
        <v>35.29</v>
      </c>
      <c r="I294" s="2"/>
      <c r="J294" s="7">
        <f t="shared" si="143"/>
        <v>1.017968194387122E-5</v>
      </c>
      <c r="K294" s="2"/>
      <c r="L294" s="6">
        <f t="shared" si="144"/>
        <v>-35.29</v>
      </c>
      <c r="M294" s="2"/>
      <c r="N294" s="7">
        <f t="shared" si="145"/>
        <v>-1</v>
      </c>
      <c r="O294" s="11"/>
      <c r="P294" s="6">
        <v>451.26</v>
      </c>
      <c r="Q294" s="2"/>
      <c r="R294" s="7">
        <f t="shared" si="146"/>
        <v>6.3101054904742988E-5</v>
      </c>
      <c r="S294" s="2"/>
      <c r="T294" s="6">
        <v>392.97</v>
      </c>
      <c r="U294" s="2"/>
      <c r="V294" s="7">
        <f t="shared" si="147"/>
        <v>1.5595033014724976E-5</v>
      </c>
      <c r="W294" s="2"/>
      <c r="X294" s="6">
        <f t="shared" si="148"/>
        <v>58.289999999999964</v>
      </c>
      <c r="Y294" s="2"/>
      <c r="Z294" s="7">
        <f t="shared" si="149"/>
        <v>0.14833193373539955</v>
      </c>
    </row>
    <row r="295" spans="1:26" s="24" customFormat="1" hidden="1" outlineLevel="2" x14ac:dyDescent="0.25">
      <c r="A295" s="26"/>
      <c r="B295" s="11" t="str">
        <f>CONCATENATE("          ", "6298", " - ", "VEHICLE MILEAGE")</f>
        <v xml:space="preserve">          6298 - VEHICLE MILEAGE</v>
      </c>
      <c r="C295" s="11"/>
      <c r="D295" s="6"/>
      <c r="E295" s="2"/>
      <c r="F295" s="7">
        <f t="shared" si="142"/>
        <v>0</v>
      </c>
      <c r="G295" s="2"/>
      <c r="H295" s="6">
        <v>75.540000000000006</v>
      </c>
      <c r="I295" s="2"/>
      <c r="J295" s="7">
        <f t="shared" si="143"/>
        <v>2.1790115444602777E-5</v>
      </c>
      <c r="K295" s="2"/>
      <c r="L295" s="6">
        <f t="shared" si="144"/>
        <v>-75.540000000000006</v>
      </c>
      <c r="M295" s="2"/>
      <c r="N295" s="7">
        <f t="shared" si="145"/>
        <v>-1</v>
      </c>
      <c r="O295" s="11"/>
      <c r="P295" s="6">
        <v>392.1</v>
      </c>
      <c r="Q295" s="2"/>
      <c r="R295" s="7">
        <f t="shared" si="146"/>
        <v>5.4828532615675506E-5</v>
      </c>
      <c r="S295" s="2"/>
      <c r="T295" s="6">
        <v>1244.6099999999999</v>
      </c>
      <c r="U295" s="2"/>
      <c r="V295" s="7">
        <f t="shared" si="147"/>
        <v>4.9392406647980375E-5</v>
      </c>
      <c r="W295" s="2"/>
      <c r="X295" s="6">
        <f t="shared" si="148"/>
        <v>-852.50999999999988</v>
      </c>
      <c r="Y295" s="2"/>
      <c r="Z295" s="7">
        <f t="shared" si="149"/>
        <v>-0.68496155422180438</v>
      </c>
    </row>
    <row r="296" spans="1:26" s="25" customFormat="1" outlineLevel="1" collapsed="1" x14ac:dyDescent="0.25">
      <c r="A296" s="27"/>
      <c r="B296" s="13" t="str">
        <f>CONCATENATE("     ","Utilities                                         ")</f>
        <v xml:space="preserve">     Utilities                                         </v>
      </c>
      <c r="C296" s="13"/>
      <c r="D296" s="1">
        <f>SUM(OSRRefD22_26x_0)</f>
        <v>10957.14</v>
      </c>
      <c r="E296" s="1"/>
      <c r="F296" s="5">
        <f t="shared" ref="F296:F297" si="150">IF(D$12=0,0,D296/D$12)</f>
        <v>2.00632328916799E-2</v>
      </c>
      <c r="G296" s="1"/>
      <c r="H296" s="1">
        <f>SUM(OSRRefH22_26x_0)</f>
        <v>25234.969999999998</v>
      </c>
      <c r="I296" s="1"/>
      <c r="J296" s="5">
        <f t="shared" ref="J296:J297" si="151">IF(H$12=0,0,H296/H$12)</f>
        <v>7.2792283497628762E-3</v>
      </c>
      <c r="K296" s="1"/>
      <c r="L296" s="1">
        <f t="shared" ref="L296:L297" si="152">+D296-H296</f>
        <v>-14277.829999999998</v>
      </c>
      <c r="M296" s="1"/>
      <c r="N296" s="5">
        <f t="shared" ref="N296:N297" si="153">IF(H296=0,0,L296/H296)</f>
        <v>-0.56579540217404656</v>
      </c>
      <c r="O296" s="13"/>
      <c r="P296" s="1">
        <f>SUM(OSRRefP22_26x_0)</f>
        <v>63230.17</v>
      </c>
      <c r="Q296" s="1"/>
      <c r="R296" s="5">
        <f t="shared" ref="R296:R297" si="154">IF(P$12=0,0,P296/P$12)</f>
        <v>8.8416665089000417E-3</v>
      </c>
      <c r="S296" s="1"/>
      <c r="T296" s="1">
        <f>SUM(OSRRefT22_26x_0)</f>
        <v>182592.91</v>
      </c>
      <c r="U296" s="1"/>
      <c r="V296" s="5">
        <f t="shared" ref="V296:V297" si="155">IF(T$12=0,0,T296/T$12)</f>
        <v>7.246208259421091E-3</v>
      </c>
      <c r="W296" s="1"/>
      <c r="X296" s="1">
        <f t="shared" ref="X296:X297" si="156">+P296-T296</f>
        <v>-119362.74</v>
      </c>
      <c r="Y296" s="1"/>
      <c r="Z296" s="5">
        <f t="shared" ref="Z296:Z297" si="157">IF(T296=0,0,X296/T296)</f>
        <v>-0.65370961008288875</v>
      </c>
    </row>
    <row r="297" spans="1:26" s="24" customFormat="1" hidden="1" outlineLevel="2" x14ac:dyDescent="0.25">
      <c r="A297" s="26"/>
      <c r="B297" s="11" t="str">
        <f>CONCATENATE("          ", "6274", " - ", "UTILITIES")</f>
        <v xml:space="preserve">          6274 - UTILITIES</v>
      </c>
      <c r="C297" s="11"/>
      <c r="D297" s="6">
        <v>10957.14</v>
      </c>
      <c r="E297" s="2"/>
      <c r="F297" s="7">
        <f t="shared" si="150"/>
        <v>2.00632328916799E-2</v>
      </c>
      <c r="G297" s="2"/>
      <c r="H297" s="6">
        <v>25234.969999999998</v>
      </c>
      <c r="I297" s="2"/>
      <c r="J297" s="7">
        <f t="shared" si="151"/>
        <v>7.2792283497628762E-3</v>
      </c>
      <c r="K297" s="2"/>
      <c r="L297" s="6">
        <f t="shared" si="152"/>
        <v>-14277.829999999998</v>
      </c>
      <c r="M297" s="2"/>
      <c r="N297" s="7">
        <f t="shared" si="153"/>
        <v>-0.56579540217404656</v>
      </c>
      <c r="O297" s="11"/>
      <c r="P297" s="6">
        <v>63230.17</v>
      </c>
      <c r="Q297" s="2"/>
      <c r="R297" s="7">
        <f t="shared" si="154"/>
        <v>8.8416665089000417E-3</v>
      </c>
      <c r="S297" s="2"/>
      <c r="T297" s="6">
        <v>182592.91</v>
      </c>
      <c r="U297" s="2"/>
      <c r="V297" s="7">
        <f t="shared" si="155"/>
        <v>7.246208259421091E-3</v>
      </c>
      <c r="W297" s="2"/>
      <c r="X297" s="6">
        <f t="shared" si="156"/>
        <v>-119362.74</v>
      </c>
      <c r="Y297" s="2"/>
      <c r="Z297" s="7">
        <f t="shared" si="157"/>
        <v>-0.65370961008288875</v>
      </c>
    </row>
    <row r="298" spans="1:26" s="52" customFormat="1" x14ac:dyDescent="0.25">
      <c r="A298" s="37"/>
      <c r="B298" s="37"/>
      <c r="C298" s="37"/>
      <c r="D298" s="1"/>
      <c r="E298" s="1"/>
      <c r="F298" s="5"/>
      <c r="G298" s="1"/>
      <c r="H298" s="1"/>
      <c r="I298" s="1"/>
      <c r="J298" s="5"/>
      <c r="K298" s="1"/>
      <c r="L298" s="1"/>
      <c r="M298" s="1"/>
      <c r="N298" s="5"/>
      <c r="O298" s="37"/>
      <c r="P298" s="1"/>
      <c r="Q298" s="1"/>
      <c r="R298" s="5"/>
      <c r="S298" s="1"/>
      <c r="T298" s="1"/>
      <c r="U298" s="1"/>
      <c r="V298" s="5"/>
      <c r="W298" s="1"/>
      <c r="X298" s="1"/>
      <c r="Y298" s="1"/>
      <c r="Z298" s="5"/>
    </row>
    <row r="299" spans="1:26" s="23" customFormat="1" collapsed="1" x14ac:dyDescent="0.25">
      <c r="A299" s="10"/>
      <c r="B299" s="28" t="s">
        <v>0</v>
      </c>
      <c r="C299" s="10"/>
      <c r="D299" s="4">
        <f>SUM(OSRRefD25x_0)</f>
        <v>199158.76</v>
      </c>
      <c r="E299" s="4"/>
      <c r="F299" s="12">
        <f t="shared" ref="F299:F312" si="158">IF(D$12=0,0,D299/D$12)</f>
        <v>0.36467258648681894</v>
      </c>
      <c r="G299" s="4"/>
      <c r="H299" s="4">
        <f>SUM(OSRRefH25x_0)</f>
        <v>200445.27</v>
      </c>
      <c r="I299" s="4"/>
      <c r="J299" s="12">
        <f t="shared" ref="J299:J312" si="159">IF(H$12=0,0,H299/H$12)</f>
        <v>5.7820036717296443E-2</v>
      </c>
      <c r="K299" s="4"/>
      <c r="L299" s="4">
        <f t="shared" ref="L299:L312" si="160">+D299-H299</f>
        <v>-1286.5099999999802</v>
      </c>
      <c r="M299" s="4"/>
      <c r="N299" s="12">
        <f t="shared" ref="N299:N312" si="161">IF(H299=0,0,L299/H299)</f>
        <v>-6.4182607052787038E-3</v>
      </c>
      <c r="O299" s="10"/>
      <c r="P299" s="4">
        <f>SUM(OSRRefP25x_0)</f>
        <v>794011.95</v>
      </c>
      <c r="Q299" s="4"/>
      <c r="R299" s="12">
        <f t="shared" ref="R299:R312" si="162">IF(P$12=0,0,P299/P$12)</f>
        <v>0.1110290999689138</v>
      </c>
      <c r="S299" s="4"/>
      <c r="T299" s="4">
        <f>SUM(OSRRefT25x_0)</f>
        <v>1277568.4700000002</v>
      </c>
      <c r="U299" s="4"/>
      <c r="V299" s="12">
        <f t="shared" ref="V299:V312" si="163">IF(T$12=0,0,T299/T$12)</f>
        <v>5.0700365086957466E-2</v>
      </c>
      <c r="W299" s="4"/>
      <c r="X299" s="4">
        <f t="shared" ref="X299:X312" si="164">+P299-T299</f>
        <v>-483556.52000000025</v>
      </c>
      <c r="Y299" s="4"/>
      <c r="Z299" s="12">
        <f t="shared" ref="Z299:Z312" si="165">IF(T299=0,0,X299/T299)</f>
        <v>-0.37849753759186011</v>
      </c>
    </row>
    <row r="300" spans="1:26" s="24" customFormat="1" hidden="1" outlineLevel="1" x14ac:dyDescent="0.25">
      <c r="A300" s="44"/>
      <c r="B300" s="11" t="str">
        <f>CONCATENATE("          ", "4098", " - ", "TAXABLE SALES-GRAD RENTALS")</f>
        <v xml:space="preserve">          4098 - TAXABLE SALES-GRAD RENTALS</v>
      </c>
      <c r="C300" s="11"/>
      <c r="D300" s="2">
        <f>0</f>
        <v>0</v>
      </c>
      <c r="E300" s="2"/>
      <c r="F300" s="19">
        <f t="shared" si="158"/>
        <v>0</v>
      </c>
      <c r="G300" s="2"/>
      <c r="H300" s="2">
        <f>--110</f>
        <v>110</v>
      </c>
      <c r="I300" s="2"/>
      <c r="J300" s="19">
        <f t="shared" si="159"/>
        <v>3.1730377269080027E-5</v>
      </c>
      <c r="K300" s="2"/>
      <c r="L300" s="2">
        <f t="shared" si="160"/>
        <v>-110</v>
      </c>
      <c r="M300" s="2"/>
      <c r="N300" s="19">
        <f t="shared" si="161"/>
        <v>-1</v>
      </c>
      <c r="O300" s="11"/>
      <c r="P300" s="2">
        <f>0</f>
        <v>0</v>
      </c>
      <c r="Q300" s="2"/>
      <c r="R300" s="19">
        <f t="shared" si="162"/>
        <v>0</v>
      </c>
      <c r="S300" s="2"/>
      <c r="T300" s="2">
        <f>--2056.85</f>
        <v>2056.85</v>
      </c>
      <c r="U300" s="2"/>
      <c r="V300" s="19">
        <f t="shared" si="163"/>
        <v>8.162618941989735E-5</v>
      </c>
      <c r="W300" s="2"/>
      <c r="X300" s="2">
        <f t="shared" si="164"/>
        <v>-2056.85</v>
      </c>
      <c r="Y300" s="2"/>
      <c r="Z300" s="19">
        <f t="shared" si="165"/>
        <v>-1</v>
      </c>
    </row>
    <row r="301" spans="1:26" s="24" customFormat="1" hidden="1" outlineLevel="1" x14ac:dyDescent="0.25">
      <c r="A301" s="44"/>
      <c r="B301" s="11" t="str">
        <f>CONCATENATE("          ", "4187", " - ", "NON-TAXABLE SALES-COMPUTER REP")</f>
        <v xml:space="preserve">          4187 - NON-TAXABLE SALES-COMPUTER REP</v>
      </c>
      <c r="C301" s="11"/>
      <c r="D301" s="2">
        <f>-231.36</f>
        <v>-231.36</v>
      </c>
      <c r="E301" s="2"/>
      <c r="F301" s="19">
        <f t="shared" si="158"/>
        <v>-4.236351421830023E-4</v>
      </c>
      <c r="G301" s="2"/>
      <c r="H301" s="2">
        <f>--681.93</f>
        <v>681.93</v>
      </c>
      <c r="I301" s="2"/>
      <c r="J301" s="19">
        <f t="shared" si="159"/>
        <v>1.9670814701003403E-4</v>
      </c>
      <c r="K301" s="2"/>
      <c r="L301" s="2">
        <f t="shared" si="160"/>
        <v>-913.29</v>
      </c>
      <c r="M301" s="2"/>
      <c r="N301" s="19">
        <f t="shared" si="161"/>
        <v>-1.3392723593330693</v>
      </c>
      <c r="O301" s="11"/>
      <c r="P301" s="2">
        <f>--1454.51</f>
        <v>1454.51</v>
      </c>
      <c r="Q301" s="2"/>
      <c r="R301" s="19">
        <f t="shared" si="162"/>
        <v>2.0338854622500935E-4</v>
      </c>
      <c r="S301" s="2"/>
      <c r="T301" s="2">
        <f>--15792.86</f>
        <v>15792.86</v>
      </c>
      <c r="U301" s="2"/>
      <c r="V301" s="19">
        <f t="shared" si="163"/>
        <v>6.2674039518774839E-4</v>
      </c>
      <c r="W301" s="2"/>
      <c r="X301" s="2">
        <f t="shared" si="164"/>
        <v>-14338.35</v>
      </c>
      <c r="Y301" s="2"/>
      <c r="Z301" s="19">
        <f t="shared" si="165"/>
        <v>-0.90790078554486009</v>
      </c>
    </row>
    <row r="302" spans="1:26" s="24" customFormat="1" hidden="1" outlineLevel="1" x14ac:dyDescent="0.25">
      <c r="A302" s="44"/>
      <c r="B302" s="11" t="str">
        <f>CONCATENATE("          ", "4197", " - ", "NON-TAXABLE SALES-RETURNED CHE")</f>
        <v xml:space="preserve">          4197 - NON-TAXABLE SALES-RETURNED CHE</v>
      </c>
      <c r="C302" s="11"/>
      <c r="D302" s="2">
        <f t="shared" ref="D302:D305" si="166">0</f>
        <v>0</v>
      </c>
      <c r="E302" s="2"/>
      <c r="F302" s="19">
        <f t="shared" si="158"/>
        <v>0</v>
      </c>
      <c r="G302" s="2"/>
      <c r="H302" s="2">
        <f t="shared" ref="H302:H305" si="167">0</f>
        <v>0</v>
      </c>
      <c r="I302" s="2"/>
      <c r="J302" s="19">
        <f t="shared" si="159"/>
        <v>0</v>
      </c>
      <c r="K302" s="2"/>
      <c r="L302" s="2">
        <f t="shared" si="160"/>
        <v>0</v>
      </c>
      <c r="M302" s="2"/>
      <c r="N302" s="19">
        <f t="shared" si="161"/>
        <v>0</v>
      </c>
      <c r="O302" s="11"/>
      <c r="P302" s="2">
        <f t="shared" ref="P302:P305" si="168">0</f>
        <v>0</v>
      </c>
      <c r="Q302" s="2"/>
      <c r="R302" s="19">
        <f t="shared" si="162"/>
        <v>0</v>
      </c>
      <c r="S302" s="2"/>
      <c r="T302" s="2">
        <f>--30</f>
        <v>30</v>
      </c>
      <c r="U302" s="2"/>
      <c r="V302" s="19">
        <f t="shared" si="163"/>
        <v>1.1905514172627663E-6</v>
      </c>
      <c r="W302" s="2"/>
      <c r="X302" s="2">
        <f t="shared" si="164"/>
        <v>-30</v>
      </c>
      <c r="Y302" s="2"/>
      <c r="Z302" s="19">
        <f t="shared" si="165"/>
        <v>-1</v>
      </c>
    </row>
    <row r="303" spans="1:26" s="24" customFormat="1" hidden="1" outlineLevel="1" x14ac:dyDescent="0.25">
      <c r="A303" s="44"/>
      <c r="B303" s="11" t="str">
        <f>CONCATENATE("          ", "4198", " - ", "NON-TAXABLE SALES-GRAD RENTALS")</f>
        <v xml:space="preserve">          4198 - NON-TAXABLE SALES-GRAD RENTALS</v>
      </c>
      <c r="C303" s="11"/>
      <c r="D303" s="2">
        <f t="shared" si="166"/>
        <v>0</v>
      </c>
      <c r="E303" s="2"/>
      <c r="F303" s="19">
        <f t="shared" si="158"/>
        <v>0</v>
      </c>
      <c r="G303" s="2"/>
      <c r="H303" s="2">
        <f t="shared" si="167"/>
        <v>0</v>
      </c>
      <c r="I303" s="2"/>
      <c r="J303" s="19">
        <f t="shared" si="159"/>
        <v>0</v>
      </c>
      <c r="K303" s="2"/>
      <c r="L303" s="2">
        <f t="shared" si="160"/>
        <v>0</v>
      </c>
      <c r="M303" s="2"/>
      <c r="N303" s="19">
        <f t="shared" si="161"/>
        <v>0</v>
      </c>
      <c r="O303" s="11"/>
      <c r="P303" s="2">
        <f t="shared" si="168"/>
        <v>0</v>
      </c>
      <c r="Q303" s="2"/>
      <c r="R303" s="19">
        <f t="shared" si="162"/>
        <v>0</v>
      </c>
      <c r="S303" s="2"/>
      <c r="T303" s="2">
        <f>--3732.1</f>
        <v>3732.1</v>
      </c>
      <c r="U303" s="2"/>
      <c r="V303" s="19">
        <f t="shared" si="163"/>
        <v>1.4810856481221231E-4</v>
      </c>
      <c r="W303" s="2"/>
      <c r="X303" s="2">
        <f t="shared" si="164"/>
        <v>-3732.1</v>
      </c>
      <c r="Y303" s="2"/>
      <c r="Z303" s="19">
        <f t="shared" si="165"/>
        <v>-1</v>
      </c>
    </row>
    <row r="304" spans="1:26" s="24" customFormat="1" hidden="1" outlineLevel="1" x14ac:dyDescent="0.25">
      <c r="A304" s="44"/>
      <c r="B304" s="11" t="str">
        <f>CONCATENATE("          ", "4387", " - ", "SALES RETURN NON TAXABLE-COMPU")</f>
        <v xml:space="preserve">          4387 - SALES RETURN NON TAXABLE-COMPU</v>
      </c>
      <c r="C304" s="11"/>
      <c r="D304" s="2">
        <f t="shared" si="166"/>
        <v>0</v>
      </c>
      <c r="E304" s="2"/>
      <c r="F304" s="19">
        <f t="shared" si="158"/>
        <v>0</v>
      </c>
      <c r="G304" s="2"/>
      <c r="H304" s="2">
        <f t="shared" si="167"/>
        <v>0</v>
      </c>
      <c r="I304" s="2"/>
      <c r="J304" s="19">
        <f t="shared" si="159"/>
        <v>0</v>
      </c>
      <c r="K304" s="2"/>
      <c r="L304" s="2">
        <f t="shared" si="160"/>
        <v>0</v>
      </c>
      <c r="M304" s="2"/>
      <c r="N304" s="19">
        <f t="shared" si="161"/>
        <v>0</v>
      </c>
      <c r="O304" s="11"/>
      <c r="P304" s="2">
        <f t="shared" si="168"/>
        <v>0</v>
      </c>
      <c r="Q304" s="2"/>
      <c r="R304" s="19">
        <f t="shared" si="162"/>
        <v>0</v>
      </c>
      <c r="S304" s="2"/>
      <c r="T304" s="2">
        <f>-7889</f>
        <v>-7889</v>
      </c>
      <c r="U304" s="2"/>
      <c r="V304" s="19">
        <f t="shared" si="163"/>
        <v>-3.1307533769286543E-4</v>
      </c>
      <c r="W304" s="2"/>
      <c r="X304" s="2">
        <f t="shared" si="164"/>
        <v>7889</v>
      </c>
      <c r="Y304" s="2"/>
      <c r="Z304" s="19">
        <f t="shared" si="165"/>
        <v>-1</v>
      </c>
    </row>
    <row r="305" spans="1:26" s="24" customFormat="1" hidden="1" outlineLevel="1" x14ac:dyDescent="0.25">
      <c r="A305" s="44"/>
      <c r="B305" s="11" t="str">
        <f>CONCATENATE("          ", "5087", " - ", "PURCHASES @ COST-COMPUTER REPA")</f>
        <v xml:space="preserve">          5087 - PURCHASES @ COST-COMPUTER REPA</v>
      </c>
      <c r="C305" s="11"/>
      <c r="D305" s="2">
        <f t="shared" si="166"/>
        <v>0</v>
      </c>
      <c r="E305" s="2"/>
      <c r="F305" s="19">
        <f t="shared" si="158"/>
        <v>0</v>
      </c>
      <c r="G305" s="2"/>
      <c r="H305" s="2">
        <f t="shared" si="167"/>
        <v>0</v>
      </c>
      <c r="I305" s="2"/>
      <c r="J305" s="19">
        <f t="shared" si="159"/>
        <v>0</v>
      </c>
      <c r="K305" s="2"/>
      <c r="L305" s="2">
        <f t="shared" si="160"/>
        <v>0</v>
      </c>
      <c r="M305" s="2"/>
      <c r="N305" s="19">
        <f t="shared" si="161"/>
        <v>0</v>
      </c>
      <c r="O305" s="11"/>
      <c r="P305" s="2">
        <f t="shared" si="168"/>
        <v>0</v>
      </c>
      <c r="Q305" s="2"/>
      <c r="R305" s="19">
        <f t="shared" si="162"/>
        <v>0</v>
      </c>
      <c r="S305" s="2"/>
      <c r="T305" s="2">
        <f>-56.72</f>
        <v>-56.72</v>
      </c>
      <c r="U305" s="2"/>
      <c r="V305" s="19">
        <f t="shared" si="163"/>
        <v>-2.25093587957147E-6</v>
      </c>
      <c r="W305" s="2"/>
      <c r="X305" s="2">
        <f t="shared" si="164"/>
        <v>56.72</v>
      </c>
      <c r="Y305" s="2"/>
      <c r="Z305" s="19">
        <f t="shared" si="165"/>
        <v>-1</v>
      </c>
    </row>
    <row r="306" spans="1:26" s="24" customFormat="1" hidden="1" outlineLevel="1" x14ac:dyDescent="0.25">
      <c r="A306" s="44"/>
      <c r="B306" s="11" t="str">
        <f>CONCATENATE("          ", "9150", " - ", "MISC. INCOME")</f>
        <v xml:space="preserve">          9150 - MISC. INCOME</v>
      </c>
      <c r="C306" s="11"/>
      <c r="D306" s="2">
        <f>--53240.82</f>
        <v>53240.82</v>
      </c>
      <c r="E306" s="2"/>
      <c r="F306" s="19">
        <f t="shared" si="158"/>
        <v>9.7487389136582087E-2</v>
      </c>
      <c r="G306" s="2"/>
      <c r="H306" s="2">
        <f>--97104.37</f>
        <v>97104.37</v>
      </c>
      <c r="I306" s="2"/>
      <c r="J306" s="19">
        <f t="shared" si="159"/>
        <v>2.8010529950693971E-2</v>
      </c>
      <c r="K306" s="2"/>
      <c r="L306" s="2">
        <f t="shared" si="160"/>
        <v>-43863.549999999996</v>
      </c>
      <c r="M306" s="2"/>
      <c r="N306" s="19">
        <f t="shared" si="161"/>
        <v>-0.45171550981691139</v>
      </c>
      <c r="O306" s="11"/>
      <c r="P306" s="2">
        <f>--303892.36</f>
        <v>303892.36</v>
      </c>
      <c r="Q306" s="2"/>
      <c r="R306" s="19">
        <f t="shared" si="162"/>
        <v>4.2494190696033156E-2</v>
      </c>
      <c r="S306" s="2"/>
      <c r="T306" s="2">
        <f>--636855.56</f>
        <v>636855.56000000006</v>
      </c>
      <c r="U306" s="2"/>
      <c r="V306" s="19">
        <f t="shared" si="163"/>
        <v>2.5273642984989089E-2</v>
      </c>
      <c r="W306" s="2"/>
      <c r="X306" s="2">
        <f t="shared" si="164"/>
        <v>-332963.20000000007</v>
      </c>
      <c r="Y306" s="2"/>
      <c r="Z306" s="19">
        <f t="shared" si="165"/>
        <v>-0.52282373101995061</v>
      </c>
    </row>
    <row r="307" spans="1:26" s="24" customFormat="1" hidden="1" outlineLevel="1" x14ac:dyDescent="0.25">
      <c r="A307" s="44"/>
      <c r="B307" s="11" t="str">
        <f>CONCATENATE("          ", "9151", " - ", "MISC. INCOME")</f>
        <v xml:space="preserve">          9151 - MISC. INCOME</v>
      </c>
      <c r="C307" s="11"/>
      <c r="D307" s="2">
        <f>--148653.31</f>
        <v>148653.31</v>
      </c>
      <c r="E307" s="2"/>
      <c r="F307" s="19">
        <f t="shared" si="158"/>
        <v>0.27219383695463312</v>
      </c>
      <c r="G307" s="2"/>
      <c r="H307" s="2">
        <f>--70124.28</f>
        <v>70124.28</v>
      </c>
      <c r="I307" s="2"/>
      <c r="J307" s="19">
        <f t="shared" si="159"/>
        <v>2.0227907819296394E-2</v>
      </c>
      <c r="K307" s="2"/>
      <c r="L307" s="2">
        <f t="shared" si="160"/>
        <v>78529.03</v>
      </c>
      <c r="M307" s="2"/>
      <c r="N307" s="19">
        <f t="shared" si="161"/>
        <v>1.1198550630395063</v>
      </c>
      <c r="O307" s="11"/>
      <c r="P307" s="2">
        <f>--297910.7</f>
        <v>297910.7</v>
      </c>
      <c r="Q307" s="2"/>
      <c r="R307" s="19">
        <f t="shared" si="162"/>
        <v>4.16577570301166E-2</v>
      </c>
      <c r="S307" s="2"/>
      <c r="T307" s="2">
        <f>--156077.66</f>
        <v>156077.66</v>
      </c>
      <c r="U307" s="2"/>
      <c r="V307" s="19">
        <f t="shared" si="163"/>
        <v>6.193949310535205E-3</v>
      </c>
      <c r="W307" s="2"/>
      <c r="X307" s="2">
        <f t="shared" si="164"/>
        <v>141833.04</v>
      </c>
      <c r="Y307" s="2"/>
      <c r="Z307" s="19">
        <f t="shared" si="165"/>
        <v>0.90873376753598178</v>
      </c>
    </row>
    <row r="308" spans="1:26" s="24" customFormat="1" hidden="1" outlineLevel="1" x14ac:dyDescent="0.25">
      <c r="A308" s="44"/>
      <c r="B308" s="11" t="str">
        <f>CONCATENATE("          ", "9152", " - ", "MISC. INCOME")</f>
        <v xml:space="preserve">          9152 - MISC. INCOME</v>
      </c>
      <c r="C308" s="11"/>
      <c r="D308" s="2">
        <f>--81.19</f>
        <v>81.19</v>
      </c>
      <c r="E308" s="2"/>
      <c r="F308" s="19">
        <f t="shared" si="158"/>
        <v>1.4866414762205202E-4</v>
      </c>
      <c r="G308" s="2"/>
      <c r="H308" s="2">
        <f t="shared" ref="H308:H309" si="169">0</f>
        <v>0</v>
      </c>
      <c r="I308" s="2"/>
      <c r="J308" s="19">
        <f t="shared" si="159"/>
        <v>0</v>
      </c>
      <c r="K308" s="2"/>
      <c r="L308" s="2">
        <f t="shared" si="160"/>
        <v>81.19</v>
      </c>
      <c r="M308" s="2"/>
      <c r="N308" s="19">
        <f t="shared" si="161"/>
        <v>0</v>
      </c>
      <c r="O308" s="11"/>
      <c r="P308" s="2">
        <f>--3313.45</f>
        <v>3313.45</v>
      </c>
      <c r="Q308" s="2"/>
      <c r="R308" s="19">
        <f t="shared" si="162"/>
        <v>4.6332976637441972E-4</v>
      </c>
      <c r="S308" s="2"/>
      <c r="T308" s="2">
        <f>--4699.86</f>
        <v>4699.8599999999997</v>
      </c>
      <c r="U308" s="2"/>
      <c r="V308" s="19">
        <f t="shared" si="163"/>
        <v>1.8651416613121947E-4</v>
      </c>
      <c r="W308" s="2"/>
      <c r="X308" s="2">
        <f t="shared" si="164"/>
        <v>-1386.4099999999999</v>
      </c>
      <c r="Y308" s="2"/>
      <c r="Z308" s="19">
        <f t="shared" si="165"/>
        <v>-0.29498963798921668</v>
      </c>
    </row>
    <row r="309" spans="1:26" s="24" customFormat="1" hidden="1" outlineLevel="1" x14ac:dyDescent="0.25">
      <c r="A309" s="44"/>
      <c r="B309" s="11" t="str">
        <f>CONCATENATE("          ", "9153", " - ", "MISC. INCOME")</f>
        <v xml:space="preserve">          9153 - MISC. INCOME</v>
      </c>
      <c r="C309" s="11"/>
      <c r="D309" s="2">
        <f>0</f>
        <v>0</v>
      </c>
      <c r="E309" s="2"/>
      <c r="F309" s="19">
        <f t="shared" si="158"/>
        <v>0</v>
      </c>
      <c r="G309" s="2"/>
      <c r="H309" s="2">
        <f t="shared" si="169"/>
        <v>0</v>
      </c>
      <c r="I309" s="2"/>
      <c r="J309" s="19">
        <f t="shared" si="159"/>
        <v>0</v>
      </c>
      <c r="K309" s="2"/>
      <c r="L309" s="2">
        <f t="shared" si="160"/>
        <v>0</v>
      </c>
      <c r="M309" s="2"/>
      <c r="N309" s="19">
        <f t="shared" si="161"/>
        <v>0</v>
      </c>
      <c r="O309" s="11"/>
      <c r="P309" s="2">
        <f>0</f>
        <v>0</v>
      </c>
      <c r="Q309" s="2"/>
      <c r="R309" s="19">
        <f t="shared" si="162"/>
        <v>0</v>
      </c>
      <c r="S309" s="2"/>
      <c r="T309" s="2">
        <f>--450</f>
        <v>450</v>
      </c>
      <c r="U309" s="2"/>
      <c r="V309" s="19">
        <f t="shared" si="163"/>
        <v>1.7858271258941494E-5</v>
      </c>
      <c r="W309" s="2"/>
      <c r="X309" s="2">
        <f t="shared" si="164"/>
        <v>-450</v>
      </c>
      <c r="Y309" s="2"/>
      <c r="Z309" s="19">
        <f t="shared" si="165"/>
        <v>-1</v>
      </c>
    </row>
    <row r="310" spans="1:26" s="24" customFormat="1" hidden="1" outlineLevel="1" x14ac:dyDescent="0.25">
      <c r="A310" s="44"/>
      <c r="B310" s="11" t="str">
        <f>CONCATENATE("          ", "9160", " - ", "MISC. INCOME")</f>
        <v xml:space="preserve">          9160 - MISC. INCOME</v>
      </c>
      <c r="C310" s="11"/>
      <c r="D310" s="2">
        <f>--364.79</f>
        <v>364.79</v>
      </c>
      <c r="E310" s="2"/>
      <c r="F310" s="19">
        <f t="shared" si="158"/>
        <v>6.6795411271152068E-4</v>
      </c>
      <c r="G310" s="2"/>
      <c r="H310" s="2">
        <f>--7692.32</f>
        <v>7692.32</v>
      </c>
      <c r="I310" s="2"/>
      <c r="J310" s="19">
        <f t="shared" si="159"/>
        <v>2.21891105158627E-3</v>
      </c>
      <c r="K310" s="2"/>
      <c r="L310" s="2">
        <f t="shared" si="160"/>
        <v>-7327.53</v>
      </c>
      <c r="M310" s="2"/>
      <c r="N310" s="19">
        <f t="shared" si="161"/>
        <v>-0.95257737587619862</v>
      </c>
      <c r="O310" s="11"/>
      <c r="P310" s="2">
        <f>--12882.96</f>
        <v>12882.96</v>
      </c>
      <c r="Q310" s="2"/>
      <c r="R310" s="19">
        <f t="shared" si="162"/>
        <v>1.8014633831839909E-3</v>
      </c>
      <c r="S310" s="2"/>
      <c r="T310" s="2">
        <f>--152564.32</f>
        <v>152564.32</v>
      </c>
      <c r="U310" s="2"/>
      <c r="V310" s="19">
        <f t="shared" si="163"/>
        <v>6.0545222466576731E-3</v>
      </c>
      <c r="W310" s="2"/>
      <c r="X310" s="2">
        <f t="shared" si="164"/>
        <v>-139681.36000000002</v>
      </c>
      <c r="Y310" s="2"/>
      <c r="Z310" s="19">
        <f t="shared" si="165"/>
        <v>-0.91555718925630847</v>
      </c>
    </row>
    <row r="311" spans="1:26" s="24" customFormat="1" hidden="1" outlineLevel="1" x14ac:dyDescent="0.25">
      <c r="A311" s="44"/>
      <c r="B311" s="11" t="str">
        <f>CONCATENATE("          ", "9163", " - ", "MISC. INCOME")</f>
        <v xml:space="preserve">          9163 - MISC. INCOME</v>
      </c>
      <c r="C311" s="11"/>
      <c r="D311" s="2">
        <f>-3986.08</f>
        <v>-3986.08</v>
      </c>
      <c r="E311" s="2"/>
      <c r="F311" s="19">
        <f t="shared" si="158"/>
        <v>-7.2987706066425561E-3</v>
      </c>
      <c r="G311" s="2"/>
      <c r="H311" s="2">
        <f>--23333.33</f>
        <v>23333.33</v>
      </c>
      <c r="I311" s="2"/>
      <c r="J311" s="19">
        <f t="shared" si="159"/>
        <v>6.7306851258540287E-3</v>
      </c>
      <c r="K311" s="2"/>
      <c r="L311" s="2">
        <f t="shared" si="160"/>
        <v>-27319.410000000003</v>
      </c>
      <c r="M311" s="2"/>
      <c r="N311" s="19">
        <f t="shared" si="161"/>
        <v>-1.1708320244045749</v>
      </c>
      <c r="O311" s="11"/>
      <c r="P311" s="2">
        <f>--171419.76</f>
        <v>171419.76</v>
      </c>
      <c r="Q311" s="2"/>
      <c r="R311" s="19">
        <f t="shared" si="162"/>
        <v>2.3970145121477347E-2</v>
      </c>
      <c r="S311" s="2"/>
      <c r="T311" s="2">
        <f>--84439.88</f>
        <v>84439.88</v>
      </c>
      <c r="U311" s="2"/>
      <c r="V311" s="19">
        <f t="shared" si="163"/>
        <v>3.351000626916597E-3</v>
      </c>
      <c r="W311" s="2"/>
      <c r="X311" s="2">
        <f t="shared" si="164"/>
        <v>86979.88</v>
      </c>
      <c r="Y311" s="2"/>
      <c r="Z311" s="19">
        <f t="shared" si="165"/>
        <v>1.0300805733025675</v>
      </c>
    </row>
    <row r="312" spans="1:26" s="24" customFormat="1" hidden="1" outlineLevel="1" x14ac:dyDescent="0.25">
      <c r="A312" s="44"/>
      <c r="B312" s="11" t="str">
        <f>CONCATENATE("          ", "9165", " - ", "OTHER INCOME")</f>
        <v xml:space="preserve">          9165 - OTHER INCOME</v>
      </c>
      <c r="C312" s="11"/>
      <c r="D312" s="2">
        <f>--1036.09</f>
        <v>1036.0899999999999</v>
      </c>
      <c r="E312" s="2"/>
      <c r="F312" s="19">
        <f t="shared" si="158"/>
        <v>1.8971478840957244E-3</v>
      </c>
      <c r="G312" s="2"/>
      <c r="H312" s="2">
        <f>--1399.04</f>
        <v>1399.04</v>
      </c>
      <c r="I312" s="2"/>
      <c r="J312" s="19">
        <f t="shared" si="159"/>
        <v>4.0356424558667022E-4</v>
      </c>
      <c r="K312" s="2"/>
      <c r="L312" s="2">
        <f t="shared" si="160"/>
        <v>-362.95000000000005</v>
      </c>
      <c r="M312" s="2"/>
      <c r="N312" s="19">
        <f t="shared" si="161"/>
        <v>-0.25942789341262584</v>
      </c>
      <c r="O312" s="11"/>
      <c r="P312" s="2">
        <f>--3138.21</f>
        <v>3138.21</v>
      </c>
      <c r="Q312" s="2"/>
      <c r="R312" s="19">
        <f t="shared" si="162"/>
        <v>4.3882542550328744E-4</v>
      </c>
      <c r="S312" s="2"/>
      <c r="T312" s="2">
        <f>--228815.1</f>
        <v>228815.1</v>
      </c>
      <c r="U312" s="2"/>
      <c r="V312" s="19">
        <f t="shared" si="163"/>
        <v>9.0805380532040531E-3</v>
      </c>
      <c r="W312" s="2"/>
      <c r="X312" s="2">
        <f t="shared" si="164"/>
        <v>-225676.89</v>
      </c>
      <c r="Y312" s="2"/>
      <c r="Z312" s="19">
        <f t="shared" si="165"/>
        <v>-0.98628495234798752</v>
      </c>
    </row>
    <row r="313" spans="1:26" x14ac:dyDescent="0.25">
      <c r="A313" s="9"/>
      <c r="B313" s="10"/>
      <c r="C313" s="10"/>
      <c r="D313" s="3"/>
      <c r="E313" s="3"/>
      <c r="F313" s="8"/>
      <c r="G313" s="3"/>
      <c r="H313" s="3"/>
      <c r="I313" s="3"/>
      <c r="J313" s="8"/>
      <c r="K313" s="3"/>
      <c r="L313" s="3"/>
      <c r="M313" s="3"/>
      <c r="N313" s="8"/>
      <c r="O313" s="10"/>
      <c r="P313" s="3"/>
      <c r="Q313" s="3"/>
      <c r="R313" s="8"/>
      <c r="S313" s="3"/>
      <c r="T313" s="3"/>
      <c r="U313" s="3"/>
      <c r="V313" s="8"/>
      <c r="W313" s="3"/>
      <c r="X313" s="3"/>
      <c r="Y313" s="3"/>
      <c r="Z313" s="8"/>
    </row>
    <row r="314" spans="1:26" s="23" customFormat="1" x14ac:dyDescent="0.25">
      <c r="A314" s="10"/>
      <c r="B314" s="29" t="s">
        <v>3</v>
      </c>
      <c r="C314" s="29"/>
      <c r="D314" s="22">
        <f>+D198-D200+D299</f>
        <v>-225248.68000000005</v>
      </c>
      <c r="E314" s="14"/>
      <c r="F314" s="20">
        <f>IF(D$12=0,0,D314/D$12)</f>
        <v>-0.41244491951216117</v>
      </c>
      <c r="G314" s="14"/>
      <c r="H314" s="22">
        <f>+H198-H200+H299</f>
        <v>509172.08999999915</v>
      </c>
      <c r="I314" s="14"/>
      <c r="J314" s="20">
        <f>IF(H$12=0,0,H314/H$12)</f>
        <v>0.14687475009623585</v>
      </c>
      <c r="K314" s="16"/>
      <c r="L314" s="22">
        <f>+D314-H314</f>
        <v>-734420.7699999992</v>
      </c>
      <c r="M314" s="16"/>
      <c r="N314" s="20">
        <f>IF(H314=0,0,L314/H314)</f>
        <v>-1.442382220910813</v>
      </c>
      <c r="O314" s="28"/>
      <c r="P314" s="22">
        <f>+P198-P200+P299</f>
        <v>-2039873.6499999969</v>
      </c>
      <c r="Q314" s="14"/>
      <c r="R314" s="20">
        <f>IF(P$12=0,0,P314/P$12)</f>
        <v>-0.285241721374348</v>
      </c>
      <c r="S314" s="14"/>
      <c r="T314" s="22">
        <f>+T198-T200+T299</f>
        <v>3156379.2899999931</v>
      </c>
      <c r="U314" s="14"/>
      <c r="V314" s="20">
        <f>IF(T$12=0,0,T314/T$12)</f>
        <v>0.12526106123761119</v>
      </c>
      <c r="W314" s="16"/>
      <c r="X314" s="22">
        <f>+P314-T314</f>
        <v>-5196252.9399999902</v>
      </c>
      <c r="Y314" s="16"/>
      <c r="Z314" s="20">
        <f>IF(T314=0,0,X314/T314)</f>
        <v>-1.646270128708138</v>
      </c>
    </row>
    <row r="315" spans="1:26" x14ac:dyDescent="0.25">
      <c r="A315" s="9"/>
      <c r="B315" s="10"/>
      <c r="C315" s="9"/>
      <c r="D315" s="3"/>
      <c r="E315" s="3"/>
      <c r="F315" s="8"/>
      <c r="G315" s="3"/>
      <c r="H315" s="3"/>
      <c r="I315" s="3"/>
      <c r="J315" s="8"/>
      <c r="K315" s="3"/>
      <c r="L315" s="3"/>
      <c r="M315" s="3"/>
      <c r="N315" s="8"/>
      <c r="P315" s="3"/>
      <c r="Q315" s="3"/>
      <c r="R315" s="8"/>
      <c r="S315" s="3"/>
      <c r="T315" s="3"/>
      <c r="U315" s="3"/>
      <c r="V315" s="8"/>
      <c r="W315" s="3"/>
      <c r="X315" s="3"/>
      <c r="Y315" s="3"/>
      <c r="Z315" s="8"/>
    </row>
    <row r="316" spans="1:26" s="23" customFormat="1" x14ac:dyDescent="0.25">
      <c r="A316" s="51"/>
      <c r="B316" s="10" t="s">
        <v>13</v>
      </c>
      <c r="C316" s="10"/>
      <c r="D316" s="4">
        <v>217201.56999999998</v>
      </c>
      <c r="E316" s="4"/>
      <c r="F316" s="12">
        <f>IF(D$12=0,0,D316/D$12)</f>
        <v>0.39771013999533766</v>
      </c>
      <c r="G316" s="4"/>
      <c r="H316" s="4">
        <v>301907.7</v>
      </c>
      <c r="I316" s="4"/>
      <c r="J316" s="12">
        <f>IF(H$12=0,0,H316/H$12)</f>
        <v>8.7087683831274854E-2</v>
      </c>
      <c r="K316" s="4"/>
      <c r="L316" s="4">
        <f>+D316-H316</f>
        <v>-84706.130000000034</v>
      </c>
      <c r="M316" s="4"/>
      <c r="N316" s="12">
        <f>IF(H316=0,0,L316/H316)</f>
        <v>-0.28056962442494854</v>
      </c>
      <c r="O316" s="10"/>
      <c r="P316" s="4">
        <v>1416230.23</v>
      </c>
      <c r="Q316" s="4"/>
      <c r="R316" s="12">
        <f>IF(P$12=0,0,P316/P$12)</f>
        <v>0.19803576984662233</v>
      </c>
      <c r="S316" s="4"/>
      <c r="T316" s="4">
        <v>2568216.02</v>
      </c>
      <c r="U316" s="4"/>
      <c r="V316" s="12">
        <f>IF(T$12=0,0,T316/T$12)</f>
        <v>0.10191977408159802</v>
      </c>
      <c r="W316" s="4"/>
      <c r="X316" s="4">
        <f>+P316-T316</f>
        <v>-1151985.79</v>
      </c>
      <c r="Y316" s="4"/>
      <c r="Z316" s="12">
        <f>IF(T316=0,0,X316/T316)</f>
        <v>-0.44855486494473312</v>
      </c>
    </row>
    <row r="317" spans="1:26" x14ac:dyDescent="0.25">
      <c r="A317" s="9"/>
      <c r="B317" s="10"/>
      <c r="C317" s="10"/>
      <c r="D317" s="3"/>
      <c r="E317" s="3"/>
      <c r="F317" s="8"/>
      <c r="G317" s="3"/>
      <c r="H317" s="3"/>
      <c r="I317" s="3"/>
      <c r="J317" s="8"/>
      <c r="K317" s="3"/>
      <c r="L317" s="3"/>
      <c r="M317" s="3"/>
      <c r="N317" s="8"/>
      <c r="O317" s="10"/>
      <c r="P317" s="3"/>
      <c r="Q317" s="3"/>
      <c r="R317" s="8"/>
      <c r="S317" s="3"/>
      <c r="T317" s="3"/>
      <c r="U317" s="3"/>
      <c r="V317" s="8"/>
      <c r="W317" s="3"/>
      <c r="X317" s="3"/>
      <c r="Y317" s="3"/>
      <c r="Z317" s="8"/>
    </row>
    <row r="318" spans="1:26" s="23" customFormat="1" ht="15.75" thickBot="1" x14ac:dyDescent="0.3">
      <c r="A318" s="10"/>
      <c r="B318" s="29" t="s">
        <v>4</v>
      </c>
      <c r="C318" s="29"/>
      <c r="D318" s="35">
        <f>+D314-D316</f>
        <v>-442450.25</v>
      </c>
      <c r="E318" s="14"/>
      <c r="F318" s="36">
        <f>IF(D$12=0,0,D318/D$12)</f>
        <v>-0.81015505950749878</v>
      </c>
      <c r="G318" s="14"/>
      <c r="H318" s="35">
        <f>+H314-H316</f>
        <v>207264.38999999914</v>
      </c>
      <c r="I318" s="14"/>
      <c r="J318" s="36">
        <f>IF(H$12=0,0,H318/H$12)</f>
        <v>5.9787066264961011E-2</v>
      </c>
      <c r="K318" s="16"/>
      <c r="L318" s="35">
        <f>D318-H318</f>
        <v>-649714.6399999992</v>
      </c>
      <c r="M318" s="16"/>
      <c r="N318" s="36">
        <f>IF(H318=0,0,L318/H318)</f>
        <v>-3.1347142651952993</v>
      </c>
      <c r="O318" s="28"/>
      <c r="P318" s="35">
        <f>+P314-P316</f>
        <v>-3456103.8799999971</v>
      </c>
      <c r="Q318" s="14"/>
      <c r="R318" s="36">
        <f>IF(P$12=0,0,P318/P$12)</f>
        <v>-0.48327749122097041</v>
      </c>
      <c r="S318" s="14"/>
      <c r="T318" s="35">
        <f>+T314-T316</f>
        <v>588163.26999999303</v>
      </c>
      <c r="U318" s="14"/>
      <c r="V318" s="36">
        <f>IF(T$12=0,0,T318/T$12)</f>
        <v>2.3341287156013156E-2</v>
      </c>
      <c r="W318" s="16"/>
      <c r="X318" s="35">
        <f>P318-T318</f>
        <v>-4044267.1499999901</v>
      </c>
      <c r="Y318" s="16"/>
      <c r="Z318" s="36">
        <f>IF(T318=0,0,X318/T318)</f>
        <v>-6.8760960710791039</v>
      </c>
    </row>
    <row r="319" spans="1:26" ht="15.75" thickTop="1" x14ac:dyDescent="0.25">
      <c r="A319" s="9"/>
      <c r="B319" s="9"/>
      <c r="C319" s="9"/>
      <c r="D319" s="3"/>
      <c r="E319" s="3"/>
      <c r="F319" s="8"/>
      <c r="G319" s="3"/>
      <c r="H319" s="3"/>
      <c r="I319" s="3"/>
      <c r="J319" s="8"/>
      <c r="K319" s="3"/>
      <c r="L319" s="3"/>
      <c r="M319" s="3"/>
      <c r="N319" s="8"/>
      <c r="P319" s="3"/>
      <c r="Q319" s="3"/>
      <c r="R319" s="8"/>
      <c r="S319" s="3"/>
      <c r="T319" s="3"/>
      <c r="U319" s="3"/>
      <c r="V319" s="8"/>
      <c r="W319" s="3"/>
      <c r="X319" s="3"/>
      <c r="Y319" s="3"/>
      <c r="Z319" s="8"/>
    </row>
    <row r="320" spans="1:26" s="23" customFormat="1" x14ac:dyDescent="0.25">
      <c r="A320" s="51"/>
      <c r="B320" s="10" t="s">
        <v>2</v>
      </c>
      <c r="C320" s="10"/>
      <c r="D320" s="4">
        <f>--233369.99</f>
        <v>233369.99</v>
      </c>
      <c r="E320" s="4"/>
      <c r="F320" s="12">
        <f t="shared" ref="F320:F321" si="170">IF(D$12=0,0,D320/D$12)</f>
        <v>0.42731556403395499</v>
      </c>
      <c r="G320" s="4"/>
      <c r="H320" s="4">
        <f>-543958.39</f>
        <v>-543958.39</v>
      </c>
      <c r="I320" s="4"/>
      <c r="J320" s="12">
        <f t="shared" ref="J320:J321" si="171">IF(H$12=0,0,H320/H$12)</f>
        <v>-0.15690913575801246</v>
      </c>
      <c r="K320" s="4"/>
      <c r="L320" s="4">
        <f t="shared" ref="L320:L321" si="172">+D320-H320</f>
        <v>777328.38</v>
      </c>
      <c r="M320" s="4"/>
      <c r="N320" s="12">
        <f t="shared" ref="N320:N321" si="173">IF(H320=0,0,L320/H320)</f>
        <v>-1.4290217676392489</v>
      </c>
      <c r="O320" s="10"/>
      <c r="P320" s="4">
        <f>--2191553.97</f>
        <v>2191553.9700000002</v>
      </c>
      <c r="Q320" s="4"/>
      <c r="R320" s="12">
        <f t="shared" ref="R320:R321" si="174">IF(P$12=0,0,P320/P$12)</f>
        <v>0.30645164071195652</v>
      </c>
      <c r="S320" s="4"/>
      <c r="T320" s="4">
        <f>-134834.87</f>
        <v>-134834.87</v>
      </c>
      <c r="U320" s="4"/>
      <c r="V320" s="12">
        <f t="shared" ref="V320:V321" si="175">IF(T$12=0,0,T320/T$12)</f>
        <v>-5.3509281858313612E-3</v>
      </c>
      <c r="W320" s="4"/>
      <c r="X320" s="4">
        <f t="shared" ref="X320:X321" si="176">+P320-T320</f>
        <v>2326388.8400000003</v>
      </c>
      <c r="Y320" s="4"/>
      <c r="Z320" s="12">
        <f t="shared" ref="Z320:Z321" si="177">IF(T320=0,0,X320/T320)</f>
        <v>-17.25361429131797</v>
      </c>
    </row>
    <row r="321" spans="1:26" s="23" customFormat="1" x14ac:dyDescent="0.25">
      <c r="A321" s="51"/>
      <c r="B321" s="10" t="s">
        <v>1</v>
      </c>
      <c r="C321" s="10"/>
      <c r="D321" s="4">
        <f>--12479.26</f>
        <v>12479.26</v>
      </c>
      <c r="E321" s="4"/>
      <c r="F321" s="12">
        <f t="shared" si="170"/>
        <v>2.285033317962765E-2</v>
      </c>
      <c r="G321" s="4"/>
      <c r="H321" s="4">
        <f>--35344.2</f>
        <v>35344.199999999997</v>
      </c>
      <c r="I321" s="4"/>
      <c r="J321" s="12">
        <f t="shared" si="171"/>
        <v>1.0195316366125621E-2</v>
      </c>
      <c r="K321" s="4"/>
      <c r="L321" s="4">
        <f t="shared" si="172"/>
        <v>-22864.939999999995</v>
      </c>
      <c r="M321" s="4"/>
      <c r="N321" s="12">
        <f t="shared" si="173"/>
        <v>-0.64692198437084436</v>
      </c>
      <c r="O321" s="10"/>
      <c r="P321" s="4">
        <f>--67055.26</f>
        <v>67055.259999999995</v>
      </c>
      <c r="Q321" s="4"/>
      <c r="R321" s="12">
        <f t="shared" si="174"/>
        <v>9.3765404487697029E-3</v>
      </c>
      <c r="S321" s="4"/>
      <c r="T321" s="4">
        <f>--206989.27</f>
        <v>206989.27</v>
      </c>
      <c r="U321" s="4"/>
      <c r="V321" s="12">
        <f t="shared" si="175"/>
        <v>8.2143789585561785E-3</v>
      </c>
      <c r="W321" s="4"/>
      <c r="X321" s="4">
        <f t="shared" si="176"/>
        <v>-139934.01</v>
      </c>
      <c r="Y321" s="4"/>
      <c r="Z321" s="12">
        <f t="shared" si="177"/>
        <v>-0.67604475343093884</v>
      </c>
    </row>
    <row r="322" spans="1:26" x14ac:dyDescent="0.25">
      <c r="A322" s="9"/>
      <c r="B322" s="9"/>
      <c r="C322" s="9"/>
      <c r="D322" s="3"/>
      <c r="E322" s="3"/>
      <c r="F322" s="8"/>
      <c r="G322" s="3"/>
      <c r="H322" s="3"/>
      <c r="I322" s="3"/>
      <c r="J322" s="8"/>
      <c r="K322" s="3"/>
      <c r="L322" s="3"/>
      <c r="M322" s="3"/>
      <c r="N322" s="8"/>
      <c r="P322" s="3"/>
      <c r="Q322" s="3"/>
      <c r="R322" s="8"/>
      <c r="S322" s="3"/>
      <c r="T322" s="3"/>
      <c r="U322" s="3"/>
      <c r="V322" s="8"/>
      <c r="W322" s="3"/>
      <c r="X322" s="3"/>
      <c r="Y322" s="3"/>
      <c r="Z322" s="8"/>
    </row>
    <row r="323" spans="1:26" s="23" customFormat="1" ht="15.75" thickBot="1" x14ac:dyDescent="0.3">
      <c r="A323" s="10"/>
      <c r="B323" s="29" t="s">
        <v>5</v>
      </c>
      <c r="C323" s="29"/>
      <c r="D323" s="31">
        <f>SUM(D318:D322)</f>
        <v>-196601</v>
      </c>
      <c r="E323" s="14"/>
      <c r="F323" s="33">
        <f>IF(D$12=0,0,D323/D$12)</f>
        <v>-0.35998916229391614</v>
      </c>
      <c r="G323" s="14"/>
      <c r="H323" s="31">
        <f>SUM(H318:H322)</f>
        <v>-301349.80000000086</v>
      </c>
      <c r="I323" s="14"/>
      <c r="J323" s="33">
        <f>IF(H$12=0,0,H323/H$12)</f>
        <v>-8.6926753126925826E-2</v>
      </c>
      <c r="K323" s="16"/>
      <c r="L323" s="31">
        <f>+D323-H323</f>
        <v>104748.80000000086</v>
      </c>
      <c r="M323" s="16"/>
      <c r="N323" s="33">
        <f>IF(H323=0,0,L323/H323)</f>
        <v>-0.34759870423010258</v>
      </c>
      <c r="O323" s="28"/>
      <c r="P323" s="31">
        <f>SUM(P318:P322)</f>
        <v>-1197494.6499999969</v>
      </c>
      <c r="Q323" s="14"/>
      <c r="R323" s="33">
        <f>IF(P$12=0,0,P323/P$12)</f>
        <v>-0.16744931006024419</v>
      </c>
      <c r="S323" s="14"/>
      <c r="T323" s="31">
        <f>SUM(T318:T322)</f>
        <v>660317.66999999306</v>
      </c>
      <c r="U323" s="14"/>
      <c r="V323" s="33">
        <f>IF(T$12=0,0,T323/T$12)</f>
        <v>2.6204737928737978E-2</v>
      </c>
      <c r="W323" s="16"/>
      <c r="X323" s="31">
        <f>+P323-T323</f>
        <v>-1857812.3199999901</v>
      </c>
      <c r="Y323" s="16"/>
      <c r="Z323" s="33">
        <f>IF(T323=0,0,X323/T323)</f>
        <v>-2.8135129565743857</v>
      </c>
    </row>
    <row r="324" spans="1:26" ht="15.75" thickTop="1" x14ac:dyDescent="0.25">
      <c r="A324" s="9"/>
      <c r="C324" s="9"/>
      <c r="D324" s="18"/>
      <c r="E324" s="18"/>
      <c r="G324" s="18"/>
      <c r="H324" s="18"/>
      <c r="I324" s="18"/>
      <c r="J324" s="43"/>
      <c r="K324" s="18"/>
      <c r="L324" s="18"/>
      <c r="M324" s="18"/>
      <c r="P324" s="18"/>
      <c r="Q324" s="18"/>
      <c r="R324" s="43"/>
      <c r="S324" s="18"/>
      <c r="T324" s="18"/>
      <c r="U324" s="18"/>
      <c r="V324" s="43"/>
      <c r="W324" s="18"/>
      <c r="X324" s="18"/>
    </row>
    <row r="325" spans="1:26" x14ac:dyDescent="0.25">
      <c r="A325" s="9"/>
      <c r="B325" s="56">
        <v>44267.667688923611</v>
      </c>
      <c r="D325" s="18"/>
      <c r="E325" s="18"/>
      <c r="G325" s="18"/>
      <c r="H325" s="18"/>
      <c r="I325" s="18"/>
      <c r="J325" s="43"/>
      <c r="K325" s="18"/>
      <c r="L325" s="18"/>
      <c r="M325" s="18"/>
      <c r="P325" s="18"/>
      <c r="Q325" s="18"/>
      <c r="R325" s="43"/>
      <c r="S325" s="18"/>
      <c r="T325" s="18"/>
      <c r="U325" s="18"/>
      <c r="V325" s="43"/>
      <c r="W325" s="18"/>
      <c r="X325" s="18"/>
    </row>
    <row r="326" spans="1:26" x14ac:dyDescent="0.25">
      <c r="A326" s="9"/>
      <c r="B326" s="54" t="s">
        <v>313</v>
      </c>
      <c r="D326" s="18"/>
      <c r="E326" s="18"/>
      <c r="G326" s="18"/>
      <c r="H326" s="18"/>
      <c r="I326" s="18"/>
      <c r="J326" s="43"/>
      <c r="K326" s="18"/>
      <c r="L326" s="18"/>
      <c r="M326" s="18"/>
      <c r="P326" s="18"/>
      <c r="Q326" s="18"/>
      <c r="R326" s="43"/>
      <c r="S326" s="18"/>
      <c r="T326" s="18"/>
      <c r="U326" s="18"/>
      <c r="V326" s="43"/>
      <c r="W326" s="18"/>
      <c r="X326" s="18"/>
    </row>
    <row r="327" spans="1:26" x14ac:dyDescent="0.25">
      <c r="A327" s="9"/>
      <c r="B327" s="58"/>
      <c r="D327" s="18"/>
      <c r="E327" s="18"/>
      <c r="G327" s="18"/>
      <c r="H327" s="18"/>
      <c r="I327" s="18"/>
      <c r="J327" s="43"/>
      <c r="K327" s="18"/>
      <c r="L327" s="18"/>
      <c r="M327" s="18"/>
      <c r="P327" s="18"/>
      <c r="Q327" s="18"/>
      <c r="R327" s="43"/>
      <c r="S327" s="18"/>
      <c r="T327" s="18"/>
      <c r="U327" s="18"/>
      <c r="V327" s="43"/>
      <c r="W327" s="18"/>
      <c r="X327" s="18"/>
    </row>
    <row r="328" spans="1:26" x14ac:dyDescent="0.25">
      <c r="D328" s="18"/>
      <c r="E328" s="18"/>
      <c r="G328" s="18"/>
      <c r="H328" s="18"/>
      <c r="I328" s="18"/>
      <c r="J328" s="43"/>
      <c r="K328" s="18"/>
      <c r="L328" s="18"/>
      <c r="M328" s="18"/>
      <c r="P328" s="18"/>
      <c r="Q328" s="18"/>
      <c r="R328" s="43"/>
      <c r="S328" s="18"/>
      <c r="T328" s="18"/>
      <c r="U328" s="18"/>
      <c r="V328" s="43"/>
      <c r="W328" s="18"/>
      <c r="X328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299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299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300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300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296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296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310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310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297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SUM(0)</f>
        <v>0</v>
      </c>
      <c r="E18" s="21"/>
      <c r="F18" s="32">
        <f>IF(D$12=0,0,D18/D$12)</f>
        <v>0</v>
      </c>
      <c r="G18" s="21"/>
      <c r="H18" s="21">
        <f>SUM(0)</f>
        <v>0</v>
      </c>
      <c r="I18" s="21"/>
      <c r="J18" s="32">
        <f>IF(H$12=0,0,H18/H$12)</f>
        <v>0</v>
      </c>
      <c r="K18" s="4"/>
      <c r="L18" s="21">
        <f>+D18-H18</f>
        <v>0</v>
      </c>
      <c r="M18" s="4"/>
      <c r="N18" s="32">
        <f>IF(H18=0,0,L18/H18)</f>
        <v>0</v>
      </c>
      <c r="O18" s="10"/>
      <c r="P18" s="21">
        <f>SUM(0)</f>
        <v>0</v>
      </c>
      <c r="Q18" s="21"/>
      <c r="R18" s="32">
        <f>IF(P$12=0,0,P18/P$12)</f>
        <v>0</v>
      </c>
      <c r="S18" s="21"/>
      <c r="T18" s="21">
        <f>SUM(0)</f>
        <v>0</v>
      </c>
      <c r="U18" s="21"/>
      <c r="V18" s="32">
        <f>IF(T$12=0,0,T18/T$12)</f>
        <v>0</v>
      </c>
      <c r="W18" s="4"/>
      <c r="X18" s="21">
        <f>+P18-T18</f>
        <v>0</v>
      </c>
      <c r="Y18" s="4"/>
      <c r="Z18" s="32">
        <f>IF(T18=0,0,X18/T18)</f>
        <v>0</v>
      </c>
    </row>
    <row r="19" spans="1:26" s="52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2">
        <f>+D16-D18+D20</f>
        <v>0</v>
      </c>
      <c r="E22" s="14"/>
      <c r="F22" s="20">
        <f>IF(D$12=0,0,D22/D$12)</f>
        <v>0</v>
      </c>
      <c r="G22" s="14"/>
      <c r="H22" s="22">
        <f>+H16-H18+H20</f>
        <v>0</v>
      </c>
      <c r="I22" s="14"/>
      <c r="J22" s="20">
        <f>IF(H$12=0,0,H22/H$12)</f>
        <v>0</v>
      </c>
      <c r="K22" s="16"/>
      <c r="L22" s="22">
        <f>+D22-H22</f>
        <v>0</v>
      </c>
      <c r="M22" s="16"/>
      <c r="N22" s="20">
        <f>IF(H22=0,0,L22/H22)</f>
        <v>0</v>
      </c>
      <c r="O22" s="28"/>
      <c r="P22" s="22">
        <f>+P16-P18+P20</f>
        <v>0</v>
      </c>
      <c r="Q22" s="14"/>
      <c r="R22" s="20">
        <f>IF(P$12=0,0,P22/P$12)</f>
        <v>0</v>
      </c>
      <c r="S22" s="14"/>
      <c r="T22" s="22">
        <f>+T16-T18+T20</f>
        <v>0</v>
      </c>
      <c r="U22" s="14"/>
      <c r="V22" s="20">
        <f>IF(T$12=0,0,T22/T$12)</f>
        <v>0</v>
      </c>
      <c r="W22" s="16"/>
      <c r="X22" s="22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5">
        <f>+D22-D24</f>
        <v>0</v>
      </c>
      <c r="E26" s="14"/>
      <c r="F26" s="36">
        <f>IF(D$12=0,0,D26/D$12)</f>
        <v>0</v>
      </c>
      <c r="G26" s="14"/>
      <c r="H26" s="35">
        <f>+H22-H24</f>
        <v>0</v>
      </c>
      <c r="I26" s="14"/>
      <c r="J26" s="36">
        <f>IF(H$12=0,0,H26/H$12)</f>
        <v>0</v>
      </c>
      <c r="K26" s="16"/>
      <c r="L26" s="35">
        <f>D26-H26</f>
        <v>0</v>
      </c>
      <c r="M26" s="16"/>
      <c r="N26" s="36">
        <f>IF(H26=0,0,L26/H26)</f>
        <v>0</v>
      </c>
      <c r="O26" s="28"/>
      <c r="P26" s="35">
        <f>+P22-P24</f>
        <v>0</v>
      </c>
      <c r="Q26" s="14"/>
      <c r="R26" s="36">
        <f>IF(P$12=0,0,P26/P$12)</f>
        <v>0</v>
      </c>
      <c r="S26" s="14"/>
      <c r="T26" s="35">
        <f>+T22-T24</f>
        <v>0</v>
      </c>
      <c r="U26" s="14"/>
      <c r="V26" s="36">
        <f>IF(T$12=0,0,T26/T$12)</f>
        <v>0</v>
      </c>
      <c r="W26" s="16"/>
      <c r="X26" s="35">
        <f>P26-T26</f>
        <v>0</v>
      </c>
      <c r="Y26" s="16"/>
      <c r="Z26" s="36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--233369.99</f>
        <v>233369.99</v>
      </c>
      <c r="E28" s="4"/>
      <c r="F28" s="12">
        <f t="shared" ref="F28:F29" si="0">IF(D$12=0,0,D28/D$12)</f>
        <v>0</v>
      </c>
      <c r="G28" s="4"/>
      <c r="H28" s="4">
        <f>-543958.39</f>
        <v>-543958.39</v>
      </c>
      <c r="I28" s="4"/>
      <c r="J28" s="12">
        <f t="shared" ref="J28:J29" si="1">IF(H$12=0,0,H28/H$12)</f>
        <v>0</v>
      </c>
      <c r="K28" s="4"/>
      <c r="L28" s="4">
        <f t="shared" ref="L28:L29" si="2">+D28-H28</f>
        <v>777328.38</v>
      </c>
      <c r="M28" s="4"/>
      <c r="N28" s="12">
        <f t="shared" ref="N28:N29" si="3">IF(H28=0,0,L28/H28)</f>
        <v>-1.4290217676392489</v>
      </c>
      <c r="O28" s="10"/>
      <c r="P28" s="4">
        <f>--2191553.97</f>
        <v>2191553.9700000002</v>
      </c>
      <c r="Q28" s="4"/>
      <c r="R28" s="12">
        <f t="shared" ref="R28:R29" si="4">IF(P$12=0,0,P28/P$12)</f>
        <v>0</v>
      </c>
      <c r="S28" s="4"/>
      <c r="T28" s="4">
        <f>-134834.87</f>
        <v>-134834.87</v>
      </c>
      <c r="U28" s="4"/>
      <c r="V28" s="12">
        <f t="shared" ref="V28:V29" si="5">IF(T$12=0,0,T28/T$12)</f>
        <v>0</v>
      </c>
      <c r="W28" s="4"/>
      <c r="X28" s="4">
        <f t="shared" ref="X28:X29" si="6">+P28-T28</f>
        <v>2326388.8400000003</v>
      </c>
      <c r="Y28" s="4"/>
      <c r="Z28" s="12">
        <f t="shared" ref="Z28:Z29" si="7">IF(T28=0,0,X28/T28)</f>
        <v>-17.25361429131797</v>
      </c>
    </row>
    <row r="29" spans="1:26" s="23" customFormat="1" x14ac:dyDescent="0.25">
      <c r="A29" s="51"/>
      <c r="B29" s="10" t="s">
        <v>1</v>
      </c>
      <c r="C29" s="10"/>
      <c r="D29" s="4">
        <f>--12479.26</f>
        <v>12479.26</v>
      </c>
      <c r="E29" s="4"/>
      <c r="F29" s="12">
        <f t="shared" si="0"/>
        <v>0</v>
      </c>
      <c r="G29" s="4"/>
      <c r="H29" s="4">
        <f>--35344.2</f>
        <v>35344.199999999997</v>
      </c>
      <c r="I29" s="4"/>
      <c r="J29" s="12">
        <f t="shared" si="1"/>
        <v>0</v>
      </c>
      <c r="K29" s="4"/>
      <c r="L29" s="4">
        <f t="shared" si="2"/>
        <v>-22864.939999999995</v>
      </c>
      <c r="M29" s="4"/>
      <c r="N29" s="12">
        <f t="shared" si="3"/>
        <v>-0.64692198437084436</v>
      </c>
      <c r="O29" s="10"/>
      <c r="P29" s="4">
        <f>--67055.26</f>
        <v>67055.259999999995</v>
      </c>
      <c r="Q29" s="4"/>
      <c r="R29" s="12">
        <f t="shared" si="4"/>
        <v>0</v>
      </c>
      <c r="S29" s="4"/>
      <c r="T29" s="4">
        <f>--206989.27</f>
        <v>206989.27</v>
      </c>
      <c r="U29" s="4"/>
      <c r="V29" s="12">
        <f t="shared" si="5"/>
        <v>0</v>
      </c>
      <c r="W29" s="4"/>
      <c r="X29" s="4">
        <f t="shared" si="6"/>
        <v>-139934.01</v>
      </c>
      <c r="Y29" s="4"/>
      <c r="Z29" s="12">
        <f t="shared" si="7"/>
        <v>-0.67604475343093884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1">
        <f>SUM(D26:D30)</f>
        <v>245849.25</v>
      </c>
      <c r="E31" s="14"/>
      <c r="F31" s="33">
        <f>IF(D$12=0,0,D31/D$12)</f>
        <v>0</v>
      </c>
      <c r="G31" s="14"/>
      <c r="H31" s="31">
        <f>SUM(H26:H30)</f>
        <v>-508614.19</v>
      </c>
      <c r="I31" s="14"/>
      <c r="J31" s="33">
        <f>IF(H$12=0,0,H31/H$12)</f>
        <v>0</v>
      </c>
      <c r="K31" s="16"/>
      <c r="L31" s="31">
        <f>+D31-H31</f>
        <v>754463.44</v>
      </c>
      <c r="M31" s="16"/>
      <c r="N31" s="33">
        <f>IF(H31=0,0,L31/H31)</f>
        <v>-1.4833708041059568</v>
      </c>
      <c r="O31" s="28"/>
      <c r="P31" s="31">
        <f>SUM(P26:P30)</f>
        <v>2258609.23</v>
      </c>
      <c r="Q31" s="14"/>
      <c r="R31" s="33">
        <f>IF(P$12=0,0,P31/P$12)</f>
        <v>0</v>
      </c>
      <c r="S31" s="14"/>
      <c r="T31" s="31">
        <f>SUM(T26:T30)</f>
        <v>72154.399999999994</v>
      </c>
      <c r="U31" s="14"/>
      <c r="V31" s="33">
        <f>IF(T$12=0,0,T31/T$12)</f>
        <v>0</v>
      </c>
      <c r="W31" s="16"/>
      <c r="X31" s="31">
        <f>+P31-T31</f>
        <v>2186454.83</v>
      </c>
      <c r="Y31" s="16"/>
      <c r="Z31" s="33">
        <f>IF(T31=0,0,X31/T31)</f>
        <v>30.302446281862231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6">
        <v>44267.667747071762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4" t="s">
        <v>313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8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","100", " - ", "Corporate")</f>
        <v>Department 100 - Corporate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SUM(0)</f>
        <v>0</v>
      </c>
      <c r="E18" s="21"/>
      <c r="F18" s="32">
        <f>IF(D$12=0,0,D18/D$12)</f>
        <v>0</v>
      </c>
      <c r="G18" s="21"/>
      <c r="H18" s="21">
        <f>SUM(0)</f>
        <v>0</v>
      </c>
      <c r="I18" s="21"/>
      <c r="J18" s="32">
        <f>IF(H$12=0,0,H18/H$12)</f>
        <v>0</v>
      </c>
      <c r="K18" s="4"/>
      <c r="L18" s="21">
        <f>+D18-H18</f>
        <v>0</v>
      </c>
      <c r="M18" s="4"/>
      <c r="N18" s="32">
        <f>IF(H18=0,0,L18/H18)</f>
        <v>0</v>
      </c>
      <c r="O18" s="10"/>
      <c r="P18" s="21">
        <f>SUM(0)</f>
        <v>0</v>
      </c>
      <c r="Q18" s="21"/>
      <c r="R18" s="32">
        <f>IF(P$12=0,0,P18/P$12)</f>
        <v>0</v>
      </c>
      <c r="S18" s="21"/>
      <c r="T18" s="21">
        <f>SUM(0)</f>
        <v>0</v>
      </c>
      <c r="U18" s="21"/>
      <c r="V18" s="32">
        <f>IF(T$12=0,0,T18/T$12)</f>
        <v>0</v>
      </c>
      <c r="W18" s="4"/>
      <c r="X18" s="21">
        <f>+P18-T18</f>
        <v>0</v>
      </c>
      <c r="Y18" s="4"/>
      <c r="Z18" s="32">
        <f>IF(T18=0,0,X18/T18)</f>
        <v>0</v>
      </c>
    </row>
    <row r="19" spans="1:26" s="52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2">
        <f>+D16-D18+D20</f>
        <v>0</v>
      </c>
      <c r="E22" s="14"/>
      <c r="F22" s="20">
        <f>IF(D$12=0,0,D22/D$12)</f>
        <v>0</v>
      </c>
      <c r="G22" s="14"/>
      <c r="H22" s="22">
        <f>+H16-H18+H20</f>
        <v>0</v>
      </c>
      <c r="I22" s="14"/>
      <c r="J22" s="20">
        <f>IF(H$12=0,0,H22/H$12)</f>
        <v>0</v>
      </c>
      <c r="K22" s="16"/>
      <c r="L22" s="22">
        <f>+D22-H22</f>
        <v>0</v>
      </c>
      <c r="M22" s="16"/>
      <c r="N22" s="20">
        <f>IF(H22=0,0,L22/H22)</f>
        <v>0</v>
      </c>
      <c r="O22" s="28"/>
      <c r="P22" s="22">
        <f>+P16-P18+P20</f>
        <v>0</v>
      </c>
      <c r="Q22" s="14"/>
      <c r="R22" s="20">
        <f>IF(P$12=0,0,P22/P$12)</f>
        <v>0</v>
      </c>
      <c r="S22" s="14"/>
      <c r="T22" s="22">
        <f>+T16-T18+T20</f>
        <v>0</v>
      </c>
      <c r="U22" s="14"/>
      <c r="V22" s="20">
        <f>IF(T$12=0,0,T22/T$12)</f>
        <v>0</v>
      </c>
      <c r="W22" s="16"/>
      <c r="X22" s="22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5">
        <f>+D22-D24</f>
        <v>0</v>
      </c>
      <c r="E26" s="14"/>
      <c r="F26" s="36">
        <f>IF(D$12=0,0,D26/D$12)</f>
        <v>0</v>
      </c>
      <c r="G26" s="14"/>
      <c r="H26" s="35">
        <f>+H22-H24</f>
        <v>0</v>
      </c>
      <c r="I26" s="14"/>
      <c r="J26" s="36">
        <f>IF(H$12=0,0,H26/H$12)</f>
        <v>0</v>
      </c>
      <c r="K26" s="16"/>
      <c r="L26" s="35">
        <f>D26-H26</f>
        <v>0</v>
      </c>
      <c r="M26" s="16"/>
      <c r="N26" s="36">
        <f>IF(H26=0,0,L26/H26)</f>
        <v>0</v>
      </c>
      <c r="O26" s="28"/>
      <c r="P26" s="35">
        <f>+P22-P24</f>
        <v>0</v>
      </c>
      <c r="Q26" s="14"/>
      <c r="R26" s="36">
        <f>IF(P$12=0,0,P26/P$12)</f>
        <v>0</v>
      </c>
      <c r="S26" s="14"/>
      <c r="T26" s="35">
        <f>+T22-T24</f>
        <v>0</v>
      </c>
      <c r="U26" s="14"/>
      <c r="V26" s="36">
        <f>IF(T$12=0,0,T26/T$12)</f>
        <v>0</v>
      </c>
      <c r="W26" s="16"/>
      <c r="X26" s="35">
        <f>P26-T26</f>
        <v>0</v>
      </c>
      <c r="Y26" s="16"/>
      <c r="Z26" s="36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--233369.99</f>
        <v>233369.99</v>
      </c>
      <c r="E28" s="4"/>
      <c r="F28" s="12">
        <f t="shared" ref="F28:F29" si="0">IF(D$12=0,0,D28/D$12)</f>
        <v>0</v>
      </c>
      <c r="G28" s="4"/>
      <c r="H28" s="4">
        <f>-543958.39</f>
        <v>-543958.39</v>
      </c>
      <c r="I28" s="4"/>
      <c r="J28" s="12">
        <f t="shared" ref="J28:J29" si="1">IF(H$12=0,0,H28/H$12)</f>
        <v>0</v>
      </c>
      <c r="K28" s="4"/>
      <c r="L28" s="4">
        <f t="shared" ref="L28:L29" si="2">+D28-H28</f>
        <v>777328.38</v>
      </c>
      <c r="M28" s="4"/>
      <c r="N28" s="12">
        <f t="shared" ref="N28:N29" si="3">IF(H28=0,0,L28/H28)</f>
        <v>-1.4290217676392489</v>
      </c>
      <c r="O28" s="10"/>
      <c r="P28" s="4">
        <f>--2191553.97</f>
        <v>2191553.9700000002</v>
      </c>
      <c r="Q28" s="4"/>
      <c r="R28" s="12">
        <f t="shared" ref="R28:R29" si="4">IF(P$12=0,0,P28/P$12)</f>
        <v>0</v>
      </c>
      <c r="S28" s="4"/>
      <c r="T28" s="4">
        <f>-134834.87</f>
        <v>-134834.87</v>
      </c>
      <c r="U28" s="4"/>
      <c r="V28" s="12">
        <f t="shared" ref="V28:V29" si="5">IF(T$12=0,0,T28/T$12)</f>
        <v>0</v>
      </c>
      <c r="W28" s="4"/>
      <c r="X28" s="4">
        <f t="shared" ref="X28:X29" si="6">+P28-T28</f>
        <v>2326388.8400000003</v>
      </c>
      <c r="Y28" s="4"/>
      <c r="Z28" s="12">
        <f t="shared" ref="Z28:Z29" si="7">IF(T28=0,0,X28/T28)</f>
        <v>-17.25361429131797</v>
      </c>
    </row>
    <row r="29" spans="1:26" s="23" customFormat="1" x14ac:dyDescent="0.25">
      <c r="A29" s="51"/>
      <c r="B29" s="10" t="s">
        <v>1</v>
      </c>
      <c r="C29" s="10"/>
      <c r="D29" s="4">
        <f>--12479.26</f>
        <v>12479.26</v>
      </c>
      <c r="E29" s="4"/>
      <c r="F29" s="12">
        <f t="shared" si="0"/>
        <v>0</v>
      </c>
      <c r="G29" s="4"/>
      <c r="H29" s="4">
        <f>--35344.2</f>
        <v>35344.199999999997</v>
      </c>
      <c r="I29" s="4"/>
      <c r="J29" s="12">
        <f t="shared" si="1"/>
        <v>0</v>
      </c>
      <c r="K29" s="4"/>
      <c r="L29" s="4">
        <f t="shared" si="2"/>
        <v>-22864.939999999995</v>
      </c>
      <c r="M29" s="4"/>
      <c r="N29" s="12">
        <f t="shared" si="3"/>
        <v>-0.64692198437084436</v>
      </c>
      <c r="O29" s="10"/>
      <c r="P29" s="4">
        <f>--67055.26</f>
        <v>67055.259999999995</v>
      </c>
      <c r="Q29" s="4"/>
      <c r="R29" s="12">
        <f t="shared" si="4"/>
        <v>0</v>
      </c>
      <c r="S29" s="4"/>
      <c r="T29" s="4">
        <f>--206989.27</f>
        <v>206989.27</v>
      </c>
      <c r="U29" s="4"/>
      <c r="V29" s="12">
        <f t="shared" si="5"/>
        <v>0</v>
      </c>
      <c r="W29" s="4"/>
      <c r="X29" s="4">
        <f t="shared" si="6"/>
        <v>-139934.01</v>
      </c>
      <c r="Y29" s="4"/>
      <c r="Z29" s="12">
        <f t="shared" si="7"/>
        <v>-0.67604475343093884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1">
        <f>SUM(D26:D30)</f>
        <v>245849.25</v>
      </c>
      <c r="E31" s="14"/>
      <c r="F31" s="33">
        <f>IF(D$12=0,0,D31/D$12)</f>
        <v>0</v>
      </c>
      <c r="G31" s="14"/>
      <c r="H31" s="31">
        <f>SUM(H26:H30)</f>
        <v>-508614.19</v>
      </c>
      <c r="I31" s="14"/>
      <c r="J31" s="33">
        <f>IF(H$12=0,0,H31/H$12)</f>
        <v>0</v>
      </c>
      <c r="K31" s="16"/>
      <c r="L31" s="31">
        <f>+D31-H31</f>
        <v>754463.44</v>
      </c>
      <c r="M31" s="16"/>
      <c r="N31" s="33">
        <f>IF(H31=0,0,L31/H31)</f>
        <v>-1.4833708041059568</v>
      </c>
      <c r="O31" s="28"/>
      <c r="P31" s="31">
        <f>SUM(P26:P30)</f>
        <v>2258609.23</v>
      </c>
      <c r="Q31" s="14"/>
      <c r="R31" s="33">
        <f>IF(P$12=0,0,P31/P$12)</f>
        <v>0</v>
      </c>
      <c r="S31" s="14"/>
      <c r="T31" s="31">
        <f>SUM(T26:T30)</f>
        <v>72154.399999999994</v>
      </c>
      <c r="U31" s="14"/>
      <c r="V31" s="33">
        <f>IF(T$12=0,0,T31/T$12)</f>
        <v>0</v>
      </c>
      <c r="W31" s="16"/>
      <c r="X31" s="31">
        <f>+P31-T31</f>
        <v>2186454.83</v>
      </c>
      <c r="Y31" s="16"/>
      <c r="Z31" s="33">
        <f>IF(T31=0,0,X31/T31)</f>
        <v>30.302446281862231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6">
        <v>44267.668011956019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4" t="s">
        <v>313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8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295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298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217201.57</v>
      </c>
      <c r="E18" s="21"/>
      <c r="F18" s="32">
        <f t="shared" ref="F18:F30" si="0">IF(D$12=0,0,D18/D$12)</f>
        <v>0</v>
      </c>
      <c r="G18" s="21"/>
      <c r="H18" s="21">
        <f>SUM(OSRRefH22x_0)</f>
        <v>301907.7</v>
      </c>
      <c r="I18" s="21"/>
      <c r="J18" s="32">
        <f t="shared" ref="J18:J30" si="1">IF(H$12=0,0,H18/H$12)</f>
        <v>0</v>
      </c>
      <c r="K18" s="4"/>
      <c r="L18" s="21">
        <f t="shared" ref="L18:L30" si="2">+D18-H18</f>
        <v>-84706.13</v>
      </c>
      <c r="M18" s="4"/>
      <c r="N18" s="32">
        <f t="shared" ref="N18:N30" si="3">IF(H18=0,0,L18/H18)</f>
        <v>-0.28056962442494843</v>
      </c>
      <c r="O18" s="10"/>
      <c r="P18" s="21">
        <f>SUM(OSRRefP22x_0)</f>
        <v>1416230.2300000004</v>
      </c>
      <c r="Q18" s="21"/>
      <c r="R18" s="32">
        <f t="shared" ref="R18:R30" si="4">IF(P$12=0,0,P18/P$12)</f>
        <v>0</v>
      </c>
      <c r="S18" s="21"/>
      <c r="T18" s="21">
        <f>SUM(OSRRefT22x_0)</f>
        <v>2568216.0200000005</v>
      </c>
      <c r="U18" s="21"/>
      <c r="V18" s="32">
        <f t="shared" ref="V18:V30" si="5">IF(T$12=0,0,T18/T$12)</f>
        <v>0</v>
      </c>
      <c r="W18" s="4"/>
      <c r="X18" s="21">
        <f t="shared" ref="X18:X30" si="6">+P18-T18</f>
        <v>-1151985.79</v>
      </c>
      <c r="Y18" s="4"/>
      <c r="Z18" s="32">
        <f t="shared" ref="Z18:Z30" si="7">IF(T18=0,0,X18/T18)</f>
        <v>-0.44855486494473307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76673.930000000008</v>
      </c>
      <c r="E19" s="1"/>
      <c r="F19" s="5">
        <f t="shared" si="0"/>
        <v>0</v>
      </c>
      <c r="G19" s="1"/>
      <c r="H19" s="1">
        <f>SUM(OSRRefH22_0x_0)</f>
        <v>86097.700000000012</v>
      </c>
      <c r="I19" s="1"/>
      <c r="J19" s="5">
        <f t="shared" si="1"/>
        <v>0</v>
      </c>
      <c r="K19" s="1"/>
      <c r="L19" s="1">
        <f t="shared" si="2"/>
        <v>-9423.7700000000041</v>
      </c>
      <c r="M19" s="1"/>
      <c r="N19" s="5">
        <f t="shared" si="3"/>
        <v>-0.1094543756685719</v>
      </c>
      <c r="O19" s="13"/>
      <c r="P19" s="1">
        <f>SUM(OSRRefP22_0x_0)</f>
        <v>261991.30999999997</v>
      </c>
      <c r="Q19" s="1"/>
      <c r="R19" s="5">
        <f t="shared" si="4"/>
        <v>0</v>
      </c>
      <c r="S19" s="1"/>
      <c r="T19" s="1">
        <f>SUM(OSRRefT22_0x_0)</f>
        <v>732512.31999999983</v>
      </c>
      <c r="U19" s="1"/>
      <c r="V19" s="5">
        <f t="shared" si="5"/>
        <v>0</v>
      </c>
      <c r="W19" s="1"/>
      <c r="X19" s="1">
        <f t="shared" si="6"/>
        <v>-470521.00999999989</v>
      </c>
      <c r="Y19" s="1"/>
      <c r="Z19" s="5">
        <f t="shared" si="7"/>
        <v>-0.64233869813957534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7078.51</v>
      </c>
      <c r="E20" s="2"/>
      <c r="F20" s="7">
        <f t="shared" si="0"/>
        <v>0</v>
      </c>
      <c r="G20" s="2"/>
      <c r="H20" s="6">
        <v>8791.61</v>
      </c>
      <c r="I20" s="2"/>
      <c r="J20" s="7">
        <f t="shared" si="1"/>
        <v>0</v>
      </c>
      <c r="K20" s="2"/>
      <c r="L20" s="6">
        <f t="shared" si="2"/>
        <v>-1713.1000000000004</v>
      </c>
      <c r="M20" s="2"/>
      <c r="N20" s="7">
        <f t="shared" si="3"/>
        <v>-0.19485623224870077</v>
      </c>
      <c r="O20" s="11"/>
      <c r="P20" s="6">
        <v>61914.32</v>
      </c>
      <c r="Q20" s="2"/>
      <c r="R20" s="7">
        <f t="shared" si="4"/>
        <v>0</v>
      </c>
      <c r="S20" s="2"/>
      <c r="T20" s="6">
        <v>76226.33</v>
      </c>
      <c r="U20" s="2"/>
      <c r="V20" s="7">
        <f t="shared" si="5"/>
        <v>0</v>
      </c>
      <c r="W20" s="2"/>
      <c r="X20" s="6">
        <f t="shared" si="6"/>
        <v>-14312.010000000002</v>
      </c>
      <c r="Y20" s="2"/>
      <c r="Z20" s="7">
        <f t="shared" si="7"/>
        <v>-0.18775677643145094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585.79999999999995</v>
      </c>
      <c r="E21" s="2"/>
      <c r="F21" s="7">
        <f t="shared" si="0"/>
        <v>0</v>
      </c>
      <c r="G21" s="2"/>
      <c r="H21" s="6">
        <v>715.74</v>
      </c>
      <c r="I21" s="2"/>
      <c r="J21" s="7">
        <f t="shared" si="1"/>
        <v>0</v>
      </c>
      <c r="K21" s="2"/>
      <c r="L21" s="6">
        <f t="shared" si="2"/>
        <v>-129.94000000000005</v>
      </c>
      <c r="M21" s="2"/>
      <c r="N21" s="7">
        <f t="shared" si="3"/>
        <v>-0.18154637158744802</v>
      </c>
      <c r="O21" s="11"/>
      <c r="P21" s="6">
        <v>5302.78</v>
      </c>
      <c r="Q21" s="2"/>
      <c r="R21" s="7">
        <f t="shared" si="4"/>
        <v>0</v>
      </c>
      <c r="S21" s="2"/>
      <c r="T21" s="6">
        <v>5340.62</v>
      </c>
      <c r="U21" s="2"/>
      <c r="V21" s="7">
        <f t="shared" si="5"/>
        <v>0</v>
      </c>
      <c r="W21" s="2"/>
      <c r="X21" s="6">
        <f t="shared" si="6"/>
        <v>-37.840000000000146</v>
      </c>
      <c r="Y21" s="2"/>
      <c r="Z21" s="7">
        <f t="shared" si="7"/>
        <v>-7.0853196819845162E-3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22431.15</v>
      </c>
      <c r="E22" s="2"/>
      <c r="F22" s="7">
        <f t="shared" si="0"/>
        <v>0</v>
      </c>
      <c r="G22" s="2"/>
      <c r="H22" s="6">
        <v>23373.550000000003</v>
      </c>
      <c r="I22" s="2"/>
      <c r="J22" s="7">
        <f t="shared" si="1"/>
        <v>0</v>
      </c>
      <c r="K22" s="2"/>
      <c r="L22" s="6">
        <f t="shared" si="2"/>
        <v>-942.40000000000146</v>
      </c>
      <c r="M22" s="2"/>
      <c r="N22" s="7">
        <f t="shared" si="3"/>
        <v>-4.0319078616641517E-2</v>
      </c>
      <c r="O22" s="11"/>
      <c r="P22" s="6">
        <v>182830.07999999999</v>
      </c>
      <c r="Q22" s="2"/>
      <c r="R22" s="7">
        <f t="shared" si="4"/>
        <v>0</v>
      </c>
      <c r="S22" s="2"/>
      <c r="T22" s="6">
        <v>181969.63999999998</v>
      </c>
      <c r="U22" s="2"/>
      <c r="V22" s="7">
        <f t="shared" si="5"/>
        <v>0</v>
      </c>
      <c r="W22" s="2"/>
      <c r="X22" s="6">
        <f t="shared" si="6"/>
        <v>860.44000000000233</v>
      </c>
      <c r="Y22" s="2"/>
      <c r="Z22" s="7">
        <f t="shared" si="7"/>
        <v>4.7284810806901764E-3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242.45</v>
      </c>
      <c r="E23" s="2"/>
      <c r="F23" s="7">
        <f t="shared" si="0"/>
        <v>0</v>
      </c>
      <c r="G23" s="2"/>
      <c r="H23" s="6">
        <v>344.32</v>
      </c>
      <c r="I23" s="2"/>
      <c r="J23" s="7">
        <f t="shared" si="1"/>
        <v>0</v>
      </c>
      <c r="K23" s="2"/>
      <c r="L23" s="6">
        <f t="shared" si="2"/>
        <v>-101.87</v>
      </c>
      <c r="M23" s="2"/>
      <c r="N23" s="7">
        <f t="shared" si="3"/>
        <v>-0.29585850371747213</v>
      </c>
      <c r="O23" s="11"/>
      <c r="P23" s="6">
        <v>2301.36</v>
      </c>
      <c r="Q23" s="2"/>
      <c r="R23" s="7">
        <f t="shared" si="4"/>
        <v>0</v>
      </c>
      <c r="S23" s="2"/>
      <c r="T23" s="6">
        <v>3175.13</v>
      </c>
      <c r="U23" s="2"/>
      <c r="V23" s="7">
        <f t="shared" si="5"/>
        <v>0</v>
      </c>
      <c r="W23" s="2"/>
      <c r="X23" s="6">
        <f t="shared" si="6"/>
        <v>-873.77</v>
      </c>
      <c r="Y23" s="2"/>
      <c r="Z23" s="7">
        <f t="shared" si="7"/>
        <v>-0.27519188190719751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7812.41</v>
      </c>
      <c r="E24" s="2"/>
      <c r="F24" s="7">
        <f t="shared" si="0"/>
        <v>0</v>
      </c>
      <c r="G24" s="2"/>
      <c r="H24" s="6">
        <v>7632.94</v>
      </c>
      <c r="I24" s="2"/>
      <c r="J24" s="7">
        <f t="shared" si="1"/>
        <v>0</v>
      </c>
      <c r="K24" s="2"/>
      <c r="L24" s="6">
        <f t="shared" si="2"/>
        <v>179.47000000000025</v>
      </c>
      <c r="M24" s="2"/>
      <c r="N24" s="7">
        <f t="shared" si="3"/>
        <v>2.3512565276289379E-2</v>
      </c>
      <c r="O24" s="11"/>
      <c r="P24" s="6">
        <v>74563.149999999994</v>
      </c>
      <c r="Q24" s="2"/>
      <c r="R24" s="7">
        <f t="shared" si="4"/>
        <v>0</v>
      </c>
      <c r="S24" s="2"/>
      <c r="T24" s="6">
        <v>71560.479999999996</v>
      </c>
      <c r="U24" s="2"/>
      <c r="V24" s="7">
        <f t="shared" si="5"/>
        <v>0</v>
      </c>
      <c r="W24" s="2"/>
      <c r="X24" s="6">
        <f t="shared" si="6"/>
        <v>3002.6699999999983</v>
      </c>
      <c r="Y24" s="2"/>
      <c r="Z24" s="7">
        <f t="shared" si="7"/>
        <v>4.1959891828562336E-2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733</v>
      </c>
      <c r="I25" s="2"/>
      <c r="J25" s="7">
        <f t="shared" si="1"/>
        <v>0</v>
      </c>
      <c r="K25" s="2"/>
      <c r="L25" s="6">
        <f t="shared" si="2"/>
        <v>-733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5070.88</v>
      </c>
      <c r="U25" s="2"/>
      <c r="V25" s="7">
        <f t="shared" si="5"/>
        <v>0</v>
      </c>
      <c r="W25" s="2"/>
      <c r="X25" s="6">
        <f t="shared" si="6"/>
        <v>-5070.88</v>
      </c>
      <c r="Y25" s="2"/>
      <c r="Z25" s="7">
        <f t="shared" si="7"/>
        <v>-1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6">
        <v>532.74</v>
      </c>
      <c r="E26" s="2"/>
      <c r="F26" s="7">
        <f t="shared" si="0"/>
        <v>0</v>
      </c>
      <c r="G26" s="2"/>
      <c r="H26" s="6">
        <v>429.62</v>
      </c>
      <c r="I26" s="2"/>
      <c r="J26" s="7">
        <f t="shared" si="1"/>
        <v>0</v>
      </c>
      <c r="K26" s="2"/>
      <c r="L26" s="6">
        <f t="shared" si="2"/>
        <v>103.12</v>
      </c>
      <c r="M26" s="2"/>
      <c r="N26" s="7">
        <f t="shared" si="3"/>
        <v>0.24002606954983474</v>
      </c>
      <c r="O26" s="11"/>
      <c r="P26" s="6">
        <v>5776.86</v>
      </c>
      <c r="Q26" s="2"/>
      <c r="R26" s="7">
        <f t="shared" si="4"/>
        <v>0</v>
      </c>
      <c r="S26" s="2"/>
      <c r="T26" s="6">
        <v>6885.58</v>
      </c>
      <c r="U26" s="2"/>
      <c r="V26" s="7">
        <f t="shared" si="5"/>
        <v>0</v>
      </c>
      <c r="W26" s="2"/>
      <c r="X26" s="6">
        <f t="shared" si="6"/>
        <v>-1108.7200000000003</v>
      </c>
      <c r="Y26" s="2"/>
      <c r="Z26" s="7">
        <f t="shared" si="7"/>
        <v>-0.16102056762102834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6">
        <v>5447.23</v>
      </c>
      <c r="E27" s="2"/>
      <c r="F27" s="7">
        <f t="shared" si="0"/>
        <v>0</v>
      </c>
      <c r="G27" s="2"/>
      <c r="H27" s="6">
        <v>7058.63</v>
      </c>
      <c r="I27" s="2"/>
      <c r="J27" s="7">
        <f t="shared" si="1"/>
        <v>0</v>
      </c>
      <c r="K27" s="2"/>
      <c r="L27" s="6">
        <f t="shared" si="2"/>
        <v>-1611.4000000000005</v>
      </c>
      <c r="M27" s="2"/>
      <c r="N27" s="7">
        <f t="shared" si="3"/>
        <v>-0.22828792556062585</v>
      </c>
      <c r="O27" s="11"/>
      <c r="P27" s="6">
        <v>50575.9</v>
      </c>
      <c r="Q27" s="2"/>
      <c r="R27" s="7">
        <f t="shared" si="4"/>
        <v>0</v>
      </c>
      <c r="S27" s="2"/>
      <c r="T27" s="6">
        <v>68896.989999999991</v>
      </c>
      <c r="U27" s="2"/>
      <c r="V27" s="7">
        <f t="shared" si="5"/>
        <v>0</v>
      </c>
      <c r="W27" s="2"/>
      <c r="X27" s="6">
        <f t="shared" si="6"/>
        <v>-18321.089999999989</v>
      </c>
      <c r="Y27" s="2"/>
      <c r="Z27" s="7">
        <f t="shared" si="7"/>
        <v>-0.26592003511329004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6">
        <v>4003.52</v>
      </c>
      <c r="E28" s="2"/>
      <c r="F28" s="7">
        <f t="shared" si="0"/>
        <v>0</v>
      </c>
      <c r="G28" s="2"/>
      <c r="H28" s="6">
        <v>4791.84</v>
      </c>
      <c r="I28" s="2"/>
      <c r="J28" s="7">
        <f t="shared" si="1"/>
        <v>0</v>
      </c>
      <c r="K28" s="2"/>
      <c r="L28" s="6">
        <f t="shared" si="2"/>
        <v>-788.32000000000016</v>
      </c>
      <c r="M28" s="2"/>
      <c r="N28" s="7">
        <f t="shared" si="3"/>
        <v>-0.16451300544258576</v>
      </c>
      <c r="O28" s="11"/>
      <c r="P28" s="6">
        <v>34804.82</v>
      </c>
      <c r="Q28" s="2"/>
      <c r="R28" s="7">
        <f t="shared" si="4"/>
        <v>0</v>
      </c>
      <c r="S28" s="2"/>
      <c r="T28" s="6">
        <v>57620.729999999996</v>
      </c>
      <c r="U28" s="2"/>
      <c r="V28" s="7">
        <f t="shared" si="5"/>
        <v>0</v>
      </c>
      <c r="W28" s="2"/>
      <c r="X28" s="6">
        <f t="shared" si="6"/>
        <v>-22815.909999999996</v>
      </c>
      <c r="Y28" s="2"/>
      <c r="Z28" s="7">
        <f t="shared" si="7"/>
        <v>-0.39596704172265779</v>
      </c>
    </row>
    <row r="29" spans="1:26" s="24" customFormat="1" hidden="1" outlineLevel="2" x14ac:dyDescent="0.25">
      <c r="A29" s="26"/>
      <c r="B29" s="11" t="str">
        <f>CONCATENATE("          ", "6120", " - ", "RETIREES HEALTH INSURANCE")</f>
        <v xml:space="preserve">          6120 - RETIREES HEALTH INSURANCE</v>
      </c>
      <c r="C29" s="11"/>
      <c r="D29" s="6">
        <v>28124.68</v>
      </c>
      <c r="E29" s="2"/>
      <c r="F29" s="7">
        <f t="shared" si="0"/>
        <v>0</v>
      </c>
      <c r="G29" s="2"/>
      <c r="H29" s="6">
        <v>29239.74</v>
      </c>
      <c r="I29" s="2"/>
      <c r="J29" s="7">
        <f t="shared" si="1"/>
        <v>0</v>
      </c>
      <c r="K29" s="2"/>
      <c r="L29" s="6">
        <f t="shared" si="2"/>
        <v>-1115.0600000000013</v>
      </c>
      <c r="M29" s="2"/>
      <c r="N29" s="7">
        <f t="shared" si="3"/>
        <v>-3.8135086016496768E-2</v>
      </c>
      <c r="O29" s="11"/>
      <c r="P29" s="6">
        <v>-161067.91999999998</v>
      </c>
      <c r="Q29" s="2"/>
      <c r="R29" s="7">
        <f t="shared" si="4"/>
        <v>0</v>
      </c>
      <c r="S29" s="2"/>
      <c r="T29" s="6">
        <v>235517.99</v>
      </c>
      <c r="U29" s="2"/>
      <c r="V29" s="7">
        <f t="shared" si="5"/>
        <v>0</v>
      </c>
      <c r="W29" s="2"/>
      <c r="X29" s="6">
        <f t="shared" si="6"/>
        <v>-396585.91</v>
      </c>
      <c r="Y29" s="2"/>
      <c r="Z29" s="7">
        <f t="shared" si="7"/>
        <v>-1.6838879696621052</v>
      </c>
    </row>
    <row r="30" spans="1:26" s="24" customFormat="1" hidden="1" outlineLevel="2" x14ac:dyDescent="0.25">
      <c r="A30" s="26"/>
      <c r="B30" s="11" t="str">
        <f>CONCATENATE("          ", "6156", " - ", "EMPLOYEE MEALS")</f>
        <v xml:space="preserve">          6156 - EMPLOYEE MEALS</v>
      </c>
      <c r="C30" s="11"/>
      <c r="D30" s="6">
        <v>415.44</v>
      </c>
      <c r="E30" s="2"/>
      <c r="F30" s="7">
        <f t="shared" si="0"/>
        <v>0</v>
      </c>
      <c r="G30" s="2"/>
      <c r="H30" s="6">
        <v>2986.71</v>
      </c>
      <c r="I30" s="2"/>
      <c r="J30" s="7">
        <f t="shared" si="1"/>
        <v>0</v>
      </c>
      <c r="K30" s="2"/>
      <c r="L30" s="6">
        <f t="shared" si="2"/>
        <v>-2571.27</v>
      </c>
      <c r="M30" s="2"/>
      <c r="N30" s="7">
        <f t="shared" si="3"/>
        <v>-0.86090380385106013</v>
      </c>
      <c r="O30" s="11"/>
      <c r="P30" s="6">
        <v>4989.96</v>
      </c>
      <c r="Q30" s="2"/>
      <c r="R30" s="7">
        <f t="shared" si="4"/>
        <v>0</v>
      </c>
      <c r="S30" s="2"/>
      <c r="T30" s="6">
        <v>20247.95</v>
      </c>
      <c r="U30" s="2"/>
      <c r="V30" s="7">
        <f t="shared" si="5"/>
        <v>0</v>
      </c>
      <c r="W30" s="2"/>
      <c r="X30" s="6">
        <f t="shared" si="6"/>
        <v>-15257.990000000002</v>
      </c>
      <c r="Y30" s="2"/>
      <c r="Z30" s="7">
        <f t="shared" si="7"/>
        <v>-0.7535572736993128</v>
      </c>
    </row>
    <row r="31" spans="1:26" s="25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87699.199999999997</v>
      </c>
      <c r="E31" s="1"/>
      <c r="F31" s="5">
        <f t="shared" ref="F31:F38" si="8">IF(D$12=0,0,D31/D$12)</f>
        <v>0</v>
      </c>
      <c r="G31" s="1"/>
      <c r="H31" s="1">
        <f>SUM(OSRRefH22_1x_0)</f>
        <v>123554.83999999998</v>
      </c>
      <c r="I31" s="1"/>
      <c r="J31" s="5">
        <f t="shared" ref="J31:J38" si="9">IF(H$12=0,0,H31/H$12)</f>
        <v>0</v>
      </c>
      <c r="K31" s="1"/>
      <c r="L31" s="1">
        <f t="shared" ref="L31:L38" si="10">+D31-H31</f>
        <v>-35855.639999999985</v>
      </c>
      <c r="M31" s="1"/>
      <c r="N31" s="5">
        <f t="shared" ref="N31:N38" si="11">IF(H31=0,0,L31/H31)</f>
        <v>-0.29020020583572437</v>
      </c>
      <c r="O31" s="13"/>
      <c r="P31" s="1">
        <f>SUM(OSRRefP22_1x_0)</f>
        <v>745170.87</v>
      </c>
      <c r="Q31" s="1"/>
      <c r="R31" s="5">
        <f t="shared" ref="R31:R38" si="12">IF(P$12=0,0,P31/P$12)</f>
        <v>0</v>
      </c>
      <c r="S31" s="1"/>
      <c r="T31" s="1">
        <f>SUM(OSRRefT22_1x_0)</f>
        <v>917775.11</v>
      </c>
      <c r="U31" s="1"/>
      <c r="V31" s="5">
        <f t="shared" ref="V31:V38" si="13">IF(T$12=0,0,T31/T$12)</f>
        <v>0</v>
      </c>
      <c r="W31" s="1"/>
      <c r="X31" s="1">
        <f t="shared" ref="X31:X38" si="14">+P31-T31</f>
        <v>-172604.24</v>
      </c>
      <c r="Y31" s="1"/>
      <c r="Z31" s="5">
        <f t="shared" ref="Z31:Z38" si="15">IF(T31=0,0,X31/T31)</f>
        <v>-0.18806812052246655</v>
      </c>
    </row>
    <row r="32" spans="1:26" s="24" customFormat="1" hidden="1" outlineLevel="2" x14ac:dyDescent="0.25">
      <c r="A32" s="26"/>
      <c r="B32" s="11" t="str">
        <f>CONCATENATE("          ", "6001", " - ", "ADMINISTRATIVE SALARIES")</f>
        <v xml:space="preserve">          6001 - ADMINISTRATIVE SALARIES</v>
      </c>
      <c r="C32" s="11"/>
      <c r="D32" s="6">
        <v>23195.489999999998</v>
      </c>
      <c r="E32" s="2"/>
      <c r="F32" s="7">
        <f t="shared" si="8"/>
        <v>0</v>
      </c>
      <c r="G32" s="2"/>
      <c r="H32" s="6">
        <v>23360.44</v>
      </c>
      <c r="I32" s="2"/>
      <c r="J32" s="7">
        <f t="shared" si="9"/>
        <v>0</v>
      </c>
      <c r="K32" s="2"/>
      <c r="L32" s="6">
        <f t="shared" si="10"/>
        <v>-164.95000000000073</v>
      </c>
      <c r="M32" s="2"/>
      <c r="N32" s="7">
        <f t="shared" si="11"/>
        <v>-7.0610827535783028E-3</v>
      </c>
      <c r="O32" s="11"/>
      <c r="P32" s="6">
        <v>201251</v>
      </c>
      <c r="Q32" s="2"/>
      <c r="R32" s="7">
        <f t="shared" si="12"/>
        <v>0</v>
      </c>
      <c r="S32" s="2"/>
      <c r="T32" s="6">
        <v>198260.73</v>
      </c>
      <c r="U32" s="2"/>
      <c r="V32" s="7">
        <f t="shared" si="13"/>
        <v>0</v>
      </c>
      <c r="W32" s="2"/>
      <c r="X32" s="6">
        <f t="shared" si="14"/>
        <v>2990.2699999999895</v>
      </c>
      <c r="Y32" s="2"/>
      <c r="Z32" s="7">
        <f t="shared" si="15"/>
        <v>1.5082512810277605E-2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45685.91</v>
      </c>
      <c r="E33" s="2"/>
      <c r="F33" s="7">
        <f t="shared" si="8"/>
        <v>0</v>
      </c>
      <c r="G33" s="2"/>
      <c r="H33" s="6">
        <v>52340.32</v>
      </c>
      <c r="I33" s="2"/>
      <c r="J33" s="7">
        <f t="shared" si="9"/>
        <v>0</v>
      </c>
      <c r="K33" s="2"/>
      <c r="L33" s="6">
        <f t="shared" si="10"/>
        <v>-6654.4099999999962</v>
      </c>
      <c r="M33" s="2"/>
      <c r="N33" s="7">
        <f t="shared" si="11"/>
        <v>-0.12713735796800624</v>
      </c>
      <c r="O33" s="11"/>
      <c r="P33" s="6">
        <v>390232.86</v>
      </c>
      <c r="Q33" s="2"/>
      <c r="R33" s="7">
        <f t="shared" si="12"/>
        <v>0</v>
      </c>
      <c r="S33" s="2"/>
      <c r="T33" s="6">
        <v>388222.78</v>
      </c>
      <c r="U33" s="2"/>
      <c r="V33" s="7">
        <f t="shared" si="13"/>
        <v>0</v>
      </c>
      <c r="W33" s="2"/>
      <c r="X33" s="6">
        <f t="shared" si="14"/>
        <v>2010.0799999999581</v>
      </c>
      <c r="Y33" s="2"/>
      <c r="Z33" s="7">
        <f t="shared" si="15"/>
        <v>5.177645680657786E-3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>
        <v>15530.74</v>
      </c>
      <c r="E34" s="2"/>
      <c r="F34" s="7">
        <f t="shared" si="8"/>
        <v>0</v>
      </c>
      <c r="G34" s="2"/>
      <c r="H34" s="6">
        <v>21598.289999999997</v>
      </c>
      <c r="I34" s="2"/>
      <c r="J34" s="7">
        <f t="shared" si="9"/>
        <v>0</v>
      </c>
      <c r="K34" s="2"/>
      <c r="L34" s="6">
        <f t="shared" si="10"/>
        <v>-6067.5499999999975</v>
      </c>
      <c r="M34" s="2"/>
      <c r="N34" s="7">
        <f t="shared" si="11"/>
        <v>-0.28092733267309578</v>
      </c>
      <c r="O34" s="11"/>
      <c r="P34" s="6">
        <v>140070.29999999999</v>
      </c>
      <c r="Q34" s="2"/>
      <c r="R34" s="7">
        <f t="shared" si="12"/>
        <v>0</v>
      </c>
      <c r="S34" s="2"/>
      <c r="T34" s="6">
        <v>182353.31</v>
      </c>
      <c r="U34" s="2"/>
      <c r="V34" s="7">
        <f t="shared" si="13"/>
        <v>0</v>
      </c>
      <c r="W34" s="2"/>
      <c r="X34" s="6">
        <f t="shared" si="14"/>
        <v>-42283.010000000009</v>
      </c>
      <c r="Y34" s="2"/>
      <c r="Z34" s="7">
        <f t="shared" si="15"/>
        <v>-0.2318741019836712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>
        <v>4163.13</v>
      </c>
      <c r="E35" s="2"/>
      <c r="F35" s="7">
        <f t="shared" si="8"/>
        <v>0</v>
      </c>
      <c r="G35" s="2"/>
      <c r="H35" s="6">
        <v>10550.53</v>
      </c>
      <c r="I35" s="2"/>
      <c r="J35" s="7">
        <f t="shared" si="9"/>
        <v>0</v>
      </c>
      <c r="K35" s="2"/>
      <c r="L35" s="6">
        <f t="shared" si="10"/>
        <v>-6387.4000000000005</v>
      </c>
      <c r="M35" s="2"/>
      <c r="N35" s="7">
        <f t="shared" si="11"/>
        <v>-0.60541034431445628</v>
      </c>
      <c r="O35" s="11"/>
      <c r="P35" s="6">
        <v>44236.409999999996</v>
      </c>
      <c r="Q35" s="2"/>
      <c r="R35" s="7">
        <f t="shared" si="12"/>
        <v>0</v>
      </c>
      <c r="S35" s="2"/>
      <c r="T35" s="6">
        <v>78586.179999999993</v>
      </c>
      <c r="U35" s="2"/>
      <c r="V35" s="7">
        <f t="shared" si="13"/>
        <v>0</v>
      </c>
      <c r="W35" s="2"/>
      <c r="X35" s="6">
        <f t="shared" si="14"/>
        <v>-34349.769999999997</v>
      </c>
      <c r="Y35" s="2"/>
      <c r="Z35" s="7">
        <f t="shared" si="15"/>
        <v>-0.43709682796644395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/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2361.4299999999998</v>
      </c>
      <c r="U36" s="2"/>
      <c r="V36" s="7">
        <f t="shared" si="13"/>
        <v>0</v>
      </c>
      <c r="W36" s="2"/>
      <c r="X36" s="6">
        <f t="shared" si="14"/>
        <v>-2361.4299999999998</v>
      </c>
      <c r="Y36" s="2"/>
      <c r="Z36" s="7">
        <f t="shared" si="15"/>
        <v>-1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>
        <v>-2032</v>
      </c>
      <c r="E37" s="2"/>
      <c r="F37" s="7">
        <f t="shared" si="8"/>
        <v>0</v>
      </c>
      <c r="G37" s="2"/>
      <c r="H37" s="6">
        <v>13601.48</v>
      </c>
      <c r="I37" s="2"/>
      <c r="J37" s="7">
        <f t="shared" si="9"/>
        <v>0</v>
      </c>
      <c r="K37" s="2"/>
      <c r="L37" s="6">
        <f t="shared" si="10"/>
        <v>-15633.48</v>
      </c>
      <c r="M37" s="2"/>
      <c r="N37" s="7">
        <f t="shared" si="11"/>
        <v>-1.1493955069595367</v>
      </c>
      <c r="O37" s="11"/>
      <c r="P37" s="6">
        <v>-41371.009999999995</v>
      </c>
      <c r="Q37" s="2"/>
      <c r="R37" s="7">
        <f t="shared" si="12"/>
        <v>0</v>
      </c>
      <c r="S37" s="2"/>
      <c r="T37" s="6">
        <v>54286.080000000002</v>
      </c>
      <c r="U37" s="2"/>
      <c r="V37" s="7">
        <f t="shared" si="13"/>
        <v>0</v>
      </c>
      <c r="W37" s="2"/>
      <c r="X37" s="6">
        <f t="shared" si="14"/>
        <v>-95657.09</v>
      </c>
      <c r="Y37" s="2"/>
      <c r="Z37" s="7">
        <f t="shared" si="15"/>
        <v>-1.7620924185352855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>
        <v>1155.93</v>
      </c>
      <c r="E38" s="2"/>
      <c r="F38" s="7">
        <f t="shared" si="8"/>
        <v>0</v>
      </c>
      <c r="G38" s="2"/>
      <c r="H38" s="6">
        <v>2103.7800000000002</v>
      </c>
      <c r="I38" s="2"/>
      <c r="J38" s="7">
        <f t="shared" si="9"/>
        <v>0</v>
      </c>
      <c r="K38" s="2"/>
      <c r="L38" s="6">
        <f t="shared" si="10"/>
        <v>-947.85000000000014</v>
      </c>
      <c r="M38" s="2"/>
      <c r="N38" s="7">
        <f t="shared" si="11"/>
        <v>-0.4505461597695577</v>
      </c>
      <c r="O38" s="11"/>
      <c r="P38" s="6">
        <v>10751.31</v>
      </c>
      <c r="Q38" s="2"/>
      <c r="R38" s="7">
        <f t="shared" si="12"/>
        <v>0</v>
      </c>
      <c r="S38" s="2"/>
      <c r="T38" s="6">
        <v>13704.6</v>
      </c>
      <c r="U38" s="2"/>
      <c r="V38" s="7">
        <f t="shared" si="13"/>
        <v>0</v>
      </c>
      <c r="W38" s="2"/>
      <c r="X38" s="6">
        <f t="shared" si="14"/>
        <v>-2953.2900000000009</v>
      </c>
      <c r="Y38" s="2"/>
      <c r="Z38" s="7">
        <f t="shared" si="15"/>
        <v>-0.21549625673131656</v>
      </c>
    </row>
    <row r="39" spans="1:26" s="25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346.42</v>
      </c>
      <c r="E39" s="1"/>
      <c r="F39" s="5">
        <f t="shared" ref="F39:F55" si="16">IF(D$12=0,0,D39/D$12)</f>
        <v>0</v>
      </c>
      <c r="G39" s="1"/>
      <c r="H39" s="1">
        <f>SUM(OSRRefH22_2x_0)</f>
        <v>-3771.28</v>
      </c>
      <c r="I39" s="1"/>
      <c r="J39" s="5">
        <f t="shared" ref="J39:J55" si="17">IF(H$12=0,0,H39/H$12)</f>
        <v>0</v>
      </c>
      <c r="K39" s="1"/>
      <c r="L39" s="1">
        <f t="shared" ref="L39:L55" si="18">+D39-H39</f>
        <v>4117.7</v>
      </c>
      <c r="M39" s="1"/>
      <c r="N39" s="5">
        <f t="shared" ref="N39:N55" si="19">IF(H39=0,0,L39/H39)</f>
        <v>-1.0918574065038924</v>
      </c>
      <c r="O39" s="13"/>
      <c r="P39" s="1">
        <f>SUM(OSRRefP22_2x_0)</f>
        <v>1452.48</v>
      </c>
      <c r="Q39" s="1"/>
      <c r="R39" s="5">
        <f t="shared" ref="R39:R55" si="20">IF(P$12=0,0,P39/P$12)</f>
        <v>0</v>
      </c>
      <c r="S39" s="1"/>
      <c r="T39" s="1">
        <f>SUM(OSRRefT22_2x_0)</f>
        <v>-33560.94</v>
      </c>
      <c r="U39" s="1"/>
      <c r="V39" s="5">
        <f t="shared" ref="V39:V55" si="21">IF(T$12=0,0,T39/T$12)</f>
        <v>0</v>
      </c>
      <c r="W39" s="1"/>
      <c r="X39" s="1">
        <f t="shared" ref="X39:X55" si="22">+P39-T39</f>
        <v>35013.420000000006</v>
      </c>
      <c r="Y39" s="1"/>
      <c r="Z39" s="5">
        <f t="shared" ref="Z39:Z55" si="23">IF(T39=0,0,X39/T39)</f>
        <v>-1.0432788831302104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>
        <v>346.42</v>
      </c>
      <c r="E40" s="2"/>
      <c r="F40" s="7">
        <f t="shared" si="16"/>
        <v>0</v>
      </c>
      <c r="G40" s="2"/>
      <c r="H40" s="6">
        <v>-3771.28</v>
      </c>
      <c r="I40" s="2"/>
      <c r="J40" s="7">
        <f t="shared" si="17"/>
        <v>0</v>
      </c>
      <c r="K40" s="2"/>
      <c r="L40" s="6">
        <f t="shared" si="18"/>
        <v>4117.7</v>
      </c>
      <c r="M40" s="2"/>
      <c r="N40" s="7">
        <f t="shared" si="19"/>
        <v>-1.0918574065038924</v>
      </c>
      <c r="O40" s="11"/>
      <c r="P40" s="6">
        <v>1452.48</v>
      </c>
      <c r="Q40" s="2"/>
      <c r="R40" s="7">
        <f t="shared" si="20"/>
        <v>0</v>
      </c>
      <c r="S40" s="2"/>
      <c r="T40" s="6">
        <v>-33560.94</v>
      </c>
      <c r="U40" s="2"/>
      <c r="V40" s="7">
        <f t="shared" si="21"/>
        <v>0</v>
      </c>
      <c r="W40" s="2"/>
      <c r="X40" s="6">
        <f t="shared" si="22"/>
        <v>35013.420000000006</v>
      </c>
      <c r="Y40" s="2"/>
      <c r="Z40" s="7">
        <f t="shared" si="23"/>
        <v>-1.0432788831302104</v>
      </c>
    </row>
    <row r="41" spans="1:26" s="25" customFormat="1" outlineLevel="1" collapsed="1" x14ac:dyDescent="0.25">
      <c r="A41" s="27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SUM(OSRRefD22_3x_0)</f>
        <v>135.87</v>
      </c>
      <c r="E41" s="1"/>
      <c r="F41" s="5">
        <f t="shared" si="16"/>
        <v>0</v>
      </c>
      <c r="G41" s="1"/>
      <c r="H41" s="1">
        <f>SUM(OSRRefH22_3x_0)</f>
        <v>1218.07</v>
      </c>
      <c r="I41" s="1"/>
      <c r="J41" s="5">
        <f t="shared" si="17"/>
        <v>0</v>
      </c>
      <c r="K41" s="1"/>
      <c r="L41" s="1">
        <f t="shared" si="18"/>
        <v>-1082.1999999999998</v>
      </c>
      <c r="M41" s="1"/>
      <c r="N41" s="5">
        <f t="shared" si="19"/>
        <v>-0.88845468651226933</v>
      </c>
      <c r="O41" s="13"/>
      <c r="P41" s="1">
        <f>SUM(OSRRefP22_3x_0)</f>
        <v>5118.54</v>
      </c>
      <c r="Q41" s="1"/>
      <c r="R41" s="5">
        <f t="shared" si="20"/>
        <v>0</v>
      </c>
      <c r="S41" s="1"/>
      <c r="T41" s="1">
        <f>SUM(OSRRefT22_3x_0)</f>
        <v>39562.39</v>
      </c>
      <c r="U41" s="1"/>
      <c r="V41" s="5">
        <f t="shared" si="21"/>
        <v>0</v>
      </c>
      <c r="W41" s="1"/>
      <c r="X41" s="1">
        <f t="shared" si="22"/>
        <v>-34443.85</v>
      </c>
      <c r="Y41" s="1"/>
      <c r="Z41" s="5">
        <f t="shared" si="23"/>
        <v>-0.87062106207435896</v>
      </c>
    </row>
    <row r="42" spans="1:26" s="24" customFormat="1" hidden="1" outlineLevel="2" x14ac:dyDescent="0.25">
      <c r="A42" s="26"/>
      <c r="B42" s="11" t="str">
        <f>CONCATENATE("          ", "6381", " - ", "BANK/CREDIT CARD FEES")</f>
        <v xml:space="preserve">          6381 - BANK/CREDIT CARD FEES</v>
      </c>
      <c r="C42" s="11"/>
      <c r="D42" s="6">
        <v>135.87</v>
      </c>
      <c r="E42" s="2"/>
      <c r="F42" s="7">
        <f t="shared" si="16"/>
        <v>0</v>
      </c>
      <c r="G42" s="2"/>
      <c r="H42" s="6">
        <v>1218.07</v>
      </c>
      <c r="I42" s="2"/>
      <c r="J42" s="7">
        <f t="shared" si="17"/>
        <v>0</v>
      </c>
      <c r="K42" s="2"/>
      <c r="L42" s="6">
        <f t="shared" si="18"/>
        <v>-1082.1999999999998</v>
      </c>
      <c r="M42" s="2"/>
      <c r="N42" s="7">
        <f t="shared" si="19"/>
        <v>-0.88845468651226933</v>
      </c>
      <c r="O42" s="11"/>
      <c r="P42" s="6">
        <v>5118.54</v>
      </c>
      <c r="Q42" s="2"/>
      <c r="R42" s="7">
        <f t="shared" si="20"/>
        <v>0</v>
      </c>
      <c r="S42" s="2"/>
      <c r="T42" s="6">
        <v>39562.39</v>
      </c>
      <c r="U42" s="2"/>
      <c r="V42" s="7">
        <f t="shared" si="21"/>
        <v>0</v>
      </c>
      <c r="W42" s="2"/>
      <c r="X42" s="6">
        <f t="shared" si="22"/>
        <v>-34443.85</v>
      </c>
      <c r="Y42" s="2"/>
      <c r="Z42" s="7">
        <f t="shared" si="23"/>
        <v>-0.87062106207435896</v>
      </c>
    </row>
    <row r="43" spans="1:26" s="25" customFormat="1" outlineLevel="1" collapsed="1" x14ac:dyDescent="0.25">
      <c r="A43" s="27"/>
      <c r="B43" s="13" t="str">
        <f>CONCATENATE("     ","Board                                             ")</f>
        <v xml:space="preserve">     Board                                             </v>
      </c>
      <c r="C43" s="13"/>
      <c r="D43" s="1">
        <f>SUM(OSRRefD22_4x_0)</f>
        <v>546.76</v>
      </c>
      <c r="E43" s="1"/>
      <c r="F43" s="5">
        <f t="shared" si="16"/>
        <v>0</v>
      </c>
      <c r="G43" s="1"/>
      <c r="H43" s="1">
        <f>SUM(OSRRefH22_4x_0)</f>
        <v>17285.14</v>
      </c>
      <c r="I43" s="1"/>
      <c r="J43" s="5">
        <f t="shared" si="17"/>
        <v>0</v>
      </c>
      <c r="K43" s="1"/>
      <c r="L43" s="1">
        <f t="shared" si="18"/>
        <v>-16738.38</v>
      </c>
      <c r="M43" s="1"/>
      <c r="N43" s="5">
        <f t="shared" si="19"/>
        <v>-0.96836820529078749</v>
      </c>
      <c r="O43" s="13"/>
      <c r="P43" s="1">
        <f>SUM(OSRRefP22_4x_0)</f>
        <v>10146.75</v>
      </c>
      <c r="Q43" s="1"/>
      <c r="R43" s="5">
        <f t="shared" si="20"/>
        <v>0</v>
      </c>
      <c r="S43" s="1"/>
      <c r="T43" s="1">
        <f>SUM(OSRRefT22_4x_0)</f>
        <v>36365.85</v>
      </c>
      <c r="U43" s="1"/>
      <c r="V43" s="5">
        <f t="shared" si="21"/>
        <v>0</v>
      </c>
      <c r="W43" s="1"/>
      <c r="X43" s="1">
        <f t="shared" si="22"/>
        <v>-26219.1</v>
      </c>
      <c r="Y43" s="1"/>
      <c r="Z43" s="5">
        <f t="shared" si="23"/>
        <v>-0.72098136025969417</v>
      </c>
    </row>
    <row r="44" spans="1:26" s="24" customFormat="1" hidden="1" outlineLevel="2" x14ac:dyDescent="0.25">
      <c r="A44" s="26"/>
      <c r="B44" s="11" t="str">
        <f>CONCATENATE("          ", "6397", " - ", "BOARD EXPENSES")</f>
        <v xml:space="preserve">          6397 - BOARD EXPENSES</v>
      </c>
      <c r="C44" s="11"/>
      <c r="D44" s="6">
        <v>546.76</v>
      </c>
      <c r="E44" s="2"/>
      <c r="F44" s="7">
        <f t="shared" si="16"/>
        <v>0</v>
      </c>
      <c r="G44" s="2"/>
      <c r="H44" s="6">
        <v>17285.14</v>
      </c>
      <c r="I44" s="2"/>
      <c r="J44" s="7">
        <f t="shared" si="17"/>
        <v>0</v>
      </c>
      <c r="K44" s="2"/>
      <c r="L44" s="6">
        <f t="shared" si="18"/>
        <v>-16738.38</v>
      </c>
      <c r="M44" s="2"/>
      <c r="N44" s="7">
        <f t="shared" si="19"/>
        <v>-0.96836820529078749</v>
      </c>
      <c r="O44" s="11"/>
      <c r="P44" s="6">
        <v>10146.75</v>
      </c>
      <c r="Q44" s="2"/>
      <c r="R44" s="7">
        <f t="shared" si="20"/>
        <v>0</v>
      </c>
      <c r="S44" s="2"/>
      <c r="T44" s="6">
        <v>36365.85</v>
      </c>
      <c r="U44" s="2"/>
      <c r="V44" s="7">
        <f t="shared" si="21"/>
        <v>0</v>
      </c>
      <c r="W44" s="2"/>
      <c r="X44" s="6">
        <f t="shared" si="22"/>
        <v>-26219.1</v>
      </c>
      <c r="Y44" s="2"/>
      <c r="Z44" s="7">
        <f t="shared" si="23"/>
        <v>-0.72098136025969417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6867.83</v>
      </c>
      <c r="E45" s="1"/>
      <c r="F45" s="5">
        <f t="shared" si="16"/>
        <v>0</v>
      </c>
      <c r="G45" s="1"/>
      <c r="H45" s="1">
        <f>SUM(OSRRefH22_5x_0)</f>
        <v>8599.93</v>
      </c>
      <c r="I45" s="1"/>
      <c r="J45" s="5">
        <f t="shared" si="17"/>
        <v>0</v>
      </c>
      <c r="K45" s="1"/>
      <c r="L45" s="1">
        <f t="shared" si="18"/>
        <v>-1732.1000000000004</v>
      </c>
      <c r="M45" s="1"/>
      <c r="N45" s="5">
        <f t="shared" si="19"/>
        <v>-0.20140861611664285</v>
      </c>
      <c r="O45" s="13"/>
      <c r="P45" s="1">
        <f>SUM(OSRRefP22_5x_0)</f>
        <v>58411.7</v>
      </c>
      <c r="Q45" s="1"/>
      <c r="R45" s="5">
        <f t="shared" si="20"/>
        <v>0</v>
      </c>
      <c r="S45" s="1"/>
      <c r="T45" s="1">
        <f>SUM(OSRRefT22_5x_0)</f>
        <v>68799.44</v>
      </c>
      <c r="U45" s="1"/>
      <c r="V45" s="5">
        <f t="shared" si="21"/>
        <v>0</v>
      </c>
      <c r="W45" s="1"/>
      <c r="X45" s="1">
        <f t="shared" si="22"/>
        <v>-10387.740000000005</v>
      </c>
      <c r="Y45" s="1"/>
      <c r="Z45" s="5">
        <f t="shared" si="23"/>
        <v>-0.15098582197762081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6867.83</v>
      </c>
      <c r="E46" s="2"/>
      <c r="F46" s="7">
        <f t="shared" si="16"/>
        <v>0</v>
      </c>
      <c r="G46" s="2"/>
      <c r="H46" s="6">
        <v>8599.93</v>
      </c>
      <c r="I46" s="2"/>
      <c r="J46" s="7">
        <f t="shared" si="17"/>
        <v>0</v>
      </c>
      <c r="K46" s="2"/>
      <c r="L46" s="6">
        <f t="shared" si="18"/>
        <v>-1732.1000000000004</v>
      </c>
      <c r="M46" s="2"/>
      <c r="N46" s="7">
        <f t="shared" si="19"/>
        <v>-0.20140861611664285</v>
      </c>
      <c r="O46" s="11"/>
      <c r="P46" s="6">
        <v>58411.7</v>
      </c>
      <c r="Q46" s="2"/>
      <c r="R46" s="7">
        <f t="shared" si="20"/>
        <v>0</v>
      </c>
      <c r="S46" s="2"/>
      <c r="T46" s="6">
        <v>68799.44</v>
      </c>
      <c r="U46" s="2"/>
      <c r="V46" s="7">
        <f t="shared" si="21"/>
        <v>0</v>
      </c>
      <c r="W46" s="2"/>
      <c r="X46" s="6">
        <f t="shared" si="22"/>
        <v>-10387.740000000005</v>
      </c>
      <c r="Y46" s="2"/>
      <c r="Z46" s="7">
        <f t="shared" si="23"/>
        <v>-0.15098582197762081</v>
      </c>
    </row>
    <row r="47" spans="1:26" s="25" customFormat="1" outlineLevel="1" collapsed="1" x14ac:dyDescent="0.25">
      <c r="A47" s="27"/>
      <c r="B47" s="13" t="str">
        <f>CONCATENATE("     ","Donations                                         ")</f>
        <v xml:space="preserve">     Donations                                         </v>
      </c>
      <c r="C47" s="13"/>
      <c r="D47" s="1">
        <f>SUM(OSRRefD22_6x_0)</f>
        <v>0</v>
      </c>
      <c r="E47" s="1"/>
      <c r="F47" s="5">
        <f t="shared" si="16"/>
        <v>0</v>
      </c>
      <c r="G47" s="1"/>
      <c r="H47" s="1">
        <f>SUM(OSRRefH22_6x_0)</f>
        <v>5628.19</v>
      </c>
      <c r="I47" s="1"/>
      <c r="J47" s="5">
        <f t="shared" si="17"/>
        <v>0</v>
      </c>
      <c r="K47" s="1"/>
      <c r="L47" s="1">
        <f t="shared" si="18"/>
        <v>-5628.19</v>
      </c>
      <c r="M47" s="1"/>
      <c r="N47" s="5">
        <f t="shared" si="19"/>
        <v>-1</v>
      </c>
      <c r="O47" s="13"/>
      <c r="P47" s="1">
        <f>SUM(OSRRefP22_6x_0)</f>
        <v>25000</v>
      </c>
      <c r="Q47" s="1"/>
      <c r="R47" s="5">
        <f t="shared" si="20"/>
        <v>0</v>
      </c>
      <c r="S47" s="1"/>
      <c r="T47" s="1">
        <f>SUM(OSRRefT22_6x_0)</f>
        <v>248773.19</v>
      </c>
      <c r="U47" s="1"/>
      <c r="V47" s="5">
        <f t="shared" si="21"/>
        <v>0</v>
      </c>
      <c r="W47" s="1"/>
      <c r="X47" s="1">
        <f t="shared" si="22"/>
        <v>-223773.19</v>
      </c>
      <c r="Y47" s="1"/>
      <c r="Z47" s="5">
        <f t="shared" si="23"/>
        <v>-0.89950685602415603</v>
      </c>
    </row>
    <row r="48" spans="1:26" s="24" customFormat="1" hidden="1" outlineLevel="2" x14ac:dyDescent="0.25">
      <c r="A48" s="26"/>
      <c r="B48" s="11" t="str">
        <f>CONCATENATE("          ", "6399", " - ", "DONATION-ON CAMPUS")</f>
        <v xml:space="preserve">          6399 - DONATION-ON CAMPUS</v>
      </c>
      <c r="C48" s="11"/>
      <c r="D48" s="6"/>
      <c r="E48" s="2"/>
      <c r="F48" s="7">
        <f t="shared" si="16"/>
        <v>0</v>
      </c>
      <c r="G48" s="2"/>
      <c r="H48" s="6">
        <v>5628.19</v>
      </c>
      <c r="I48" s="2"/>
      <c r="J48" s="7">
        <f t="shared" si="17"/>
        <v>0</v>
      </c>
      <c r="K48" s="2"/>
      <c r="L48" s="6">
        <f t="shared" si="18"/>
        <v>-5628.19</v>
      </c>
      <c r="M48" s="2"/>
      <c r="N48" s="7">
        <f t="shared" si="19"/>
        <v>-1</v>
      </c>
      <c r="O48" s="11"/>
      <c r="P48" s="6">
        <v>25000</v>
      </c>
      <c r="Q48" s="2"/>
      <c r="R48" s="7">
        <f t="shared" si="20"/>
        <v>0</v>
      </c>
      <c r="S48" s="2"/>
      <c r="T48" s="6">
        <v>248773.19</v>
      </c>
      <c r="U48" s="2"/>
      <c r="V48" s="7">
        <f t="shared" si="21"/>
        <v>0</v>
      </c>
      <c r="W48" s="2"/>
      <c r="X48" s="6">
        <f t="shared" si="22"/>
        <v>-223773.19</v>
      </c>
      <c r="Y48" s="2"/>
      <c r="Z48" s="7">
        <f t="shared" si="23"/>
        <v>-0.89950685602415603</v>
      </c>
    </row>
    <row r="49" spans="1:26" s="25" customFormat="1" outlineLevel="1" collapsed="1" x14ac:dyDescent="0.25">
      <c r="A49" s="27"/>
      <c r="B49" s="13" t="str">
        <f>CONCATENATE("     ","Employees' Appreciation                           ")</f>
        <v xml:space="preserve">     Employees' Appreciation                           </v>
      </c>
      <c r="C49" s="13"/>
      <c r="D49" s="1">
        <f>SUM(OSRRefD22_7x_0)</f>
        <v>0</v>
      </c>
      <c r="E49" s="1"/>
      <c r="F49" s="5">
        <f t="shared" si="16"/>
        <v>0</v>
      </c>
      <c r="G49" s="1"/>
      <c r="H49" s="1">
        <f>SUM(OSRRefH22_7x_0)</f>
        <v>1501.18</v>
      </c>
      <c r="I49" s="1"/>
      <c r="J49" s="5">
        <f t="shared" si="17"/>
        <v>0</v>
      </c>
      <c r="K49" s="1"/>
      <c r="L49" s="1">
        <f t="shared" si="18"/>
        <v>-1501.18</v>
      </c>
      <c r="M49" s="1"/>
      <c r="N49" s="5">
        <f t="shared" si="19"/>
        <v>-1</v>
      </c>
      <c r="O49" s="13"/>
      <c r="P49" s="1">
        <f>SUM(OSRRefP22_7x_0)</f>
        <v>81.56</v>
      </c>
      <c r="Q49" s="1"/>
      <c r="R49" s="5">
        <f t="shared" si="20"/>
        <v>0</v>
      </c>
      <c r="S49" s="1"/>
      <c r="T49" s="1">
        <f>SUM(OSRRefT22_7x_0)</f>
        <v>28519.22</v>
      </c>
      <c r="U49" s="1"/>
      <c r="V49" s="5">
        <f t="shared" si="21"/>
        <v>0</v>
      </c>
      <c r="W49" s="1"/>
      <c r="X49" s="1">
        <f t="shared" si="22"/>
        <v>-28437.66</v>
      </c>
      <c r="Y49" s="1"/>
      <c r="Z49" s="5">
        <f t="shared" si="23"/>
        <v>-0.99714017424038937</v>
      </c>
    </row>
    <row r="50" spans="1:26" s="24" customFormat="1" hidden="1" outlineLevel="2" x14ac:dyDescent="0.25">
      <c r="A50" s="26"/>
      <c r="B50" s="11" t="str">
        <f>CONCATENATE("          ", "6277", " - ", "EMPLOYEE APPRECIATION")</f>
        <v xml:space="preserve">          6277 - EMPLOYEE APPRECIATION</v>
      </c>
      <c r="C50" s="11"/>
      <c r="D50" s="6"/>
      <c r="E50" s="2"/>
      <c r="F50" s="7">
        <f t="shared" si="16"/>
        <v>0</v>
      </c>
      <c r="G50" s="2"/>
      <c r="H50" s="6">
        <v>1501.18</v>
      </c>
      <c r="I50" s="2"/>
      <c r="J50" s="7">
        <f t="shared" si="17"/>
        <v>0</v>
      </c>
      <c r="K50" s="2"/>
      <c r="L50" s="6">
        <f t="shared" si="18"/>
        <v>-1501.18</v>
      </c>
      <c r="M50" s="2"/>
      <c r="N50" s="7">
        <f t="shared" si="19"/>
        <v>-1</v>
      </c>
      <c r="O50" s="11"/>
      <c r="P50" s="6">
        <v>81.56</v>
      </c>
      <c r="Q50" s="2"/>
      <c r="R50" s="7">
        <f t="shared" si="20"/>
        <v>0</v>
      </c>
      <c r="S50" s="2"/>
      <c r="T50" s="6">
        <v>28519.22</v>
      </c>
      <c r="U50" s="2"/>
      <c r="V50" s="7">
        <f t="shared" si="21"/>
        <v>0</v>
      </c>
      <c r="W50" s="2"/>
      <c r="X50" s="6">
        <f t="shared" si="22"/>
        <v>-28437.66</v>
      </c>
      <c r="Y50" s="2"/>
      <c r="Z50" s="7">
        <f t="shared" si="23"/>
        <v>-0.99714017424038937</v>
      </c>
    </row>
    <row r="51" spans="1:26" s="25" customFormat="1" outlineLevel="1" collapsed="1" x14ac:dyDescent="0.25">
      <c r="A51" s="27"/>
      <c r="B51" s="13" t="str">
        <f>CONCATENATE("     ","Equipment Rental                                  ")</f>
        <v xml:space="preserve">     Equipment Rental                                  </v>
      </c>
      <c r="C51" s="13"/>
      <c r="D51" s="1">
        <f>SUM(OSRRefD22_8x_0)</f>
        <v>208.97</v>
      </c>
      <c r="E51" s="1"/>
      <c r="F51" s="5">
        <f t="shared" si="16"/>
        <v>0</v>
      </c>
      <c r="G51" s="1"/>
      <c r="H51" s="1">
        <f>SUM(OSRRefH22_8x_0)</f>
        <v>208.98</v>
      </c>
      <c r="I51" s="1"/>
      <c r="J51" s="5">
        <f t="shared" si="17"/>
        <v>0</v>
      </c>
      <c r="K51" s="1"/>
      <c r="L51" s="1">
        <f t="shared" si="18"/>
        <v>-9.9999999999909051E-3</v>
      </c>
      <c r="M51" s="1"/>
      <c r="N51" s="5">
        <f t="shared" si="19"/>
        <v>-4.7851469040056015E-5</v>
      </c>
      <c r="O51" s="13"/>
      <c r="P51" s="1">
        <f>SUM(OSRRefP22_8x_0)</f>
        <v>1671.76</v>
      </c>
      <c r="Q51" s="1"/>
      <c r="R51" s="5">
        <f t="shared" si="20"/>
        <v>0</v>
      </c>
      <c r="S51" s="1"/>
      <c r="T51" s="1">
        <f>SUM(OSRRefT22_8x_0)</f>
        <v>1945.62</v>
      </c>
      <c r="U51" s="1"/>
      <c r="V51" s="5">
        <f t="shared" si="21"/>
        <v>0</v>
      </c>
      <c r="W51" s="1"/>
      <c r="X51" s="1">
        <f t="shared" si="22"/>
        <v>-273.8599999999999</v>
      </c>
      <c r="Y51" s="1"/>
      <c r="Z51" s="5">
        <f t="shared" si="23"/>
        <v>-0.14075718794009104</v>
      </c>
    </row>
    <row r="52" spans="1:26" s="24" customFormat="1" hidden="1" outlineLevel="2" x14ac:dyDescent="0.25">
      <c r="A52" s="26"/>
      <c r="B52" s="11" t="str">
        <f>CONCATENATE("          ", "6351", " - ", "EQUIPMENT RENTAL")</f>
        <v xml:space="preserve">          6351 - EQUIPMENT RENTAL</v>
      </c>
      <c r="C52" s="11"/>
      <c r="D52" s="6">
        <v>208.97</v>
      </c>
      <c r="E52" s="2"/>
      <c r="F52" s="7">
        <f t="shared" si="16"/>
        <v>0</v>
      </c>
      <c r="G52" s="2"/>
      <c r="H52" s="6">
        <v>208.98</v>
      </c>
      <c r="I52" s="2"/>
      <c r="J52" s="7">
        <f t="shared" si="17"/>
        <v>0</v>
      </c>
      <c r="K52" s="2"/>
      <c r="L52" s="6">
        <f t="shared" si="18"/>
        <v>-9.9999999999909051E-3</v>
      </c>
      <c r="M52" s="2"/>
      <c r="N52" s="7">
        <f t="shared" si="19"/>
        <v>-4.7851469040056015E-5</v>
      </c>
      <c r="O52" s="11"/>
      <c r="P52" s="6">
        <v>1671.76</v>
      </c>
      <c r="Q52" s="2"/>
      <c r="R52" s="7">
        <f t="shared" si="20"/>
        <v>0</v>
      </c>
      <c r="S52" s="2"/>
      <c r="T52" s="6">
        <v>1945.62</v>
      </c>
      <c r="U52" s="2"/>
      <c r="V52" s="7">
        <f t="shared" si="21"/>
        <v>0</v>
      </c>
      <c r="W52" s="2"/>
      <c r="X52" s="6">
        <f t="shared" si="22"/>
        <v>-273.8599999999999</v>
      </c>
      <c r="Y52" s="2"/>
      <c r="Z52" s="7">
        <f t="shared" si="23"/>
        <v>-0.14075718794009104</v>
      </c>
    </row>
    <row r="53" spans="1:26" s="25" customFormat="1" outlineLevel="1" collapsed="1" x14ac:dyDescent="0.25">
      <c r="A53" s="27"/>
      <c r="B53" s="13" t="str">
        <f>CONCATENATE("     ","Freight out/Postage                               ")</f>
        <v xml:space="preserve">     Freight out/Postage                               </v>
      </c>
      <c r="C53" s="13"/>
      <c r="D53" s="1">
        <f>SUM(OSRRefD22_9x_0)</f>
        <v>16.829999999999998</v>
      </c>
      <c r="E53" s="1"/>
      <c r="F53" s="5">
        <f t="shared" si="16"/>
        <v>0</v>
      </c>
      <c r="G53" s="1"/>
      <c r="H53" s="1">
        <f>SUM(OSRRefH22_9x_0)</f>
        <v>305.98</v>
      </c>
      <c r="I53" s="1"/>
      <c r="J53" s="5">
        <f t="shared" si="17"/>
        <v>0</v>
      </c>
      <c r="K53" s="1"/>
      <c r="L53" s="1">
        <f t="shared" si="18"/>
        <v>-289.15000000000003</v>
      </c>
      <c r="M53" s="1"/>
      <c r="N53" s="5">
        <f t="shared" si="19"/>
        <v>-0.94499640499379045</v>
      </c>
      <c r="O53" s="13"/>
      <c r="P53" s="1">
        <f>SUM(OSRRefP22_9x_0)</f>
        <v>912.28</v>
      </c>
      <c r="Q53" s="1"/>
      <c r="R53" s="5">
        <f t="shared" si="20"/>
        <v>0</v>
      </c>
      <c r="S53" s="1"/>
      <c r="T53" s="1">
        <f>SUM(OSRRefT22_9x_0)</f>
        <v>2162.48</v>
      </c>
      <c r="U53" s="1"/>
      <c r="V53" s="5">
        <f t="shared" si="21"/>
        <v>0</v>
      </c>
      <c r="W53" s="1"/>
      <c r="X53" s="1">
        <f t="shared" si="22"/>
        <v>-1250.2</v>
      </c>
      <c r="Y53" s="1"/>
      <c r="Z53" s="5">
        <f t="shared" si="23"/>
        <v>-0.57813251452036551</v>
      </c>
    </row>
    <row r="54" spans="1:26" s="24" customFormat="1" hidden="1" outlineLevel="2" x14ac:dyDescent="0.25">
      <c r="A54" s="26"/>
      <c r="B54" s="11" t="str">
        <f>CONCATENATE("          ", "6305", " - ", "FREIGHT OUT")</f>
        <v xml:space="preserve">          6305 - FREIGHT OUT</v>
      </c>
      <c r="C54" s="11"/>
      <c r="D54" s="6"/>
      <c r="E54" s="2"/>
      <c r="F54" s="7">
        <f t="shared" si="16"/>
        <v>0</v>
      </c>
      <c r="G54" s="2"/>
      <c r="H54" s="6"/>
      <c r="I54" s="2"/>
      <c r="J54" s="7">
        <f t="shared" si="17"/>
        <v>0</v>
      </c>
      <c r="K54" s="2"/>
      <c r="L54" s="6">
        <f t="shared" si="18"/>
        <v>0</v>
      </c>
      <c r="M54" s="2"/>
      <c r="N54" s="7">
        <f t="shared" si="19"/>
        <v>0</v>
      </c>
      <c r="O54" s="11"/>
      <c r="P54" s="6">
        <v>5.41</v>
      </c>
      <c r="Q54" s="2"/>
      <c r="R54" s="7">
        <f t="shared" si="20"/>
        <v>0</v>
      </c>
      <c r="S54" s="2"/>
      <c r="T54" s="6"/>
      <c r="U54" s="2"/>
      <c r="V54" s="7">
        <f t="shared" si="21"/>
        <v>0</v>
      </c>
      <c r="W54" s="2"/>
      <c r="X54" s="6">
        <f t="shared" si="22"/>
        <v>5.41</v>
      </c>
      <c r="Y54" s="2"/>
      <c r="Z54" s="7">
        <f t="shared" si="23"/>
        <v>0</v>
      </c>
    </row>
    <row r="55" spans="1:26" s="24" customFormat="1" hidden="1" outlineLevel="2" x14ac:dyDescent="0.25">
      <c r="A55" s="26"/>
      <c r="B55" s="11" t="str">
        <f>CONCATENATE("          ", "6307", " - ", "POSTAGE")</f>
        <v xml:space="preserve">          6307 - POSTAGE</v>
      </c>
      <c r="C55" s="11"/>
      <c r="D55" s="6">
        <v>16.829999999999998</v>
      </c>
      <c r="E55" s="2"/>
      <c r="F55" s="7">
        <f t="shared" si="16"/>
        <v>0</v>
      </c>
      <c r="G55" s="2"/>
      <c r="H55" s="6">
        <v>305.98</v>
      </c>
      <c r="I55" s="2"/>
      <c r="J55" s="7">
        <f t="shared" si="17"/>
        <v>0</v>
      </c>
      <c r="K55" s="2"/>
      <c r="L55" s="6">
        <f t="shared" si="18"/>
        <v>-289.15000000000003</v>
      </c>
      <c r="M55" s="2"/>
      <c r="N55" s="7">
        <f t="shared" si="19"/>
        <v>-0.94499640499379045</v>
      </c>
      <c r="O55" s="11"/>
      <c r="P55" s="6">
        <v>906.87</v>
      </c>
      <c r="Q55" s="2"/>
      <c r="R55" s="7">
        <f t="shared" si="20"/>
        <v>0</v>
      </c>
      <c r="S55" s="2"/>
      <c r="T55" s="6">
        <v>2162.48</v>
      </c>
      <c r="U55" s="2"/>
      <c r="V55" s="7">
        <f t="shared" si="21"/>
        <v>0</v>
      </c>
      <c r="W55" s="2"/>
      <c r="X55" s="6">
        <f t="shared" si="22"/>
        <v>-1255.6100000000001</v>
      </c>
      <c r="Y55" s="2"/>
      <c r="Z55" s="7">
        <f t="shared" si="23"/>
        <v>-0.58063427176205107</v>
      </c>
    </row>
    <row r="56" spans="1:26" s="25" customFormat="1" outlineLevel="1" collapsed="1" x14ac:dyDescent="0.25">
      <c r="A56" s="27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SUM(OSRRefD22_10x_0)</f>
        <v>-489.4</v>
      </c>
      <c r="E56" s="1"/>
      <c r="F56" s="5">
        <f t="shared" ref="F56:F64" si="24">IF(D$12=0,0,D56/D$12)</f>
        <v>0</v>
      </c>
      <c r="G56" s="1"/>
      <c r="H56" s="1">
        <f>SUM(OSRRefH22_10x_0)</f>
        <v>82.38</v>
      </c>
      <c r="I56" s="1"/>
      <c r="J56" s="5">
        <f t="shared" ref="J56:J64" si="25">IF(H$12=0,0,H56/H$12)</f>
        <v>0</v>
      </c>
      <c r="K56" s="1"/>
      <c r="L56" s="1">
        <f t="shared" ref="L56:L64" si="26">+D56-H56</f>
        <v>-571.78</v>
      </c>
      <c r="M56" s="1"/>
      <c r="N56" s="5">
        <f t="shared" ref="N56:N64" si="27">IF(H56=0,0,L56/H56)</f>
        <v>-6.9407623209516878</v>
      </c>
      <c r="O56" s="13"/>
      <c r="P56" s="1">
        <f>SUM(OSRRefP22_10x_0)</f>
        <v>-61.66</v>
      </c>
      <c r="Q56" s="1"/>
      <c r="R56" s="5">
        <f t="shared" ref="R56:R64" si="28">IF(P$12=0,0,P56/P$12)</f>
        <v>0</v>
      </c>
      <c r="S56" s="1"/>
      <c r="T56" s="1">
        <f>SUM(OSRRefT22_10x_0)</f>
        <v>12891.02</v>
      </c>
      <c r="U56" s="1"/>
      <c r="V56" s="5">
        <f t="shared" ref="V56:V64" si="29">IF(T$12=0,0,T56/T$12)</f>
        <v>0</v>
      </c>
      <c r="W56" s="1"/>
      <c r="X56" s="1">
        <f t="shared" ref="X56:X64" si="30">+P56-T56</f>
        <v>-12952.68</v>
      </c>
      <c r="Y56" s="1"/>
      <c r="Z56" s="5">
        <f t="shared" ref="Z56:Z64" si="31">IF(T56=0,0,X56/T56)</f>
        <v>-1.0047831746440545</v>
      </c>
    </row>
    <row r="57" spans="1:26" s="24" customFormat="1" hidden="1" outlineLevel="2" x14ac:dyDescent="0.25">
      <c r="A57" s="26"/>
      <c r="B57" s="11" t="str">
        <f>CONCATENATE("          ", "6279", " - ", "GENERAL EXPENSE")</f>
        <v xml:space="preserve">          6279 - GENERAL EXPENSE</v>
      </c>
      <c r="C57" s="11"/>
      <c r="D57" s="6">
        <v>-489.4</v>
      </c>
      <c r="E57" s="2"/>
      <c r="F57" s="7">
        <f t="shared" si="24"/>
        <v>0</v>
      </c>
      <c r="G57" s="2"/>
      <c r="H57" s="6">
        <v>82.38</v>
      </c>
      <c r="I57" s="2"/>
      <c r="J57" s="7">
        <f t="shared" si="25"/>
        <v>0</v>
      </c>
      <c r="K57" s="2"/>
      <c r="L57" s="6">
        <f t="shared" si="26"/>
        <v>-571.78</v>
      </c>
      <c r="M57" s="2"/>
      <c r="N57" s="7">
        <f t="shared" si="27"/>
        <v>-6.9407623209516878</v>
      </c>
      <c r="O57" s="11"/>
      <c r="P57" s="6">
        <v>-61.66</v>
      </c>
      <c r="Q57" s="2"/>
      <c r="R57" s="7">
        <f t="shared" si="28"/>
        <v>0</v>
      </c>
      <c r="S57" s="2"/>
      <c r="T57" s="6">
        <v>12891.02</v>
      </c>
      <c r="U57" s="2"/>
      <c r="V57" s="7">
        <f t="shared" si="29"/>
        <v>0</v>
      </c>
      <c r="W57" s="2"/>
      <c r="X57" s="6">
        <f t="shared" si="30"/>
        <v>-12952.68</v>
      </c>
      <c r="Y57" s="2"/>
      <c r="Z57" s="7">
        <f t="shared" si="31"/>
        <v>-1.0047831746440545</v>
      </c>
    </row>
    <row r="58" spans="1:26" s="25" customFormat="1" outlineLevel="1" collapsed="1" x14ac:dyDescent="0.25">
      <c r="A58" s="27"/>
      <c r="B58" s="13" t="str">
        <f>CONCATENATE("     ","Insurance                                         ")</f>
        <v xml:space="preserve">     Insurance                                         </v>
      </c>
      <c r="C58" s="13"/>
      <c r="D58" s="1">
        <f>SUM(OSRRefD22_11x_0)</f>
        <v>393.67</v>
      </c>
      <c r="E58" s="1"/>
      <c r="F58" s="5">
        <f t="shared" si="24"/>
        <v>0</v>
      </c>
      <c r="G58" s="1"/>
      <c r="H58" s="1">
        <f>SUM(OSRRefH22_11x_0)</f>
        <v>393.67</v>
      </c>
      <c r="I58" s="1"/>
      <c r="J58" s="5">
        <f t="shared" si="25"/>
        <v>0</v>
      </c>
      <c r="K58" s="1"/>
      <c r="L58" s="1">
        <f t="shared" si="26"/>
        <v>0</v>
      </c>
      <c r="M58" s="1"/>
      <c r="N58" s="5">
        <f t="shared" si="27"/>
        <v>0</v>
      </c>
      <c r="O58" s="13"/>
      <c r="P58" s="1">
        <f>SUM(OSRRefP22_11x_0)</f>
        <v>3149.36</v>
      </c>
      <c r="Q58" s="1"/>
      <c r="R58" s="5">
        <f t="shared" si="28"/>
        <v>0</v>
      </c>
      <c r="S58" s="1"/>
      <c r="T58" s="1">
        <f>SUM(OSRRefT22_11x_0)</f>
        <v>3149.36</v>
      </c>
      <c r="U58" s="1"/>
      <c r="V58" s="5">
        <f t="shared" si="29"/>
        <v>0</v>
      </c>
      <c r="W58" s="1"/>
      <c r="X58" s="1">
        <f t="shared" si="30"/>
        <v>0</v>
      </c>
      <c r="Y58" s="1"/>
      <c r="Z58" s="5">
        <f t="shared" si="31"/>
        <v>0</v>
      </c>
    </row>
    <row r="59" spans="1:26" s="24" customFormat="1" hidden="1" outlineLevel="2" x14ac:dyDescent="0.25">
      <c r="A59" s="26"/>
      <c r="B59" s="11" t="str">
        <f>CONCATENATE("          ", "6314", " - ", "LIABILITY INSURANCE")</f>
        <v xml:space="preserve">          6314 - LIABILITY INSURANCE</v>
      </c>
      <c r="C59" s="11"/>
      <c r="D59" s="6">
        <v>393.67</v>
      </c>
      <c r="E59" s="2"/>
      <c r="F59" s="7">
        <f t="shared" si="24"/>
        <v>0</v>
      </c>
      <c r="G59" s="2"/>
      <c r="H59" s="6">
        <v>393.67</v>
      </c>
      <c r="I59" s="2"/>
      <c r="J59" s="7">
        <f t="shared" si="25"/>
        <v>0</v>
      </c>
      <c r="K59" s="2"/>
      <c r="L59" s="6">
        <f t="shared" si="26"/>
        <v>0</v>
      </c>
      <c r="M59" s="2"/>
      <c r="N59" s="7">
        <f t="shared" si="27"/>
        <v>0</v>
      </c>
      <c r="O59" s="11"/>
      <c r="P59" s="6">
        <v>3149.36</v>
      </c>
      <c r="Q59" s="2"/>
      <c r="R59" s="7">
        <f t="shared" si="28"/>
        <v>0</v>
      </c>
      <c r="S59" s="2"/>
      <c r="T59" s="6">
        <v>3149.36</v>
      </c>
      <c r="U59" s="2"/>
      <c r="V59" s="7">
        <f t="shared" si="29"/>
        <v>0</v>
      </c>
      <c r="W59" s="2"/>
      <c r="X59" s="6">
        <f t="shared" si="30"/>
        <v>0</v>
      </c>
      <c r="Y59" s="2"/>
      <c r="Z59" s="7">
        <f t="shared" si="31"/>
        <v>0</v>
      </c>
    </row>
    <row r="60" spans="1:26" s="25" customFormat="1" outlineLevel="1" collapsed="1" x14ac:dyDescent="0.25">
      <c r="A60" s="27"/>
      <c r="B60" s="13" t="str">
        <f>CONCATENATE("     ","Professional Services                             ")</f>
        <v xml:space="preserve">     Professional Services                             </v>
      </c>
      <c r="C60" s="13"/>
      <c r="D60" s="1">
        <f>SUM(OSRRefD22_12x_0)</f>
        <v>725</v>
      </c>
      <c r="E60" s="1"/>
      <c r="F60" s="5">
        <f t="shared" si="24"/>
        <v>0</v>
      </c>
      <c r="G60" s="1"/>
      <c r="H60" s="1">
        <f>SUM(OSRRefH22_12x_0)</f>
        <v>2952.53</v>
      </c>
      <c r="I60" s="1"/>
      <c r="J60" s="5">
        <f t="shared" si="25"/>
        <v>0</v>
      </c>
      <c r="K60" s="1"/>
      <c r="L60" s="1">
        <f t="shared" si="26"/>
        <v>-2227.5300000000002</v>
      </c>
      <c r="M60" s="1"/>
      <c r="N60" s="5">
        <f t="shared" si="27"/>
        <v>-0.75444788029249488</v>
      </c>
      <c r="O60" s="13"/>
      <c r="P60" s="1">
        <f>SUM(OSRRefP22_12x_0)</f>
        <v>94181.37000000001</v>
      </c>
      <c r="Q60" s="1"/>
      <c r="R60" s="5">
        <f t="shared" si="28"/>
        <v>0</v>
      </c>
      <c r="S60" s="1"/>
      <c r="T60" s="1">
        <f>SUM(OSRRefT22_12x_0)</f>
        <v>158999.25999999998</v>
      </c>
      <c r="U60" s="1"/>
      <c r="V60" s="5">
        <f t="shared" si="29"/>
        <v>0</v>
      </c>
      <c r="W60" s="1"/>
      <c r="X60" s="1">
        <f t="shared" si="30"/>
        <v>-64817.88999999997</v>
      </c>
      <c r="Y60" s="1"/>
      <c r="Z60" s="5">
        <f t="shared" si="31"/>
        <v>-0.40766158282749226</v>
      </c>
    </row>
    <row r="61" spans="1:26" s="24" customFormat="1" hidden="1" outlineLevel="2" x14ac:dyDescent="0.25">
      <c r="A61" s="26"/>
      <c r="B61" s="11" t="str">
        <f>CONCATENATE("          ", "6331", " - ", "INDIRECT COSTS-AUXILIARY ORGAN")</f>
        <v xml:space="preserve">          6331 - INDIRECT COSTS-AUXILIARY ORGAN</v>
      </c>
      <c r="C61" s="11"/>
      <c r="D61" s="6"/>
      <c r="E61" s="2"/>
      <c r="F61" s="7">
        <f t="shared" si="24"/>
        <v>0</v>
      </c>
      <c r="G61" s="2"/>
      <c r="H61" s="6"/>
      <c r="I61" s="2"/>
      <c r="J61" s="7">
        <f t="shared" si="25"/>
        <v>0</v>
      </c>
      <c r="K61" s="2"/>
      <c r="L61" s="6">
        <f t="shared" si="26"/>
        <v>0</v>
      </c>
      <c r="M61" s="2"/>
      <c r="N61" s="7">
        <f t="shared" si="27"/>
        <v>0</v>
      </c>
      <c r="O61" s="11"/>
      <c r="P61" s="6">
        <v>80832.25</v>
      </c>
      <c r="Q61" s="2"/>
      <c r="R61" s="7">
        <f t="shared" si="28"/>
        <v>0</v>
      </c>
      <c r="S61" s="2"/>
      <c r="T61" s="6">
        <v>80236</v>
      </c>
      <c r="U61" s="2"/>
      <c r="V61" s="7">
        <f t="shared" si="29"/>
        <v>0</v>
      </c>
      <c r="W61" s="2"/>
      <c r="X61" s="6">
        <f t="shared" si="30"/>
        <v>596.25</v>
      </c>
      <c r="Y61" s="2"/>
      <c r="Z61" s="7">
        <f t="shared" si="31"/>
        <v>7.4312029512936841E-3</v>
      </c>
    </row>
    <row r="62" spans="1:26" s="24" customFormat="1" hidden="1" outlineLevel="2" x14ac:dyDescent="0.25">
      <c r="A62" s="26"/>
      <c r="B62" s="11" t="str">
        <f>CONCATENATE("          ", "6332", " - ", "CONSULTANT FEES")</f>
        <v xml:space="preserve">          6332 - CONSULTANT FEES</v>
      </c>
      <c r="C62" s="11"/>
      <c r="D62" s="6"/>
      <c r="E62" s="2"/>
      <c r="F62" s="7">
        <f t="shared" si="24"/>
        <v>0</v>
      </c>
      <c r="G62" s="2"/>
      <c r="H62" s="6"/>
      <c r="I62" s="2"/>
      <c r="J62" s="7">
        <f t="shared" si="25"/>
        <v>0</v>
      </c>
      <c r="K62" s="2"/>
      <c r="L62" s="6">
        <f t="shared" si="26"/>
        <v>0</v>
      </c>
      <c r="M62" s="2"/>
      <c r="N62" s="7">
        <f t="shared" si="27"/>
        <v>0</v>
      </c>
      <c r="O62" s="11"/>
      <c r="P62" s="6"/>
      <c r="Q62" s="2"/>
      <c r="R62" s="7">
        <f t="shared" si="28"/>
        <v>0</v>
      </c>
      <c r="S62" s="2"/>
      <c r="T62" s="6">
        <v>15144.74</v>
      </c>
      <c r="U62" s="2"/>
      <c r="V62" s="7">
        <f t="shared" si="29"/>
        <v>0</v>
      </c>
      <c r="W62" s="2"/>
      <c r="X62" s="6">
        <f t="shared" si="30"/>
        <v>-15144.74</v>
      </c>
      <c r="Y62" s="2"/>
      <c r="Z62" s="7">
        <f t="shared" si="31"/>
        <v>-1</v>
      </c>
    </row>
    <row r="63" spans="1:26" s="24" customFormat="1" hidden="1" outlineLevel="2" x14ac:dyDescent="0.25">
      <c r="A63" s="26"/>
      <c r="B63" s="11" t="str">
        <f>CONCATENATE("          ", "6334", " - ", "LEGAL COUNCIL EXPENSE")</f>
        <v xml:space="preserve">          6334 - LEGAL COUNCIL EXPENSE</v>
      </c>
      <c r="C63" s="11"/>
      <c r="D63" s="6">
        <v>725</v>
      </c>
      <c r="E63" s="2"/>
      <c r="F63" s="7">
        <f t="shared" si="24"/>
        <v>0</v>
      </c>
      <c r="G63" s="2"/>
      <c r="H63" s="6">
        <v>875</v>
      </c>
      <c r="I63" s="2"/>
      <c r="J63" s="7">
        <f t="shared" si="25"/>
        <v>0</v>
      </c>
      <c r="K63" s="2"/>
      <c r="L63" s="6">
        <f t="shared" si="26"/>
        <v>-150</v>
      </c>
      <c r="M63" s="2"/>
      <c r="N63" s="7">
        <f t="shared" si="27"/>
        <v>-0.17142857142857143</v>
      </c>
      <c r="O63" s="11"/>
      <c r="P63" s="6">
        <v>6979.24</v>
      </c>
      <c r="Q63" s="2"/>
      <c r="R63" s="7">
        <f t="shared" si="28"/>
        <v>0</v>
      </c>
      <c r="S63" s="2"/>
      <c r="T63" s="6">
        <v>39175</v>
      </c>
      <c r="U63" s="2"/>
      <c r="V63" s="7">
        <f t="shared" si="29"/>
        <v>0</v>
      </c>
      <c r="W63" s="2"/>
      <c r="X63" s="6">
        <f t="shared" si="30"/>
        <v>-32195.760000000002</v>
      </c>
      <c r="Y63" s="2"/>
      <c r="Z63" s="7">
        <f t="shared" si="31"/>
        <v>-0.82184454371410343</v>
      </c>
    </row>
    <row r="64" spans="1:26" s="24" customFormat="1" hidden="1" outlineLevel="2" x14ac:dyDescent="0.25">
      <c r="A64" s="26"/>
      <c r="B64" s="11" t="str">
        <f>CONCATENATE("          ", "6336", " - ", "PROFESSIONAL SERVICES")</f>
        <v xml:space="preserve">          6336 - PROFESSIONAL SERVICES</v>
      </c>
      <c r="C64" s="11"/>
      <c r="D64" s="6"/>
      <c r="E64" s="2"/>
      <c r="F64" s="7">
        <f t="shared" si="24"/>
        <v>0</v>
      </c>
      <c r="G64" s="2"/>
      <c r="H64" s="6">
        <v>2077.5300000000002</v>
      </c>
      <c r="I64" s="2"/>
      <c r="J64" s="7">
        <f t="shared" si="25"/>
        <v>0</v>
      </c>
      <c r="K64" s="2"/>
      <c r="L64" s="6">
        <f t="shared" si="26"/>
        <v>-2077.5300000000002</v>
      </c>
      <c r="M64" s="2"/>
      <c r="N64" s="7">
        <f t="shared" si="27"/>
        <v>-1</v>
      </c>
      <c r="O64" s="11"/>
      <c r="P64" s="6">
        <v>6369.88</v>
      </c>
      <c r="Q64" s="2"/>
      <c r="R64" s="7">
        <f t="shared" si="28"/>
        <v>0</v>
      </c>
      <c r="S64" s="2"/>
      <c r="T64" s="6">
        <v>24443.52</v>
      </c>
      <c r="U64" s="2"/>
      <c r="V64" s="7">
        <f t="shared" si="29"/>
        <v>0</v>
      </c>
      <c r="W64" s="2"/>
      <c r="X64" s="6">
        <f t="shared" si="30"/>
        <v>-18073.64</v>
      </c>
      <c r="Y64" s="2"/>
      <c r="Z64" s="7">
        <f t="shared" si="31"/>
        <v>-0.73940414473856464</v>
      </c>
    </row>
    <row r="65" spans="1:26" s="25" customFormat="1" outlineLevel="1" collapsed="1" x14ac:dyDescent="0.25">
      <c r="A65" s="27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SUM(OSRRefD22_13x_0)</f>
        <v>37709.269999999997</v>
      </c>
      <c r="E65" s="1"/>
      <c r="F65" s="5">
        <f t="shared" ref="F65:F68" si="32">IF(D$12=0,0,D65/D$12)</f>
        <v>0</v>
      </c>
      <c r="G65" s="1"/>
      <c r="H65" s="1">
        <f>SUM(OSRRefH22_13x_0)</f>
        <v>45760.71</v>
      </c>
      <c r="I65" s="1"/>
      <c r="J65" s="5">
        <f t="shared" ref="J65:J68" si="33">IF(H$12=0,0,H65/H$12)</f>
        <v>0</v>
      </c>
      <c r="K65" s="1"/>
      <c r="L65" s="1">
        <f t="shared" ref="L65:L68" si="34">+D65-H65</f>
        <v>-8051.4400000000023</v>
      </c>
      <c r="M65" s="1"/>
      <c r="N65" s="5">
        <f t="shared" ref="N65:N68" si="35">IF(H65=0,0,L65/H65)</f>
        <v>-0.17594657075906389</v>
      </c>
      <c r="O65" s="13"/>
      <c r="P65" s="1">
        <f>SUM(OSRRefP22_13x_0)</f>
        <v>178746.49</v>
      </c>
      <c r="Q65" s="1"/>
      <c r="R65" s="5">
        <f t="shared" ref="R65:R68" si="36">IF(P$12=0,0,P65/P$12)</f>
        <v>0</v>
      </c>
      <c r="S65" s="1"/>
      <c r="T65" s="1">
        <f>SUM(OSRRefT22_13x_0)</f>
        <v>236009.30000000002</v>
      </c>
      <c r="U65" s="1"/>
      <c r="V65" s="5">
        <f t="shared" ref="V65:V68" si="37">IF(T$12=0,0,T65/T$12)</f>
        <v>0</v>
      </c>
      <c r="W65" s="1"/>
      <c r="X65" s="1">
        <f t="shared" ref="X65:X68" si="38">+P65-T65</f>
        <v>-57262.810000000027</v>
      </c>
      <c r="Y65" s="1"/>
      <c r="Z65" s="5">
        <f t="shared" ref="Z65:Z68" si="39">IF(T65=0,0,X65/T65)</f>
        <v>-0.24262946417789477</v>
      </c>
    </row>
    <row r="66" spans="1:26" s="24" customFormat="1" hidden="1" outlineLevel="2" x14ac:dyDescent="0.25">
      <c r="A66" s="26"/>
      <c r="B66" s="11" t="str">
        <f>CONCATENATE("          ", "6371", " - ", "COMPUTER SOFTWARE MAINTENANCE")</f>
        <v xml:space="preserve">          6371 - COMPUTER SOFTWARE MAINTENANCE</v>
      </c>
      <c r="C66" s="11"/>
      <c r="D66" s="6">
        <v>22056.489999999998</v>
      </c>
      <c r="E66" s="2"/>
      <c r="F66" s="7">
        <f t="shared" si="32"/>
        <v>0</v>
      </c>
      <c r="G66" s="2"/>
      <c r="H66" s="6">
        <v>31486.21</v>
      </c>
      <c r="I66" s="2"/>
      <c r="J66" s="7">
        <f t="shared" si="33"/>
        <v>0</v>
      </c>
      <c r="K66" s="2"/>
      <c r="L66" s="6">
        <f t="shared" si="34"/>
        <v>-9429.7200000000012</v>
      </c>
      <c r="M66" s="2"/>
      <c r="N66" s="7">
        <f t="shared" si="35"/>
        <v>-0.29948729936057727</v>
      </c>
      <c r="O66" s="11"/>
      <c r="P66" s="6">
        <v>52385.75</v>
      </c>
      <c r="Q66" s="2"/>
      <c r="R66" s="7">
        <f t="shared" si="36"/>
        <v>0</v>
      </c>
      <c r="S66" s="2"/>
      <c r="T66" s="6">
        <v>118302.25000000001</v>
      </c>
      <c r="U66" s="2"/>
      <c r="V66" s="7">
        <f t="shared" si="37"/>
        <v>0</v>
      </c>
      <c r="W66" s="2"/>
      <c r="X66" s="6">
        <f t="shared" si="38"/>
        <v>-65916.500000000015</v>
      </c>
      <c r="Y66" s="2"/>
      <c r="Z66" s="7">
        <f t="shared" si="39"/>
        <v>-0.55718720480802353</v>
      </c>
    </row>
    <row r="67" spans="1:26" s="24" customFormat="1" hidden="1" outlineLevel="2" x14ac:dyDescent="0.25">
      <c r="A67" s="26"/>
      <c r="B67" s="11" t="str">
        <f>CONCATENATE("          ", "6373", " - ", "MAINTENANCE CONTRACTS")</f>
        <v xml:space="preserve">          6373 - MAINTENANCE CONTRACTS</v>
      </c>
      <c r="C67" s="11"/>
      <c r="D67" s="6">
        <v>15525.76</v>
      </c>
      <c r="E67" s="2"/>
      <c r="F67" s="7">
        <f t="shared" si="32"/>
        <v>0</v>
      </c>
      <c r="G67" s="2"/>
      <c r="H67" s="6">
        <v>14274.5</v>
      </c>
      <c r="I67" s="2"/>
      <c r="J67" s="7">
        <f t="shared" si="33"/>
        <v>0</v>
      </c>
      <c r="K67" s="2"/>
      <c r="L67" s="6">
        <f t="shared" si="34"/>
        <v>1251.2600000000002</v>
      </c>
      <c r="M67" s="2"/>
      <c r="N67" s="7">
        <f t="shared" si="35"/>
        <v>8.7657010753441469E-2</v>
      </c>
      <c r="O67" s="11"/>
      <c r="P67" s="6">
        <v>124063.43000000001</v>
      </c>
      <c r="Q67" s="2"/>
      <c r="R67" s="7">
        <f t="shared" si="36"/>
        <v>0</v>
      </c>
      <c r="S67" s="2"/>
      <c r="T67" s="6">
        <v>115997.97</v>
      </c>
      <c r="U67" s="2"/>
      <c r="V67" s="7">
        <f t="shared" si="37"/>
        <v>0</v>
      </c>
      <c r="W67" s="2"/>
      <c r="X67" s="6">
        <f t="shared" si="38"/>
        <v>8065.4600000000064</v>
      </c>
      <c r="Y67" s="2"/>
      <c r="Z67" s="7">
        <f t="shared" si="39"/>
        <v>6.9531044379483598E-2</v>
      </c>
    </row>
    <row r="68" spans="1:26" s="24" customFormat="1" hidden="1" outlineLevel="2" x14ac:dyDescent="0.25">
      <c r="A68" s="26"/>
      <c r="B68" s="11" t="str">
        <f>CONCATENATE("          ", "6375", " - ", "OUTSIDE REPAIRS &amp; MAINTENANCE")</f>
        <v xml:space="preserve">          6375 - OUTSIDE REPAIRS &amp; MAINTENANCE</v>
      </c>
      <c r="C68" s="11"/>
      <c r="D68" s="6">
        <v>127.02</v>
      </c>
      <c r="E68" s="2"/>
      <c r="F68" s="7">
        <f t="shared" si="32"/>
        <v>0</v>
      </c>
      <c r="G68" s="2"/>
      <c r="H68" s="6"/>
      <c r="I68" s="2"/>
      <c r="J68" s="7">
        <f t="shared" si="33"/>
        <v>0</v>
      </c>
      <c r="K68" s="2"/>
      <c r="L68" s="6">
        <f t="shared" si="34"/>
        <v>127.02</v>
      </c>
      <c r="M68" s="2"/>
      <c r="N68" s="7">
        <f t="shared" si="35"/>
        <v>0</v>
      </c>
      <c r="O68" s="11"/>
      <c r="P68" s="6">
        <v>2297.31</v>
      </c>
      <c r="Q68" s="2"/>
      <c r="R68" s="7">
        <f t="shared" si="36"/>
        <v>0</v>
      </c>
      <c r="S68" s="2"/>
      <c r="T68" s="6">
        <v>1709.08</v>
      </c>
      <c r="U68" s="2"/>
      <c r="V68" s="7">
        <f t="shared" si="37"/>
        <v>0</v>
      </c>
      <c r="W68" s="2"/>
      <c r="X68" s="6">
        <f t="shared" si="38"/>
        <v>588.23</v>
      </c>
      <c r="Y68" s="2"/>
      <c r="Z68" s="7">
        <f t="shared" si="39"/>
        <v>0.34417932454888012</v>
      </c>
    </row>
    <row r="69" spans="1:26" s="25" customFormat="1" outlineLevel="1" collapsed="1" x14ac:dyDescent="0.25">
      <c r="A69" s="27"/>
      <c r="B69" s="13" t="str">
        <f>CONCATENATE("     ","Services                                          ")</f>
        <v xml:space="preserve">     Services                                          </v>
      </c>
      <c r="C69" s="13"/>
      <c r="D69" s="1">
        <f>SUM(OSRRefD22_14x_0)</f>
        <v>621.34</v>
      </c>
      <c r="E69" s="1"/>
      <c r="F69" s="5">
        <f t="shared" ref="F69:F71" si="40">IF(D$12=0,0,D69/D$12)</f>
        <v>0</v>
      </c>
      <c r="G69" s="1"/>
      <c r="H69" s="1">
        <f>SUM(OSRRefH22_14x_0)</f>
        <v>744.22</v>
      </c>
      <c r="I69" s="1"/>
      <c r="J69" s="5">
        <f t="shared" ref="J69:J71" si="41">IF(H$12=0,0,H69/H$12)</f>
        <v>0</v>
      </c>
      <c r="K69" s="1"/>
      <c r="L69" s="1">
        <f t="shared" ref="L69:L71" si="42">+D69-H69</f>
        <v>-122.88</v>
      </c>
      <c r="M69" s="1"/>
      <c r="N69" s="5">
        <f t="shared" ref="N69:N71" si="43">IF(H69=0,0,L69/H69)</f>
        <v>-0.16511246674370481</v>
      </c>
      <c r="O69" s="13"/>
      <c r="P69" s="1">
        <f>SUM(OSRRefP22_14x_0)</f>
        <v>4329.0200000000004</v>
      </c>
      <c r="Q69" s="1"/>
      <c r="R69" s="5">
        <f t="shared" ref="R69:R71" si="44">IF(P$12=0,0,P69/P$12)</f>
        <v>0</v>
      </c>
      <c r="S69" s="1"/>
      <c r="T69" s="1">
        <f>SUM(OSRRefT22_14x_0)</f>
        <v>9500.6899999999987</v>
      </c>
      <c r="U69" s="1"/>
      <c r="V69" s="5">
        <f t="shared" ref="V69:V71" si="45">IF(T$12=0,0,T69/T$12)</f>
        <v>0</v>
      </c>
      <c r="W69" s="1"/>
      <c r="X69" s="1">
        <f t="shared" ref="X69:X71" si="46">+P69-T69</f>
        <v>-5171.6699999999983</v>
      </c>
      <c r="Y69" s="1"/>
      <c r="Z69" s="5">
        <f t="shared" ref="Z69:Z71" si="47">IF(T69=0,0,X69/T69)</f>
        <v>-0.54434677902341821</v>
      </c>
    </row>
    <row r="70" spans="1:26" s="24" customFormat="1" hidden="1" outlineLevel="2" x14ac:dyDescent="0.25">
      <c r="A70" s="26"/>
      <c r="B70" s="11" t="str">
        <f>CONCATENATE("          ", "6281", " - ", "STORAGE FEE")</f>
        <v xml:space="preserve">          6281 - STORAGE FEE</v>
      </c>
      <c r="C70" s="11"/>
      <c r="D70" s="6">
        <v>621.34</v>
      </c>
      <c r="E70" s="2"/>
      <c r="F70" s="7">
        <f t="shared" si="40"/>
        <v>0</v>
      </c>
      <c r="G70" s="2"/>
      <c r="H70" s="6">
        <v>730.96</v>
      </c>
      <c r="I70" s="2"/>
      <c r="J70" s="7">
        <f t="shared" si="41"/>
        <v>0</v>
      </c>
      <c r="K70" s="2"/>
      <c r="L70" s="6">
        <f t="shared" si="42"/>
        <v>-109.62</v>
      </c>
      <c r="M70" s="2"/>
      <c r="N70" s="7">
        <f t="shared" si="43"/>
        <v>-0.14996716646601729</v>
      </c>
      <c r="O70" s="11"/>
      <c r="P70" s="6">
        <v>4329.0200000000004</v>
      </c>
      <c r="Q70" s="2"/>
      <c r="R70" s="7">
        <f t="shared" si="44"/>
        <v>0</v>
      </c>
      <c r="S70" s="2"/>
      <c r="T70" s="6">
        <v>9429.9699999999993</v>
      </c>
      <c r="U70" s="2"/>
      <c r="V70" s="7">
        <f t="shared" si="45"/>
        <v>0</v>
      </c>
      <c r="W70" s="2"/>
      <c r="X70" s="6">
        <f t="shared" si="46"/>
        <v>-5100.9499999999989</v>
      </c>
      <c r="Y70" s="2"/>
      <c r="Z70" s="7">
        <f t="shared" si="47"/>
        <v>-0.54092961059261047</v>
      </c>
    </row>
    <row r="71" spans="1:26" s="24" customFormat="1" hidden="1" outlineLevel="2" x14ac:dyDescent="0.25">
      <c r="A71" s="26"/>
      <c r="B71" s="11" t="str">
        <f>CONCATENATE("          ", "6286", " - ", "LAUNDRY EXPENSE")</f>
        <v xml:space="preserve">          6286 - LAUNDRY EXPENSE</v>
      </c>
      <c r="C71" s="11"/>
      <c r="D71" s="6"/>
      <c r="E71" s="2"/>
      <c r="F71" s="7">
        <f t="shared" si="40"/>
        <v>0</v>
      </c>
      <c r="G71" s="2"/>
      <c r="H71" s="6">
        <v>13.26</v>
      </c>
      <c r="I71" s="2"/>
      <c r="J71" s="7">
        <f t="shared" si="41"/>
        <v>0</v>
      </c>
      <c r="K71" s="2"/>
      <c r="L71" s="6">
        <f t="shared" si="42"/>
        <v>-13.26</v>
      </c>
      <c r="M71" s="2"/>
      <c r="N71" s="7">
        <f t="shared" si="43"/>
        <v>-1</v>
      </c>
      <c r="O71" s="11"/>
      <c r="P71" s="6"/>
      <c r="Q71" s="2"/>
      <c r="R71" s="7">
        <f t="shared" si="44"/>
        <v>0</v>
      </c>
      <c r="S71" s="2"/>
      <c r="T71" s="6">
        <v>70.72</v>
      </c>
      <c r="U71" s="2"/>
      <c r="V71" s="7">
        <f t="shared" si="45"/>
        <v>0</v>
      </c>
      <c r="W71" s="2"/>
      <c r="X71" s="6">
        <f t="shared" si="46"/>
        <v>-70.72</v>
      </c>
      <c r="Y71" s="2"/>
      <c r="Z71" s="7">
        <f t="shared" si="47"/>
        <v>-1</v>
      </c>
    </row>
    <row r="72" spans="1:26" s="25" customFormat="1" outlineLevel="1" collapsed="1" x14ac:dyDescent="0.25">
      <c r="A72" s="27"/>
      <c r="B72" s="13" t="str">
        <f>CONCATENATE("     ","Subscriptions &amp; Dues                              ")</f>
        <v xml:space="preserve">     Subscriptions &amp; Dues                              </v>
      </c>
      <c r="C72" s="13"/>
      <c r="D72" s="1">
        <f>SUM(OSRRefD22_15x_0)</f>
        <v>795</v>
      </c>
      <c r="E72" s="1"/>
      <c r="F72" s="5">
        <f t="shared" ref="F72:F79" si="48">IF(D$12=0,0,D72/D$12)</f>
        <v>0</v>
      </c>
      <c r="G72" s="1"/>
      <c r="H72" s="1">
        <f>SUM(OSRRefH22_15x_0)</f>
        <v>0</v>
      </c>
      <c r="I72" s="1"/>
      <c r="J72" s="5">
        <f t="shared" ref="J72:J79" si="49">IF(H$12=0,0,H72/H$12)</f>
        <v>0</v>
      </c>
      <c r="K72" s="1"/>
      <c r="L72" s="1">
        <f t="shared" ref="L72:L79" si="50">+D72-H72</f>
        <v>795</v>
      </c>
      <c r="M72" s="1"/>
      <c r="N72" s="5">
        <f t="shared" ref="N72:N79" si="51">IF(H72=0,0,L72/H72)</f>
        <v>0</v>
      </c>
      <c r="O72" s="13"/>
      <c r="P72" s="1">
        <f>SUM(OSRRefP22_15x_0)</f>
        <v>3054.99</v>
      </c>
      <c r="Q72" s="1"/>
      <c r="R72" s="5">
        <f t="shared" ref="R72:R79" si="52">IF(P$12=0,0,P72/P$12)</f>
        <v>0</v>
      </c>
      <c r="S72" s="1"/>
      <c r="T72" s="1">
        <f>SUM(OSRRefT22_15x_0)</f>
        <v>2421</v>
      </c>
      <c r="U72" s="1"/>
      <c r="V72" s="5">
        <f t="shared" ref="V72:V79" si="53">IF(T$12=0,0,T72/T$12)</f>
        <v>0</v>
      </c>
      <c r="W72" s="1"/>
      <c r="X72" s="1">
        <f t="shared" ref="X72:X79" si="54">+P72-T72</f>
        <v>633.98999999999978</v>
      </c>
      <c r="Y72" s="1"/>
      <c r="Z72" s="5">
        <f t="shared" ref="Z72:Z79" si="55">IF(T72=0,0,X72/T72)</f>
        <v>0.26187112763320936</v>
      </c>
    </row>
    <row r="73" spans="1:26" s="24" customFormat="1" hidden="1" outlineLevel="2" x14ac:dyDescent="0.25">
      <c r="A73" s="26"/>
      <c r="B73" s="11" t="str">
        <f>CONCATENATE("          ", "6258", " - ", "MEMBERSHIP DUES")</f>
        <v xml:space="preserve">          6258 - MEMBERSHIP DUES</v>
      </c>
      <c r="C73" s="11"/>
      <c r="D73" s="6">
        <v>795</v>
      </c>
      <c r="E73" s="2"/>
      <c r="F73" s="7">
        <f t="shared" si="48"/>
        <v>0</v>
      </c>
      <c r="G73" s="2"/>
      <c r="H73" s="6"/>
      <c r="I73" s="2"/>
      <c r="J73" s="7">
        <f t="shared" si="49"/>
        <v>0</v>
      </c>
      <c r="K73" s="2"/>
      <c r="L73" s="6">
        <f t="shared" si="50"/>
        <v>795</v>
      </c>
      <c r="M73" s="2"/>
      <c r="N73" s="7">
        <f t="shared" si="51"/>
        <v>0</v>
      </c>
      <c r="O73" s="11"/>
      <c r="P73" s="6">
        <v>3054.99</v>
      </c>
      <c r="Q73" s="2"/>
      <c r="R73" s="7">
        <f t="shared" si="52"/>
        <v>0</v>
      </c>
      <c r="S73" s="2"/>
      <c r="T73" s="6">
        <v>2421</v>
      </c>
      <c r="U73" s="2"/>
      <c r="V73" s="7">
        <f t="shared" si="53"/>
        <v>0</v>
      </c>
      <c r="W73" s="2"/>
      <c r="X73" s="6">
        <f t="shared" si="54"/>
        <v>633.98999999999978</v>
      </c>
      <c r="Y73" s="2"/>
      <c r="Z73" s="7">
        <f t="shared" si="55"/>
        <v>0.26187112763320936</v>
      </c>
    </row>
    <row r="74" spans="1:26" s="25" customFormat="1" outlineLevel="1" collapsed="1" x14ac:dyDescent="0.25">
      <c r="A74" s="27"/>
      <c r="B74" s="13" t="str">
        <f>CONCATENATE("     ","Supplies                                          ")</f>
        <v xml:space="preserve">     Supplies                                          </v>
      </c>
      <c r="C74" s="13"/>
      <c r="D74" s="1">
        <f>SUM(OSRRefD22_16x_0)</f>
        <v>2119</v>
      </c>
      <c r="E74" s="1"/>
      <c r="F74" s="5">
        <f t="shared" si="48"/>
        <v>0</v>
      </c>
      <c r="G74" s="1"/>
      <c r="H74" s="1">
        <f>SUM(OSRRefH22_16x_0)</f>
        <v>2535.0300000000002</v>
      </c>
      <c r="I74" s="1"/>
      <c r="J74" s="5">
        <f t="shared" si="49"/>
        <v>0</v>
      </c>
      <c r="K74" s="1"/>
      <c r="L74" s="1">
        <f t="shared" si="50"/>
        <v>-416.0300000000002</v>
      </c>
      <c r="M74" s="1"/>
      <c r="N74" s="5">
        <f t="shared" si="51"/>
        <v>-0.16411245626284507</v>
      </c>
      <c r="O74" s="13"/>
      <c r="P74" s="1">
        <f>SUM(OSRRefP22_16x_0)</f>
        <v>2908.0699999999997</v>
      </c>
      <c r="Q74" s="1"/>
      <c r="R74" s="5">
        <f t="shared" si="52"/>
        <v>0</v>
      </c>
      <c r="S74" s="1"/>
      <c r="T74" s="1">
        <f>SUM(OSRRefT22_16x_0)</f>
        <v>51116.62</v>
      </c>
      <c r="U74" s="1"/>
      <c r="V74" s="5">
        <f t="shared" si="53"/>
        <v>0</v>
      </c>
      <c r="W74" s="1"/>
      <c r="X74" s="1">
        <f t="shared" si="54"/>
        <v>-48208.55</v>
      </c>
      <c r="Y74" s="1"/>
      <c r="Z74" s="5">
        <f t="shared" si="55"/>
        <v>-0.94310911010939302</v>
      </c>
    </row>
    <row r="75" spans="1:26" s="24" customFormat="1" hidden="1" outlineLevel="2" x14ac:dyDescent="0.25">
      <c r="A75" s="26"/>
      <c r="B75" s="11" t="str">
        <f>CONCATENATE("          ", "6234", " - ", "EXPENDABLE SUPPLIES &amp; EQUIPMEN")</f>
        <v xml:space="preserve">          6234 - EXPENDABLE SUPPLIES &amp; EQUIPMEN</v>
      </c>
      <c r="C75" s="11"/>
      <c r="D75" s="6"/>
      <c r="E75" s="2"/>
      <c r="F75" s="7">
        <f t="shared" si="48"/>
        <v>0</v>
      </c>
      <c r="G75" s="2"/>
      <c r="H75" s="6"/>
      <c r="I75" s="2"/>
      <c r="J75" s="7">
        <f t="shared" si="49"/>
        <v>0</v>
      </c>
      <c r="K75" s="2"/>
      <c r="L75" s="6">
        <f t="shared" si="50"/>
        <v>0</v>
      </c>
      <c r="M75" s="2"/>
      <c r="N75" s="7">
        <f t="shared" si="51"/>
        <v>0</v>
      </c>
      <c r="O75" s="11"/>
      <c r="P75" s="6"/>
      <c r="Q75" s="2"/>
      <c r="R75" s="7">
        <f t="shared" si="52"/>
        <v>0</v>
      </c>
      <c r="S75" s="2"/>
      <c r="T75" s="6">
        <v>1223.6099999999999</v>
      </c>
      <c r="U75" s="2"/>
      <c r="V75" s="7">
        <f t="shared" si="53"/>
        <v>0</v>
      </c>
      <c r="W75" s="2"/>
      <c r="X75" s="6">
        <f t="shared" si="54"/>
        <v>-1223.6099999999999</v>
      </c>
      <c r="Y75" s="2"/>
      <c r="Z75" s="7">
        <f t="shared" si="55"/>
        <v>-1</v>
      </c>
    </row>
    <row r="76" spans="1:26" s="24" customFormat="1" hidden="1" outlineLevel="2" x14ac:dyDescent="0.25">
      <c r="A76" s="26"/>
      <c r="B76" s="11" t="str">
        <f>CONCATENATE("          ", "6235", " - ", "COVID-19 EXPENSES")</f>
        <v xml:space="preserve">          6235 - COVID-19 EXPENSES</v>
      </c>
      <c r="C76" s="11"/>
      <c r="D76" s="6"/>
      <c r="E76" s="2"/>
      <c r="F76" s="7">
        <f t="shared" si="48"/>
        <v>0</v>
      </c>
      <c r="G76" s="2"/>
      <c r="H76" s="6"/>
      <c r="I76" s="2"/>
      <c r="J76" s="7">
        <f t="shared" si="49"/>
        <v>0</v>
      </c>
      <c r="K76" s="2"/>
      <c r="L76" s="6">
        <f t="shared" si="50"/>
        <v>0</v>
      </c>
      <c r="M76" s="2"/>
      <c r="N76" s="7">
        <f t="shared" si="51"/>
        <v>0</v>
      </c>
      <c r="O76" s="11"/>
      <c r="P76" s="6">
        <v>810.3</v>
      </c>
      <c r="Q76" s="2"/>
      <c r="R76" s="7">
        <f t="shared" si="52"/>
        <v>0</v>
      </c>
      <c r="S76" s="2"/>
      <c r="T76" s="6"/>
      <c r="U76" s="2"/>
      <c r="V76" s="7">
        <f t="shared" si="53"/>
        <v>0</v>
      </c>
      <c r="W76" s="2"/>
      <c r="X76" s="6">
        <f t="shared" si="54"/>
        <v>810.3</v>
      </c>
      <c r="Y76" s="2"/>
      <c r="Z76" s="7">
        <f t="shared" si="55"/>
        <v>0</v>
      </c>
    </row>
    <row r="77" spans="1:26" s="24" customFormat="1" hidden="1" outlineLevel="2" x14ac:dyDescent="0.25">
      <c r="A77" s="26"/>
      <c r="B77" s="11" t="str">
        <f>CONCATENATE("          ", "6241", " - ", "OFFICE EXPENSE")</f>
        <v xml:space="preserve">          6241 - OFFICE EXPENSE</v>
      </c>
      <c r="C77" s="11"/>
      <c r="D77" s="6">
        <v>2119</v>
      </c>
      <c r="E77" s="2"/>
      <c r="F77" s="7">
        <f t="shared" si="48"/>
        <v>0</v>
      </c>
      <c r="G77" s="2"/>
      <c r="H77" s="6">
        <v>2328.17</v>
      </c>
      <c r="I77" s="2"/>
      <c r="J77" s="7">
        <f t="shared" si="49"/>
        <v>0</v>
      </c>
      <c r="K77" s="2"/>
      <c r="L77" s="6">
        <f t="shared" si="50"/>
        <v>-209.17000000000007</v>
      </c>
      <c r="M77" s="2"/>
      <c r="N77" s="7">
        <f t="shared" si="51"/>
        <v>-8.9843095650231755E-2</v>
      </c>
      <c r="O77" s="11"/>
      <c r="P77" s="6">
        <v>1875.06</v>
      </c>
      <c r="Q77" s="2"/>
      <c r="R77" s="7">
        <f t="shared" si="52"/>
        <v>0</v>
      </c>
      <c r="S77" s="2"/>
      <c r="T77" s="6">
        <v>44640.83</v>
      </c>
      <c r="U77" s="2"/>
      <c r="V77" s="7">
        <f t="shared" si="53"/>
        <v>0</v>
      </c>
      <c r="W77" s="2"/>
      <c r="X77" s="6">
        <f t="shared" si="54"/>
        <v>-42765.770000000004</v>
      </c>
      <c r="Y77" s="2"/>
      <c r="Z77" s="7">
        <f t="shared" si="55"/>
        <v>-0.95799674871636575</v>
      </c>
    </row>
    <row r="78" spans="1:26" s="24" customFormat="1" hidden="1" outlineLevel="2" x14ac:dyDescent="0.25">
      <c r="A78" s="26"/>
      <c r="B78" s="11" t="str">
        <f>CONCATENATE("          ", "6244", " - ", "SAFETY SUPPLY EXPENSE")</f>
        <v xml:space="preserve">          6244 - SAFETY SUPPLY EXPENSE</v>
      </c>
      <c r="C78" s="11"/>
      <c r="D78" s="6"/>
      <c r="E78" s="2"/>
      <c r="F78" s="7">
        <f t="shared" si="48"/>
        <v>0</v>
      </c>
      <c r="G78" s="2"/>
      <c r="H78" s="6">
        <v>175</v>
      </c>
      <c r="I78" s="2"/>
      <c r="J78" s="7">
        <f t="shared" si="49"/>
        <v>0</v>
      </c>
      <c r="K78" s="2"/>
      <c r="L78" s="6">
        <f t="shared" si="50"/>
        <v>-175</v>
      </c>
      <c r="M78" s="2"/>
      <c r="N78" s="7">
        <f t="shared" si="51"/>
        <v>-1</v>
      </c>
      <c r="O78" s="11"/>
      <c r="P78" s="6">
        <v>222.71</v>
      </c>
      <c r="Q78" s="2"/>
      <c r="R78" s="7">
        <f t="shared" si="52"/>
        <v>0</v>
      </c>
      <c r="S78" s="2"/>
      <c r="T78" s="6">
        <v>2007.33</v>
      </c>
      <c r="U78" s="2"/>
      <c r="V78" s="7">
        <f t="shared" si="53"/>
        <v>0</v>
      </c>
      <c r="W78" s="2"/>
      <c r="X78" s="6">
        <f t="shared" si="54"/>
        <v>-1784.62</v>
      </c>
      <c r="Y78" s="2"/>
      <c r="Z78" s="7">
        <f t="shared" si="55"/>
        <v>-0.88905162579147423</v>
      </c>
    </row>
    <row r="79" spans="1:26" s="24" customFormat="1" hidden="1" outlineLevel="2" x14ac:dyDescent="0.25">
      <c r="A79" s="26"/>
      <c r="B79" s="11" t="str">
        <f>CONCATENATE("          ", "6245", " - ", "PRINTING")</f>
        <v xml:space="preserve">          6245 - PRINTING</v>
      </c>
      <c r="C79" s="11"/>
      <c r="D79" s="6"/>
      <c r="E79" s="2"/>
      <c r="F79" s="7">
        <f t="shared" si="48"/>
        <v>0</v>
      </c>
      <c r="G79" s="2"/>
      <c r="H79" s="6">
        <v>31.86</v>
      </c>
      <c r="I79" s="2"/>
      <c r="J79" s="7">
        <f t="shared" si="49"/>
        <v>0</v>
      </c>
      <c r="K79" s="2"/>
      <c r="L79" s="6">
        <f t="shared" si="50"/>
        <v>-31.86</v>
      </c>
      <c r="M79" s="2"/>
      <c r="N79" s="7">
        <f t="shared" si="51"/>
        <v>-1</v>
      </c>
      <c r="O79" s="11"/>
      <c r="P79" s="6"/>
      <c r="Q79" s="2"/>
      <c r="R79" s="7">
        <f t="shared" si="52"/>
        <v>0</v>
      </c>
      <c r="S79" s="2"/>
      <c r="T79" s="6">
        <v>3244.85</v>
      </c>
      <c r="U79" s="2"/>
      <c r="V79" s="7">
        <f t="shared" si="53"/>
        <v>0</v>
      </c>
      <c r="W79" s="2"/>
      <c r="X79" s="6">
        <f t="shared" si="54"/>
        <v>-3244.85</v>
      </c>
      <c r="Y79" s="2"/>
      <c r="Z79" s="7">
        <f t="shared" si="55"/>
        <v>-1</v>
      </c>
    </row>
    <row r="80" spans="1:26" s="25" customFormat="1" outlineLevel="1" collapsed="1" x14ac:dyDescent="0.25">
      <c r="A80" s="27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SUM(OSRRefD22_17x_0)</f>
        <v>2681.8799999999997</v>
      </c>
      <c r="E80" s="1"/>
      <c r="F80" s="5">
        <f t="shared" ref="F80:F82" si="56">IF(D$12=0,0,D80/D$12)</f>
        <v>0</v>
      </c>
      <c r="G80" s="1"/>
      <c r="H80" s="1">
        <f>SUM(OSRRefH22_17x_0)</f>
        <v>2095.08</v>
      </c>
      <c r="I80" s="1"/>
      <c r="J80" s="5">
        <f t="shared" ref="J80:J82" si="57">IF(H$12=0,0,H80/H$12)</f>
        <v>0</v>
      </c>
      <c r="K80" s="1"/>
      <c r="L80" s="1">
        <f t="shared" ref="L80:L82" si="58">+D80-H80</f>
        <v>586.79999999999973</v>
      </c>
      <c r="M80" s="1"/>
      <c r="N80" s="5">
        <f t="shared" ref="N80:N82" si="59">IF(H80=0,0,L80/H80)</f>
        <v>0.28008477003264781</v>
      </c>
      <c r="O80" s="13"/>
      <c r="P80" s="1">
        <f>SUM(OSRRefP22_17x_0)</f>
        <v>17351.02</v>
      </c>
      <c r="Q80" s="1"/>
      <c r="R80" s="5">
        <f t="shared" ref="R80:R82" si="60">IF(P$12=0,0,P80/P$12)</f>
        <v>0</v>
      </c>
      <c r="S80" s="1"/>
      <c r="T80" s="1">
        <f>SUM(OSRRefT22_17x_0)</f>
        <v>20877.61</v>
      </c>
      <c r="U80" s="1"/>
      <c r="V80" s="5">
        <f t="shared" ref="V80:V82" si="61">IF(T$12=0,0,T80/T$12)</f>
        <v>0</v>
      </c>
      <c r="W80" s="1"/>
      <c r="X80" s="1">
        <f t="shared" ref="X80:X82" si="62">+P80-T80</f>
        <v>-3526.59</v>
      </c>
      <c r="Y80" s="1"/>
      <c r="Z80" s="5">
        <f t="shared" ref="Z80:Z82" si="63">IF(T80=0,0,X80/T80)</f>
        <v>-0.1689173233909437</v>
      </c>
    </row>
    <row r="81" spans="1:26" s="24" customFormat="1" hidden="1" outlineLevel="2" x14ac:dyDescent="0.25">
      <c r="A81" s="26"/>
      <c r="B81" s="11" t="str">
        <f>CONCATENATE("          ", "6303", " - ", "DATA PHONE LINES")</f>
        <v xml:space="preserve">          6303 - DATA PHONE LINES</v>
      </c>
      <c r="C81" s="11"/>
      <c r="D81" s="6">
        <v>78.989999999999995</v>
      </c>
      <c r="E81" s="2"/>
      <c r="F81" s="7">
        <f t="shared" si="56"/>
        <v>0</v>
      </c>
      <c r="G81" s="2"/>
      <c r="H81" s="6">
        <v>143.97999999999999</v>
      </c>
      <c r="I81" s="2"/>
      <c r="J81" s="7">
        <f t="shared" si="57"/>
        <v>0</v>
      </c>
      <c r="K81" s="2"/>
      <c r="L81" s="6">
        <f t="shared" si="58"/>
        <v>-64.989999999999995</v>
      </c>
      <c r="M81" s="2"/>
      <c r="N81" s="7">
        <f t="shared" si="59"/>
        <v>-0.45138213640783442</v>
      </c>
      <c r="O81" s="11"/>
      <c r="P81" s="6">
        <v>1002.87</v>
      </c>
      <c r="Q81" s="2"/>
      <c r="R81" s="7">
        <f t="shared" si="60"/>
        <v>0</v>
      </c>
      <c r="S81" s="2"/>
      <c r="T81" s="6">
        <v>1249.04</v>
      </c>
      <c r="U81" s="2"/>
      <c r="V81" s="7">
        <f t="shared" si="61"/>
        <v>0</v>
      </c>
      <c r="W81" s="2"/>
      <c r="X81" s="6">
        <f t="shared" si="62"/>
        <v>-246.16999999999996</v>
      </c>
      <c r="Y81" s="2"/>
      <c r="Z81" s="7">
        <f t="shared" si="63"/>
        <v>-0.19708736309485683</v>
      </c>
    </row>
    <row r="82" spans="1:26" s="24" customFormat="1" hidden="1" outlineLevel="2" x14ac:dyDescent="0.25">
      <c r="A82" s="26"/>
      <c r="B82" s="11" t="str">
        <f>CONCATENATE("          ", "6309", " - ", "TELEPHONE")</f>
        <v xml:space="preserve">          6309 - TELEPHONE</v>
      </c>
      <c r="C82" s="11"/>
      <c r="D82" s="6">
        <v>2602.89</v>
      </c>
      <c r="E82" s="2"/>
      <c r="F82" s="7">
        <f t="shared" si="56"/>
        <v>0</v>
      </c>
      <c r="G82" s="2"/>
      <c r="H82" s="6">
        <v>1951.1</v>
      </c>
      <c r="I82" s="2"/>
      <c r="J82" s="7">
        <f t="shared" si="57"/>
        <v>0</v>
      </c>
      <c r="K82" s="2"/>
      <c r="L82" s="6">
        <f t="shared" si="58"/>
        <v>651.79</v>
      </c>
      <c r="M82" s="2"/>
      <c r="N82" s="7">
        <f t="shared" si="59"/>
        <v>0.33406283634872636</v>
      </c>
      <c r="O82" s="11"/>
      <c r="P82" s="6">
        <v>16348.150000000001</v>
      </c>
      <c r="Q82" s="2"/>
      <c r="R82" s="7">
        <f t="shared" si="60"/>
        <v>0</v>
      </c>
      <c r="S82" s="2"/>
      <c r="T82" s="6">
        <v>19628.57</v>
      </c>
      <c r="U82" s="2"/>
      <c r="V82" s="7">
        <f t="shared" si="61"/>
        <v>0</v>
      </c>
      <c r="W82" s="2"/>
      <c r="X82" s="6">
        <f t="shared" si="62"/>
        <v>-3280.4199999999983</v>
      </c>
      <c r="Y82" s="2"/>
      <c r="Z82" s="7">
        <f t="shared" si="63"/>
        <v>-0.16712475743266056</v>
      </c>
    </row>
    <row r="83" spans="1:26" s="25" customFormat="1" outlineLevel="1" collapsed="1" x14ac:dyDescent="0.25">
      <c r="A83" s="27"/>
      <c r="B83" s="13" t="str">
        <f>CONCATENATE("     ","Training                                          ")</f>
        <v xml:space="preserve">     Training                                          </v>
      </c>
      <c r="C83" s="13"/>
      <c r="D83" s="1">
        <f>SUM(OSRRefD22_18x_0)</f>
        <v>150</v>
      </c>
      <c r="E83" s="1"/>
      <c r="F83" s="5">
        <f t="shared" ref="F83:F87" si="64">IF(D$12=0,0,D83/D$12)</f>
        <v>0</v>
      </c>
      <c r="G83" s="1"/>
      <c r="H83" s="1">
        <f>SUM(OSRRefH22_18x_0)</f>
        <v>2816.37</v>
      </c>
      <c r="I83" s="1"/>
      <c r="J83" s="5">
        <f t="shared" ref="J83:J87" si="65">IF(H$12=0,0,H83/H$12)</f>
        <v>0</v>
      </c>
      <c r="K83" s="1"/>
      <c r="L83" s="1">
        <f t="shared" ref="L83:L87" si="66">+D83-H83</f>
        <v>-2666.37</v>
      </c>
      <c r="M83" s="1"/>
      <c r="N83" s="5">
        <f t="shared" ref="N83:N87" si="67">IF(H83=0,0,L83/H83)</f>
        <v>-0.94673995249203757</v>
      </c>
      <c r="O83" s="13"/>
      <c r="P83" s="1">
        <f>SUM(OSRRefP22_18x_0)</f>
        <v>1826.5</v>
      </c>
      <c r="Q83" s="1"/>
      <c r="R83" s="5">
        <f t="shared" ref="R83:R87" si="68">IF(P$12=0,0,P83/P$12)</f>
        <v>0</v>
      </c>
      <c r="S83" s="1"/>
      <c r="T83" s="1">
        <f>SUM(OSRRefT22_18x_0)</f>
        <v>17536.030000000002</v>
      </c>
      <c r="U83" s="1"/>
      <c r="V83" s="5">
        <f t="shared" ref="V83:V87" si="69">IF(T$12=0,0,T83/T$12)</f>
        <v>0</v>
      </c>
      <c r="W83" s="1"/>
      <c r="X83" s="1">
        <f t="shared" ref="X83:X87" si="70">+P83-T83</f>
        <v>-15709.530000000002</v>
      </c>
      <c r="Y83" s="1"/>
      <c r="Z83" s="5">
        <f t="shared" ref="Z83:Z87" si="71">IF(T83=0,0,X83/T83)</f>
        <v>-0.89584301577951231</v>
      </c>
    </row>
    <row r="84" spans="1:26" s="24" customFormat="1" hidden="1" outlineLevel="2" x14ac:dyDescent="0.25">
      <c r="A84" s="26"/>
      <c r="B84" s="11" t="str">
        <f>CONCATENATE("          ", "6376", " - ", "TRAINING")</f>
        <v xml:space="preserve">          6376 - TRAINING</v>
      </c>
      <c r="C84" s="11"/>
      <c r="D84" s="6">
        <v>150</v>
      </c>
      <c r="E84" s="2"/>
      <c r="F84" s="7">
        <f t="shared" si="64"/>
        <v>0</v>
      </c>
      <c r="G84" s="2"/>
      <c r="H84" s="6">
        <v>2816.37</v>
      </c>
      <c r="I84" s="2"/>
      <c r="J84" s="7">
        <f t="shared" si="65"/>
        <v>0</v>
      </c>
      <c r="K84" s="2"/>
      <c r="L84" s="6">
        <f t="shared" si="66"/>
        <v>-2666.37</v>
      </c>
      <c r="M84" s="2"/>
      <c r="N84" s="7">
        <f t="shared" si="67"/>
        <v>-0.94673995249203757</v>
      </c>
      <c r="O84" s="11"/>
      <c r="P84" s="6">
        <v>1826.5</v>
      </c>
      <c r="Q84" s="2"/>
      <c r="R84" s="7">
        <f t="shared" si="68"/>
        <v>0</v>
      </c>
      <c r="S84" s="2"/>
      <c r="T84" s="6">
        <v>17536.030000000002</v>
      </c>
      <c r="U84" s="2"/>
      <c r="V84" s="7">
        <f t="shared" si="69"/>
        <v>0</v>
      </c>
      <c r="W84" s="2"/>
      <c r="X84" s="6">
        <f t="shared" si="70"/>
        <v>-15709.530000000002</v>
      </c>
      <c r="Y84" s="2"/>
      <c r="Z84" s="7">
        <f t="shared" si="71"/>
        <v>-0.89584301577951231</v>
      </c>
    </row>
    <row r="85" spans="1:26" s="25" customFormat="1" outlineLevel="1" collapsed="1" x14ac:dyDescent="0.25">
      <c r="A85" s="27"/>
      <c r="B85" s="13" t="str">
        <f>CONCATENATE("     ","Travel                                            ")</f>
        <v xml:space="preserve">     Travel                                            </v>
      </c>
      <c r="C85" s="13"/>
      <c r="D85" s="1">
        <f>SUM(OSRRefD22_19x_0)</f>
        <v>0</v>
      </c>
      <c r="E85" s="1"/>
      <c r="F85" s="5">
        <f t="shared" si="64"/>
        <v>0</v>
      </c>
      <c r="G85" s="1"/>
      <c r="H85" s="1">
        <f>SUM(OSRRefH22_19x_0)</f>
        <v>3898.98</v>
      </c>
      <c r="I85" s="1"/>
      <c r="J85" s="5">
        <f t="shared" si="65"/>
        <v>0</v>
      </c>
      <c r="K85" s="1"/>
      <c r="L85" s="1">
        <f t="shared" si="66"/>
        <v>-3898.98</v>
      </c>
      <c r="M85" s="1"/>
      <c r="N85" s="5">
        <f t="shared" si="67"/>
        <v>-1</v>
      </c>
      <c r="O85" s="13"/>
      <c r="P85" s="1">
        <f>SUM(OSRRefP22_19x_0)</f>
        <v>787.81999999999994</v>
      </c>
      <c r="Q85" s="1"/>
      <c r="R85" s="5">
        <f t="shared" si="68"/>
        <v>0</v>
      </c>
      <c r="S85" s="1"/>
      <c r="T85" s="1">
        <f>SUM(OSRRefT22_19x_0)</f>
        <v>12860.449999999999</v>
      </c>
      <c r="U85" s="1"/>
      <c r="V85" s="5">
        <f t="shared" si="69"/>
        <v>0</v>
      </c>
      <c r="W85" s="1"/>
      <c r="X85" s="1">
        <f t="shared" si="70"/>
        <v>-12072.63</v>
      </c>
      <c r="Y85" s="1"/>
      <c r="Z85" s="5">
        <f t="shared" si="71"/>
        <v>-0.93874086832109294</v>
      </c>
    </row>
    <row r="86" spans="1:26" s="24" customFormat="1" hidden="1" outlineLevel="2" x14ac:dyDescent="0.25">
      <c r="A86" s="26"/>
      <c r="B86" s="11" t="str">
        <f>CONCATENATE("          ", "6292", " - ", "TRAVEL/CONFERENCE")</f>
        <v xml:space="preserve">          6292 - TRAVEL/CONFERENCE</v>
      </c>
      <c r="C86" s="11"/>
      <c r="D86" s="6"/>
      <c r="E86" s="2"/>
      <c r="F86" s="7">
        <f t="shared" si="64"/>
        <v>0</v>
      </c>
      <c r="G86" s="2"/>
      <c r="H86" s="6">
        <v>3898.98</v>
      </c>
      <c r="I86" s="2"/>
      <c r="J86" s="7">
        <f t="shared" si="65"/>
        <v>0</v>
      </c>
      <c r="K86" s="2"/>
      <c r="L86" s="6">
        <f t="shared" si="66"/>
        <v>-3898.98</v>
      </c>
      <c r="M86" s="2"/>
      <c r="N86" s="7">
        <f t="shared" si="67"/>
        <v>-1</v>
      </c>
      <c r="O86" s="11"/>
      <c r="P86" s="6">
        <v>720</v>
      </c>
      <c r="Q86" s="2"/>
      <c r="R86" s="7">
        <f t="shared" si="68"/>
        <v>0</v>
      </c>
      <c r="S86" s="2"/>
      <c r="T86" s="6">
        <v>12836.55</v>
      </c>
      <c r="U86" s="2"/>
      <c r="V86" s="7">
        <f t="shared" si="69"/>
        <v>0</v>
      </c>
      <c r="W86" s="2"/>
      <c r="X86" s="6">
        <f t="shared" si="70"/>
        <v>-12116.55</v>
      </c>
      <c r="Y86" s="2"/>
      <c r="Z86" s="7">
        <f t="shared" si="71"/>
        <v>-0.94391016277738182</v>
      </c>
    </row>
    <row r="87" spans="1:26" s="24" customFormat="1" hidden="1" outlineLevel="2" x14ac:dyDescent="0.25">
      <c r="A87" s="26"/>
      <c r="B87" s="11" t="str">
        <f>CONCATENATE("          ", "6294", " - ", "TRAVEL OPERATIONAL")</f>
        <v xml:space="preserve">          6294 - TRAVEL OPERATIONAL</v>
      </c>
      <c r="C87" s="11"/>
      <c r="D87" s="6"/>
      <c r="E87" s="2"/>
      <c r="F87" s="7">
        <f t="shared" si="64"/>
        <v>0</v>
      </c>
      <c r="G87" s="2"/>
      <c r="H87" s="6"/>
      <c r="I87" s="2"/>
      <c r="J87" s="7">
        <f t="shared" si="65"/>
        <v>0</v>
      </c>
      <c r="K87" s="2"/>
      <c r="L87" s="6">
        <f t="shared" si="66"/>
        <v>0</v>
      </c>
      <c r="M87" s="2"/>
      <c r="N87" s="7">
        <f t="shared" si="67"/>
        <v>0</v>
      </c>
      <c r="O87" s="11"/>
      <c r="P87" s="6">
        <v>67.819999999999993</v>
      </c>
      <c r="Q87" s="2"/>
      <c r="R87" s="7">
        <f t="shared" si="68"/>
        <v>0</v>
      </c>
      <c r="S87" s="2"/>
      <c r="T87" s="6">
        <v>23.9</v>
      </c>
      <c r="U87" s="2"/>
      <c r="V87" s="7">
        <f t="shared" si="69"/>
        <v>0</v>
      </c>
      <c r="W87" s="2"/>
      <c r="X87" s="6">
        <f t="shared" si="70"/>
        <v>43.919999999999995</v>
      </c>
      <c r="Y87" s="2"/>
      <c r="Z87" s="7">
        <f t="shared" si="71"/>
        <v>1.8376569037656902</v>
      </c>
    </row>
    <row r="88" spans="1:26" s="52" customFormat="1" x14ac:dyDescent="0.25">
      <c r="A88" s="37"/>
      <c r="B88" s="37"/>
      <c r="C88" s="37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7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8" t="s">
        <v>0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9" t="s">
        <v>3</v>
      </c>
      <c r="C91" s="29"/>
      <c r="D91" s="22">
        <f>+D16-D18+D89</f>
        <v>-217201.57</v>
      </c>
      <c r="E91" s="14"/>
      <c r="F91" s="20">
        <f>IF(D$12=0,0,D91/D$12)</f>
        <v>0</v>
      </c>
      <c r="G91" s="14"/>
      <c r="H91" s="22">
        <f>+H16-H18+H89</f>
        <v>-301907.7</v>
      </c>
      <c r="I91" s="14"/>
      <c r="J91" s="20">
        <f>IF(H$12=0,0,H91/H$12)</f>
        <v>0</v>
      </c>
      <c r="K91" s="16"/>
      <c r="L91" s="22">
        <f>+D91-H91</f>
        <v>84706.13</v>
      </c>
      <c r="M91" s="16"/>
      <c r="N91" s="20">
        <f>IF(H91=0,0,L91/H91)</f>
        <v>-0.28056962442494843</v>
      </c>
      <c r="O91" s="28"/>
      <c r="P91" s="22">
        <f>+P16-P18+P89</f>
        <v>-1416230.2300000004</v>
      </c>
      <c r="Q91" s="14"/>
      <c r="R91" s="20">
        <f>IF(P$12=0,0,P91/P$12)</f>
        <v>0</v>
      </c>
      <c r="S91" s="14"/>
      <c r="T91" s="22">
        <f>+T16-T18+T89</f>
        <v>-2568216.0200000005</v>
      </c>
      <c r="U91" s="14"/>
      <c r="V91" s="20">
        <f>IF(T$12=0,0,T91/T$12)</f>
        <v>0</v>
      </c>
      <c r="W91" s="16"/>
      <c r="X91" s="22">
        <f>+P91-T91</f>
        <v>1151985.79</v>
      </c>
      <c r="Y91" s="16"/>
      <c r="Z91" s="20">
        <f>IF(T91=0,0,X91/T91)</f>
        <v>-0.44855486494473307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1"/>
      <c r="B93" s="10" t="s">
        <v>13</v>
      </c>
      <c r="C93" s="10"/>
      <c r="D93" s="4"/>
      <c r="E93" s="4"/>
      <c r="F93" s="12">
        <f>IF(D$12=0,0,D93/D$12)</f>
        <v>0</v>
      </c>
      <c r="G93" s="4"/>
      <c r="H93" s="4"/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/>
      <c r="Q93" s="4"/>
      <c r="R93" s="12">
        <f>IF(P$12=0,0,P93/P$12)</f>
        <v>0</v>
      </c>
      <c r="S93" s="4"/>
      <c r="T93" s="4"/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9" t="s">
        <v>4</v>
      </c>
      <c r="C95" s="29"/>
      <c r="D95" s="35">
        <f>+D91-D93</f>
        <v>-217201.57</v>
      </c>
      <c r="E95" s="14"/>
      <c r="F95" s="36">
        <f>IF(D$12=0,0,D95/D$12)</f>
        <v>0</v>
      </c>
      <c r="G95" s="14"/>
      <c r="H95" s="35">
        <f>+H91-H93</f>
        <v>-301907.7</v>
      </c>
      <c r="I95" s="14"/>
      <c r="J95" s="36">
        <f>IF(H$12=0,0,H95/H$12)</f>
        <v>0</v>
      </c>
      <c r="K95" s="16"/>
      <c r="L95" s="35">
        <f>D95-H95</f>
        <v>84706.13</v>
      </c>
      <c r="M95" s="16"/>
      <c r="N95" s="36">
        <f>IF(H95=0,0,L95/H95)</f>
        <v>-0.28056962442494843</v>
      </c>
      <c r="O95" s="28"/>
      <c r="P95" s="35">
        <f>+P91-P93</f>
        <v>-1416230.2300000004</v>
      </c>
      <c r="Q95" s="14"/>
      <c r="R95" s="36">
        <f>IF(P$12=0,0,P95/P$12)</f>
        <v>0</v>
      </c>
      <c r="S95" s="14"/>
      <c r="T95" s="35">
        <f>+T91-T93</f>
        <v>-2568216.0200000005</v>
      </c>
      <c r="U95" s="14"/>
      <c r="V95" s="36">
        <f>IF(T$12=0,0,T95/T$12)</f>
        <v>0</v>
      </c>
      <c r="W95" s="16"/>
      <c r="X95" s="35">
        <f>P95-T95</f>
        <v>1151985.79</v>
      </c>
      <c r="Y95" s="16"/>
      <c r="Z95" s="36">
        <f>IF(T95=0,0,X95/T95)</f>
        <v>-0.44855486494473307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9" t="s">
        <v>5</v>
      </c>
      <c r="C98" s="29"/>
      <c r="D98" s="31">
        <f>SUM(D95:D97)</f>
        <v>-217201.57</v>
      </c>
      <c r="E98" s="14"/>
      <c r="F98" s="33">
        <f>IF(D$12=0,0,D98/D$12)</f>
        <v>0</v>
      </c>
      <c r="G98" s="14"/>
      <c r="H98" s="31">
        <f>SUM(H95:H97)</f>
        <v>-301907.7</v>
      </c>
      <c r="I98" s="14"/>
      <c r="J98" s="33">
        <f>IF(H$12=0,0,H98/H$12)</f>
        <v>0</v>
      </c>
      <c r="K98" s="16"/>
      <c r="L98" s="31">
        <f>+D98-H98</f>
        <v>84706.13</v>
      </c>
      <c r="M98" s="16"/>
      <c r="N98" s="33">
        <f>IF(H98=0,0,L98/H98)</f>
        <v>-0.28056962442494843</v>
      </c>
      <c r="O98" s="28"/>
      <c r="P98" s="31">
        <f>SUM(P95:P97)</f>
        <v>-1416230.2300000004</v>
      </c>
      <c r="Q98" s="14"/>
      <c r="R98" s="33">
        <f>IF(P$12=0,0,P98/P$12)</f>
        <v>0</v>
      </c>
      <c r="S98" s="14"/>
      <c r="T98" s="31">
        <f>SUM(T95:T97)</f>
        <v>-2568216.0200000005</v>
      </c>
      <c r="U98" s="14"/>
      <c r="V98" s="33">
        <f>IF(T$12=0,0,T98/T$12)</f>
        <v>0</v>
      </c>
      <c r="W98" s="16"/>
      <c r="X98" s="31">
        <f>+P98-T98</f>
        <v>1151985.79</v>
      </c>
      <c r="Y98" s="16"/>
      <c r="Z98" s="33">
        <f>IF(T98=0,0,X98/T98)</f>
        <v>-0.44855486494473307</v>
      </c>
    </row>
    <row r="99" spans="1:26" ht="15.75" thickTop="1" x14ac:dyDescent="0.25">
      <c r="A99" s="9"/>
      <c r="C99" s="9"/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25">
      <c r="A100" s="9"/>
      <c r="B100" s="56">
        <v>44267.667759606484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4" t="s">
        <v>313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8"/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","200", " - ", "Corporate Expense")</f>
        <v>Department 200 - Corporate Expense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28807.309999999998</v>
      </c>
      <c r="E18" s="21"/>
      <c r="F18" s="32">
        <f t="shared" ref="F18:F29" si="0">IF(D$12=0,0,D18/D$12)</f>
        <v>0</v>
      </c>
      <c r="G18" s="21"/>
      <c r="H18" s="21">
        <f>SUM(OSRRefH22x_0)</f>
        <v>53371.14</v>
      </c>
      <c r="I18" s="21"/>
      <c r="J18" s="32">
        <f t="shared" ref="J18:J29" si="1">IF(H$12=0,0,H18/H$12)</f>
        <v>0</v>
      </c>
      <c r="K18" s="4"/>
      <c r="L18" s="21">
        <f t="shared" ref="L18:L29" si="2">+D18-H18</f>
        <v>-24563.83</v>
      </c>
      <c r="M18" s="4"/>
      <c r="N18" s="32">
        <f t="shared" ref="N18:N29" si="3">IF(H18=0,0,L18/H18)</f>
        <v>-0.46024555593153904</v>
      </c>
      <c r="O18" s="10"/>
      <c r="P18" s="21">
        <f>SUM(OSRRefP22x_0)</f>
        <v>-110820.37999999998</v>
      </c>
      <c r="Q18" s="21"/>
      <c r="R18" s="32">
        <f t="shared" ref="R18:R29" si="4">IF(P$12=0,0,P18/P$12)</f>
        <v>0</v>
      </c>
      <c r="S18" s="21"/>
      <c r="T18" s="21">
        <f>SUM(OSRRefT22x_0)</f>
        <v>464322.66</v>
      </c>
      <c r="U18" s="21"/>
      <c r="V18" s="32">
        <f t="shared" ref="V18:V29" si="5">IF(T$12=0,0,T18/T$12)</f>
        <v>0</v>
      </c>
      <c r="W18" s="4"/>
      <c r="X18" s="21">
        <f t="shared" ref="X18:X29" si="6">+P18-T18</f>
        <v>-575143.03999999992</v>
      </c>
      <c r="Y18" s="4"/>
      <c r="Z18" s="32">
        <f t="shared" ref="Z18:Z29" si="7">IF(T18=0,0,X18/T18)</f>
        <v>-1.2386710568896206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28124.68</v>
      </c>
      <c r="E19" s="1"/>
      <c r="F19" s="5">
        <f t="shared" si="0"/>
        <v>0</v>
      </c>
      <c r="G19" s="1"/>
      <c r="H19" s="1">
        <f>SUM(OSRRefH22_0x_0)</f>
        <v>29239.74</v>
      </c>
      <c r="I19" s="1"/>
      <c r="J19" s="5">
        <f t="shared" si="1"/>
        <v>0</v>
      </c>
      <c r="K19" s="1"/>
      <c r="L19" s="1">
        <f t="shared" si="2"/>
        <v>-1115.0600000000013</v>
      </c>
      <c r="M19" s="1"/>
      <c r="N19" s="5">
        <f t="shared" si="3"/>
        <v>-3.8135086016496768E-2</v>
      </c>
      <c r="O19" s="13"/>
      <c r="P19" s="1">
        <f>SUM(OSRRefP22_0x_0)</f>
        <v>-161067.91999999998</v>
      </c>
      <c r="Q19" s="1"/>
      <c r="R19" s="5">
        <f t="shared" si="4"/>
        <v>0</v>
      </c>
      <c r="S19" s="1"/>
      <c r="T19" s="1">
        <f>SUM(OSRRefT22_0x_0)</f>
        <v>235517.99</v>
      </c>
      <c r="U19" s="1"/>
      <c r="V19" s="5">
        <f t="shared" si="5"/>
        <v>0</v>
      </c>
      <c r="W19" s="1"/>
      <c r="X19" s="1">
        <f t="shared" si="6"/>
        <v>-396585.91</v>
      </c>
      <c r="Y19" s="1"/>
      <c r="Z19" s="5">
        <f t="shared" si="7"/>
        <v>-1.6838879696621052</v>
      </c>
    </row>
    <row r="20" spans="1:26" s="24" customFormat="1" hidden="1" outlineLevel="2" x14ac:dyDescent="0.25">
      <c r="A20" s="26"/>
      <c r="B20" s="11" t="str">
        <f>CONCATENATE("          ", "6120", " - ", "RETIREES HEALTH INSURANCE")</f>
        <v xml:space="preserve">          6120 - RETIREES HEALTH INSURANCE</v>
      </c>
      <c r="C20" s="11"/>
      <c r="D20" s="6">
        <v>28124.68</v>
      </c>
      <c r="E20" s="2"/>
      <c r="F20" s="7">
        <f t="shared" si="0"/>
        <v>0</v>
      </c>
      <c r="G20" s="2"/>
      <c r="H20" s="6">
        <v>29239.74</v>
      </c>
      <c r="I20" s="2"/>
      <c r="J20" s="7">
        <f t="shared" si="1"/>
        <v>0</v>
      </c>
      <c r="K20" s="2"/>
      <c r="L20" s="6">
        <f t="shared" si="2"/>
        <v>-1115.0600000000013</v>
      </c>
      <c r="M20" s="2"/>
      <c r="N20" s="7">
        <f t="shared" si="3"/>
        <v>-3.8135086016496768E-2</v>
      </c>
      <c r="O20" s="11"/>
      <c r="P20" s="6">
        <v>-161067.91999999998</v>
      </c>
      <c r="Q20" s="2"/>
      <c r="R20" s="7">
        <f t="shared" si="4"/>
        <v>0</v>
      </c>
      <c r="S20" s="2"/>
      <c r="T20" s="6">
        <v>235517.99</v>
      </c>
      <c r="U20" s="2"/>
      <c r="V20" s="7">
        <f t="shared" si="5"/>
        <v>0</v>
      </c>
      <c r="W20" s="2"/>
      <c r="X20" s="6">
        <f t="shared" si="6"/>
        <v>-396585.91</v>
      </c>
      <c r="Y20" s="2"/>
      <c r="Z20" s="7">
        <f t="shared" si="7"/>
        <v>-1.6838879696621052</v>
      </c>
    </row>
    <row r="21" spans="1:26" s="25" customFormat="1" outlineLevel="1" collapsed="1" x14ac:dyDescent="0.25">
      <c r="A21" s="27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SUM(OSRRefD22_1x_0)</f>
        <v>135.87</v>
      </c>
      <c r="E21" s="1"/>
      <c r="F21" s="5">
        <f t="shared" si="0"/>
        <v>0</v>
      </c>
      <c r="G21" s="1"/>
      <c r="H21" s="1">
        <f>SUM(OSRRefH22_1x_0)</f>
        <v>1218.07</v>
      </c>
      <c r="I21" s="1"/>
      <c r="J21" s="5">
        <f t="shared" si="1"/>
        <v>0</v>
      </c>
      <c r="K21" s="1"/>
      <c r="L21" s="1">
        <f t="shared" si="2"/>
        <v>-1082.1999999999998</v>
      </c>
      <c r="M21" s="1"/>
      <c r="N21" s="5">
        <f t="shared" si="3"/>
        <v>-0.88845468651226933</v>
      </c>
      <c r="O21" s="13"/>
      <c r="P21" s="1">
        <f>SUM(OSRRefP22_1x_0)</f>
        <v>5118.54</v>
      </c>
      <c r="Q21" s="1"/>
      <c r="R21" s="5">
        <f t="shared" si="4"/>
        <v>0</v>
      </c>
      <c r="S21" s="1"/>
      <c r="T21" s="1">
        <f>SUM(OSRRefT22_1x_0)</f>
        <v>39562.39</v>
      </c>
      <c r="U21" s="1"/>
      <c r="V21" s="5">
        <f t="shared" si="5"/>
        <v>0</v>
      </c>
      <c r="W21" s="1"/>
      <c r="X21" s="1">
        <f t="shared" si="6"/>
        <v>-34443.85</v>
      </c>
      <c r="Y21" s="1"/>
      <c r="Z21" s="5">
        <f t="shared" si="7"/>
        <v>-0.87062106207435896</v>
      </c>
    </row>
    <row r="22" spans="1:26" s="24" customFormat="1" hidden="1" outlineLevel="2" x14ac:dyDescent="0.25">
      <c r="A22" s="26"/>
      <c r="B22" s="11" t="str">
        <f>CONCATENATE("          ", "6381", " - ", "BANK/CREDIT CARD FEES")</f>
        <v xml:space="preserve">          6381 - BANK/CREDIT CARD FEES</v>
      </c>
      <c r="C22" s="11"/>
      <c r="D22" s="6">
        <v>135.87</v>
      </c>
      <c r="E22" s="2"/>
      <c r="F22" s="7">
        <f t="shared" si="0"/>
        <v>0</v>
      </c>
      <c r="G22" s="2"/>
      <c r="H22" s="6">
        <v>1218.07</v>
      </c>
      <c r="I22" s="2"/>
      <c r="J22" s="7">
        <f t="shared" si="1"/>
        <v>0</v>
      </c>
      <c r="K22" s="2"/>
      <c r="L22" s="6">
        <f t="shared" si="2"/>
        <v>-1082.1999999999998</v>
      </c>
      <c r="M22" s="2"/>
      <c r="N22" s="7">
        <f t="shared" si="3"/>
        <v>-0.88845468651226933</v>
      </c>
      <c r="O22" s="11"/>
      <c r="P22" s="6">
        <v>5118.54</v>
      </c>
      <c r="Q22" s="2"/>
      <c r="R22" s="7">
        <f t="shared" si="4"/>
        <v>0</v>
      </c>
      <c r="S22" s="2"/>
      <c r="T22" s="6">
        <v>39562.39</v>
      </c>
      <c r="U22" s="2"/>
      <c r="V22" s="7">
        <f t="shared" si="5"/>
        <v>0</v>
      </c>
      <c r="W22" s="2"/>
      <c r="X22" s="6">
        <f t="shared" si="6"/>
        <v>-34443.85</v>
      </c>
      <c r="Y22" s="2"/>
      <c r="Z22" s="7">
        <f t="shared" si="7"/>
        <v>-0.87062106207435896</v>
      </c>
    </row>
    <row r="23" spans="1:26" s="25" customFormat="1" outlineLevel="1" collapsed="1" x14ac:dyDescent="0.25">
      <c r="A23" s="27"/>
      <c r="B23" s="13" t="str">
        <f>CONCATENATE("     ","Board                                             ")</f>
        <v xml:space="preserve">     Board                                             </v>
      </c>
      <c r="C23" s="13"/>
      <c r="D23" s="1">
        <f>SUM(OSRRefD22_2x_0)</f>
        <v>546.76</v>
      </c>
      <c r="E23" s="1"/>
      <c r="F23" s="5">
        <f t="shared" si="0"/>
        <v>0</v>
      </c>
      <c r="G23" s="1"/>
      <c r="H23" s="1">
        <f>SUM(OSRRefH22_2x_0)</f>
        <v>17285.14</v>
      </c>
      <c r="I23" s="1"/>
      <c r="J23" s="5">
        <f t="shared" si="1"/>
        <v>0</v>
      </c>
      <c r="K23" s="1"/>
      <c r="L23" s="1">
        <f t="shared" si="2"/>
        <v>-16738.38</v>
      </c>
      <c r="M23" s="1"/>
      <c r="N23" s="5">
        <f t="shared" si="3"/>
        <v>-0.96836820529078749</v>
      </c>
      <c r="O23" s="13"/>
      <c r="P23" s="1">
        <f>SUM(OSRRefP22_2x_0)</f>
        <v>10146.75</v>
      </c>
      <c r="Q23" s="1"/>
      <c r="R23" s="5">
        <f t="shared" si="4"/>
        <v>0</v>
      </c>
      <c r="S23" s="1"/>
      <c r="T23" s="1">
        <f>SUM(OSRRefT22_2x_0)</f>
        <v>36365.85</v>
      </c>
      <c r="U23" s="1"/>
      <c r="V23" s="5">
        <f t="shared" si="5"/>
        <v>0</v>
      </c>
      <c r="W23" s="1"/>
      <c r="X23" s="1">
        <f t="shared" si="6"/>
        <v>-26219.1</v>
      </c>
      <c r="Y23" s="1"/>
      <c r="Z23" s="5">
        <f t="shared" si="7"/>
        <v>-0.72098136025969417</v>
      </c>
    </row>
    <row r="24" spans="1:26" s="24" customFormat="1" hidden="1" outlineLevel="2" x14ac:dyDescent="0.25">
      <c r="A24" s="26"/>
      <c r="B24" s="11" t="str">
        <f>CONCATENATE("          ", "6397", " - ", "BOARD EXPENSES")</f>
        <v xml:space="preserve">          6397 - BOARD EXPENSES</v>
      </c>
      <c r="C24" s="11"/>
      <c r="D24" s="6">
        <v>546.76</v>
      </c>
      <c r="E24" s="2"/>
      <c r="F24" s="7">
        <f t="shared" si="0"/>
        <v>0</v>
      </c>
      <c r="G24" s="2"/>
      <c r="H24" s="6">
        <v>17285.14</v>
      </c>
      <c r="I24" s="2"/>
      <c r="J24" s="7">
        <f t="shared" si="1"/>
        <v>0</v>
      </c>
      <c r="K24" s="2"/>
      <c r="L24" s="6">
        <f t="shared" si="2"/>
        <v>-16738.38</v>
      </c>
      <c r="M24" s="2"/>
      <c r="N24" s="7">
        <f t="shared" si="3"/>
        <v>-0.96836820529078749</v>
      </c>
      <c r="O24" s="11"/>
      <c r="P24" s="6">
        <v>10146.75</v>
      </c>
      <c r="Q24" s="2"/>
      <c r="R24" s="7">
        <f t="shared" si="4"/>
        <v>0</v>
      </c>
      <c r="S24" s="2"/>
      <c r="T24" s="6">
        <v>36365.85</v>
      </c>
      <c r="U24" s="2"/>
      <c r="V24" s="7">
        <f t="shared" si="5"/>
        <v>0</v>
      </c>
      <c r="W24" s="2"/>
      <c r="X24" s="6">
        <f t="shared" si="6"/>
        <v>-26219.1</v>
      </c>
      <c r="Y24" s="2"/>
      <c r="Z24" s="7">
        <f t="shared" si="7"/>
        <v>-0.72098136025969417</v>
      </c>
    </row>
    <row r="25" spans="1:26" s="25" customFormat="1" outlineLevel="1" collapsed="1" x14ac:dyDescent="0.25">
      <c r="A25" s="27"/>
      <c r="B25" s="13" t="str">
        <f>CONCATENATE("     ","Donations                                         ")</f>
        <v xml:space="preserve">     Donations                                         </v>
      </c>
      <c r="C25" s="13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5628.19</v>
      </c>
      <c r="I25" s="1"/>
      <c r="J25" s="5">
        <f t="shared" si="1"/>
        <v>0</v>
      </c>
      <c r="K25" s="1"/>
      <c r="L25" s="1">
        <f t="shared" si="2"/>
        <v>-5628.19</v>
      </c>
      <c r="M25" s="1"/>
      <c r="N25" s="5">
        <f t="shared" si="3"/>
        <v>-1</v>
      </c>
      <c r="O25" s="13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103128.19</v>
      </c>
      <c r="U25" s="1"/>
      <c r="V25" s="5">
        <f t="shared" si="5"/>
        <v>0</v>
      </c>
      <c r="W25" s="1"/>
      <c r="X25" s="1">
        <f t="shared" si="6"/>
        <v>-103128.19</v>
      </c>
      <c r="Y25" s="1"/>
      <c r="Z25" s="5">
        <f t="shared" si="7"/>
        <v>-1</v>
      </c>
    </row>
    <row r="26" spans="1:26" s="24" customFormat="1" hidden="1" outlineLevel="2" x14ac:dyDescent="0.25">
      <c r="A26" s="26"/>
      <c r="B26" s="11" t="str">
        <f>CONCATENATE("          ", "6399", " - ", "DONATION-ON CAMPUS")</f>
        <v xml:space="preserve">          6399 - DONATION-ON CAMPUS</v>
      </c>
      <c r="C26" s="11"/>
      <c r="D26" s="6"/>
      <c r="E26" s="2"/>
      <c r="F26" s="7">
        <f t="shared" si="0"/>
        <v>0</v>
      </c>
      <c r="G26" s="2"/>
      <c r="H26" s="6">
        <v>5628.19</v>
      </c>
      <c r="I26" s="2"/>
      <c r="J26" s="7">
        <f t="shared" si="1"/>
        <v>0</v>
      </c>
      <c r="K26" s="2"/>
      <c r="L26" s="6">
        <f t="shared" si="2"/>
        <v>-5628.19</v>
      </c>
      <c r="M26" s="2"/>
      <c r="N26" s="7">
        <f t="shared" si="3"/>
        <v>-1</v>
      </c>
      <c r="O26" s="11"/>
      <c r="P26" s="6"/>
      <c r="Q26" s="2"/>
      <c r="R26" s="7">
        <f t="shared" si="4"/>
        <v>0</v>
      </c>
      <c r="S26" s="2"/>
      <c r="T26" s="6">
        <v>103128.19</v>
      </c>
      <c r="U26" s="2"/>
      <c r="V26" s="7">
        <f t="shared" si="5"/>
        <v>0</v>
      </c>
      <c r="W26" s="2"/>
      <c r="X26" s="6">
        <f t="shared" si="6"/>
        <v>-103128.19</v>
      </c>
      <c r="Y26" s="2"/>
      <c r="Z26" s="7">
        <f t="shared" si="7"/>
        <v>-1</v>
      </c>
    </row>
    <row r="27" spans="1:26" s="25" customFormat="1" outlineLevel="1" collapsed="1" x14ac:dyDescent="0.25">
      <c r="A27" s="27"/>
      <c r="B27" s="13" t="str">
        <f>CONCATENATE("     ","Professional Services                             ")</f>
        <v xml:space="preserve">     Professional Services                             </v>
      </c>
      <c r="C27" s="13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0</v>
      </c>
      <c r="I27" s="1"/>
      <c r="J27" s="5">
        <f t="shared" si="1"/>
        <v>0</v>
      </c>
      <c r="K27" s="1"/>
      <c r="L27" s="1">
        <f t="shared" si="2"/>
        <v>0</v>
      </c>
      <c r="M27" s="1"/>
      <c r="N27" s="5">
        <f t="shared" si="3"/>
        <v>0</v>
      </c>
      <c r="O27" s="13"/>
      <c r="P27" s="1">
        <f>SUM(OSRRefP22_4x_0)</f>
        <v>34982.25</v>
      </c>
      <c r="Q27" s="1"/>
      <c r="R27" s="5">
        <f t="shared" si="4"/>
        <v>0</v>
      </c>
      <c r="S27" s="1"/>
      <c r="T27" s="1">
        <f>SUM(OSRRefT22_4x_0)</f>
        <v>49748.24</v>
      </c>
      <c r="U27" s="1"/>
      <c r="V27" s="5">
        <f t="shared" si="5"/>
        <v>0</v>
      </c>
      <c r="W27" s="1"/>
      <c r="X27" s="1">
        <f t="shared" si="6"/>
        <v>-14765.989999999998</v>
      </c>
      <c r="Y27" s="1"/>
      <c r="Z27" s="5">
        <f t="shared" si="7"/>
        <v>-0.29681431946135178</v>
      </c>
    </row>
    <row r="28" spans="1:26" s="24" customFormat="1" hidden="1" outlineLevel="2" x14ac:dyDescent="0.25">
      <c r="A28" s="26"/>
      <c r="B28" s="11" t="str">
        <f>CONCATENATE("          ", "6331", " - ", "INDIRECT COSTS-AUXILIARY ORGAN")</f>
        <v xml:space="preserve">          6331 - INDIRECT COSTS-AUXILIARY ORGAN</v>
      </c>
      <c r="C28" s="11"/>
      <c r="D28" s="6"/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0</v>
      </c>
      <c r="M28" s="2"/>
      <c r="N28" s="7">
        <f t="shared" si="3"/>
        <v>0</v>
      </c>
      <c r="O28" s="11"/>
      <c r="P28" s="6">
        <v>34982.25</v>
      </c>
      <c r="Q28" s="2"/>
      <c r="R28" s="7">
        <f t="shared" si="4"/>
        <v>0</v>
      </c>
      <c r="S28" s="2"/>
      <c r="T28" s="6">
        <v>34686</v>
      </c>
      <c r="U28" s="2"/>
      <c r="V28" s="7">
        <f t="shared" si="5"/>
        <v>0</v>
      </c>
      <c r="W28" s="2"/>
      <c r="X28" s="6">
        <f t="shared" si="6"/>
        <v>296.25</v>
      </c>
      <c r="Y28" s="2"/>
      <c r="Z28" s="7">
        <f t="shared" si="7"/>
        <v>8.5409098771838787E-3</v>
      </c>
    </row>
    <row r="29" spans="1:26" s="24" customFormat="1" hidden="1" outlineLevel="2" x14ac:dyDescent="0.25">
      <c r="A29" s="26"/>
      <c r="B29" s="11" t="str">
        <f>CONCATENATE("          ", "6332", " - ", "CONSULTANT FEES")</f>
        <v xml:space="preserve">          6332 - CONSULTANT FEES</v>
      </c>
      <c r="C29" s="11"/>
      <c r="D29" s="6"/>
      <c r="E29" s="2"/>
      <c r="F29" s="7">
        <f t="shared" si="0"/>
        <v>0</v>
      </c>
      <c r="G29" s="2"/>
      <c r="H29" s="6"/>
      <c r="I29" s="2"/>
      <c r="J29" s="7">
        <f t="shared" si="1"/>
        <v>0</v>
      </c>
      <c r="K29" s="2"/>
      <c r="L29" s="6">
        <f t="shared" si="2"/>
        <v>0</v>
      </c>
      <c r="M29" s="2"/>
      <c r="N29" s="7">
        <f t="shared" si="3"/>
        <v>0</v>
      </c>
      <c r="O29" s="11"/>
      <c r="P29" s="6"/>
      <c r="Q29" s="2"/>
      <c r="R29" s="7">
        <f t="shared" si="4"/>
        <v>0</v>
      </c>
      <c r="S29" s="2"/>
      <c r="T29" s="6">
        <v>15062.24</v>
      </c>
      <c r="U29" s="2"/>
      <c r="V29" s="7">
        <f t="shared" si="5"/>
        <v>0</v>
      </c>
      <c r="W29" s="2"/>
      <c r="X29" s="6">
        <f t="shared" si="6"/>
        <v>-15062.24</v>
      </c>
      <c r="Y29" s="2"/>
      <c r="Z29" s="7">
        <f t="shared" si="7"/>
        <v>-1</v>
      </c>
    </row>
    <row r="30" spans="1:26" s="52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8" t="s">
        <v>0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9" t="s">
        <v>3</v>
      </c>
      <c r="C33" s="29"/>
      <c r="D33" s="22">
        <f>+D16-D18+D31</f>
        <v>-28807.309999999998</v>
      </c>
      <c r="E33" s="14"/>
      <c r="F33" s="20">
        <f>IF(D$12=0,0,D33/D$12)</f>
        <v>0</v>
      </c>
      <c r="G33" s="14"/>
      <c r="H33" s="22">
        <f>+H16-H18+H31</f>
        <v>-53371.14</v>
      </c>
      <c r="I33" s="14"/>
      <c r="J33" s="20">
        <f>IF(H$12=0,0,H33/H$12)</f>
        <v>0</v>
      </c>
      <c r="K33" s="16"/>
      <c r="L33" s="22">
        <f>+D33-H33</f>
        <v>24563.83</v>
      </c>
      <c r="M33" s="16"/>
      <c r="N33" s="20">
        <f>IF(H33=0,0,L33/H33)</f>
        <v>-0.46024555593153904</v>
      </c>
      <c r="O33" s="28"/>
      <c r="P33" s="22">
        <f>+P16-P18+P31</f>
        <v>110820.37999999998</v>
      </c>
      <c r="Q33" s="14"/>
      <c r="R33" s="20">
        <f>IF(P$12=0,0,P33/P$12)</f>
        <v>0</v>
      </c>
      <c r="S33" s="14"/>
      <c r="T33" s="22">
        <f>+T16-T18+T31</f>
        <v>-464322.66</v>
      </c>
      <c r="U33" s="14"/>
      <c r="V33" s="20">
        <f>IF(T$12=0,0,T33/T$12)</f>
        <v>0</v>
      </c>
      <c r="W33" s="16"/>
      <c r="X33" s="22">
        <f>+P33-T33</f>
        <v>575143.03999999992</v>
      </c>
      <c r="Y33" s="16"/>
      <c r="Z33" s="20">
        <f>IF(T33=0,0,X33/T33)</f>
        <v>-1.2386710568896206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51"/>
      <c r="B35" s="10" t="s">
        <v>13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9" t="s">
        <v>4</v>
      </c>
      <c r="C37" s="29"/>
      <c r="D37" s="35">
        <f>+D33-D35</f>
        <v>-28807.309999999998</v>
      </c>
      <c r="E37" s="14"/>
      <c r="F37" s="36">
        <f>IF(D$12=0,0,D37/D$12)</f>
        <v>0</v>
      </c>
      <c r="G37" s="14"/>
      <c r="H37" s="35">
        <f>+H33-H35</f>
        <v>-53371.14</v>
      </c>
      <c r="I37" s="14"/>
      <c r="J37" s="36">
        <f>IF(H$12=0,0,H37/H$12)</f>
        <v>0</v>
      </c>
      <c r="K37" s="16"/>
      <c r="L37" s="35">
        <f>D37-H37</f>
        <v>24563.83</v>
      </c>
      <c r="M37" s="16"/>
      <c r="N37" s="36">
        <f>IF(H37=0,0,L37/H37)</f>
        <v>-0.46024555593153904</v>
      </c>
      <c r="O37" s="28"/>
      <c r="P37" s="35">
        <f>+P33-P35</f>
        <v>110820.37999999998</v>
      </c>
      <c r="Q37" s="14"/>
      <c r="R37" s="36">
        <f>IF(P$12=0,0,P37/P$12)</f>
        <v>0</v>
      </c>
      <c r="S37" s="14"/>
      <c r="T37" s="35">
        <f>+T33-T35</f>
        <v>-464322.66</v>
      </c>
      <c r="U37" s="14"/>
      <c r="V37" s="36">
        <f>IF(T$12=0,0,T37/T$12)</f>
        <v>0</v>
      </c>
      <c r="W37" s="16"/>
      <c r="X37" s="35">
        <f>P37-T37</f>
        <v>575143.03999999992</v>
      </c>
      <c r="Y37" s="16"/>
      <c r="Z37" s="36">
        <f>IF(T37=0,0,X37/T37)</f>
        <v>-1.2386710568896206</v>
      </c>
    </row>
    <row r="38" spans="1:26" ht="15.75" thickTop="1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.75" thickBot="1" x14ac:dyDescent="0.3">
      <c r="A40" s="10"/>
      <c r="B40" s="29" t="s">
        <v>5</v>
      </c>
      <c r="C40" s="29"/>
      <c r="D40" s="31">
        <f>SUM(D37:D39)</f>
        <v>-28807.309999999998</v>
      </c>
      <c r="E40" s="14"/>
      <c r="F40" s="33">
        <f>IF(D$12=0,0,D40/D$12)</f>
        <v>0</v>
      </c>
      <c r="G40" s="14"/>
      <c r="H40" s="31">
        <f>SUM(H37:H39)</f>
        <v>-53371.14</v>
      </c>
      <c r="I40" s="14"/>
      <c r="J40" s="33">
        <f>IF(H$12=0,0,H40/H$12)</f>
        <v>0</v>
      </c>
      <c r="K40" s="16"/>
      <c r="L40" s="31">
        <f>+D40-H40</f>
        <v>24563.83</v>
      </c>
      <c r="M40" s="16"/>
      <c r="N40" s="33">
        <f>IF(H40=0,0,L40/H40)</f>
        <v>-0.46024555593153904</v>
      </c>
      <c r="O40" s="28"/>
      <c r="P40" s="31">
        <f>SUM(P37:P39)</f>
        <v>110820.37999999998</v>
      </c>
      <c r="Q40" s="14"/>
      <c r="R40" s="33">
        <f>IF(P$12=0,0,P40/P$12)</f>
        <v>0</v>
      </c>
      <c r="S40" s="14"/>
      <c r="T40" s="31">
        <f>SUM(T37:T39)</f>
        <v>-464322.66</v>
      </c>
      <c r="U40" s="14"/>
      <c r="V40" s="33">
        <f>IF(T$12=0,0,T40/T$12)</f>
        <v>0</v>
      </c>
      <c r="W40" s="16"/>
      <c r="X40" s="31">
        <f>+P40-T40</f>
        <v>575143.03999999992</v>
      </c>
      <c r="Y40" s="16"/>
      <c r="Z40" s="33">
        <f>IF(T40=0,0,X40/T40)</f>
        <v>-1.2386710568896206</v>
      </c>
    </row>
    <row r="41" spans="1:26" ht="15.75" thickTop="1" x14ac:dyDescent="0.25">
      <c r="A41" s="9"/>
      <c r="C41" s="9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A42" s="9"/>
      <c r="B42" s="56">
        <v>44267.668023958337</v>
      </c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25">
      <c r="A43" s="9"/>
      <c r="B43" s="54" t="s">
        <v>313</v>
      </c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  <row r="44" spans="1:26" x14ac:dyDescent="0.25">
      <c r="A44" s="9"/>
      <c r="B44" s="58"/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  <row r="45" spans="1:26" x14ac:dyDescent="0.25">
      <c r="D45" s="18"/>
      <c r="E45" s="18"/>
      <c r="G45" s="18"/>
      <c r="H45" s="18"/>
      <c r="I45" s="18"/>
      <c r="J45" s="43"/>
      <c r="K45" s="18"/>
      <c r="L45" s="18"/>
      <c r="M45" s="18"/>
      <c r="P45" s="18"/>
      <c r="Q45" s="18"/>
      <c r="R45" s="43"/>
      <c r="S45" s="18"/>
      <c r="T45" s="18"/>
      <c r="U45" s="18"/>
      <c r="V45" s="43"/>
      <c r="W45" s="18"/>
      <c r="X45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","201", " - ", "General Manager")</f>
        <v>Department 201 - General Manager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30894.159999999996</v>
      </c>
      <c r="E18" s="21"/>
      <c r="F18" s="32">
        <f t="shared" ref="F18:F27" si="0">IF(D$12=0,0,D18/D$12)</f>
        <v>0</v>
      </c>
      <c r="G18" s="21"/>
      <c r="H18" s="21">
        <f>SUM(OSRRefH22x_0)</f>
        <v>37406.44</v>
      </c>
      <c r="I18" s="21"/>
      <c r="J18" s="32">
        <f t="shared" ref="J18:J27" si="1">IF(H$12=0,0,H18/H$12)</f>
        <v>0</v>
      </c>
      <c r="K18" s="4"/>
      <c r="L18" s="21">
        <f t="shared" ref="L18:L27" si="2">+D18-H18</f>
        <v>-6512.2800000000061</v>
      </c>
      <c r="M18" s="4"/>
      <c r="N18" s="32">
        <f t="shared" ref="N18:N27" si="3">IF(H18=0,0,L18/H18)</f>
        <v>-0.17409515580739587</v>
      </c>
      <c r="O18" s="10"/>
      <c r="P18" s="21">
        <f>SUM(OSRRefP22x_0)</f>
        <v>299121.88</v>
      </c>
      <c r="Q18" s="21"/>
      <c r="R18" s="32">
        <f t="shared" ref="R18:R27" si="4">IF(P$12=0,0,P18/P$12)</f>
        <v>0</v>
      </c>
      <c r="S18" s="21"/>
      <c r="T18" s="21">
        <f>SUM(OSRRefT22x_0)</f>
        <v>513761.47</v>
      </c>
      <c r="U18" s="21"/>
      <c r="V18" s="32">
        <f t="shared" ref="V18:V27" si="5">IF(T$12=0,0,T18/T$12)</f>
        <v>0</v>
      </c>
      <c r="W18" s="4"/>
      <c r="X18" s="21">
        <f t="shared" ref="X18:X27" si="6">+P18-T18</f>
        <v>-214639.58999999997</v>
      </c>
      <c r="Y18" s="4"/>
      <c r="Z18" s="32">
        <f t="shared" ref="Z18:Z27" si="7">IF(T18=0,0,X18/T18)</f>
        <v>-0.41778062881982952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10048.529999999999</v>
      </c>
      <c r="E19" s="1"/>
      <c r="F19" s="5">
        <f t="shared" si="0"/>
        <v>0</v>
      </c>
      <c r="G19" s="1"/>
      <c r="H19" s="1">
        <f>SUM(OSRRefH22_0x_0)</f>
        <v>10254.429999999998</v>
      </c>
      <c r="I19" s="1"/>
      <c r="J19" s="5">
        <f t="shared" si="1"/>
        <v>0</v>
      </c>
      <c r="K19" s="1"/>
      <c r="L19" s="1">
        <f t="shared" si="2"/>
        <v>-205.89999999999964</v>
      </c>
      <c r="M19" s="1"/>
      <c r="N19" s="5">
        <f t="shared" si="3"/>
        <v>-2.0079126777402513E-2</v>
      </c>
      <c r="O19" s="13"/>
      <c r="P19" s="1">
        <f>SUM(OSRRefP22_0x_0)</f>
        <v>86250.530000000013</v>
      </c>
      <c r="Q19" s="1"/>
      <c r="R19" s="5">
        <f t="shared" si="4"/>
        <v>0</v>
      </c>
      <c r="S19" s="1"/>
      <c r="T19" s="1">
        <f>SUM(OSRRefT22_0x_0)</f>
        <v>119540.78999999998</v>
      </c>
      <c r="U19" s="1"/>
      <c r="V19" s="5">
        <f t="shared" si="5"/>
        <v>0</v>
      </c>
      <c r="W19" s="1"/>
      <c r="X19" s="1">
        <f t="shared" si="6"/>
        <v>-33290.259999999966</v>
      </c>
      <c r="Y19" s="1"/>
      <c r="Z19" s="5">
        <f t="shared" si="7"/>
        <v>-0.27848452398549461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1454.4</v>
      </c>
      <c r="E20" s="2"/>
      <c r="F20" s="7">
        <f t="shared" si="0"/>
        <v>0</v>
      </c>
      <c r="G20" s="2"/>
      <c r="H20" s="6">
        <v>1447.18</v>
      </c>
      <c r="I20" s="2"/>
      <c r="J20" s="7">
        <f t="shared" si="1"/>
        <v>0</v>
      </c>
      <c r="K20" s="2"/>
      <c r="L20" s="6">
        <f t="shared" si="2"/>
        <v>7.2200000000000273</v>
      </c>
      <c r="M20" s="2"/>
      <c r="N20" s="7">
        <f t="shared" si="3"/>
        <v>4.9890131151619195E-3</v>
      </c>
      <c r="O20" s="11"/>
      <c r="P20" s="6">
        <v>9742.51</v>
      </c>
      <c r="Q20" s="2"/>
      <c r="R20" s="7">
        <f t="shared" si="4"/>
        <v>0</v>
      </c>
      <c r="S20" s="2"/>
      <c r="T20" s="6">
        <v>15807.32</v>
      </c>
      <c r="U20" s="2"/>
      <c r="V20" s="7">
        <f t="shared" si="5"/>
        <v>0</v>
      </c>
      <c r="W20" s="2"/>
      <c r="X20" s="6">
        <f t="shared" si="6"/>
        <v>-6064.8099999999995</v>
      </c>
      <c r="Y20" s="2"/>
      <c r="Z20" s="7">
        <f t="shared" si="7"/>
        <v>-0.38367098281049539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62.74</v>
      </c>
      <c r="E21" s="2"/>
      <c r="F21" s="7">
        <f t="shared" si="0"/>
        <v>0</v>
      </c>
      <c r="G21" s="2"/>
      <c r="H21" s="6">
        <v>71.849999999999994</v>
      </c>
      <c r="I21" s="2"/>
      <c r="J21" s="7">
        <f t="shared" si="1"/>
        <v>0</v>
      </c>
      <c r="K21" s="2"/>
      <c r="L21" s="6">
        <f t="shared" si="2"/>
        <v>-9.1099999999999923</v>
      </c>
      <c r="M21" s="2"/>
      <c r="N21" s="7">
        <f t="shared" si="3"/>
        <v>-0.12679192762700059</v>
      </c>
      <c r="O21" s="11"/>
      <c r="P21" s="6">
        <v>631.33000000000004</v>
      </c>
      <c r="Q21" s="2"/>
      <c r="R21" s="7">
        <f t="shared" si="4"/>
        <v>0</v>
      </c>
      <c r="S21" s="2"/>
      <c r="T21" s="6">
        <v>987.7</v>
      </c>
      <c r="U21" s="2"/>
      <c r="V21" s="7">
        <f t="shared" si="5"/>
        <v>0</v>
      </c>
      <c r="W21" s="2"/>
      <c r="X21" s="6">
        <f t="shared" si="6"/>
        <v>-356.37</v>
      </c>
      <c r="Y21" s="2"/>
      <c r="Z21" s="7">
        <f t="shared" si="7"/>
        <v>-0.36080793763288449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3917.15</v>
      </c>
      <c r="E22" s="2"/>
      <c r="F22" s="7">
        <f t="shared" si="0"/>
        <v>0</v>
      </c>
      <c r="G22" s="2"/>
      <c r="H22" s="6">
        <v>3965.44</v>
      </c>
      <c r="I22" s="2"/>
      <c r="J22" s="7">
        <f t="shared" si="1"/>
        <v>0</v>
      </c>
      <c r="K22" s="2"/>
      <c r="L22" s="6">
        <f t="shared" si="2"/>
        <v>-48.289999999999964</v>
      </c>
      <c r="M22" s="2"/>
      <c r="N22" s="7">
        <f t="shared" si="3"/>
        <v>-1.2177715461588112E-2</v>
      </c>
      <c r="O22" s="11"/>
      <c r="P22" s="6">
        <v>32048.220000000005</v>
      </c>
      <c r="Q22" s="2"/>
      <c r="R22" s="7">
        <f t="shared" si="4"/>
        <v>0</v>
      </c>
      <c r="S22" s="2"/>
      <c r="T22" s="6">
        <v>33070.74</v>
      </c>
      <c r="U22" s="2"/>
      <c r="V22" s="7">
        <f t="shared" si="5"/>
        <v>0</v>
      </c>
      <c r="W22" s="2"/>
      <c r="X22" s="6">
        <f t="shared" si="6"/>
        <v>-1022.5199999999932</v>
      </c>
      <c r="Y22" s="2"/>
      <c r="Z22" s="7">
        <f t="shared" si="7"/>
        <v>-3.0919175077424733E-2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49.43</v>
      </c>
      <c r="E23" s="2"/>
      <c r="F23" s="7">
        <f t="shared" si="0"/>
        <v>0</v>
      </c>
      <c r="G23" s="2"/>
      <c r="H23" s="6">
        <v>54.94</v>
      </c>
      <c r="I23" s="2"/>
      <c r="J23" s="7">
        <f t="shared" si="1"/>
        <v>0</v>
      </c>
      <c r="K23" s="2"/>
      <c r="L23" s="6">
        <f t="shared" si="2"/>
        <v>-5.509999999999998</v>
      </c>
      <c r="M23" s="2"/>
      <c r="N23" s="7">
        <f t="shared" si="3"/>
        <v>-0.10029122679286491</v>
      </c>
      <c r="O23" s="11"/>
      <c r="P23" s="6">
        <v>497.42</v>
      </c>
      <c r="Q23" s="2"/>
      <c r="R23" s="7">
        <f t="shared" si="4"/>
        <v>0</v>
      </c>
      <c r="S23" s="2"/>
      <c r="T23" s="6">
        <v>911.98</v>
      </c>
      <c r="U23" s="2"/>
      <c r="V23" s="7">
        <f t="shared" si="5"/>
        <v>0</v>
      </c>
      <c r="W23" s="2"/>
      <c r="X23" s="6">
        <f t="shared" si="6"/>
        <v>-414.56</v>
      </c>
      <c r="Y23" s="2"/>
      <c r="Z23" s="7">
        <f t="shared" si="7"/>
        <v>-0.45457137217921445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2049.0300000000002</v>
      </c>
      <c r="E24" s="2"/>
      <c r="F24" s="7">
        <f t="shared" si="0"/>
        <v>0</v>
      </c>
      <c r="G24" s="2"/>
      <c r="H24" s="6">
        <v>1898.57</v>
      </c>
      <c r="I24" s="2"/>
      <c r="J24" s="7">
        <f t="shared" si="1"/>
        <v>0</v>
      </c>
      <c r="K24" s="2"/>
      <c r="L24" s="6">
        <f t="shared" si="2"/>
        <v>150.46000000000026</v>
      </c>
      <c r="M24" s="2"/>
      <c r="N24" s="7">
        <f t="shared" si="3"/>
        <v>7.9249119073829394E-2</v>
      </c>
      <c r="O24" s="11"/>
      <c r="P24" s="6">
        <v>21616.59</v>
      </c>
      <c r="Q24" s="2"/>
      <c r="R24" s="7">
        <f t="shared" si="4"/>
        <v>0</v>
      </c>
      <c r="S24" s="2"/>
      <c r="T24" s="6">
        <v>24455</v>
      </c>
      <c r="U24" s="2"/>
      <c r="V24" s="7">
        <f t="shared" si="5"/>
        <v>0</v>
      </c>
      <c r="W24" s="2"/>
      <c r="X24" s="6">
        <f t="shared" si="6"/>
        <v>-2838.41</v>
      </c>
      <c r="Y24" s="2"/>
      <c r="Z24" s="7">
        <f t="shared" si="7"/>
        <v>-0.11606665303618892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>
        <v>1658.98</v>
      </c>
      <c r="E25" s="2"/>
      <c r="F25" s="7">
        <f t="shared" si="0"/>
        <v>0</v>
      </c>
      <c r="G25" s="2"/>
      <c r="H25" s="6">
        <v>1621.64</v>
      </c>
      <c r="I25" s="2"/>
      <c r="J25" s="7">
        <f t="shared" si="1"/>
        <v>0</v>
      </c>
      <c r="K25" s="2"/>
      <c r="L25" s="6">
        <f t="shared" si="2"/>
        <v>37.339999999999918</v>
      </c>
      <c r="M25" s="2"/>
      <c r="N25" s="7">
        <f t="shared" si="3"/>
        <v>2.3026072371179741E-2</v>
      </c>
      <c r="O25" s="11"/>
      <c r="P25" s="6">
        <v>14101.33</v>
      </c>
      <c r="Q25" s="2"/>
      <c r="R25" s="7">
        <f t="shared" si="4"/>
        <v>0</v>
      </c>
      <c r="S25" s="2"/>
      <c r="T25" s="6">
        <v>19752.46</v>
      </c>
      <c r="U25" s="2"/>
      <c r="V25" s="7">
        <f t="shared" si="5"/>
        <v>0</v>
      </c>
      <c r="W25" s="2"/>
      <c r="X25" s="6">
        <f t="shared" si="6"/>
        <v>-5651.1299999999992</v>
      </c>
      <c r="Y25" s="2"/>
      <c r="Z25" s="7">
        <f t="shared" si="7"/>
        <v>-0.2860975291178921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>
        <v>856.8</v>
      </c>
      <c r="E26" s="2"/>
      <c r="F26" s="7">
        <f t="shared" si="0"/>
        <v>0</v>
      </c>
      <c r="G26" s="2"/>
      <c r="H26" s="6">
        <v>856.8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7282.8</v>
      </c>
      <c r="Q26" s="2"/>
      <c r="R26" s="7">
        <f t="shared" si="4"/>
        <v>0</v>
      </c>
      <c r="S26" s="2"/>
      <c r="T26" s="6">
        <v>22113.200000000001</v>
      </c>
      <c r="U26" s="2"/>
      <c r="V26" s="7">
        <f t="shared" si="5"/>
        <v>0</v>
      </c>
      <c r="W26" s="2"/>
      <c r="X26" s="6">
        <f t="shared" si="6"/>
        <v>-14830.400000000001</v>
      </c>
      <c r="Y26" s="2"/>
      <c r="Z26" s="7">
        <f t="shared" si="7"/>
        <v>-0.67065824937141616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6"/>
      <c r="E27" s="2"/>
      <c r="F27" s="7">
        <f t="shared" si="0"/>
        <v>0</v>
      </c>
      <c r="G27" s="2"/>
      <c r="H27" s="6">
        <v>338.01</v>
      </c>
      <c r="I27" s="2"/>
      <c r="J27" s="7">
        <f t="shared" si="1"/>
        <v>0</v>
      </c>
      <c r="K27" s="2"/>
      <c r="L27" s="6">
        <f t="shared" si="2"/>
        <v>-338.01</v>
      </c>
      <c r="M27" s="2"/>
      <c r="N27" s="7">
        <f t="shared" si="3"/>
        <v>-1</v>
      </c>
      <c r="O27" s="11"/>
      <c r="P27" s="6">
        <v>330.33</v>
      </c>
      <c r="Q27" s="2"/>
      <c r="R27" s="7">
        <f t="shared" si="4"/>
        <v>0</v>
      </c>
      <c r="S27" s="2"/>
      <c r="T27" s="6">
        <v>2442.39</v>
      </c>
      <c r="U27" s="2"/>
      <c r="V27" s="7">
        <f t="shared" si="5"/>
        <v>0</v>
      </c>
      <c r="W27" s="2"/>
      <c r="X27" s="6">
        <f t="shared" si="6"/>
        <v>-2112.06</v>
      </c>
      <c r="Y27" s="2"/>
      <c r="Z27" s="7">
        <f t="shared" si="7"/>
        <v>-0.86475132964022949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19111.760000000002</v>
      </c>
      <c r="E28" s="1"/>
      <c r="F28" s="5">
        <f t="shared" ref="F28:F31" si="8">IF(D$12=0,0,D28/D$12)</f>
        <v>0</v>
      </c>
      <c r="G28" s="1"/>
      <c r="H28" s="1">
        <f>SUM(OSRRefH22_1x_0)</f>
        <v>20965.310000000001</v>
      </c>
      <c r="I28" s="1"/>
      <c r="J28" s="5">
        <f t="shared" ref="J28:J31" si="9">IF(H$12=0,0,H28/H$12)</f>
        <v>0</v>
      </c>
      <c r="K28" s="1"/>
      <c r="L28" s="1">
        <f t="shared" ref="L28:L31" si="10">+D28-H28</f>
        <v>-1853.5499999999993</v>
      </c>
      <c r="M28" s="1"/>
      <c r="N28" s="5">
        <f t="shared" ref="N28:N31" si="11">IF(H28=0,0,L28/H28)</f>
        <v>-8.841033116133265E-2</v>
      </c>
      <c r="O28" s="13"/>
      <c r="P28" s="1">
        <f>SUM(OSRRefP22_1x_0)</f>
        <v>110098.47</v>
      </c>
      <c r="Q28" s="1"/>
      <c r="R28" s="5">
        <f t="shared" ref="R28:R31" si="12">IF(P$12=0,0,P28/P$12)</f>
        <v>0</v>
      </c>
      <c r="S28" s="1"/>
      <c r="T28" s="1">
        <f>SUM(OSRRefT22_1x_0)</f>
        <v>124638.86</v>
      </c>
      <c r="U28" s="1"/>
      <c r="V28" s="5">
        <f t="shared" ref="V28:V31" si="13">IF(T$12=0,0,T28/T$12)</f>
        <v>0</v>
      </c>
      <c r="W28" s="1"/>
      <c r="X28" s="1">
        <f t="shared" ref="X28:X31" si="14">+P28-T28</f>
        <v>-14540.39</v>
      </c>
      <c r="Y28" s="1"/>
      <c r="Z28" s="5">
        <f t="shared" ref="Z28:Z31" si="15">IF(T28=0,0,X28/T28)</f>
        <v>-0.11666016521653037</v>
      </c>
    </row>
    <row r="29" spans="1:26" s="24" customFormat="1" hidden="1" outlineLevel="2" x14ac:dyDescent="0.25">
      <c r="A29" s="26"/>
      <c r="B29" s="11" t="str">
        <f>CONCATENATE("          ", "6001", " - ", "ADMINISTRATIVE SALARIES")</f>
        <v xml:space="preserve">          6001 - ADMINISTRATIVE SALARIES</v>
      </c>
      <c r="C29" s="11"/>
      <c r="D29" s="6">
        <v>14215.28</v>
      </c>
      <c r="E29" s="2"/>
      <c r="F29" s="7">
        <f t="shared" si="8"/>
        <v>0</v>
      </c>
      <c r="G29" s="2"/>
      <c r="H29" s="6">
        <v>14140.28</v>
      </c>
      <c r="I29" s="2"/>
      <c r="J29" s="7">
        <f t="shared" si="9"/>
        <v>0</v>
      </c>
      <c r="K29" s="2"/>
      <c r="L29" s="6">
        <f t="shared" si="10"/>
        <v>75</v>
      </c>
      <c r="M29" s="2"/>
      <c r="N29" s="7">
        <f t="shared" si="11"/>
        <v>5.3039968091155194E-3</v>
      </c>
      <c r="O29" s="11"/>
      <c r="P29" s="6">
        <v>118974.81</v>
      </c>
      <c r="Q29" s="2"/>
      <c r="R29" s="7">
        <f t="shared" si="12"/>
        <v>0</v>
      </c>
      <c r="S29" s="2"/>
      <c r="T29" s="6">
        <v>126973.75999999999</v>
      </c>
      <c r="U29" s="2"/>
      <c r="V29" s="7">
        <f t="shared" si="13"/>
        <v>0</v>
      </c>
      <c r="W29" s="2"/>
      <c r="X29" s="6">
        <f t="shared" si="14"/>
        <v>-7998.9499999999971</v>
      </c>
      <c r="Y29" s="2"/>
      <c r="Z29" s="7">
        <f t="shared" si="15"/>
        <v>-6.299687431481904E-2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6">
        <v>4896.4799999999996</v>
      </c>
      <c r="E30" s="2"/>
      <c r="F30" s="7">
        <f t="shared" si="8"/>
        <v>0</v>
      </c>
      <c r="G30" s="2"/>
      <c r="H30" s="6">
        <v>4162.01</v>
      </c>
      <c r="I30" s="2"/>
      <c r="J30" s="7">
        <f t="shared" si="9"/>
        <v>0</v>
      </c>
      <c r="K30" s="2"/>
      <c r="L30" s="6">
        <f t="shared" si="10"/>
        <v>734.46999999999935</v>
      </c>
      <c r="M30" s="2"/>
      <c r="N30" s="7">
        <f t="shared" si="11"/>
        <v>0.17647002289759017</v>
      </c>
      <c r="O30" s="11"/>
      <c r="P30" s="6">
        <v>36080.950000000004</v>
      </c>
      <c r="Q30" s="2"/>
      <c r="R30" s="7">
        <f t="shared" si="12"/>
        <v>0</v>
      </c>
      <c r="S30" s="2"/>
      <c r="T30" s="6">
        <v>37702.800000000003</v>
      </c>
      <c r="U30" s="2"/>
      <c r="V30" s="7">
        <f t="shared" si="13"/>
        <v>0</v>
      </c>
      <c r="W30" s="2"/>
      <c r="X30" s="6">
        <f t="shared" si="14"/>
        <v>-1621.8499999999985</v>
      </c>
      <c r="Y30" s="2"/>
      <c r="Z30" s="7">
        <f t="shared" si="15"/>
        <v>-4.3016699025006058E-2</v>
      </c>
    </row>
    <row r="31" spans="1:26" s="24" customFormat="1" hidden="1" outlineLevel="2" x14ac:dyDescent="0.25">
      <c r="A31" s="26"/>
      <c r="B31" s="11" t="str">
        <f>CONCATENATE("          ", "6007", " - ", "STUDENT HOURLY")</f>
        <v xml:space="preserve">          6007 - STUDENT HOURLY</v>
      </c>
      <c r="C31" s="11"/>
      <c r="D31" s="6"/>
      <c r="E31" s="2"/>
      <c r="F31" s="7">
        <f t="shared" si="8"/>
        <v>0</v>
      </c>
      <c r="G31" s="2"/>
      <c r="H31" s="6">
        <v>2663.02</v>
      </c>
      <c r="I31" s="2"/>
      <c r="J31" s="7">
        <f t="shared" si="9"/>
        <v>0</v>
      </c>
      <c r="K31" s="2"/>
      <c r="L31" s="6">
        <f t="shared" si="10"/>
        <v>-2663.02</v>
      </c>
      <c r="M31" s="2"/>
      <c r="N31" s="7">
        <f t="shared" si="11"/>
        <v>-1</v>
      </c>
      <c r="O31" s="11"/>
      <c r="P31" s="6">
        <v>-44957.29</v>
      </c>
      <c r="Q31" s="2"/>
      <c r="R31" s="7">
        <f t="shared" si="12"/>
        <v>0</v>
      </c>
      <c r="S31" s="2"/>
      <c r="T31" s="6">
        <v>-40037.699999999997</v>
      </c>
      <c r="U31" s="2"/>
      <c r="V31" s="7">
        <f t="shared" si="13"/>
        <v>0</v>
      </c>
      <c r="W31" s="2"/>
      <c r="X31" s="6">
        <f t="shared" si="14"/>
        <v>-4919.5900000000038</v>
      </c>
      <c r="Y31" s="2"/>
      <c r="Z31" s="7">
        <f t="shared" si="15"/>
        <v>0.12287394131031514</v>
      </c>
    </row>
    <row r="32" spans="1:26" s="25" customFormat="1" outlineLevel="1" collapsed="1" x14ac:dyDescent="0.25">
      <c r="A32" s="27"/>
      <c r="B32" s="13" t="str">
        <f>CONCATENATE("     ","Advertising/Promo                                 ")</f>
        <v xml:space="preserve">     Advertising/Promo                                 </v>
      </c>
      <c r="C32" s="13"/>
      <c r="D32" s="1">
        <f>SUM(OSRRefD22_2x_0)</f>
        <v>0</v>
      </c>
      <c r="E32" s="1"/>
      <c r="F32" s="5">
        <f t="shared" ref="F32:F49" si="16">IF(D$12=0,0,D32/D$12)</f>
        <v>0</v>
      </c>
      <c r="G32" s="1"/>
      <c r="H32" s="1">
        <f>SUM(OSRRefH22_2x_0)</f>
        <v>1282.44</v>
      </c>
      <c r="I32" s="1"/>
      <c r="J32" s="5">
        <f t="shared" ref="J32:J49" si="17">IF(H$12=0,0,H32/H$12)</f>
        <v>0</v>
      </c>
      <c r="K32" s="1"/>
      <c r="L32" s="1">
        <f t="shared" ref="L32:L49" si="18">+D32-H32</f>
        <v>-1282.44</v>
      </c>
      <c r="M32" s="1"/>
      <c r="N32" s="5">
        <f t="shared" ref="N32:N49" si="19">IF(H32=0,0,L32/H32)</f>
        <v>-1</v>
      </c>
      <c r="O32" s="13"/>
      <c r="P32" s="1">
        <f>SUM(OSRRefP22_2x_0)</f>
        <v>66.8</v>
      </c>
      <c r="Q32" s="1"/>
      <c r="R32" s="5">
        <f t="shared" ref="R32:R49" si="20">IF(P$12=0,0,P32/P$12)</f>
        <v>0</v>
      </c>
      <c r="S32" s="1"/>
      <c r="T32" s="1">
        <f>SUM(OSRRefT22_2x_0)</f>
        <v>12880.83</v>
      </c>
      <c r="U32" s="1"/>
      <c r="V32" s="5">
        <f t="shared" ref="V32:V49" si="21">IF(T$12=0,0,T32/T$12)</f>
        <v>0</v>
      </c>
      <c r="W32" s="1"/>
      <c r="X32" s="1">
        <f t="shared" ref="X32:X49" si="22">+P32-T32</f>
        <v>-12814.03</v>
      </c>
      <c r="Y32" s="1"/>
      <c r="Z32" s="5">
        <f t="shared" ref="Z32:Z49" si="23">IF(T32=0,0,X32/T32)</f>
        <v>-0.99481399878734533</v>
      </c>
    </row>
    <row r="33" spans="1:26" s="24" customFormat="1" hidden="1" outlineLevel="2" x14ac:dyDescent="0.25">
      <c r="A33" s="26"/>
      <c r="B33" s="11" t="str">
        <f>CONCATENATE("          ", "6362", " - ", "ADVERTISING EXPENSE")</f>
        <v xml:space="preserve">          6362 - ADVERTISING EXPENSE</v>
      </c>
      <c r="C33" s="11"/>
      <c r="D33" s="6"/>
      <c r="E33" s="2"/>
      <c r="F33" s="7">
        <f t="shared" si="16"/>
        <v>0</v>
      </c>
      <c r="G33" s="2"/>
      <c r="H33" s="6">
        <v>1282.44</v>
      </c>
      <c r="I33" s="2"/>
      <c r="J33" s="7">
        <f t="shared" si="17"/>
        <v>0</v>
      </c>
      <c r="K33" s="2"/>
      <c r="L33" s="6">
        <f t="shared" si="18"/>
        <v>-1282.44</v>
      </c>
      <c r="M33" s="2"/>
      <c r="N33" s="7">
        <f t="shared" si="19"/>
        <v>-1</v>
      </c>
      <c r="O33" s="11"/>
      <c r="P33" s="6">
        <v>66.8</v>
      </c>
      <c r="Q33" s="2"/>
      <c r="R33" s="7">
        <f t="shared" si="20"/>
        <v>0</v>
      </c>
      <c r="S33" s="2"/>
      <c r="T33" s="6">
        <v>12880.83</v>
      </c>
      <c r="U33" s="2"/>
      <c r="V33" s="7">
        <f t="shared" si="21"/>
        <v>0</v>
      </c>
      <c r="W33" s="2"/>
      <c r="X33" s="6">
        <f t="shared" si="22"/>
        <v>-12814.03</v>
      </c>
      <c r="Y33" s="2"/>
      <c r="Z33" s="7">
        <f t="shared" si="23"/>
        <v>-0.99481399878734533</v>
      </c>
    </row>
    <row r="34" spans="1:26" s="25" customFormat="1" outlineLevel="1" collapsed="1" x14ac:dyDescent="0.25">
      <c r="A34" s="27"/>
      <c r="B34" s="13" t="str">
        <f>CONCATENATE("     ","Depreciation                                      ")</f>
        <v xml:space="preserve">     Depreciation                                      </v>
      </c>
      <c r="C34" s="13"/>
      <c r="D34" s="1">
        <f>SUM(OSRRefD22_3x_0)</f>
        <v>314.87</v>
      </c>
      <c r="E34" s="1"/>
      <c r="F34" s="5">
        <f t="shared" si="16"/>
        <v>0</v>
      </c>
      <c r="G34" s="1"/>
      <c r="H34" s="1">
        <f>SUM(OSRRefH22_3x_0)</f>
        <v>345.23</v>
      </c>
      <c r="I34" s="1"/>
      <c r="J34" s="5">
        <f t="shared" si="17"/>
        <v>0</v>
      </c>
      <c r="K34" s="1"/>
      <c r="L34" s="1">
        <f t="shared" si="18"/>
        <v>-30.360000000000014</v>
      </c>
      <c r="M34" s="1"/>
      <c r="N34" s="5">
        <f t="shared" si="19"/>
        <v>-8.7941372418387773E-2</v>
      </c>
      <c r="O34" s="13"/>
      <c r="P34" s="1">
        <f>SUM(OSRRefP22_3x_0)</f>
        <v>2518.96</v>
      </c>
      <c r="Q34" s="1"/>
      <c r="R34" s="5">
        <f t="shared" si="20"/>
        <v>0</v>
      </c>
      <c r="S34" s="1"/>
      <c r="T34" s="1">
        <f>SUM(OSRRefT22_3x_0)</f>
        <v>2761.84</v>
      </c>
      <c r="U34" s="1"/>
      <c r="V34" s="5">
        <f t="shared" si="21"/>
        <v>0</v>
      </c>
      <c r="W34" s="1"/>
      <c r="X34" s="1">
        <f t="shared" si="22"/>
        <v>-242.88000000000011</v>
      </c>
      <c r="Y34" s="1"/>
      <c r="Z34" s="5">
        <f t="shared" si="23"/>
        <v>-8.7941372418387773E-2</v>
      </c>
    </row>
    <row r="35" spans="1:26" s="24" customFormat="1" hidden="1" outlineLevel="2" x14ac:dyDescent="0.25">
      <c r="A35" s="26"/>
      <c r="B35" s="11" t="str">
        <f>CONCATENATE("          ", "6322", " - ", "EQUIPMENT DEPRECIATION EXPENSE")</f>
        <v xml:space="preserve">          6322 - EQUIPMENT DEPRECIATION EXPENSE</v>
      </c>
      <c r="C35" s="11"/>
      <c r="D35" s="6">
        <v>314.87</v>
      </c>
      <c r="E35" s="2"/>
      <c r="F35" s="7">
        <f t="shared" si="16"/>
        <v>0</v>
      </c>
      <c r="G35" s="2"/>
      <c r="H35" s="6">
        <v>345.23</v>
      </c>
      <c r="I35" s="2"/>
      <c r="J35" s="7">
        <f t="shared" si="17"/>
        <v>0</v>
      </c>
      <c r="K35" s="2"/>
      <c r="L35" s="6">
        <f t="shared" si="18"/>
        <v>-30.360000000000014</v>
      </c>
      <c r="M35" s="2"/>
      <c r="N35" s="7">
        <f t="shared" si="19"/>
        <v>-8.7941372418387773E-2</v>
      </c>
      <c r="O35" s="11"/>
      <c r="P35" s="6">
        <v>2518.96</v>
      </c>
      <c r="Q35" s="2"/>
      <c r="R35" s="7">
        <f t="shared" si="20"/>
        <v>0</v>
      </c>
      <c r="S35" s="2"/>
      <c r="T35" s="6">
        <v>2761.84</v>
      </c>
      <c r="U35" s="2"/>
      <c r="V35" s="7">
        <f t="shared" si="21"/>
        <v>0</v>
      </c>
      <c r="W35" s="2"/>
      <c r="X35" s="6">
        <f t="shared" si="22"/>
        <v>-242.88000000000011</v>
      </c>
      <c r="Y35" s="2"/>
      <c r="Z35" s="7">
        <f t="shared" si="23"/>
        <v>-8.7941372418387773E-2</v>
      </c>
    </row>
    <row r="36" spans="1:26" s="25" customFormat="1" outlineLevel="1" collapsed="1" x14ac:dyDescent="0.25">
      <c r="A36" s="27"/>
      <c r="B36" s="13" t="str">
        <f>CONCATENATE("     ","Donations                                         ")</f>
        <v xml:space="preserve">     Donations                                         </v>
      </c>
      <c r="C36" s="13"/>
      <c r="D36" s="1">
        <f>SUM(OSRRefD22_4x_0)</f>
        <v>0</v>
      </c>
      <c r="E36" s="1"/>
      <c r="F36" s="5">
        <f t="shared" si="16"/>
        <v>0</v>
      </c>
      <c r="G36" s="1"/>
      <c r="H36" s="1">
        <f>SUM(OSRRefH22_4x_0)</f>
        <v>0</v>
      </c>
      <c r="I36" s="1"/>
      <c r="J36" s="5">
        <f t="shared" si="17"/>
        <v>0</v>
      </c>
      <c r="K36" s="1"/>
      <c r="L36" s="1">
        <f t="shared" si="18"/>
        <v>0</v>
      </c>
      <c r="M36" s="1"/>
      <c r="N36" s="5">
        <f t="shared" si="19"/>
        <v>0</v>
      </c>
      <c r="O36" s="13"/>
      <c r="P36" s="1">
        <f>SUM(OSRRefP22_4x_0)</f>
        <v>25000</v>
      </c>
      <c r="Q36" s="1"/>
      <c r="R36" s="5">
        <f t="shared" si="20"/>
        <v>0</v>
      </c>
      <c r="S36" s="1"/>
      <c r="T36" s="1">
        <f>SUM(OSRRefT22_4x_0)</f>
        <v>145645</v>
      </c>
      <c r="U36" s="1"/>
      <c r="V36" s="5">
        <f t="shared" si="21"/>
        <v>0</v>
      </c>
      <c r="W36" s="1"/>
      <c r="X36" s="1">
        <f t="shared" si="22"/>
        <v>-120645</v>
      </c>
      <c r="Y36" s="1"/>
      <c r="Z36" s="5">
        <f t="shared" si="23"/>
        <v>-0.82834975454014903</v>
      </c>
    </row>
    <row r="37" spans="1:26" s="24" customFormat="1" hidden="1" outlineLevel="2" x14ac:dyDescent="0.25">
      <c r="A37" s="26"/>
      <c r="B37" s="11" t="str">
        <f>CONCATENATE("          ", "6399", " - ", "DONATION-ON CAMPUS")</f>
        <v xml:space="preserve">          6399 - DONATION-ON CAMPUS</v>
      </c>
      <c r="C37" s="11"/>
      <c r="D37" s="6"/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1"/>
      <c r="P37" s="6">
        <v>25000</v>
      </c>
      <c r="Q37" s="2"/>
      <c r="R37" s="7">
        <f t="shared" si="20"/>
        <v>0</v>
      </c>
      <c r="S37" s="2"/>
      <c r="T37" s="6">
        <v>145645</v>
      </c>
      <c r="U37" s="2"/>
      <c r="V37" s="7">
        <f t="shared" si="21"/>
        <v>0</v>
      </c>
      <c r="W37" s="2"/>
      <c r="X37" s="6">
        <f t="shared" si="22"/>
        <v>-120645</v>
      </c>
      <c r="Y37" s="2"/>
      <c r="Z37" s="7">
        <f t="shared" si="23"/>
        <v>-0.82834975454014903</v>
      </c>
    </row>
    <row r="38" spans="1:26" s="25" customFormat="1" outlineLevel="1" collapsed="1" x14ac:dyDescent="0.25">
      <c r="A38" s="27"/>
      <c r="B38" s="13" t="str">
        <f>CONCATENATE("     ","Equipment Rental                                  ")</f>
        <v xml:space="preserve">     Equipment Rental                                  </v>
      </c>
      <c r="C38" s="13"/>
      <c r="D38" s="1">
        <f>SUM(OSRRefD22_5x_0)</f>
        <v>117.71</v>
      </c>
      <c r="E38" s="1"/>
      <c r="F38" s="5">
        <f t="shared" si="16"/>
        <v>0</v>
      </c>
      <c r="G38" s="1"/>
      <c r="H38" s="1">
        <f>SUM(OSRRefH22_5x_0)</f>
        <v>117.72</v>
      </c>
      <c r="I38" s="1"/>
      <c r="J38" s="5">
        <f t="shared" si="17"/>
        <v>0</v>
      </c>
      <c r="K38" s="1"/>
      <c r="L38" s="1">
        <f t="shared" si="18"/>
        <v>-1.0000000000005116E-2</v>
      </c>
      <c r="M38" s="1"/>
      <c r="N38" s="5">
        <f t="shared" si="19"/>
        <v>-8.4947332653798128E-5</v>
      </c>
      <c r="O38" s="13"/>
      <c r="P38" s="1">
        <f>SUM(OSRRefP22_5x_0)</f>
        <v>941.68</v>
      </c>
      <c r="Q38" s="1"/>
      <c r="R38" s="5">
        <f t="shared" si="20"/>
        <v>0</v>
      </c>
      <c r="S38" s="1"/>
      <c r="T38" s="1">
        <f>SUM(OSRRefT22_5x_0)</f>
        <v>941.76</v>
      </c>
      <c r="U38" s="1"/>
      <c r="V38" s="5">
        <f t="shared" si="21"/>
        <v>0</v>
      </c>
      <c r="W38" s="1"/>
      <c r="X38" s="1">
        <f t="shared" si="22"/>
        <v>-8.0000000000040927E-2</v>
      </c>
      <c r="Y38" s="1"/>
      <c r="Z38" s="5">
        <f t="shared" si="23"/>
        <v>-8.4947332653798128E-5</v>
      </c>
    </row>
    <row r="39" spans="1:26" s="24" customFormat="1" hidden="1" outlineLevel="2" x14ac:dyDescent="0.25">
      <c r="A39" s="26"/>
      <c r="B39" s="11" t="str">
        <f>CONCATENATE("          ", "6351", " - ", "EQUIPMENT RENTAL")</f>
        <v xml:space="preserve">          6351 - EQUIPMENT RENTAL</v>
      </c>
      <c r="C39" s="11"/>
      <c r="D39" s="6">
        <v>117.71</v>
      </c>
      <c r="E39" s="2"/>
      <c r="F39" s="7">
        <f t="shared" si="16"/>
        <v>0</v>
      </c>
      <c r="G39" s="2"/>
      <c r="H39" s="6">
        <v>117.72</v>
      </c>
      <c r="I39" s="2"/>
      <c r="J39" s="7">
        <f t="shared" si="17"/>
        <v>0</v>
      </c>
      <c r="K39" s="2"/>
      <c r="L39" s="6">
        <f t="shared" si="18"/>
        <v>-1.0000000000005116E-2</v>
      </c>
      <c r="M39" s="2"/>
      <c r="N39" s="7">
        <f t="shared" si="19"/>
        <v>-8.4947332653798128E-5</v>
      </c>
      <c r="O39" s="11"/>
      <c r="P39" s="6">
        <v>941.68</v>
      </c>
      <c r="Q39" s="2"/>
      <c r="R39" s="7">
        <f t="shared" si="20"/>
        <v>0</v>
      </c>
      <c r="S39" s="2"/>
      <c r="T39" s="6">
        <v>941.76</v>
      </c>
      <c r="U39" s="2"/>
      <c r="V39" s="7">
        <f t="shared" si="21"/>
        <v>0</v>
      </c>
      <c r="W39" s="2"/>
      <c r="X39" s="6">
        <f t="shared" si="22"/>
        <v>-8.0000000000040927E-2</v>
      </c>
      <c r="Y39" s="2"/>
      <c r="Z39" s="7">
        <f t="shared" si="23"/>
        <v>-8.4947332653798128E-5</v>
      </c>
    </row>
    <row r="40" spans="1:26" s="25" customFormat="1" outlineLevel="1" collapsed="1" x14ac:dyDescent="0.25">
      <c r="A40" s="27"/>
      <c r="B40" s="13" t="str">
        <f>CONCATENATE("     ","Freight out/Postage                               ")</f>
        <v xml:space="preserve">     Freight out/Postage                               </v>
      </c>
      <c r="C40" s="13"/>
      <c r="D40" s="1">
        <f>SUM(OSRRefD22_6x_0)</f>
        <v>0</v>
      </c>
      <c r="E40" s="1"/>
      <c r="F40" s="5">
        <f t="shared" si="16"/>
        <v>0</v>
      </c>
      <c r="G40" s="1"/>
      <c r="H40" s="1">
        <f>SUM(OSRRefH22_6x_0)</f>
        <v>33.78</v>
      </c>
      <c r="I40" s="1"/>
      <c r="J40" s="5">
        <f t="shared" si="17"/>
        <v>0</v>
      </c>
      <c r="K40" s="1"/>
      <c r="L40" s="1">
        <f t="shared" si="18"/>
        <v>-33.78</v>
      </c>
      <c r="M40" s="1"/>
      <c r="N40" s="5">
        <f t="shared" si="19"/>
        <v>-1</v>
      </c>
      <c r="O40" s="13"/>
      <c r="P40" s="1">
        <f>SUM(OSRRefP22_6x_0)</f>
        <v>65.06</v>
      </c>
      <c r="Q40" s="1"/>
      <c r="R40" s="5">
        <f t="shared" si="20"/>
        <v>0</v>
      </c>
      <c r="S40" s="1"/>
      <c r="T40" s="1">
        <f>SUM(OSRRefT22_6x_0)</f>
        <v>166.28</v>
      </c>
      <c r="U40" s="1"/>
      <c r="V40" s="5">
        <f t="shared" si="21"/>
        <v>0</v>
      </c>
      <c r="W40" s="1"/>
      <c r="X40" s="1">
        <f t="shared" si="22"/>
        <v>-101.22</v>
      </c>
      <c r="Y40" s="1"/>
      <c r="Z40" s="5">
        <f t="shared" si="23"/>
        <v>-0.60873225884050997</v>
      </c>
    </row>
    <row r="41" spans="1:26" s="24" customFormat="1" hidden="1" outlineLevel="2" x14ac:dyDescent="0.25">
      <c r="A41" s="26"/>
      <c r="B41" s="11" t="str">
        <f>CONCATENATE("          ", "6307", " - ", "POSTAGE")</f>
        <v xml:space="preserve">          6307 - POSTAGE</v>
      </c>
      <c r="C41" s="11"/>
      <c r="D41" s="6"/>
      <c r="E41" s="2"/>
      <c r="F41" s="7">
        <f t="shared" si="16"/>
        <v>0</v>
      </c>
      <c r="G41" s="2"/>
      <c r="H41" s="6">
        <v>33.78</v>
      </c>
      <c r="I41" s="2"/>
      <c r="J41" s="7">
        <f t="shared" si="17"/>
        <v>0</v>
      </c>
      <c r="K41" s="2"/>
      <c r="L41" s="6">
        <f t="shared" si="18"/>
        <v>-33.78</v>
      </c>
      <c r="M41" s="2"/>
      <c r="N41" s="7">
        <f t="shared" si="19"/>
        <v>-1</v>
      </c>
      <c r="O41" s="11"/>
      <c r="P41" s="6">
        <v>65.06</v>
      </c>
      <c r="Q41" s="2"/>
      <c r="R41" s="7">
        <f t="shared" si="20"/>
        <v>0</v>
      </c>
      <c r="S41" s="2"/>
      <c r="T41" s="6">
        <v>166.28</v>
      </c>
      <c r="U41" s="2"/>
      <c r="V41" s="7">
        <f t="shared" si="21"/>
        <v>0</v>
      </c>
      <c r="W41" s="2"/>
      <c r="X41" s="6">
        <f t="shared" si="22"/>
        <v>-101.22</v>
      </c>
      <c r="Y41" s="2"/>
      <c r="Z41" s="7">
        <f t="shared" si="23"/>
        <v>-0.60873225884050997</v>
      </c>
    </row>
    <row r="42" spans="1:26" s="25" customFormat="1" outlineLevel="1" collapsed="1" x14ac:dyDescent="0.25">
      <c r="A42" s="27"/>
      <c r="B42" s="13" t="str">
        <f>CONCATENATE("     ","General                                           ")</f>
        <v xml:space="preserve">     General                                           </v>
      </c>
      <c r="C42" s="13"/>
      <c r="D42" s="1">
        <f>SUM(OSRRefD22_7x_0)</f>
        <v>0</v>
      </c>
      <c r="E42" s="1"/>
      <c r="F42" s="5">
        <f t="shared" si="16"/>
        <v>0</v>
      </c>
      <c r="G42" s="1"/>
      <c r="H42" s="1">
        <f>SUM(OSRRefH22_7x_0)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3"/>
      <c r="P42" s="1">
        <f>SUM(OSRRefP22_7x_0)</f>
        <v>0</v>
      </c>
      <c r="Q42" s="1"/>
      <c r="R42" s="5">
        <f t="shared" si="20"/>
        <v>0</v>
      </c>
      <c r="S42" s="1"/>
      <c r="T42" s="1">
        <f>SUM(OSRRefT22_7x_0)</f>
        <v>11700.62</v>
      </c>
      <c r="U42" s="1"/>
      <c r="V42" s="5">
        <f t="shared" si="21"/>
        <v>0</v>
      </c>
      <c r="W42" s="1"/>
      <c r="X42" s="1">
        <f t="shared" si="22"/>
        <v>-11700.62</v>
      </c>
      <c r="Y42" s="1"/>
      <c r="Z42" s="5">
        <f t="shared" si="23"/>
        <v>-1</v>
      </c>
    </row>
    <row r="43" spans="1:26" s="24" customFormat="1" hidden="1" outlineLevel="2" x14ac:dyDescent="0.25">
      <c r="A43" s="26"/>
      <c r="B43" s="11" t="str">
        <f>CONCATENATE("          ", "6279", " - ", "GENERAL EXPENSE")</f>
        <v xml:space="preserve">          6279 - GENERAL EXPENSE</v>
      </c>
      <c r="C43" s="11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1"/>
      <c r="P43" s="6"/>
      <c r="Q43" s="2"/>
      <c r="R43" s="7">
        <f t="shared" si="20"/>
        <v>0</v>
      </c>
      <c r="S43" s="2"/>
      <c r="T43" s="6">
        <v>11700.62</v>
      </c>
      <c r="U43" s="2"/>
      <c r="V43" s="7">
        <f t="shared" si="21"/>
        <v>0</v>
      </c>
      <c r="W43" s="2"/>
      <c r="X43" s="6">
        <f t="shared" si="22"/>
        <v>-11700.62</v>
      </c>
      <c r="Y43" s="2"/>
      <c r="Z43" s="7">
        <f t="shared" si="23"/>
        <v>-1</v>
      </c>
    </row>
    <row r="44" spans="1:26" s="25" customFormat="1" outlineLevel="1" collapsed="1" x14ac:dyDescent="0.25">
      <c r="A44" s="27"/>
      <c r="B44" s="13" t="str">
        <f>CONCATENATE("     ","Insurance                                         ")</f>
        <v xml:space="preserve">     Insurance                                         </v>
      </c>
      <c r="C44" s="13"/>
      <c r="D44" s="1">
        <f>SUM(OSRRefD22_8x_0)</f>
        <v>115.13</v>
      </c>
      <c r="E44" s="1"/>
      <c r="F44" s="5">
        <f t="shared" si="16"/>
        <v>0</v>
      </c>
      <c r="G44" s="1"/>
      <c r="H44" s="1">
        <f>SUM(OSRRefH22_8x_0)</f>
        <v>115.13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3"/>
      <c r="P44" s="1">
        <f>SUM(OSRRefP22_8x_0)</f>
        <v>921.04</v>
      </c>
      <c r="Q44" s="1"/>
      <c r="R44" s="5">
        <f t="shared" si="20"/>
        <v>0</v>
      </c>
      <c r="S44" s="1"/>
      <c r="T44" s="1">
        <f>SUM(OSRRefT22_8x_0)</f>
        <v>921.04</v>
      </c>
      <c r="U44" s="1"/>
      <c r="V44" s="5">
        <f t="shared" si="21"/>
        <v>0</v>
      </c>
      <c r="W44" s="1"/>
      <c r="X44" s="1">
        <f t="shared" si="22"/>
        <v>0</v>
      </c>
      <c r="Y44" s="1"/>
      <c r="Z44" s="5">
        <f t="shared" si="23"/>
        <v>0</v>
      </c>
    </row>
    <row r="45" spans="1:26" s="24" customFormat="1" hidden="1" outlineLevel="2" x14ac:dyDescent="0.25">
      <c r="A45" s="26"/>
      <c r="B45" s="11" t="str">
        <f>CONCATENATE("          ", "6314", " - ", "LIABILITY INSURANCE")</f>
        <v xml:space="preserve">          6314 - LIABILITY INSURANCE</v>
      </c>
      <c r="C45" s="11"/>
      <c r="D45" s="6">
        <v>115.13</v>
      </c>
      <c r="E45" s="2"/>
      <c r="F45" s="7">
        <f t="shared" si="16"/>
        <v>0</v>
      </c>
      <c r="G45" s="2"/>
      <c r="H45" s="6">
        <v>115.13</v>
      </c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>
        <v>921.04</v>
      </c>
      <c r="Q45" s="2"/>
      <c r="R45" s="7">
        <f t="shared" si="20"/>
        <v>0</v>
      </c>
      <c r="S45" s="2"/>
      <c r="T45" s="6">
        <v>921.04</v>
      </c>
      <c r="U45" s="2"/>
      <c r="V45" s="7">
        <f t="shared" si="21"/>
        <v>0</v>
      </c>
      <c r="W45" s="2"/>
      <c r="X45" s="6">
        <f t="shared" si="22"/>
        <v>0</v>
      </c>
      <c r="Y45" s="2"/>
      <c r="Z45" s="7">
        <f t="shared" si="23"/>
        <v>0</v>
      </c>
    </row>
    <row r="46" spans="1:26" s="25" customFormat="1" outlineLevel="1" collapsed="1" x14ac:dyDescent="0.25">
      <c r="A46" s="27"/>
      <c r="B46" s="13" t="str">
        <f>CONCATENATE("     ","Professional Services                             ")</f>
        <v xml:space="preserve">     Professional Services                             </v>
      </c>
      <c r="C46" s="13"/>
      <c r="D46" s="1">
        <f>SUM(OSRRefD22_9x_0)</f>
        <v>725</v>
      </c>
      <c r="E46" s="1"/>
      <c r="F46" s="5">
        <f t="shared" si="16"/>
        <v>0</v>
      </c>
      <c r="G46" s="1"/>
      <c r="H46" s="1">
        <f>SUM(OSRRefH22_9x_0)</f>
        <v>875</v>
      </c>
      <c r="I46" s="1"/>
      <c r="J46" s="5">
        <f t="shared" si="17"/>
        <v>0</v>
      </c>
      <c r="K46" s="1"/>
      <c r="L46" s="1">
        <f t="shared" si="18"/>
        <v>-150</v>
      </c>
      <c r="M46" s="1"/>
      <c r="N46" s="5">
        <f t="shared" si="19"/>
        <v>-0.17142857142857143</v>
      </c>
      <c r="O46" s="13"/>
      <c r="P46" s="1">
        <f>SUM(OSRRefP22_9x_0)</f>
        <v>50379.24</v>
      </c>
      <c r="Q46" s="1"/>
      <c r="R46" s="5">
        <f t="shared" si="20"/>
        <v>0</v>
      </c>
      <c r="S46" s="1"/>
      <c r="T46" s="1">
        <f>SUM(OSRRefT22_9x_0)</f>
        <v>51735</v>
      </c>
      <c r="U46" s="1"/>
      <c r="V46" s="5">
        <f t="shared" si="21"/>
        <v>0</v>
      </c>
      <c r="W46" s="1"/>
      <c r="X46" s="1">
        <f t="shared" si="22"/>
        <v>-1355.760000000002</v>
      </c>
      <c r="Y46" s="1"/>
      <c r="Z46" s="5">
        <f t="shared" si="23"/>
        <v>-2.6205856770078324E-2</v>
      </c>
    </row>
    <row r="47" spans="1:26" s="24" customFormat="1" hidden="1" outlineLevel="2" x14ac:dyDescent="0.25">
      <c r="A47" s="26"/>
      <c r="B47" s="11" t="str">
        <f>CONCATENATE("          ", "6331", " - ", "INDIRECT COSTS-AUXILIARY ORGAN")</f>
        <v xml:space="preserve">          6331 - INDIRECT COSTS-AUXILIARY ORGAN</v>
      </c>
      <c r="C47" s="11"/>
      <c r="D47" s="6"/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0</v>
      </c>
      <c r="M47" s="2"/>
      <c r="N47" s="7">
        <f t="shared" si="19"/>
        <v>0</v>
      </c>
      <c r="O47" s="11"/>
      <c r="P47" s="6">
        <v>45850</v>
      </c>
      <c r="Q47" s="2"/>
      <c r="R47" s="7">
        <f t="shared" si="20"/>
        <v>0</v>
      </c>
      <c r="S47" s="2"/>
      <c r="T47" s="6">
        <v>45550</v>
      </c>
      <c r="U47" s="2"/>
      <c r="V47" s="7">
        <f t="shared" si="21"/>
        <v>0</v>
      </c>
      <c r="W47" s="2"/>
      <c r="X47" s="6">
        <f t="shared" si="22"/>
        <v>300</v>
      </c>
      <c r="Y47" s="2"/>
      <c r="Z47" s="7">
        <f t="shared" si="23"/>
        <v>6.5861690450054883E-3</v>
      </c>
    </row>
    <row r="48" spans="1:26" s="24" customFormat="1" hidden="1" outlineLevel="2" x14ac:dyDescent="0.25">
      <c r="A48" s="26"/>
      <c r="B48" s="11" t="str">
        <f>CONCATENATE("          ", "6334", " - ", "LEGAL COUNCIL EXPENSE")</f>
        <v xml:space="preserve">          6334 - LEGAL COUNCIL EXPENSE</v>
      </c>
      <c r="C48" s="11"/>
      <c r="D48" s="6">
        <v>725</v>
      </c>
      <c r="E48" s="2"/>
      <c r="F48" s="7">
        <f t="shared" si="16"/>
        <v>0</v>
      </c>
      <c r="G48" s="2"/>
      <c r="H48" s="6">
        <v>875</v>
      </c>
      <c r="I48" s="2"/>
      <c r="J48" s="7">
        <f t="shared" si="17"/>
        <v>0</v>
      </c>
      <c r="K48" s="2"/>
      <c r="L48" s="6">
        <f t="shared" si="18"/>
        <v>-150</v>
      </c>
      <c r="M48" s="2"/>
      <c r="N48" s="7">
        <f t="shared" si="19"/>
        <v>-0.17142857142857143</v>
      </c>
      <c r="O48" s="11"/>
      <c r="P48" s="6">
        <v>4529.24</v>
      </c>
      <c r="Q48" s="2"/>
      <c r="R48" s="7">
        <f t="shared" si="20"/>
        <v>0</v>
      </c>
      <c r="S48" s="2"/>
      <c r="T48" s="6">
        <v>1165</v>
      </c>
      <c r="U48" s="2"/>
      <c r="V48" s="7">
        <f t="shared" si="21"/>
        <v>0</v>
      </c>
      <c r="W48" s="2"/>
      <c r="X48" s="6">
        <f t="shared" si="22"/>
        <v>3364.24</v>
      </c>
      <c r="Y48" s="2"/>
      <c r="Z48" s="7">
        <f t="shared" si="23"/>
        <v>2.8877596566523605</v>
      </c>
    </row>
    <row r="49" spans="1:26" s="24" customFormat="1" hidden="1" outlineLevel="2" x14ac:dyDescent="0.25">
      <c r="A49" s="26"/>
      <c r="B49" s="11" t="str">
        <f>CONCATENATE("          ", "6336", " - ", "PROFESSIONAL SERVICES")</f>
        <v xml:space="preserve">          6336 - PROFESSIONAL SERVICES</v>
      </c>
      <c r="C49" s="11"/>
      <c r="D49" s="6"/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1"/>
      <c r="P49" s="6"/>
      <c r="Q49" s="2"/>
      <c r="R49" s="7">
        <f t="shared" si="20"/>
        <v>0</v>
      </c>
      <c r="S49" s="2"/>
      <c r="T49" s="6">
        <v>5020</v>
      </c>
      <c r="U49" s="2"/>
      <c r="V49" s="7">
        <f t="shared" si="21"/>
        <v>0</v>
      </c>
      <c r="W49" s="2"/>
      <c r="X49" s="6">
        <f t="shared" si="22"/>
        <v>-5020</v>
      </c>
      <c r="Y49" s="2"/>
      <c r="Z49" s="7">
        <f t="shared" si="23"/>
        <v>-1</v>
      </c>
    </row>
    <row r="50" spans="1:26" s="25" customFormat="1" outlineLevel="1" collapsed="1" x14ac:dyDescent="0.25">
      <c r="A50" s="27"/>
      <c r="B50" s="13" t="str">
        <f>CONCATENATE("     ","Repair and Maintenance                            ")</f>
        <v xml:space="preserve">     Repair and Maintenance                            </v>
      </c>
      <c r="C50" s="13"/>
      <c r="D50" s="1">
        <f>SUM(OSRRefD22_10x_0)</f>
        <v>21.75</v>
      </c>
      <c r="E50" s="1"/>
      <c r="F50" s="5">
        <f t="shared" ref="F50:F53" si="24">IF(D$12=0,0,D50/D$12)</f>
        <v>0</v>
      </c>
      <c r="G50" s="1"/>
      <c r="H50" s="1">
        <f>SUM(OSRRefH22_10x_0)</f>
        <v>2769.43</v>
      </c>
      <c r="I50" s="1"/>
      <c r="J50" s="5">
        <f t="shared" ref="J50:J53" si="25">IF(H$12=0,0,H50/H$12)</f>
        <v>0</v>
      </c>
      <c r="K50" s="1"/>
      <c r="L50" s="1">
        <f t="shared" ref="L50:L53" si="26">+D50-H50</f>
        <v>-2747.68</v>
      </c>
      <c r="M50" s="1"/>
      <c r="N50" s="5">
        <f t="shared" ref="N50:N53" si="27">IF(H50=0,0,L50/H50)</f>
        <v>-0.99214639835634044</v>
      </c>
      <c r="O50" s="13"/>
      <c r="P50" s="1">
        <f>SUM(OSRRefP22_10x_0)</f>
        <v>15874.22</v>
      </c>
      <c r="Q50" s="1"/>
      <c r="R50" s="5">
        <f t="shared" ref="R50:R53" si="28">IF(P$12=0,0,P50/P$12)</f>
        <v>0</v>
      </c>
      <c r="S50" s="1"/>
      <c r="T50" s="1">
        <f>SUM(OSRRefT22_10x_0)</f>
        <v>25630.260000000002</v>
      </c>
      <c r="U50" s="1"/>
      <c r="V50" s="5">
        <f t="shared" ref="V50:V53" si="29">IF(T$12=0,0,T50/T$12)</f>
        <v>0</v>
      </c>
      <c r="W50" s="1"/>
      <c r="X50" s="1">
        <f t="shared" ref="X50:X53" si="30">+P50-T50</f>
        <v>-9756.0400000000027</v>
      </c>
      <c r="Y50" s="1"/>
      <c r="Z50" s="5">
        <f t="shared" ref="Z50:Z53" si="31">IF(T50=0,0,X50/T50)</f>
        <v>-0.38064537776830987</v>
      </c>
    </row>
    <row r="51" spans="1:26" s="24" customFormat="1" hidden="1" outlineLevel="2" x14ac:dyDescent="0.25">
      <c r="A51" s="26"/>
      <c r="B51" s="11" t="str">
        <f>CONCATENATE("          ", "6371", " - ", "COMPUTER SOFTWARE MAINTENANCE")</f>
        <v xml:space="preserve">          6371 - COMPUTER SOFTWARE MAINTENANCE</v>
      </c>
      <c r="C51" s="11"/>
      <c r="D51" s="6"/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0</v>
      </c>
      <c r="M51" s="2"/>
      <c r="N51" s="7">
        <f t="shared" si="27"/>
        <v>0</v>
      </c>
      <c r="O51" s="11"/>
      <c r="P51" s="6"/>
      <c r="Q51" s="2"/>
      <c r="R51" s="7">
        <f t="shared" si="28"/>
        <v>0</v>
      </c>
      <c r="S51" s="2"/>
      <c r="T51" s="6">
        <v>31.58</v>
      </c>
      <c r="U51" s="2"/>
      <c r="V51" s="7">
        <f t="shared" si="29"/>
        <v>0</v>
      </c>
      <c r="W51" s="2"/>
      <c r="X51" s="6">
        <f t="shared" si="30"/>
        <v>-31.58</v>
      </c>
      <c r="Y51" s="2"/>
      <c r="Z51" s="7">
        <f t="shared" si="31"/>
        <v>-1</v>
      </c>
    </row>
    <row r="52" spans="1:26" s="24" customFormat="1" hidden="1" outlineLevel="2" x14ac:dyDescent="0.25">
      <c r="A52" s="26"/>
      <c r="B52" s="11" t="str">
        <f>CONCATENATE("          ", "6373", " - ", "MAINTENANCE CONTRACTS")</f>
        <v xml:space="preserve">          6373 - MAINTENANCE CONTRACTS</v>
      </c>
      <c r="C52" s="11"/>
      <c r="D52" s="6">
        <v>21.75</v>
      </c>
      <c r="E52" s="2"/>
      <c r="F52" s="7">
        <f t="shared" si="24"/>
        <v>0</v>
      </c>
      <c r="G52" s="2"/>
      <c r="H52" s="6">
        <v>2769.43</v>
      </c>
      <c r="I52" s="2"/>
      <c r="J52" s="7">
        <f t="shared" si="25"/>
        <v>0</v>
      </c>
      <c r="K52" s="2"/>
      <c r="L52" s="6">
        <f t="shared" si="26"/>
        <v>-2747.68</v>
      </c>
      <c r="M52" s="2"/>
      <c r="N52" s="7">
        <f t="shared" si="27"/>
        <v>-0.99214639835634044</v>
      </c>
      <c r="O52" s="11"/>
      <c r="P52" s="6">
        <v>15874.22</v>
      </c>
      <c r="Q52" s="2"/>
      <c r="R52" s="7">
        <f t="shared" si="28"/>
        <v>0</v>
      </c>
      <c r="S52" s="2"/>
      <c r="T52" s="6">
        <v>25073.69</v>
      </c>
      <c r="U52" s="2"/>
      <c r="V52" s="7">
        <f t="shared" si="29"/>
        <v>0</v>
      </c>
      <c r="W52" s="2"/>
      <c r="X52" s="6">
        <f t="shared" si="30"/>
        <v>-9199.4699999999993</v>
      </c>
      <c r="Y52" s="2"/>
      <c r="Z52" s="7">
        <f t="shared" si="31"/>
        <v>-0.36689733342001118</v>
      </c>
    </row>
    <row r="53" spans="1:26" s="24" customFormat="1" hidden="1" outlineLevel="2" x14ac:dyDescent="0.25">
      <c r="A53" s="26"/>
      <c r="B53" s="11" t="str">
        <f>CONCATENATE("          ", "6375", " - ", "OUTSIDE REPAIRS &amp; MAINTENANCE")</f>
        <v xml:space="preserve">          6375 - OUTSIDE REPAIRS &amp; MAINTENANCE</v>
      </c>
      <c r="C53" s="11"/>
      <c r="D53" s="6"/>
      <c r="E53" s="2"/>
      <c r="F53" s="7">
        <f t="shared" si="24"/>
        <v>0</v>
      </c>
      <c r="G53" s="2"/>
      <c r="H53" s="6"/>
      <c r="I53" s="2"/>
      <c r="J53" s="7">
        <f t="shared" si="25"/>
        <v>0</v>
      </c>
      <c r="K53" s="2"/>
      <c r="L53" s="6">
        <f t="shared" si="26"/>
        <v>0</v>
      </c>
      <c r="M53" s="2"/>
      <c r="N53" s="7">
        <f t="shared" si="27"/>
        <v>0</v>
      </c>
      <c r="O53" s="11"/>
      <c r="P53" s="6"/>
      <c r="Q53" s="2"/>
      <c r="R53" s="7">
        <f t="shared" si="28"/>
        <v>0</v>
      </c>
      <c r="S53" s="2"/>
      <c r="T53" s="6">
        <v>524.99</v>
      </c>
      <c r="U53" s="2"/>
      <c r="V53" s="7">
        <f t="shared" si="29"/>
        <v>0</v>
      </c>
      <c r="W53" s="2"/>
      <c r="X53" s="6">
        <f t="shared" si="30"/>
        <v>-524.99</v>
      </c>
      <c r="Y53" s="2"/>
      <c r="Z53" s="7">
        <f t="shared" si="31"/>
        <v>-1</v>
      </c>
    </row>
    <row r="54" spans="1:26" s="25" customFormat="1" outlineLevel="1" collapsed="1" x14ac:dyDescent="0.25">
      <c r="A54" s="27"/>
      <c r="B54" s="13" t="str">
        <f>CONCATENATE("     ","Subscriptions &amp; Dues                              ")</f>
        <v xml:space="preserve">     Subscriptions &amp; Dues                              </v>
      </c>
      <c r="C54" s="13"/>
      <c r="D54" s="1">
        <f>SUM(OSRRefD22_11x_0)</f>
        <v>0</v>
      </c>
      <c r="E54" s="1"/>
      <c r="F54" s="5">
        <f t="shared" ref="F54:F60" si="32">IF(D$12=0,0,D54/D$12)</f>
        <v>0</v>
      </c>
      <c r="G54" s="1"/>
      <c r="H54" s="1">
        <f>SUM(OSRRefH22_11x_0)</f>
        <v>0</v>
      </c>
      <c r="I54" s="1"/>
      <c r="J54" s="5">
        <f t="shared" ref="J54:J60" si="33">IF(H$12=0,0,H54/H$12)</f>
        <v>0</v>
      </c>
      <c r="K54" s="1"/>
      <c r="L54" s="1">
        <f t="shared" ref="L54:L60" si="34">+D54-H54</f>
        <v>0</v>
      </c>
      <c r="M54" s="1"/>
      <c r="N54" s="5">
        <f t="shared" ref="N54:N60" si="35">IF(H54=0,0,L54/H54)</f>
        <v>0</v>
      </c>
      <c r="O54" s="13"/>
      <c r="P54" s="1">
        <f>SUM(OSRRefP22_11x_0)</f>
        <v>1725</v>
      </c>
      <c r="Q54" s="1"/>
      <c r="R54" s="5">
        <f t="shared" ref="R54:R60" si="36">IF(P$12=0,0,P54/P$12)</f>
        <v>0</v>
      </c>
      <c r="S54" s="1"/>
      <c r="T54" s="1">
        <f>SUM(OSRRefT22_11x_0)</f>
        <v>1795</v>
      </c>
      <c r="U54" s="1"/>
      <c r="V54" s="5">
        <f t="shared" ref="V54:V60" si="37">IF(T$12=0,0,T54/T$12)</f>
        <v>0</v>
      </c>
      <c r="W54" s="1"/>
      <c r="X54" s="1">
        <f t="shared" ref="X54:X60" si="38">+P54-T54</f>
        <v>-70</v>
      </c>
      <c r="Y54" s="1"/>
      <c r="Z54" s="5">
        <f t="shared" ref="Z54:Z60" si="39">IF(T54=0,0,X54/T54)</f>
        <v>-3.8997214484679667E-2</v>
      </c>
    </row>
    <row r="55" spans="1:26" s="24" customFormat="1" hidden="1" outlineLevel="2" x14ac:dyDescent="0.25">
      <c r="A55" s="26"/>
      <c r="B55" s="11" t="str">
        <f>CONCATENATE("          ", "6258", " - ", "MEMBERSHIP DUES")</f>
        <v xml:space="preserve">          6258 - MEMBERSHIP DUES</v>
      </c>
      <c r="C55" s="11"/>
      <c r="D55" s="6"/>
      <c r="E55" s="2"/>
      <c r="F55" s="7">
        <f t="shared" si="32"/>
        <v>0</v>
      </c>
      <c r="G55" s="2"/>
      <c r="H55" s="6"/>
      <c r="I55" s="2"/>
      <c r="J55" s="7">
        <f t="shared" si="33"/>
        <v>0</v>
      </c>
      <c r="K55" s="2"/>
      <c r="L55" s="6">
        <f t="shared" si="34"/>
        <v>0</v>
      </c>
      <c r="M55" s="2"/>
      <c r="N55" s="7">
        <f t="shared" si="35"/>
        <v>0</v>
      </c>
      <c r="O55" s="11"/>
      <c r="P55" s="6">
        <v>1725</v>
      </c>
      <c r="Q55" s="2"/>
      <c r="R55" s="7">
        <f t="shared" si="36"/>
        <v>0</v>
      </c>
      <c r="S55" s="2"/>
      <c r="T55" s="6">
        <v>1795</v>
      </c>
      <c r="U55" s="2"/>
      <c r="V55" s="7">
        <f t="shared" si="37"/>
        <v>0</v>
      </c>
      <c r="W55" s="2"/>
      <c r="X55" s="6">
        <f t="shared" si="38"/>
        <v>-70</v>
      </c>
      <c r="Y55" s="2"/>
      <c r="Z55" s="7">
        <f t="shared" si="39"/>
        <v>-3.8997214484679667E-2</v>
      </c>
    </row>
    <row r="56" spans="1:26" s="25" customFormat="1" outlineLevel="1" collapsed="1" x14ac:dyDescent="0.25">
      <c r="A56" s="27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SUM(OSRRefD22_12x_0)</f>
        <v>39.69</v>
      </c>
      <c r="E56" s="1"/>
      <c r="F56" s="5">
        <f t="shared" si="32"/>
        <v>0</v>
      </c>
      <c r="G56" s="1"/>
      <c r="H56" s="1">
        <f>SUM(OSRRefH22_12x_0)</f>
        <v>27.74</v>
      </c>
      <c r="I56" s="1"/>
      <c r="J56" s="5">
        <f t="shared" si="33"/>
        <v>0</v>
      </c>
      <c r="K56" s="1"/>
      <c r="L56" s="1">
        <f t="shared" si="34"/>
        <v>11.95</v>
      </c>
      <c r="M56" s="1"/>
      <c r="N56" s="5">
        <f t="shared" si="35"/>
        <v>0.4307858687815429</v>
      </c>
      <c r="O56" s="13"/>
      <c r="P56" s="1">
        <f>SUM(OSRRefP22_12x_0)</f>
        <v>590.51</v>
      </c>
      <c r="Q56" s="1"/>
      <c r="R56" s="5">
        <f t="shared" si="36"/>
        <v>0</v>
      </c>
      <c r="S56" s="1"/>
      <c r="T56" s="1">
        <f>SUM(OSRRefT22_12x_0)</f>
        <v>3955.46</v>
      </c>
      <c r="U56" s="1"/>
      <c r="V56" s="5">
        <f t="shared" si="37"/>
        <v>0</v>
      </c>
      <c r="W56" s="1"/>
      <c r="X56" s="1">
        <f t="shared" si="38"/>
        <v>-3364.95</v>
      </c>
      <c r="Y56" s="1"/>
      <c r="Z56" s="5">
        <f t="shared" si="39"/>
        <v>-0.85071015760493085</v>
      </c>
    </row>
    <row r="57" spans="1:26" s="24" customFormat="1" hidden="1" outlineLevel="2" x14ac:dyDescent="0.25">
      <c r="A57" s="26"/>
      <c r="B57" s="11" t="str">
        <f>CONCATENATE("          ", "6234", " - ", "EXPENDABLE SUPPLIES &amp; EQUIPMEN")</f>
        <v xml:space="preserve">          6234 - EXPENDABLE SUPPLIES &amp; EQUIPMEN</v>
      </c>
      <c r="C57" s="11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1"/>
      <c r="P57" s="6"/>
      <c r="Q57" s="2"/>
      <c r="R57" s="7">
        <f t="shared" si="36"/>
        <v>0</v>
      </c>
      <c r="S57" s="2"/>
      <c r="T57" s="6">
        <v>217.02</v>
      </c>
      <c r="U57" s="2"/>
      <c r="V57" s="7">
        <f t="shared" si="37"/>
        <v>0</v>
      </c>
      <c r="W57" s="2"/>
      <c r="X57" s="6">
        <f t="shared" si="38"/>
        <v>-217.02</v>
      </c>
      <c r="Y57" s="2"/>
      <c r="Z57" s="7">
        <f t="shared" si="39"/>
        <v>-1</v>
      </c>
    </row>
    <row r="58" spans="1:26" s="24" customFormat="1" hidden="1" outlineLevel="2" x14ac:dyDescent="0.25">
      <c r="A58" s="26"/>
      <c r="B58" s="11" t="str">
        <f>CONCATENATE("          ", "6235", " - ", "COVID-19 EXPENSES")</f>
        <v xml:space="preserve">          6235 - COVID-19 EXPENSES</v>
      </c>
      <c r="C58" s="11"/>
      <c r="D58" s="6"/>
      <c r="E58" s="2"/>
      <c r="F58" s="7">
        <f t="shared" si="32"/>
        <v>0</v>
      </c>
      <c r="G58" s="2"/>
      <c r="H58" s="6"/>
      <c r="I58" s="2"/>
      <c r="J58" s="7">
        <f t="shared" si="33"/>
        <v>0</v>
      </c>
      <c r="K58" s="2"/>
      <c r="L58" s="6">
        <f t="shared" si="34"/>
        <v>0</v>
      </c>
      <c r="M58" s="2"/>
      <c r="N58" s="7">
        <f t="shared" si="35"/>
        <v>0</v>
      </c>
      <c r="O58" s="11"/>
      <c r="P58" s="6">
        <v>106.94</v>
      </c>
      <c r="Q58" s="2"/>
      <c r="R58" s="7">
        <f t="shared" si="36"/>
        <v>0</v>
      </c>
      <c r="S58" s="2"/>
      <c r="T58" s="6"/>
      <c r="U58" s="2"/>
      <c r="V58" s="7">
        <f t="shared" si="37"/>
        <v>0</v>
      </c>
      <c r="W58" s="2"/>
      <c r="X58" s="6">
        <f t="shared" si="38"/>
        <v>106.94</v>
      </c>
      <c r="Y58" s="2"/>
      <c r="Z58" s="7">
        <f t="shared" si="39"/>
        <v>0</v>
      </c>
    </row>
    <row r="59" spans="1:26" s="24" customFormat="1" hidden="1" outlineLevel="2" x14ac:dyDescent="0.25">
      <c r="A59" s="26"/>
      <c r="B59" s="11" t="str">
        <f>CONCATENATE("          ", "6241", " - ", "OFFICE EXPENSE")</f>
        <v xml:space="preserve">          6241 - OFFICE EXPENSE</v>
      </c>
      <c r="C59" s="11"/>
      <c r="D59" s="6">
        <v>39.69</v>
      </c>
      <c r="E59" s="2"/>
      <c r="F59" s="7">
        <f t="shared" si="32"/>
        <v>0</v>
      </c>
      <c r="G59" s="2"/>
      <c r="H59" s="6">
        <v>27.74</v>
      </c>
      <c r="I59" s="2"/>
      <c r="J59" s="7">
        <f t="shared" si="33"/>
        <v>0</v>
      </c>
      <c r="K59" s="2"/>
      <c r="L59" s="6">
        <f t="shared" si="34"/>
        <v>11.95</v>
      </c>
      <c r="M59" s="2"/>
      <c r="N59" s="7">
        <f t="shared" si="35"/>
        <v>0.4307858687815429</v>
      </c>
      <c r="O59" s="11"/>
      <c r="P59" s="6">
        <v>483.57</v>
      </c>
      <c r="Q59" s="2"/>
      <c r="R59" s="7">
        <f t="shared" si="36"/>
        <v>0</v>
      </c>
      <c r="S59" s="2"/>
      <c r="T59" s="6">
        <v>3706.58</v>
      </c>
      <c r="U59" s="2"/>
      <c r="V59" s="7">
        <f t="shared" si="37"/>
        <v>0</v>
      </c>
      <c r="W59" s="2"/>
      <c r="X59" s="6">
        <f t="shared" si="38"/>
        <v>-3223.0099999999998</v>
      </c>
      <c r="Y59" s="2"/>
      <c r="Z59" s="7">
        <f t="shared" si="39"/>
        <v>-0.86953741724177003</v>
      </c>
    </row>
    <row r="60" spans="1:26" s="24" customFormat="1" hidden="1" outlineLevel="2" x14ac:dyDescent="0.25">
      <c r="A60" s="26"/>
      <c r="B60" s="11" t="str">
        <f>CONCATENATE("          ", "6245", " - ", "PRINTING")</f>
        <v xml:space="preserve">          6245 - PRINTING</v>
      </c>
      <c r="C60" s="11"/>
      <c r="D60" s="6"/>
      <c r="E60" s="2"/>
      <c r="F60" s="7">
        <f t="shared" si="32"/>
        <v>0</v>
      </c>
      <c r="G60" s="2"/>
      <c r="H60" s="6"/>
      <c r="I60" s="2"/>
      <c r="J60" s="7">
        <f t="shared" si="33"/>
        <v>0</v>
      </c>
      <c r="K60" s="2"/>
      <c r="L60" s="6">
        <f t="shared" si="34"/>
        <v>0</v>
      </c>
      <c r="M60" s="2"/>
      <c r="N60" s="7">
        <f t="shared" si="35"/>
        <v>0</v>
      </c>
      <c r="O60" s="11"/>
      <c r="P60" s="6"/>
      <c r="Q60" s="2"/>
      <c r="R60" s="7">
        <f t="shared" si="36"/>
        <v>0</v>
      </c>
      <c r="S60" s="2"/>
      <c r="T60" s="6">
        <v>31.86</v>
      </c>
      <c r="U60" s="2"/>
      <c r="V60" s="7">
        <f t="shared" si="37"/>
        <v>0</v>
      </c>
      <c r="W60" s="2"/>
      <c r="X60" s="6">
        <f t="shared" si="38"/>
        <v>-31.86</v>
      </c>
      <c r="Y60" s="2"/>
      <c r="Z60" s="7">
        <f t="shared" si="39"/>
        <v>-1</v>
      </c>
    </row>
    <row r="61" spans="1:26" s="25" customFormat="1" outlineLevel="1" collapsed="1" x14ac:dyDescent="0.25">
      <c r="A61" s="27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SUM(OSRRefD22_13x_0)</f>
        <v>249.72</v>
      </c>
      <c r="E61" s="1"/>
      <c r="F61" s="5">
        <f t="shared" ref="F61:F66" si="40">IF(D$12=0,0,D61/D$12)</f>
        <v>0</v>
      </c>
      <c r="G61" s="1"/>
      <c r="H61" s="1">
        <f>SUM(OSRRefH22_13x_0)</f>
        <v>305.41000000000003</v>
      </c>
      <c r="I61" s="1"/>
      <c r="J61" s="5">
        <f t="shared" ref="J61:J66" si="41">IF(H$12=0,0,H61/H$12)</f>
        <v>0</v>
      </c>
      <c r="K61" s="1"/>
      <c r="L61" s="1">
        <f t="shared" ref="L61:L66" si="42">+D61-H61</f>
        <v>-55.690000000000026</v>
      </c>
      <c r="M61" s="1"/>
      <c r="N61" s="5">
        <f t="shared" ref="N61:N66" si="43">IF(H61=0,0,L61/H61)</f>
        <v>-0.18234504436658924</v>
      </c>
      <c r="O61" s="13"/>
      <c r="P61" s="1">
        <f>SUM(OSRRefP22_13x_0)</f>
        <v>3413.87</v>
      </c>
      <c r="Q61" s="1"/>
      <c r="R61" s="5">
        <f t="shared" ref="R61:R66" si="44">IF(P$12=0,0,P61/P$12)</f>
        <v>0</v>
      </c>
      <c r="S61" s="1"/>
      <c r="T61" s="1">
        <f>SUM(OSRRefT22_13x_0)</f>
        <v>3225.55</v>
      </c>
      <c r="U61" s="1"/>
      <c r="V61" s="5">
        <f t="shared" ref="V61:V66" si="45">IF(T$12=0,0,T61/T$12)</f>
        <v>0</v>
      </c>
      <c r="W61" s="1"/>
      <c r="X61" s="1">
        <f t="shared" ref="X61:X66" si="46">+P61-T61</f>
        <v>188.31999999999971</v>
      </c>
      <c r="Y61" s="1"/>
      <c r="Z61" s="5">
        <f t="shared" ref="Z61:Z66" si="47">IF(T61=0,0,X61/T61)</f>
        <v>5.8383841515400381E-2</v>
      </c>
    </row>
    <row r="62" spans="1:26" s="24" customFormat="1" hidden="1" outlineLevel="2" x14ac:dyDescent="0.25">
      <c r="A62" s="26"/>
      <c r="B62" s="11" t="str">
        <f>CONCATENATE("          ", "6309", " - ", "TELEPHONE")</f>
        <v xml:space="preserve">          6309 - TELEPHONE</v>
      </c>
      <c r="C62" s="11"/>
      <c r="D62" s="6">
        <v>249.72</v>
      </c>
      <c r="E62" s="2"/>
      <c r="F62" s="7">
        <f t="shared" si="40"/>
        <v>0</v>
      </c>
      <c r="G62" s="2"/>
      <c r="H62" s="6">
        <v>305.41000000000003</v>
      </c>
      <c r="I62" s="2"/>
      <c r="J62" s="7">
        <f t="shared" si="41"/>
        <v>0</v>
      </c>
      <c r="K62" s="2"/>
      <c r="L62" s="6">
        <f t="shared" si="42"/>
        <v>-55.690000000000026</v>
      </c>
      <c r="M62" s="2"/>
      <c r="N62" s="7">
        <f t="shared" si="43"/>
        <v>-0.18234504436658924</v>
      </c>
      <c r="O62" s="11"/>
      <c r="P62" s="6">
        <v>3413.87</v>
      </c>
      <c r="Q62" s="2"/>
      <c r="R62" s="7">
        <f t="shared" si="44"/>
        <v>0</v>
      </c>
      <c r="S62" s="2"/>
      <c r="T62" s="6">
        <v>3225.55</v>
      </c>
      <c r="U62" s="2"/>
      <c r="V62" s="7">
        <f t="shared" si="45"/>
        <v>0</v>
      </c>
      <c r="W62" s="2"/>
      <c r="X62" s="6">
        <f t="shared" si="46"/>
        <v>188.31999999999971</v>
      </c>
      <c r="Y62" s="2"/>
      <c r="Z62" s="7">
        <f t="shared" si="47"/>
        <v>5.8383841515400381E-2</v>
      </c>
    </row>
    <row r="63" spans="1:26" s="25" customFormat="1" outlineLevel="1" collapsed="1" x14ac:dyDescent="0.25">
      <c r="A63" s="27"/>
      <c r="B63" s="13" t="str">
        <f>CONCATENATE("     ","Training                                          ")</f>
        <v xml:space="preserve">     Training                                          </v>
      </c>
      <c r="C63" s="13"/>
      <c r="D63" s="1">
        <f>SUM(OSRRefD22_14x_0)</f>
        <v>150</v>
      </c>
      <c r="E63" s="1"/>
      <c r="F63" s="5">
        <f t="shared" si="40"/>
        <v>0</v>
      </c>
      <c r="G63" s="1"/>
      <c r="H63" s="1">
        <f>SUM(OSRRefH22_14x_0)</f>
        <v>218.9</v>
      </c>
      <c r="I63" s="1"/>
      <c r="J63" s="5">
        <f t="shared" si="41"/>
        <v>0</v>
      </c>
      <c r="K63" s="1"/>
      <c r="L63" s="1">
        <f t="shared" si="42"/>
        <v>-68.900000000000006</v>
      </c>
      <c r="M63" s="1"/>
      <c r="N63" s="5">
        <f t="shared" si="43"/>
        <v>-0.31475559616263138</v>
      </c>
      <c r="O63" s="13"/>
      <c r="P63" s="1">
        <f>SUM(OSRRefP22_14x_0)</f>
        <v>1276.5</v>
      </c>
      <c r="Q63" s="1"/>
      <c r="R63" s="5">
        <f t="shared" si="44"/>
        <v>0</v>
      </c>
      <c r="S63" s="1"/>
      <c r="T63" s="1">
        <f>SUM(OSRRefT22_14x_0)</f>
        <v>4411.1899999999996</v>
      </c>
      <c r="U63" s="1"/>
      <c r="V63" s="5">
        <f t="shared" si="45"/>
        <v>0</v>
      </c>
      <c r="W63" s="1"/>
      <c r="X63" s="1">
        <f t="shared" si="46"/>
        <v>-3134.6899999999996</v>
      </c>
      <c r="Y63" s="1"/>
      <c r="Z63" s="5">
        <f t="shared" si="47"/>
        <v>-0.71062230373209945</v>
      </c>
    </row>
    <row r="64" spans="1:26" s="24" customFormat="1" hidden="1" outlineLevel="2" x14ac:dyDescent="0.25">
      <c r="A64" s="26"/>
      <c r="B64" s="11" t="str">
        <f>CONCATENATE("          ", "6376", " - ", "TRAINING")</f>
        <v xml:space="preserve">          6376 - TRAINING</v>
      </c>
      <c r="C64" s="11"/>
      <c r="D64" s="6">
        <v>150</v>
      </c>
      <c r="E64" s="2"/>
      <c r="F64" s="7">
        <f t="shared" si="40"/>
        <v>0</v>
      </c>
      <c r="G64" s="2"/>
      <c r="H64" s="6">
        <v>218.9</v>
      </c>
      <c r="I64" s="2"/>
      <c r="J64" s="7">
        <f t="shared" si="41"/>
        <v>0</v>
      </c>
      <c r="K64" s="2"/>
      <c r="L64" s="6">
        <f t="shared" si="42"/>
        <v>-68.900000000000006</v>
      </c>
      <c r="M64" s="2"/>
      <c r="N64" s="7">
        <f t="shared" si="43"/>
        <v>-0.31475559616263138</v>
      </c>
      <c r="O64" s="11"/>
      <c r="P64" s="6">
        <v>1276.5</v>
      </c>
      <c r="Q64" s="2"/>
      <c r="R64" s="7">
        <f t="shared" si="44"/>
        <v>0</v>
      </c>
      <c r="S64" s="2"/>
      <c r="T64" s="6">
        <v>4411.1899999999996</v>
      </c>
      <c r="U64" s="2"/>
      <c r="V64" s="7">
        <f t="shared" si="45"/>
        <v>0</v>
      </c>
      <c r="W64" s="2"/>
      <c r="X64" s="6">
        <f t="shared" si="46"/>
        <v>-3134.6899999999996</v>
      </c>
      <c r="Y64" s="2"/>
      <c r="Z64" s="7">
        <f t="shared" si="47"/>
        <v>-0.71062230373209945</v>
      </c>
    </row>
    <row r="65" spans="1:26" s="25" customFormat="1" outlineLevel="1" collapsed="1" x14ac:dyDescent="0.25">
      <c r="A65" s="27"/>
      <c r="B65" s="13" t="str">
        <f>CONCATENATE("     ","Travel                                            ")</f>
        <v xml:space="preserve">     Travel                                            </v>
      </c>
      <c r="C65" s="13"/>
      <c r="D65" s="1">
        <f>SUM(OSRRefD22_15x_0)</f>
        <v>0</v>
      </c>
      <c r="E65" s="1"/>
      <c r="F65" s="5">
        <f t="shared" si="40"/>
        <v>0</v>
      </c>
      <c r="G65" s="1"/>
      <c r="H65" s="1">
        <f>SUM(OSRRefH22_15x_0)</f>
        <v>95.92</v>
      </c>
      <c r="I65" s="1"/>
      <c r="J65" s="5">
        <f t="shared" si="41"/>
        <v>0</v>
      </c>
      <c r="K65" s="1"/>
      <c r="L65" s="1">
        <f t="shared" si="42"/>
        <v>-95.92</v>
      </c>
      <c r="M65" s="1"/>
      <c r="N65" s="5">
        <f t="shared" si="43"/>
        <v>-1</v>
      </c>
      <c r="O65" s="13"/>
      <c r="P65" s="1">
        <f>SUM(OSRRefP22_15x_0)</f>
        <v>0</v>
      </c>
      <c r="Q65" s="1"/>
      <c r="R65" s="5">
        <f t="shared" si="44"/>
        <v>0</v>
      </c>
      <c r="S65" s="1"/>
      <c r="T65" s="1">
        <f>SUM(OSRRefT22_15x_0)</f>
        <v>3811.99</v>
      </c>
      <c r="U65" s="1"/>
      <c r="V65" s="5">
        <f t="shared" si="45"/>
        <v>0</v>
      </c>
      <c r="W65" s="1"/>
      <c r="X65" s="1">
        <f t="shared" si="46"/>
        <v>-3811.99</v>
      </c>
      <c r="Y65" s="1"/>
      <c r="Z65" s="5">
        <f t="shared" si="47"/>
        <v>-1</v>
      </c>
    </row>
    <row r="66" spans="1:26" s="24" customFormat="1" hidden="1" outlineLevel="2" x14ac:dyDescent="0.25">
      <c r="A66" s="26"/>
      <c r="B66" s="11" t="str">
        <f>CONCATENATE("          ", "6292", " - ", "TRAVEL/CONFERENCE")</f>
        <v xml:space="preserve">          6292 - TRAVEL/CONFERENCE</v>
      </c>
      <c r="C66" s="11"/>
      <c r="D66" s="6"/>
      <c r="E66" s="2"/>
      <c r="F66" s="7">
        <f t="shared" si="40"/>
        <v>0</v>
      </c>
      <c r="G66" s="2"/>
      <c r="H66" s="6">
        <v>95.92</v>
      </c>
      <c r="I66" s="2"/>
      <c r="J66" s="7">
        <f t="shared" si="41"/>
        <v>0</v>
      </c>
      <c r="K66" s="2"/>
      <c r="L66" s="6">
        <f t="shared" si="42"/>
        <v>-95.92</v>
      </c>
      <c r="M66" s="2"/>
      <c r="N66" s="7">
        <f t="shared" si="43"/>
        <v>-1</v>
      </c>
      <c r="O66" s="11"/>
      <c r="P66" s="6"/>
      <c r="Q66" s="2"/>
      <c r="R66" s="7">
        <f t="shared" si="44"/>
        <v>0</v>
      </c>
      <c r="S66" s="2"/>
      <c r="T66" s="6">
        <v>3811.99</v>
      </c>
      <c r="U66" s="2"/>
      <c r="V66" s="7">
        <f t="shared" si="45"/>
        <v>0</v>
      </c>
      <c r="W66" s="2"/>
      <c r="X66" s="6">
        <f t="shared" si="46"/>
        <v>-3811.99</v>
      </c>
      <c r="Y66" s="2"/>
      <c r="Z66" s="7">
        <f t="shared" si="47"/>
        <v>-1</v>
      </c>
    </row>
    <row r="67" spans="1:26" s="52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8" t="s">
        <v>0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9" t="s">
        <v>3</v>
      </c>
      <c r="C70" s="29"/>
      <c r="D70" s="22">
        <f>+D16-D18+D68</f>
        <v>-30894.159999999996</v>
      </c>
      <c r="E70" s="14"/>
      <c r="F70" s="20">
        <f>IF(D$12=0,0,D70/D$12)</f>
        <v>0</v>
      </c>
      <c r="G70" s="14"/>
      <c r="H70" s="22">
        <f>+H16-H18+H68</f>
        <v>-37406.44</v>
      </c>
      <c r="I70" s="14"/>
      <c r="J70" s="20">
        <f>IF(H$12=0,0,H70/H$12)</f>
        <v>0</v>
      </c>
      <c r="K70" s="16"/>
      <c r="L70" s="22">
        <f>+D70-H70</f>
        <v>6512.2800000000061</v>
      </c>
      <c r="M70" s="16"/>
      <c r="N70" s="20">
        <f>IF(H70=0,0,L70/H70)</f>
        <v>-0.17409515580739587</v>
      </c>
      <c r="O70" s="28"/>
      <c r="P70" s="22">
        <f>+P16-P18+P68</f>
        <v>-299121.88</v>
      </c>
      <c r="Q70" s="14"/>
      <c r="R70" s="20">
        <f>IF(P$12=0,0,P70/P$12)</f>
        <v>0</v>
      </c>
      <c r="S70" s="14"/>
      <c r="T70" s="22">
        <f>+T16-T18+T68</f>
        <v>-513761.47</v>
      </c>
      <c r="U70" s="14"/>
      <c r="V70" s="20">
        <f>IF(T$12=0,0,T70/T$12)</f>
        <v>0</v>
      </c>
      <c r="W70" s="16"/>
      <c r="X70" s="22">
        <f>+P70-T70</f>
        <v>214639.58999999997</v>
      </c>
      <c r="Y70" s="16"/>
      <c r="Z70" s="20">
        <f>IF(T70=0,0,X70/T70)</f>
        <v>-0.41778062881982952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1"/>
      <c r="B72" s="10" t="s">
        <v>13</v>
      </c>
      <c r="C72" s="10"/>
      <c r="D72" s="4"/>
      <c r="E72" s="4"/>
      <c r="F72" s="12">
        <f>IF(D$12=0,0,D72/D$12)</f>
        <v>0</v>
      </c>
      <c r="G72" s="4"/>
      <c r="H72" s="4"/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/>
      <c r="Q72" s="4"/>
      <c r="R72" s="12">
        <f>IF(P$12=0,0,P72/P$12)</f>
        <v>0</v>
      </c>
      <c r="S72" s="4"/>
      <c r="T72" s="4"/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9" t="s">
        <v>4</v>
      </c>
      <c r="C74" s="29"/>
      <c r="D74" s="35">
        <f>+D70-D72</f>
        <v>-30894.159999999996</v>
      </c>
      <c r="E74" s="14"/>
      <c r="F74" s="36">
        <f>IF(D$12=0,0,D74/D$12)</f>
        <v>0</v>
      </c>
      <c r="G74" s="14"/>
      <c r="H74" s="35">
        <f>+H70-H72</f>
        <v>-37406.44</v>
      </c>
      <c r="I74" s="14"/>
      <c r="J74" s="36">
        <f>IF(H$12=0,0,H74/H$12)</f>
        <v>0</v>
      </c>
      <c r="K74" s="16"/>
      <c r="L74" s="35">
        <f>D74-H74</f>
        <v>6512.2800000000061</v>
      </c>
      <c r="M74" s="16"/>
      <c r="N74" s="36">
        <f>IF(H74=0,0,L74/H74)</f>
        <v>-0.17409515580739587</v>
      </c>
      <c r="O74" s="28"/>
      <c r="P74" s="35">
        <f>+P70-P72</f>
        <v>-299121.88</v>
      </c>
      <c r="Q74" s="14"/>
      <c r="R74" s="36">
        <f>IF(P$12=0,0,P74/P$12)</f>
        <v>0</v>
      </c>
      <c r="S74" s="14"/>
      <c r="T74" s="35">
        <f>+T70-T72</f>
        <v>-513761.47</v>
      </c>
      <c r="U74" s="14"/>
      <c r="V74" s="36">
        <f>IF(T$12=0,0,T74/T$12)</f>
        <v>0</v>
      </c>
      <c r="W74" s="16"/>
      <c r="X74" s="35">
        <f>P74-T74</f>
        <v>214639.58999999997</v>
      </c>
      <c r="Y74" s="16"/>
      <c r="Z74" s="36">
        <f>IF(T74=0,0,X74/T74)</f>
        <v>-0.41778062881982952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5</v>
      </c>
      <c r="C77" s="29"/>
      <c r="D77" s="31">
        <f>SUM(D74:D76)</f>
        <v>-30894.159999999996</v>
      </c>
      <c r="E77" s="14"/>
      <c r="F77" s="33">
        <f>IF(D$12=0,0,D77/D$12)</f>
        <v>0</v>
      </c>
      <c r="G77" s="14"/>
      <c r="H77" s="31">
        <f>SUM(H74:H76)</f>
        <v>-37406.44</v>
      </c>
      <c r="I77" s="14"/>
      <c r="J77" s="33">
        <f>IF(H$12=0,0,H77/H$12)</f>
        <v>0</v>
      </c>
      <c r="K77" s="16"/>
      <c r="L77" s="31">
        <f>+D77-H77</f>
        <v>6512.2800000000061</v>
      </c>
      <c r="M77" s="16"/>
      <c r="N77" s="33">
        <f>IF(H77=0,0,L77/H77)</f>
        <v>-0.17409515580739587</v>
      </c>
      <c r="O77" s="28"/>
      <c r="P77" s="31">
        <f>SUM(P74:P76)</f>
        <v>-299121.88</v>
      </c>
      <c r="Q77" s="14"/>
      <c r="R77" s="33">
        <f>IF(P$12=0,0,P77/P$12)</f>
        <v>0</v>
      </c>
      <c r="S77" s="14"/>
      <c r="T77" s="31">
        <f>SUM(T74:T76)</f>
        <v>-513761.47</v>
      </c>
      <c r="U77" s="14"/>
      <c r="V77" s="33">
        <f>IF(T$12=0,0,T77/T$12)</f>
        <v>0</v>
      </c>
      <c r="W77" s="16"/>
      <c r="X77" s="31">
        <f>+P77-T77</f>
        <v>214639.58999999997</v>
      </c>
      <c r="Y77" s="16"/>
      <c r="Z77" s="33">
        <f>IF(T77=0,0,X77/T77)</f>
        <v>-0.41778062881982952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6">
        <v>44267.668036724535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4" t="s">
        <v>313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8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","202", " - ", "Accounting")</f>
        <v>Department 202 - Accounting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49534.039999999994</v>
      </c>
      <c r="E18" s="21"/>
      <c r="F18" s="32">
        <f t="shared" ref="F18:F27" si="0">IF(D$12=0,0,D18/D$12)</f>
        <v>0</v>
      </c>
      <c r="G18" s="21"/>
      <c r="H18" s="21">
        <f>SUM(OSRRefH22x_0)</f>
        <v>65404.409999999996</v>
      </c>
      <c r="I18" s="21"/>
      <c r="J18" s="32">
        <f t="shared" ref="J18:J27" si="1">IF(H$12=0,0,H18/H$12)</f>
        <v>0</v>
      </c>
      <c r="K18" s="4"/>
      <c r="L18" s="21">
        <f t="shared" ref="L18:L27" si="2">+D18-H18</f>
        <v>-15870.370000000003</v>
      </c>
      <c r="M18" s="4"/>
      <c r="N18" s="32">
        <f t="shared" ref="N18:N27" si="3">IF(H18=0,0,L18/H18)</f>
        <v>-0.24264984578257037</v>
      </c>
      <c r="O18" s="10"/>
      <c r="P18" s="21">
        <f>SUM(OSRRefP22x_0)</f>
        <v>321504.72999999992</v>
      </c>
      <c r="Q18" s="21"/>
      <c r="R18" s="32">
        <f t="shared" ref="R18:R27" si="4">IF(P$12=0,0,P18/P$12)</f>
        <v>0</v>
      </c>
      <c r="S18" s="21"/>
      <c r="T18" s="21">
        <f>SUM(OSRRefT22x_0)</f>
        <v>433986.66999999987</v>
      </c>
      <c r="U18" s="21"/>
      <c r="V18" s="32">
        <f t="shared" ref="V18:V27" si="5">IF(T$12=0,0,T18/T$12)</f>
        <v>0</v>
      </c>
      <c r="W18" s="4"/>
      <c r="X18" s="21">
        <f t="shared" ref="X18:X27" si="6">+P18-T18</f>
        <v>-112481.93999999994</v>
      </c>
      <c r="Y18" s="4"/>
      <c r="Z18" s="32">
        <f t="shared" ref="Z18:Z27" si="7">IF(T18=0,0,X18/T18)</f>
        <v>-0.2591829375773223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12793.13</v>
      </c>
      <c r="E19" s="1"/>
      <c r="F19" s="5">
        <f t="shared" si="0"/>
        <v>0</v>
      </c>
      <c r="G19" s="1"/>
      <c r="H19" s="1">
        <f>SUM(OSRRefH22_0x_0)</f>
        <v>15948.11</v>
      </c>
      <c r="I19" s="1"/>
      <c r="J19" s="5">
        <f t="shared" si="1"/>
        <v>0</v>
      </c>
      <c r="K19" s="1"/>
      <c r="L19" s="1">
        <f t="shared" si="2"/>
        <v>-3154.9800000000014</v>
      </c>
      <c r="M19" s="1"/>
      <c r="N19" s="5">
        <f t="shared" si="3"/>
        <v>-0.19782783038240903</v>
      </c>
      <c r="O19" s="13"/>
      <c r="P19" s="1">
        <f>SUM(OSRRefP22_0x_0)</f>
        <v>106291.81</v>
      </c>
      <c r="Q19" s="1"/>
      <c r="R19" s="5">
        <f t="shared" si="4"/>
        <v>0</v>
      </c>
      <c r="S19" s="1"/>
      <c r="T19" s="1">
        <f>SUM(OSRRefT22_0x_0)</f>
        <v>126491.03</v>
      </c>
      <c r="U19" s="1"/>
      <c r="V19" s="5">
        <f t="shared" si="5"/>
        <v>0</v>
      </c>
      <c r="W19" s="1"/>
      <c r="X19" s="1">
        <f t="shared" si="6"/>
        <v>-20199.22</v>
      </c>
      <c r="Y19" s="1"/>
      <c r="Z19" s="5">
        <f t="shared" si="7"/>
        <v>-0.15968895185690243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1630.13</v>
      </c>
      <c r="E20" s="2"/>
      <c r="F20" s="7">
        <f t="shared" si="0"/>
        <v>0</v>
      </c>
      <c r="G20" s="2"/>
      <c r="H20" s="6">
        <v>2472.0300000000002</v>
      </c>
      <c r="I20" s="2"/>
      <c r="J20" s="7">
        <f t="shared" si="1"/>
        <v>0</v>
      </c>
      <c r="K20" s="2"/>
      <c r="L20" s="6">
        <f t="shared" si="2"/>
        <v>-841.90000000000009</v>
      </c>
      <c r="M20" s="2"/>
      <c r="N20" s="7">
        <f t="shared" si="3"/>
        <v>-0.34057030052224285</v>
      </c>
      <c r="O20" s="11"/>
      <c r="P20" s="6">
        <v>15061.64</v>
      </c>
      <c r="Q20" s="2"/>
      <c r="R20" s="7">
        <f t="shared" si="4"/>
        <v>0</v>
      </c>
      <c r="S20" s="2"/>
      <c r="T20" s="6">
        <v>19954.190000000002</v>
      </c>
      <c r="U20" s="2"/>
      <c r="V20" s="7">
        <f t="shared" si="5"/>
        <v>0</v>
      </c>
      <c r="W20" s="2"/>
      <c r="X20" s="6">
        <f t="shared" si="6"/>
        <v>-4892.5500000000029</v>
      </c>
      <c r="Y20" s="2"/>
      <c r="Z20" s="7">
        <f t="shared" si="7"/>
        <v>-0.24518910564648339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70.319999999999993</v>
      </c>
      <c r="E21" s="2"/>
      <c r="F21" s="7">
        <f t="shared" si="0"/>
        <v>0</v>
      </c>
      <c r="G21" s="2"/>
      <c r="H21" s="6">
        <v>129.52000000000001</v>
      </c>
      <c r="I21" s="2"/>
      <c r="J21" s="7">
        <f t="shared" si="1"/>
        <v>0</v>
      </c>
      <c r="K21" s="2"/>
      <c r="L21" s="6">
        <f t="shared" si="2"/>
        <v>-59.200000000000017</v>
      </c>
      <c r="M21" s="2"/>
      <c r="N21" s="7">
        <f t="shared" si="3"/>
        <v>-0.45707226683137747</v>
      </c>
      <c r="O21" s="11"/>
      <c r="P21" s="6">
        <v>647.89</v>
      </c>
      <c r="Q21" s="2"/>
      <c r="R21" s="7">
        <f t="shared" si="4"/>
        <v>0</v>
      </c>
      <c r="S21" s="2"/>
      <c r="T21" s="6">
        <v>807.96</v>
      </c>
      <c r="U21" s="2"/>
      <c r="V21" s="7">
        <f t="shared" si="5"/>
        <v>0</v>
      </c>
      <c r="W21" s="2"/>
      <c r="X21" s="6">
        <f t="shared" si="6"/>
        <v>-160.07000000000005</v>
      </c>
      <c r="Y21" s="2"/>
      <c r="Z21" s="7">
        <f t="shared" si="7"/>
        <v>-0.19811624337838513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6236.66</v>
      </c>
      <c r="E22" s="2"/>
      <c r="F22" s="7">
        <f t="shared" si="0"/>
        <v>0</v>
      </c>
      <c r="G22" s="2"/>
      <c r="H22" s="6">
        <v>6300.68</v>
      </c>
      <c r="I22" s="2"/>
      <c r="J22" s="7">
        <f t="shared" si="1"/>
        <v>0</v>
      </c>
      <c r="K22" s="2"/>
      <c r="L22" s="6">
        <f t="shared" si="2"/>
        <v>-64.020000000000437</v>
      </c>
      <c r="M22" s="2"/>
      <c r="N22" s="7">
        <f t="shared" si="3"/>
        <v>-1.0160808039767205E-2</v>
      </c>
      <c r="O22" s="11"/>
      <c r="P22" s="6">
        <v>47914.6</v>
      </c>
      <c r="Q22" s="2"/>
      <c r="R22" s="7">
        <f t="shared" si="4"/>
        <v>0</v>
      </c>
      <c r="S22" s="2"/>
      <c r="T22" s="6">
        <v>48212.369999999995</v>
      </c>
      <c r="U22" s="2"/>
      <c r="V22" s="7">
        <f t="shared" si="5"/>
        <v>0</v>
      </c>
      <c r="W22" s="2"/>
      <c r="X22" s="6">
        <f t="shared" si="6"/>
        <v>-297.7699999999968</v>
      </c>
      <c r="Y22" s="2"/>
      <c r="Z22" s="7">
        <f t="shared" si="7"/>
        <v>-6.1762157720103121E-3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55.4</v>
      </c>
      <c r="E23" s="2"/>
      <c r="F23" s="7">
        <f t="shared" si="0"/>
        <v>0</v>
      </c>
      <c r="G23" s="2"/>
      <c r="H23" s="6">
        <v>99.05</v>
      </c>
      <c r="I23" s="2"/>
      <c r="J23" s="7">
        <f t="shared" si="1"/>
        <v>0</v>
      </c>
      <c r="K23" s="2"/>
      <c r="L23" s="6">
        <f t="shared" si="2"/>
        <v>-43.65</v>
      </c>
      <c r="M23" s="2"/>
      <c r="N23" s="7">
        <f t="shared" si="3"/>
        <v>-0.44068652195860675</v>
      </c>
      <c r="O23" s="11"/>
      <c r="P23" s="6">
        <v>510.43</v>
      </c>
      <c r="Q23" s="2"/>
      <c r="R23" s="7">
        <f t="shared" si="4"/>
        <v>0</v>
      </c>
      <c r="S23" s="2"/>
      <c r="T23" s="6">
        <v>758.61</v>
      </c>
      <c r="U23" s="2"/>
      <c r="V23" s="7">
        <f t="shared" si="5"/>
        <v>0</v>
      </c>
      <c r="W23" s="2"/>
      <c r="X23" s="6">
        <f t="shared" si="6"/>
        <v>-248.18</v>
      </c>
      <c r="Y23" s="2"/>
      <c r="Z23" s="7">
        <f t="shared" si="7"/>
        <v>-0.32715097349099009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1978.76</v>
      </c>
      <c r="E24" s="2"/>
      <c r="F24" s="7">
        <f t="shared" si="0"/>
        <v>0</v>
      </c>
      <c r="G24" s="2"/>
      <c r="H24" s="6">
        <v>2556.79</v>
      </c>
      <c r="I24" s="2"/>
      <c r="J24" s="7">
        <f t="shared" si="1"/>
        <v>0</v>
      </c>
      <c r="K24" s="2"/>
      <c r="L24" s="6">
        <f t="shared" si="2"/>
        <v>-578.03</v>
      </c>
      <c r="M24" s="2"/>
      <c r="N24" s="7">
        <f t="shared" si="3"/>
        <v>-0.22607644742039823</v>
      </c>
      <c r="O24" s="11"/>
      <c r="P24" s="6">
        <v>18660.150000000001</v>
      </c>
      <c r="Q24" s="2"/>
      <c r="R24" s="7">
        <f t="shared" si="4"/>
        <v>0</v>
      </c>
      <c r="S24" s="2"/>
      <c r="T24" s="6">
        <v>20260.52</v>
      </c>
      <c r="U24" s="2"/>
      <c r="V24" s="7">
        <f t="shared" si="5"/>
        <v>0</v>
      </c>
      <c r="W24" s="2"/>
      <c r="X24" s="6">
        <f t="shared" si="6"/>
        <v>-1600.369999999999</v>
      </c>
      <c r="Y24" s="2"/>
      <c r="Z24" s="7">
        <f t="shared" si="7"/>
        <v>-7.8989581708662909E-2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>
        <v>1606.1</v>
      </c>
      <c r="E25" s="2"/>
      <c r="F25" s="7">
        <f t="shared" si="0"/>
        <v>0</v>
      </c>
      <c r="G25" s="2"/>
      <c r="H25" s="6">
        <v>1960.99</v>
      </c>
      <c r="I25" s="2"/>
      <c r="J25" s="7">
        <f t="shared" si="1"/>
        <v>0</v>
      </c>
      <c r="K25" s="2"/>
      <c r="L25" s="6">
        <f t="shared" si="2"/>
        <v>-354.8900000000001</v>
      </c>
      <c r="M25" s="2"/>
      <c r="N25" s="7">
        <f t="shared" si="3"/>
        <v>-0.18097491573133984</v>
      </c>
      <c r="O25" s="11"/>
      <c r="P25" s="6">
        <v>13309.87</v>
      </c>
      <c r="Q25" s="2"/>
      <c r="R25" s="7">
        <f t="shared" si="4"/>
        <v>0</v>
      </c>
      <c r="S25" s="2"/>
      <c r="T25" s="6">
        <v>16836.11</v>
      </c>
      <c r="U25" s="2"/>
      <c r="V25" s="7">
        <f t="shared" si="5"/>
        <v>0</v>
      </c>
      <c r="W25" s="2"/>
      <c r="X25" s="6">
        <f t="shared" si="6"/>
        <v>-3526.24</v>
      </c>
      <c r="Y25" s="2"/>
      <c r="Z25" s="7">
        <f t="shared" si="7"/>
        <v>-0.20944505589474052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>
        <v>979.42</v>
      </c>
      <c r="E26" s="2"/>
      <c r="F26" s="7">
        <f t="shared" si="0"/>
        <v>0</v>
      </c>
      <c r="G26" s="2"/>
      <c r="H26" s="6">
        <v>1389.92</v>
      </c>
      <c r="I26" s="2"/>
      <c r="J26" s="7">
        <f t="shared" si="1"/>
        <v>0</v>
      </c>
      <c r="K26" s="2"/>
      <c r="L26" s="6">
        <f t="shared" si="2"/>
        <v>-410.50000000000011</v>
      </c>
      <c r="M26" s="2"/>
      <c r="N26" s="7">
        <f t="shared" si="3"/>
        <v>-0.29534073903534025</v>
      </c>
      <c r="O26" s="11"/>
      <c r="P26" s="6">
        <v>8325.07</v>
      </c>
      <c r="Q26" s="2"/>
      <c r="R26" s="7">
        <f t="shared" si="4"/>
        <v>0</v>
      </c>
      <c r="S26" s="2"/>
      <c r="T26" s="6">
        <v>12814.13</v>
      </c>
      <c r="U26" s="2"/>
      <c r="V26" s="7">
        <f t="shared" si="5"/>
        <v>0</v>
      </c>
      <c r="W26" s="2"/>
      <c r="X26" s="6">
        <f t="shared" si="6"/>
        <v>-4489.0599999999995</v>
      </c>
      <c r="Y26" s="2"/>
      <c r="Z26" s="7">
        <f t="shared" si="7"/>
        <v>-0.35032109085829471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6">
        <v>236.34</v>
      </c>
      <c r="E27" s="2"/>
      <c r="F27" s="7">
        <f t="shared" si="0"/>
        <v>0</v>
      </c>
      <c r="G27" s="2"/>
      <c r="H27" s="6">
        <v>1039.1300000000001</v>
      </c>
      <c r="I27" s="2"/>
      <c r="J27" s="7">
        <f t="shared" si="1"/>
        <v>0</v>
      </c>
      <c r="K27" s="2"/>
      <c r="L27" s="6">
        <f t="shared" si="2"/>
        <v>-802.79000000000008</v>
      </c>
      <c r="M27" s="2"/>
      <c r="N27" s="7">
        <f t="shared" si="3"/>
        <v>-0.77255973747269346</v>
      </c>
      <c r="O27" s="11"/>
      <c r="P27" s="6">
        <v>1862.16</v>
      </c>
      <c r="Q27" s="2"/>
      <c r="R27" s="7">
        <f t="shared" si="4"/>
        <v>0</v>
      </c>
      <c r="S27" s="2"/>
      <c r="T27" s="6">
        <v>6847.14</v>
      </c>
      <c r="U27" s="2"/>
      <c r="V27" s="7">
        <f t="shared" si="5"/>
        <v>0</v>
      </c>
      <c r="W27" s="2"/>
      <c r="X27" s="6">
        <f t="shared" si="6"/>
        <v>-4984.9800000000005</v>
      </c>
      <c r="Y27" s="2"/>
      <c r="Z27" s="7">
        <f t="shared" si="7"/>
        <v>-0.72803827583487413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20037.190000000002</v>
      </c>
      <c r="E28" s="1"/>
      <c r="F28" s="5">
        <f t="shared" ref="F28:F32" si="8">IF(D$12=0,0,D28/D$12)</f>
        <v>0</v>
      </c>
      <c r="G28" s="1"/>
      <c r="H28" s="1">
        <f>SUM(OSRRefH22_1x_0)</f>
        <v>34826.42</v>
      </c>
      <c r="I28" s="1"/>
      <c r="J28" s="5">
        <f t="shared" ref="J28:J32" si="9">IF(H$12=0,0,H28/H$12)</f>
        <v>0</v>
      </c>
      <c r="K28" s="1"/>
      <c r="L28" s="1">
        <f t="shared" ref="L28:L32" si="10">+D28-H28</f>
        <v>-14789.229999999996</v>
      </c>
      <c r="M28" s="1"/>
      <c r="N28" s="5">
        <f t="shared" ref="N28:N32" si="11">IF(H28=0,0,L28/H28)</f>
        <v>-0.42465547707746004</v>
      </c>
      <c r="O28" s="13"/>
      <c r="P28" s="1">
        <f>SUM(OSRRefP22_1x_0)</f>
        <v>171713.31000000003</v>
      </c>
      <c r="Q28" s="1"/>
      <c r="R28" s="5">
        <f t="shared" ref="R28:R32" si="12">IF(P$12=0,0,P28/P$12)</f>
        <v>0</v>
      </c>
      <c r="S28" s="1"/>
      <c r="T28" s="1">
        <f>SUM(OSRRefT22_1x_0)</f>
        <v>256847.46999999997</v>
      </c>
      <c r="U28" s="1"/>
      <c r="V28" s="5">
        <f t="shared" ref="V28:V32" si="13">IF(T$12=0,0,T28/T$12)</f>
        <v>0</v>
      </c>
      <c r="W28" s="1"/>
      <c r="X28" s="1">
        <f t="shared" ref="X28:X32" si="14">+P28-T28</f>
        <v>-85134.159999999945</v>
      </c>
      <c r="Y28" s="1"/>
      <c r="Z28" s="5">
        <f t="shared" ref="Z28:Z32" si="15">IF(T28=0,0,X28/T28)</f>
        <v>-0.33145804395114326</v>
      </c>
    </row>
    <row r="29" spans="1:26" s="24" customFormat="1" hidden="1" outlineLevel="2" x14ac:dyDescent="0.25">
      <c r="A29" s="26"/>
      <c r="B29" s="11" t="str">
        <f>CONCATENATE("          ", "6002", " - ", "STAFF SALARIES")</f>
        <v xml:space="preserve">          6002 - STAFF SALARIES</v>
      </c>
      <c r="C29" s="11"/>
      <c r="D29" s="6">
        <v>20037.190000000002</v>
      </c>
      <c r="E29" s="2"/>
      <c r="F29" s="7">
        <f t="shared" si="8"/>
        <v>0</v>
      </c>
      <c r="G29" s="2"/>
      <c r="H29" s="6">
        <v>27879.09</v>
      </c>
      <c r="I29" s="2"/>
      <c r="J29" s="7">
        <f t="shared" si="9"/>
        <v>0</v>
      </c>
      <c r="K29" s="2"/>
      <c r="L29" s="6">
        <f t="shared" si="10"/>
        <v>-7841.8999999999978</v>
      </c>
      <c r="M29" s="2"/>
      <c r="N29" s="7">
        <f t="shared" si="11"/>
        <v>-0.28128249523208965</v>
      </c>
      <c r="O29" s="11"/>
      <c r="P29" s="6">
        <v>171331.55000000002</v>
      </c>
      <c r="Q29" s="2"/>
      <c r="R29" s="7">
        <f t="shared" si="12"/>
        <v>0</v>
      </c>
      <c r="S29" s="2"/>
      <c r="T29" s="6">
        <v>206551.27</v>
      </c>
      <c r="U29" s="2"/>
      <c r="V29" s="7">
        <f t="shared" si="13"/>
        <v>0</v>
      </c>
      <c r="W29" s="2"/>
      <c r="X29" s="6">
        <f t="shared" si="14"/>
        <v>-35219.719999999972</v>
      </c>
      <c r="Y29" s="2"/>
      <c r="Z29" s="7">
        <f t="shared" si="15"/>
        <v>-0.17051320962587146</v>
      </c>
    </row>
    <row r="30" spans="1:26" s="24" customFormat="1" hidden="1" outlineLevel="2" x14ac:dyDescent="0.25">
      <c r="A30" s="26"/>
      <c r="B30" s="11" t="str">
        <f>CONCATENATE("          ", "6005", " - ", "TEMPORARY WAGES-HOURLY")</f>
        <v xml:space="preserve">          6005 - TEMPORARY WAGES-HOURLY</v>
      </c>
      <c r="C30" s="11"/>
      <c r="D30" s="6"/>
      <c r="E30" s="2"/>
      <c r="F30" s="7">
        <f t="shared" si="8"/>
        <v>0</v>
      </c>
      <c r="G30" s="2"/>
      <c r="H30" s="6">
        <v>2256.75</v>
      </c>
      <c r="I30" s="2"/>
      <c r="J30" s="7">
        <f t="shared" si="9"/>
        <v>0</v>
      </c>
      <c r="K30" s="2"/>
      <c r="L30" s="6">
        <f t="shared" si="10"/>
        <v>-2256.75</v>
      </c>
      <c r="M30" s="2"/>
      <c r="N30" s="7">
        <f t="shared" si="11"/>
        <v>-1</v>
      </c>
      <c r="O30" s="11"/>
      <c r="P30" s="6">
        <v>265.48</v>
      </c>
      <c r="Q30" s="2"/>
      <c r="R30" s="7">
        <f t="shared" si="12"/>
        <v>0</v>
      </c>
      <c r="S30" s="2"/>
      <c r="T30" s="6">
        <v>17784.52</v>
      </c>
      <c r="U30" s="2"/>
      <c r="V30" s="7">
        <f t="shared" si="13"/>
        <v>0</v>
      </c>
      <c r="W30" s="2"/>
      <c r="X30" s="6">
        <f t="shared" si="14"/>
        <v>-17519.04</v>
      </c>
      <c r="Y30" s="2"/>
      <c r="Z30" s="7">
        <f t="shared" si="15"/>
        <v>-0.98507241128801903</v>
      </c>
    </row>
    <row r="31" spans="1:26" s="24" customFormat="1" hidden="1" outlineLevel="2" x14ac:dyDescent="0.25">
      <c r="A31" s="26"/>
      <c r="B31" s="11" t="str">
        <f>CONCATENATE("          ", "6007", " - ", "STUDENT HOURLY")</f>
        <v xml:space="preserve">          6007 - STUDENT HOURLY</v>
      </c>
      <c r="C31" s="11"/>
      <c r="D31" s="6"/>
      <c r="E31" s="2"/>
      <c r="F31" s="7">
        <f t="shared" si="8"/>
        <v>0</v>
      </c>
      <c r="G31" s="2"/>
      <c r="H31" s="6">
        <v>3761.34</v>
      </c>
      <c r="I31" s="2"/>
      <c r="J31" s="7">
        <f t="shared" si="9"/>
        <v>0</v>
      </c>
      <c r="K31" s="2"/>
      <c r="L31" s="6">
        <f t="shared" si="10"/>
        <v>-3761.34</v>
      </c>
      <c r="M31" s="2"/>
      <c r="N31" s="7">
        <f t="shared" si="11"/>
        <v>-1</v>
      </c>
      <c r="O31" s="11"/>
      <c r="P31" s="6">
        <v>116.28</v>
      </c>
      <c r="Q31" s="2"/>
      <c r="R31" s="7">
        <f t="shared" si="12"/>
        <v>0</v>
      </c>
      <c r="S31" s="2"/>
      <c r="T31" s="6">
        <v>28328.94</v>
      </c>
      <c r="U31" s="2"/>
      <c r="V31" s="7">
        <f t="shared" si="13"/>
        <v>0</v>
      </c>
      <c r="W31" s="2"/>
      <c r="X31" s="6">
        <f t="shared" si="14"/>
        <v>-28212.66</v>
      </c>
      <c r="Y31" s="2"/>
      <c r="Z31" s="7">
        <f t="shared" si="15"/>
        <v>-0.99589536353989949</v>
      </c>
    </row>
    <row r="32" spans="1:26" s="24" customFormat="1" hidden="1" outlineLevel="2" x14ac:dyDescent="0.25">
      <c r="A32" s="26"/>
      <c r="B32" s="11" t="str">
        <f>CONCATENATE("          ", "6008", " - ", "STUDENT HOURLY-FICA EXEMPT")</f>
        <v xml:space="preserve">          6008 - STUDENT HOURLY-FICA EXEMPT</v>
      </c>
      <c r="C32" s="11"/>
      <c r="D32" s="6"/>
      <c r="E32" s="2"/>
      <c r="F32" s="7">
        <f t="shared" si="8"/>
        <v>0</v>
      </c>
      <c r="G32" s="2"/>
      <c r="H32" s="6">
        <v>929.24</v>
      </c>
      <c r="I32" s="2"/>
      <c r="J32" s="7">
        <f t="shared" si="9"/>
        <v>0</v>
      </c>
      <c r="K32" s="2"/>
      <c r="L32" s="6">
        <f t="shared" si="10"/>
        <v>-929.24</v>
      </c>
      <c r="M32" s="2"/>
      <c r="N32" s="7">
        <f t="shared" si="11"/>
        <v>-1</v>
      </c>
      <c r="O32" s="11"/>
      <c r="P32" s="6"/>
      <c r="Q32" s="2"/>
      <c r="R32" s="7">
        <f t="shared" si="12"/>
        <v>0</v>
      </c>
      <c r="S32" s="2"/>
      <c r="T32" s="6">
        <v>4182.74</v>
      </c>
      <c r="U32" s="2"/>
      <c r="V32" s="7">
        <f t="shared" si="13"/>
        <v>0</v>
      </c>
      <c r="W32" s="2"/>
      <c r="X32" s="6">
        <f t="shared" si="14"/>
        <v>-4182.74</v>
      </c>
      <c r="Y32" s="2"/>
      <c r="Z32" s="7">
        <f t="shared" si="15"/>
        <v>-1</v>
      </c>
    </row>
    <row r="33" spans="1:26" s="25" customFormat="1" outlineLevel="1" collapsed="1" x14ac:dyDescent="0.25">
      <c r="A33" s="27"/>
      <c r="B33" s="13" t="str">
        <f>CONCATENATE("     ","Advertising/Promo                                 ")</f>
        <v xml:space="preserve">     Advertising/Promo                                 </v>
      </c>
      <c r="C33" s="13"/>
      <c r="D33" s="1">
        <f>SUM(OSRRefD22_2x_0)</f>
        <v>0</v>
      </c>
      <c r="E33" s="1"/>
      <c r="F33" s="5">
        <f t="shared" ref="F33:F41" si="16">IF(D$12=0,0,D33/D$12)</f>
        <v>0</v>
      </c>
      <c r="G33" s="1"/>
      <c r="H33" s="1">
        <f>SUM(OSRRefH22_2x_0)</f>
        <v>0</v>
      </c>
      <c r="I33" s="1"/>
      <c r="J33" s="5">
        <f t="shared" ref="J33:J41" si="17">IF(H$12=0,0,H33/H$12)</f>
        <v>0</v>
      </c>
      <c r="K33" s="1"/>
      <c r="L33" s="1">
        <f t="shared" ref="L33:L41" si="18">+D33-H33</f>
        <v>0</v>
      </c>
      <c r="M33" s="1"/>
      <c r="N33" s="5">
        <f t="shared" ref="N33:N41" si="19">IF(H33=0,0,L33/H33)</f>
        <v>0</v>
      </c>
      <c r="O33" s="13"/>
      <c r="P33" s="1">
        <f>SUM(OSRRefP22_2x_0)</f>
        <v>0</v>
      </c>
      <c r="Q33" s="1"/>
      <c r="R33" s="5">
        <f t="shared" ref="R33:R41" si="20">IF(P$12=0,0,P33/P$12)</f>
        <v>0</v>
      </c>
      <c r="S33" s="1"/>
      <c r="T33" s="1">
        <f>SUM(OSRRefT22_2x_0)</f>
        <v>18</v>
      </c>
      <c r="U33" s="1"/>
      <c r="V33" s="5">
        <f t="shared" ref="V33:V41" si="21">IF(T$12=0,0,T33/T$12)</f>
        <v>0</v>
      </c>
      <c r="W33" s="1"/>
      <c r="X33" s="1">
        <f t="shared" ref="X33:X41" si="22">+P33-T33</f>
        <v>-18</v>
      </c>
      <c r="Y33" s="1"/>
      <c r="Z33" s="5">
        <f t="shared" ref="Z33:Z41" si="23">IF(T33=0,0,X33/T33)</f>
        <v>-1</v>
      </c>
    </row>
    <row r="34" spans="1:26" s="24" customFormat="1" hidden="1" outlineLevel="2" x14ac:dyDescent="0.25">
      <c r="A34" s="26"/>
      <c r="B34" s="11" t="str">
        <f>CONCATENATE("          ", "6362", " - ", "ADVERTISING EXPENSE")</f>
        <v xml:space="preserve">          6362 - ADVERTISING EXPENSE</v>
      </c>
      <c r="C34" s="11"/>
      <c r="D34" s="6"/>
      <c r="E34" s="2"/>
      <c r="F34" s="7">
        <f t="shared" si="16"/>
        <v>0</v>
      </c>
      <c r="G34" s="2"/>
      <c r="H34" s="6"/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/>
      <c r="Q34" s="2"/>
      <c r="R34" s="7">
        <f t="shared" si="20"/>
        <v>0</v>
      </c>
      <c r="S34" s="2"/>
      <c r="T34" s="6">
        <v>18</v>
      </c>
      <c r="U34" s="2"/>
      <c r="V34" s="7">
        <f t="shared" si="21"/>
        <v>0</v>
      </c>
      <c r="W34" s="2"/>
      <c r="X34" s="6">
        <f t="shared" si="22"/>
        <v>-18</v>
      </c>
      <c r="Y34" s="2"/>
      <c r="Z34" s="7">
        <f t="shared" si="23"/>
        <v>-1</v>
      </c>
    </row>
    <row r="35" spans="1:26" s="25" customFormat="1" outlineLevel="1" collapsed="1" x14ac:dyDescent="0.25">
      <c r="A35" s="27"/>
      <c r="B35" s="13" t="str">
        <f>CONCATENATE("     ","Depreciation                                      ")</f>
        <v xml:space="preserve">     Depreciation                                      </v>
      </c>
      <c r="C35" s="13"/>
      <c r="D35" s="1">
        <f>SUM(OSRRefD22_3x_0)</f>
        <v>1558.88</v>
      </c>
      <c r="E35" s="1"/>
      <c r="F35" s="5">
        <f t="shared" si="16"/>
        <v>0</v>
      </c>
      <c r="G35" s="1"/>
      <c r="H35" s="1">
        <f>SUM(OSRRefH22_3x_0)</f>
        <v>1558.88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3"/>
      <c r="P35" s="1">
        <f>SUM(OSRRefP22_3x_0)</f>
        <v>12471.04</v>
      </c>
      <c r="Q35" s="1"/>
      <c r="R35" s="5">
        <f t="shared" si="20"/>
        <v>0</v>
      </c>
      <c r="S35" s="1"/>
      <c r="T35" s="1">
        <f>SUM(OSRRefT22_3x_0)</f>
        <v>12471.04</v>
      </c>
      <c r="U35" s="1"/>
      <c r="V35" s="5">
        <f t="shared" si="21"/>
        <v>0</v>
      </c>
      <c r="W35" s="1"/>
      <c r="X35" s="1">
        <f t="shared" si="22"/>
        <v>0</v>
      </c>
      <c r="Y35" s="1"/>
      <c r="Z35" s="5">
        <f t="shared" si="23"/>
        <v>0</v>
      </c>
    </row>
    <row r="36" spans="1:26" s="24" customFormat="1" hidden="1" outlineLevel="2" x14ac:dyDescent="0.25">
      <c r="A36" s="26"/>
      <c r="B36" s="11" t="str">
        <f>CONCATENATE("          ", "6322", " - ", "EQUIPMENT DEPRECIATION EXPENSE")</f>
        <v xml:space="preserve">          6322 - EQUIPMENT DEPRECIATION EXPENSE</v>
      </c>
      <c r="C36" s="11"/>
      <c r="D36" s="6">
        <v>1558.88</v>
      </c>
      <c r="E36" s="2"/>
      <c r="F36" s="7">
        <f t="shared" si="16"/>
        <v>0</v>
      </c>
      <c r="G36" s="2"/>
      <c r="H36" s="6">
        <v>1558.88</v>
      </c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>
        <v>12471.04</v>
      </c>
      <c r="Q36" s="2"/>
      <c r="R36" s="7">
        <f t="shared" si="20"/>
        <v>0</v>
      </c>
      <c r="S36" s="2"/>
      <c r="T36" s="6">
        <v>12471.04</v>
      </c>
      <c r="U36" s="2"/>
      <c r="V36" s="7">
        <f t="shared" si="21"/>
        <v>0</v>
      </c>
      <c r="W36" s="2"/>
      <c r="X36" s="6">
        <f t="shared" si="22"/>
        <v>0</v>
      </c>
      <c r="Y36" s="2"/>
      <c r="Z36" s="7">
        <f t="shared" si="23"/>
        <v>0</v>
      </c>
    </row>
    <row r="37" spans="1:26" s="25" customFormat="1" outlineLevel="1" collapsed="1" x14ac:dyDescent="0.25">
      <c r="A37" s="27"/>
      <c r="B37" s="13" t="str">
        <f>CONCATENATE("     ","Equipment Rental                                  ")</f>
        <v xml:space="preserve">     Equipment Rental                                  </v>
      </c>
      <c r="C37" s="13"/>
      <c r="D37" s="1">
        <f>SUM(OSRRefD22_4x_0)</f>
        <v>91.26</v>
      </c>
      <c r="E37" s="1"/>
      <c r="F37" s="5">
        <f t="shared" si="16"/>
        <v>0</v>
      </c>
      <c r="G37" s="1"/>
      <c r="H37" s="1">
        <f>SUM(OSRRefH22_4x_0)</f>
        <v>91.26</v>
      </c>
      <c r="I37" s="1"/>
      <c r="J37" s="5">
        <f t="shared" si="17"/>
        <v>0</v>
      </c>
      <c r="K37" s="1"/>
      <c r="L37" s="1">
        <f t="shared" si="18"/>
        <v>0</v>
      </c>
      <c r="M37" s="1"/>
      <c r="N37" s="5">
        <f t="shared" si="19"/>
        <v>0</v>
      </c>
      <c r="O37" s="13"/>
      <c r="P37" s="1">
        <f>SUM(OSRRefP22_4x_0)</f>
        <v>730.08</v>
      </c>
      <c r="Q37" s="1"/>
      <c r="R37" s="5">
        <f t="shared" si="20"/>
        <v>0</v>
      </c>
      <c r="S37" s="1"/>
      <c r="T37" s="1">
        <f>SUM(OSRRefT22_4x_0)</f>
        <v>730.08</v>
      </c>
      <c r="U37" s="1"/>
      <c r="V37" s="5">
        <f t="shared" si="21"/>
        <v>0</v>
      </c>
      <c r="W37" s="1"/>
      <c r="X37" s="1">
        <f t="shared" si="22"/>
        <v>0</v>
      </c>
      <c r="Y37" s="1"/>
      <c r="Z37" s="5">
        <f t="shared" si="23"/>
        <v>0</v>
      </c>
    </row>
    <row r="38" spans="1:26" s="24" customFormat="1" hidden="1" outlineLevel="2" x14ac:dyDescent="0.25">
      <c r="A38" s="26"/>
      <c r="B38" s="11" t="str">
        <f>CONCATENATE("          ", "6351", " - ", "EQUIPMENT RENTAL")</f>
        <v xml:space="preserve">          6351 - EQUIPMENT RENTAL</v>
      </c>
      <c r="C38" s="11"/>
      <c r="D38" s="6">
        <v>91.26</v>
      </c>
      <c r="E38" s="2"/>
      <c r="F38" s="7">
        <f t="shared" si="16"/>
        <v>0</v>
      </c>
      <c r="G38" s="2"/>
      <c r="H38" s="6">
        <v>91.26</v>
      </c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>
        <v>730.08</v>
      </c>
      <c r="Q38" s="2"/>
      <c r="R38" s="7">
        <f t="shared" si="20"/>
        <v>0</v>
      </c>
      <c r="S38" s="2"/>
      <c r="T38" s="6">
        <v>730.08</v>
      </c>
      <c r="U38" s="2"/>
      <c r="V38" s="7">
        <f t="shared" si="21"/>
        <v>0</v>
      </c>
      <c r="W38" s="2"/>
      <c r="X38" s="6">
        <f t="shared" si="22"/>
        <v>0</v>
      </c>
      <c r="Y38" s="2"/>
      <c r="Z38" s="7">
        <f t="shared" si="23"/>
        <v>0</v>
      </c>
    </row>
    <row r="39" spans="1:26" s="25" customFormat="1" outlineLevel="1" collapsed="1" x14ac:dyDescent="0.25">
      <c r="A39" s="27"/>
      <c r="B39" s="13" t="str">
        <f>CONCATENATE("     ","Freight out/Postage                               ")</f>
        <v xml:space="preserve">     Freight out/Postage                               </v>
      </c>
      <c r="C39" s="13"/>
      <c r="D39" s="1">
        <f>SUM(OSRRefD22_5x_0)</f>
        <v>16.829999999999998</v>
      </c>
      <c r="E39" s="1"/>
      <c r="F39" s="5">
        <f t="shared" si="16"/>
        <v>0</v>
      </c>
      <c r="G39" s="1"/>
      <c r="H39" s="1">
        <f>SUM(OSRRefH22_5x_0)</f>
        <v>172.4</v>
      </c>
      <c r="I39" s="1"/>
      <c r="J39" s="5">
        <f t="shared" si="17"/>
        <v>0</v>
      </c>
      <c r="K39" s="1"/>
      <c r="L39" s="1">
        <f t="shared" si="18"/>
        <v>-155.57</v>
      </c>
      <c r="M39" s="1"/>
      <c r="N39" s="5">
        <f t="shared" si="19"/>
        <v>-0.90237819025522037</v>
      </c>
      <c r="O39" s="13"/>
      <c r="P39" s="1">
        <f>SUM(OSRRefP22_5x_0)</f>
        <v>734.96999999999991</v>
      </c>
      <c r="Q39" s="1"/>
      <c r="R39" s="5">
        <f t="shared" si="20"/>
        <v>0</v>
      </c>
      <c r="S39" s="1"/>
      <c r="T39" s="1">
        <f>SUM(OSRRefT22_5x_0)</f>
        <v>1039.5999999999999</v>
      </c>
      <c r="U39" s="1"/>
      <c r="V39" s="5">
        <f t="shared" si="21"/>
        <v>0</v>
      </c>
      <c r="W39" s="1"/>
      <c r="X39" s="1">
        <f t="shared" si="22"/>
        <v>-304.63</v>
      </c>
      <c r="Y39" s="1"/>
      <c r="Z39" s="5">
        <f t="shared" si="23"/>
        <v>-0.29302616390919589</v>
      </c>
    </row>
    <row r="40" spans="1:26" s="24" customFormat="1" hidden="1" outlineLevel="2" x14ac:dyDescent="0.25">
      <c r="A40" s="26"/>
      <c r="B40" s="11" t="str">
        <f>CONCATENATE("          ", "6305", " - ", "FREIGHT OUT")</f>
        <v xml:space="preserve">          6305 - FREIGHT OUT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>
        <v>5.41</v>
      </c>
      <c r="Q40" s="2"/>
      <c r="R40" s="7">
        <f t="shared" si="20"/>
        <v>0</v>
      </c>
      <c r="S40" s="2"/>
      <c r="T40" s="6"/>
      <c r="U40" s="2"/>
      <c r="V40" s="7">
        <f t="shared" si="21"/>
        <v>0</v>
      </c>
      <c r="W40" s="2"/>
      <c r="X40" s="6">
        <f t="shared" si="22"/>
        <v>5.41</v>
      </c>
      <c r="Y40" s="2"/>
      <c r="Z40" s="7">
        <f t="shared" si="23"/>
        <v>0</v>
      </c>
    </row>
    <row r="41" spans="1:26" s="24" customFormat="1" hidden="1" outlineLevel="2" x14ac:dyDescent="0.25">
      <c r="A41" s="26"/>
      <c r="B41" s="11" t="str">
        <f>CONCATENATE("          ", "6307", " - ", "POSTAGE")</f>
        <v xml:space="preserve">          6307 - POSTAGE</v>
      </c>
      <c r="C41" s="11"/>
      <c r="D41" s="6">
        <v>16.829999999999998</v>
      </c>
      <c r="E41" s="2"/>
      <c r="F41" s="7">
        <f t="shared" si="16"/>
        <v>0</v>
      </c>
      <c r="G41" s="2"/>
      <c r="H41" s="6">
        <v>172.4</v>
      </c>
      <c r="I41" s="2"/>
      <c r="J41" s="7">
        <f t="shared" si="17"/>
        <v>0</v>
      </c>
      <c r="K41" s="2"/>
      <c r="L41" s="6">
        <f t="shared" si="18"/>
        <v>-155.57</v>
      </c>
      <c r="M41" s="2"/>
      <c r="N41" s="7">
        <f t="shared" si="19"/>
        <v>-0.90237819025522037</v>
      </c>
      <c r="O41" s="11"/>
      <c r="P41" s="6">
        <v>729.56</v>
      </c>
      <c r="Q41" s="2"/>
      <c r="R41" s="7">
        <f t="shared" si="20"/>
        <v>0</v>
      </c>
      <c r="S41" s="2"/>
      <c r="T41" s="6">
        <v>1039.5999999999999</v>
      </c>
      <c r="U41" s="2"/>
      <c r="V41" s="7">
        <f t="shared" si="21"/>
        <v>0</v>
      </c>
      <c r="W41" s="2"/>
      <c r="X41" s="6">
        <f t="shared" si="22"/>
        <v>-310.03999999999996</v>
      </c>
      <c r="Y41" s="2"/>
      <c r="Z41" s="7">
        <f t="shared" si="23"/>
        <v>-0.2982300884955752</v>
      </c>
    </row>
    <row r="42" spans="1:26" s="25" customFormat="1" outlineLevel="1" collapsed="1" x14ac:dyDescent="0.25">
      <c r="A42" s="27"/>
      <c r="B42" s="13" t="str">
        <f>CONCATENATE("     ","Insurance                                         ")</f>
        <v xml:space="preserve">     Insurance                                         </v>
      </c>
      <c r="C42" s="13"/>
      <c r="D42" s="1">
        <f>SUM(OSRRefD22_6x_0)</f>
        <v>132.16999999999999</v>
      </c>
      <c r="E42" s="1"/>
      <c r="F42" s="5">
        <f t="shared" ref="F42:F49" si="24">IF(D$12=0,0,D42/D$12)</f>
        <v>0</v>
      </c>
      <c r="G42" s="1"/>
      <c r="H42" s="1">
        <f>SUM(OSRRefH22_6x_0)</f>
        <v>132.16999999999999</v>
      </c>
      <c r="I42" s="1"/>
      <c r="J42" s="5">
        <f t="shared" ref="J42:J49" si="25">IF(H$12=0,0,H42/H$12)</f>
        <v>0</v>
      </c>
      <c r="K42" s="1"/>
      <c r="L42" s="1">
        <f t="shared" ref="L42:L49" si="26">+D42-H42</f>
        <v>0</v>
      </c>
      <c r="M42" s="1"/>
      <c r="N42" s="5">
        <f t="shared" ref="N42:N49" si="27">IF(H42=0,0,L42/H42)</f>
        <v>0</v>
      </c>
      <c r="O42" s="13"/>
      <c r="P42" s="1">
        <f>SUM(OSRRefP22_6x_0)</f>
        <v>1057.3599999999999</v>
      </c>
      <c r="Q42" s="1"/>
      <c r="R42" s="5">
        <f t="shared" ref="R42:R49" si="28">IF(P$12=0,0,P42/P$12)</f>
        <v>0</v>
      </c>
      <c r="S42" s="1"/>
      <c r="T42" s="1">
        <f>SUM(OSRRefT22_6x_0)</f>
        <v>1057.3599999999999</v>
      </c>
      <c r="U42" s="1"/>
      <c r="V42" s="5">
        <f t="shared" ref="V42:V49" si="29">IF(T$12=0,0,T42/T$12)</f>
        <v>0</v>
      </c>
      <c r="W42" s="1"/>
      <c r="X42" s="1">
        <f t="shared" ref="X42:X49" si="30">+P42-T42</f>
        <v>0</v>
      </c>
      <c r="Y42" s="1"/>
      <c r="Z42" s="5">
        <f t="shared" ref="Z42:Z49" si="31">IF(T42=0,0,X42/T42)</f>
        <v>0</v>
      </c>
    </row>
    <row r="43" spans="1:26" s="24" customFormat="1" hidden="1" outlineLevel="2" x14ac:dyDescent="0.25">
      <c r="A43" s="26"/>
      <c r="B43" s="11" t="str">
        <f>CONCATENATE("          ", "6314", " - ", "LIABILITY INSURANCE")</f>
        <v xml:space="preserve">          6314 - LIABILITY INSURANCE</v>
      </c>
      <c r="C43" s="11"/>
      <c r="D43" s="6">
        <v>132.16999999999999</v>
      </c>
      <c r="E43" s="2"/>
      <c r="F43" s="7">
        <f t="shared" si="24"/>
        <v>0</v>
      </c>
      <c r="G43" s="2"/>
      <c r="H43" s="6">
        <v>132.16999999999999</v>
      </c>
      <c r="I43" s="2"/>
      <c r="J43" s="7">
        <f t="shared" si="25"/>
        <v>0</v>
      </c>
      <c r="K43" s="2"/>
      <c r="L43" s="6">
        <f t="shared" si="26"/>
        <v>0</v>
      </c>
      <c r="M43" s="2"/>
      <c r="N43" s="7">
        <f t="shared" si="27"/>
        <v>0</v>
      </c>
      <c r="O43" s="11"/>
      <c r="P43" s="6">
        <v>1057.3599999999999</v>
      </c>
      <c r="Q43" s="2"/>
      <c r="R43" s="7">
        <f t="shared" si="28"/>
        <v>0</v>
      </c>
      <c r="S43" s="2"/>
      <c r="T43" s="6">
        <v>1057.3599999999999</v>
      </c>
      <c r="U43" s="2"/>
      <c r="V43" s="7">
        <f t="shared" si="29"/>
        <v>0</v>
      </c>
      <c r="W43" s="2"/>
      <c r="X43" s="6">
        <f t="shared" si="30"/>
        <v>0</v>
      </c>
      <c r="Y43" s="2"/>
      <c r="Z43" s="7">
        <f t="shared" si="31"/>
        <v>0</v>
      </c>
    </row>
    <row r="44" spans="1:26" s="25" customFormat="1" outlineLevel="1" collapsed="1" x14ac:dyDescent="0.25">
      <c r="A44" s="27"/>
      <c r="B44" s="13" t="str">
        <f>CONCATENATE("     ","Professional Services                             ")</f>
        <v xml:space="preserve">     Professional Services                             </v>
      </c>
      <c r="C44" s="13"/>
      <c r="D44" s="1">
        <f>SUM(OSRRefD22_7x_0)</f>
        <v>0</v>
      </c>
      <c r="E44" s="1"/>
      <c r="F44" s="5">
        <f t="shared" si="24"/>
        <v>0</v>
      </c>
      <c r="G44" s="1"/>
      <c r="H44" s="1">
        <f>SUM(OSRRefH22_7x_0)</f>
        <v>0</v>
      </c>
      <c r="I44" s="1"/>
      <c r="J44" s="5">
        <f t="shared" si="25"/>
        <v>0</v>
      </c>
      <c r="K44" s="1"/>
      <c r="L44" s="1">
        <f t="shared" si="26"/>
        <v>0</v>
      </c>
      <c r="M44" s="1"/>
      <c r="N44" s="5">
        <f t="shared" si="27"/>
        <v>0</v>
      </c>
      <c r="O44" s="13"/>
      <c r="P44" s="1">
        <f>SUM(OSRRefP22_7x_0)</f>
        <v>0</v>
      </c>
      <c r="Q44" s="1"/>
      <c r="R44" s="5">
        <f t="shared" si="28"/>
        <v>0</v>
      </c>
      <c r="S44" s="1"/>
      <c r="T44" s="1">
        <f>SUM(OSRRefT22_7x_0)</f>
        <v>82.5</v>
      </c>
      <c r="U44" s="1"/>
      <c r="V44" s="5">
        <f t="shared" si="29"/>
        <v>0</v>
      </c>
      <c r="W44" s="1"/>
      <c r="X44" s="1">
        <f t="shared" si="30"/>
        <v>-82.5</v>
      </c>
      <c r="Y44" s="1"/>
      <c r="Z44" s="5">
        <f t="shared" si="31"/>
        <v>-1</v>
      </c>
    </row>
    <row r="45" spans="1:26" s="24" customFormat="1" hidden="1" outlineLevel="2" x14ac:dyDescent="0.25">
      <c r="A45" s="26"/>
      <c r="B45" s="11" t="str">
        <f>CONCATENATE("          ", "6332", " - ", "CONSULTANT FEES")</f>
        <v xml:space="preserve">          6332 - CONSULTANT FEES</v>
      </c>
      <c r="C45" s="11"/>
      <c r="D45" s="6"/>
      <c r="E45" s="2"/>
      <c r="F45" s="7">
        <f t="shared" si="24"/>
        <v>0</v>
      </c>
      <c r="G45" s="2"/>
      <c r="H45" s="6"/>
      <c r="I45" s="2"/>
      <c r="J45" s="7">
        <f t="shared" si="25"/>
        <v>0</v>
      </c>
      <c r="K45" s="2"/>
      <c r="L45" s="6">
        <f t="shared" si="26"/>
        <v>0</v>
      </c>
      <c r="M45" s="2"/>
      <c r="N45" s="7">
        <f t="shared" si="27"/>
        <v>0</v>
      </c>
      <c r="O45" s="11"/>
      <c r="P45" s="6"/>
      <c r="Q45" s="2"/>
      <c r="R45" s="7">
        <f t="shared" si="28"/>
        <v>0</v>
      </c>
      <c r="S45" s="2"/>
      <c r="T45" s="6">
        <v>82.5</v>
      </c>
      <c r="U45" s="2"/>
      <c r="V45" s="7">
        <f t="shared" si="29"/>
        <v>0</v>
      </c>
      <c r="W45" s="2"/>
      <c r="X45" s="6">
        <f t="shared" si="30"/>
        <v>-82.5</v>
      </c>
      <c r="Y45" s="2"/>
      <c r="Z45" s="7">
        <f t="shared" si="31"/>
        <v>-1</v>
      </c>
    </row>
    <row r="46" spans="1:26" s="25" customFormat="1" outlineLevel="1" collapsed="1" x14ac:dyDescent="0.25">
      <c r="A46" s="27"/>
      <c r="B46" s="13" t="str">
        <f>CONCATENATE("     ","Repair and Maintenance                            ")</f>
        <v xml:space="preserve">     Repair and Maintenance                            </v>
      </c>
      <c r="C46" s="13"/>
      <c r="D46" s="1">
        <f>SUM(OSRRefD22_8x_0)</f>
        <v>11459.94</v>
      </c>
      <c r="E46" s="1"/>
      <c r="F46" s="5">
        <f t="shared" si="24"/>
        <v>0</v>
      </c>
      <c r="G46" s="1"/>
      <c r="H46" s="1">
        <f>SUM(OSRRefH22_8x_0)</f>
        <v>11305.660000000002</v>
      </c>
      <c r="I46" s="1"/>
      <c r="J46" s="5">
        <f t="shared" si="25"/>
        <v>0</v>
      </c>
      <c r="K46" s="1"/>
      <c r="L46" s="1">
        <f t="shared" si="26"/>
        <v>154.27999999999884</v>
      </c>
      <c r="M46" s="1"/>
      <c r="N46" s="5">
        <f t="shared" si="27"/>
        <v>1.3646262137725601E-2</v>
      </c>
      <c r="O46" s="13"/>
      <c r="P46" s="1">
        <f>SUM(OSRRefP22_8x_0)</f>
        <v>17076.969999999998</v>
      </c>
      <c r="Q46" s="1"/>
      <c r="R46" s="5">
        <f t="shared" si="28"/>
        <v>0</v>
      </c>
      <c r="S46" s="1"/>
      <c r="T46" s="1">
        <f>SUM(OSRRefT22_8x_0)</f>
        <v>16706.740000000002</v>
      </c>
      <c r="U46" s="1"/>
      <c r="V46" s="5">
        <f t="shared" si="29"/>
        <v>0</v>
      </c>
      <c r="W46" s="1"/>
      <c r="X46" s="1">
        <f t="shared" si="30"/>
        <v>370.22999999999593</v>
      </c>
      <c r="Y46" s="1"/>
      <c r="Z46" s="5">
        <f t="shared" si="31"/>
        <v>2.2160517252318278E-2</v>
      </c>
    </row>
    <row r="47" spans="1:26" s="24" customFormat="1" hidden="1" outlineLevel="2" x14ac:dyDescent="0.25">
      <c r="A47" s="26"/>
      <c r="B47" s="11" t="str">
        <f>CONCATENATE("          ", "6371", " - ", "COMPUTER SOFTWARE MAINTENANCE")</f>
        <v xml:space="preserve">          6371 - COMPUTER SOFTWARE MAINTENANCE</v>
      </c>
      <c r="C47" s="11"/>
      <c r="D47" s="6">
        <v>11325.82</v>
      </c>
      <c r="E47" s="2"/>
      <c r="F47" s="7">
        <f t="shared" si="24"/>
        <v>0</v>
      </c>
      <c r="G47" s="2"/>
      <c r="H47" s="6">
        <v>11265.87</v>
      </c>
      <c r="I47" s="2"/>
      <c r="J47" s="7">
        <f t="shared" si="25"/>
        <v>0</v>
      </c>
      <c r="K47" s="2"/>
      <c r="L47" s="6">
        <f t="shared" si="26"/>
        <v>59.949999999998909</v>
      </c>
      <c r="M47" s="2"/>
      <c r="N47" s="7">
        <f t="shared" si="27"/>
        <v>5.3213821924093657E-3</v>
      </c>
      <c r="O47" s="11"/>
      <c r="P47" s="6">
        <v>12281.72</v>
      </c>
      <c r="Q47" s="2"/>
      <c r="R47" s="7">
        <f t="shared" si="28"/>
        <v>0</v>
      </c>
      <c r="S47" s="2"/>
      <c r="T47" s="6">
        <v>11640.87</v>
      </c>
      <c r="U47" s="2"/>
      <c r="V47" s="7">
        <f t="shared" si="29"/>
        <v>0</v>
      </c>
      <c r="W47" s="2"/>
      <c r="X47" s="6">
        <f t="shared" si="30"/>
        <v>640.84999999999854</v>
      </c>
      <c r="Y47" s="2"/>
      <c r="Z47" s="7">
        <f t="shared" si="31"/>
        <v>5.505172723344548E-2</v>
      </c>
    </row>
    <row r="48" spans="1:26" s="24" customFormat="1" hidden="1" outlineLevel="2" x14ac:dyDescent="0.25">
      <c r="A48" s="26"/>
      <c r="B48" s="11" t="str">
        <f>CONCATENATE("          ", "6373", " - ", "MAINTENANCE CONTRACTS")</f>
        <v xml:space="preserve">          6373 - MAINTENANCE CONTRACTS</v>
      </c>
      <c r="C48" s="11"/>
      <c r="D48" s="6">
        <v>7.1</v>
      </c>
      <c r="E48" s="2"/>
      <c r="F48" s="7">
        <f t="shared" si="24"/>
        <v>0</v>
      </c>
      <c r="G48" s="2"/>
      <c r="H48" s="6">
        <v>39.79</v>
      </c>
      <c r="I48" s="2"/>
      <c r="J48" s="7">
        <f t="shared" si="25"/>
        <v>0</v>
      </c>
      <c r="K48" s="2"/>
      <c r="L48" s="6">
        <f t="shared" si="26"/>
        <v>-32.69</v>
      </c>
      <c r="M48" s="2"/>
      <c r="N48" s="7">
        <f t="shared" si="27"/>
        <v>-0.82156320683588835</v>
      </c>
      <c r="O48" s="11"/>
      <c r="P48" s="6">
        <v>4668.2299999999996</v>
      </c>
      <c r="Q48" s="2"/>
      <c r="R48" s="7">
        <f t="shared" si="28"/>
        <v>0</v>
      </c>
      <c r="S48" s="2"/>
      <c r="T48" s="6">
        <v>4601.29</v>
      </c>
      <c r="U48" s="2"/>
      <c r="V48" s="7">
        <f t="shared" si="29"/>
        <v>0</v>
      </c>
      <c r="W48" s="2"/>
      <c r="X48" s="6">
        <f t="shared" si="30"/>
        <v>66.9399999999996</v>
      </c>
      <c r="Y48" s="2"/>
      <c r="Z48" s="7">
        <f t="shared" si="31"/>
        <v>1.4548094121431076E-2</v>
      </c>
    </row>
    <row r="49" spans="1:26" s="24" customFormat="1" hidden="1" outlineLevel="2" x14ac:dyDescent="0.25">
      <c r="A49" s="26"/>
      <c r="B49" s="11" t="str">
        <f>CONCATENATE("          ", "6375", " - ", "OUTSIDE REPAIRS &amp; MAINTENANCE")</f>
        <v xml:space="preserve">          6375 - OUTSIDE REPAIRS &amp; MAINTENANCE</v>
      </c>
      <c r="C49" s="11"/>
      <c r="D49" s="6">
        <v>127.02</v>
      </c>
      <c r="E49" s="2"/>
      <c r="F49" s="7">
        <f t="shared" si="24"/>
        <v>0</v>
      </c>
      <c r="G49" s="2"/>
      <c r="H49" s="6"/>
      <c r="I49" s="2"/>
      <c r="J49" s="7">
        <f t="shared" si="25"/>
        <v>0</v>
      </c>
      <c r="K49" s="2"/>
      <c r="L49" s="6">
        <f t="shared" si="26"/>
        <v>127.02</v>
      </c>
      <c r="M49" s="2"/>
      <c r="N49" s="7">
        <f t="shared" si="27"/>
        <v>0</v>
      </c>
      <c r="O49" s="11"/>
      <c r="P49" s="6">
        <v>127.02</v>
      </c>
      <c r="Q49" s="2"/>
      <c r="R49" s="7">
        <f t="shared" si="28"/>
        <v>0</v>
      </c>
      <c r="S49" s="2"/>
      <c r="T49" s="6">
        <v>464.58</v>
      </c>
      <c r="U49" s="2"/>
      <c r="V49" s="7">
        <f t="shared" si="29"/>
        <v>0</v>
      </c>
      <c r="W49" s="2"/>
      <c r="X49" s="6">
        <f t="shared" si="30"/>
        <v>-337.56</v>
      </c>
      <c r="Y49" s="2"/>
      <c r="Z49" s="7">
        <f t="shared" si="31"/>
        <v>-0.72659176029962547</v>
      </c>
    </row>
    <row r="50" spans="1:26" s="25" customFormat="1" outlineLevel="1" collapsed="1" x14ac:dyDescent="0.25">
      <c r="A50" s="27"/>
      <c r="B50" s="13" t="str">
        <f>CONCATENATE("     ","Services                                          ")</f>
        <v xml:space="preserve">     Services                                          </v>
      </c>
      <c r="C50" s="13"/>
      <c r="D50" s="1">
        <f>SUM(OSRRefD22_9x_0)</f>
        <v>621.34</v>
      </c>
      <c r="E50" s="1"/>
      <c r="F50" s="5">
        <f t="shared" ref="F50:F57" si="32">IF(D$12=0,0,D50/D$12)</f>
        <v>0</v>
      </c>
      <c r="G50" s="1"/>
      <c r="H50" s="1">
        <f>SUM(OSRRefH22_9x_0)</f>
        <v>730.96</v>
      </c>
      <c r="I50" s="1"/>
      <c r="J50" s="5">
        <f t="shared" ref="J50:J57" si="33">IF(H$12=0,0,H50/H$12)</f>
        <v>0</v>
      </c>
      <c r="K50" s="1"/>
      <c r="L50" s="1">
        <f t="shared" ref="L50:L57" si="34">+D50-H50</f>
        <v>-109.62</v>
      </c>
      <c r="M50" s="1"/>
      <c r="N50" s="5">
        <f t="shared" ref="N50:N57" si="35">IF(H50=0,0,L50/H50)</f>
        <v>-0.14996716646601729</v>
      </c>
      <c r="O50" s="13"/>
      <c r="P50" s="1">
        <f>SUM(OSRRefP22_9x_0)</f>
        <v>4329.0200000000004</v>
      </c>
      <c r="Q50" s="1"/>
      <c r="R50" s="5">
        <f t="shared" ref="R50:R57" si="36">IF(P$12=0,0,P50/P$12)</f>
        <v>0</v>
      </c>
      <c r="S50" s="1"/>
      <c r="T50" s="1">
        <f>SUM(OSRRefT22_9x_0)</f>
        <v>9429.9699999999993</v>
      </c>
      <c r="U50" s="1"/>
      <c r="V50" s="5">
        <f t="shared" ref="V50:V57" si="37">IF(T$12=0,0,T50/T$12)</f>
        <v>0</v>
      </c>
      <c r="W50" s="1"/>
      <c r="X50" s="1">
        <f t="shared" ref="X50:X57" si="38">+P50-T50</f>
        <v>-5100.9499999999989</v>
      </c>
      <c r="Y50" s="1"/>
      <c r="Z50" s="5">
        <f t="shared" ref="Z50:Z57" si="39">IF(T50=0,0,X50/T50)</f>
        <v>-0.54092961059261047</v>
      </c>
    </row>
    <row r="51" spans="1:26" s="24" customFormat="1" hidden="1" outlineLevel="2" x14ac:dyDescent="0.25">
      <c r="A51" s="26"/>
      <c r="B51" s="11" t="str">
        <f>CONCATENATE("          ", "6281", " - ", "STORAGE FEE")</f>
        <v xml:space="preserve">          6281 - STORAGE FEE</v>
      </c>
      <c r="C51" s="11"/>
      <c r="D51" s="6">
        <v>621.34</v>
      </c>
      <c r="E51" s="2"/>
      <c r="F51" s="7">
        <f t="shared" si="32"/>
        <v>0</v>
      </c>
      <c r="G51" s="2"/>
      <c r="H51" s="6">
        <v>730.96</v>
      </c>
      <c r="I51" s="2"/>
      <c r="J51" s="7">
        <f t="shared" si="33"/>
        <v>0</v>
      </c>
      <c r="K51" s="2"/>
      <c r="L51" s="6">
        <f t="shared" si="34"/>
        <v>-109.62</v>
      </c>
      <c r="M51" s="2"/>
      <c r="N51" s="7">
        <f t="shared" si="35"/>
        <v>-0.14996716646601729</v>
      </c>
      <c r="O51" s="11"/>
      <c r="P51" s="6">
        <v>4329.0200000000004</v>
      </c>
      <c r="Q51" s="2"/>
      <c r="R51" s="7">
        <f t="shared" si="36"/>
        <v>0</v>
      </c>
      <c r="S51" s="2"/>
      <c r="T51" s="6">
        <v>9429.9699999999993</v>
      </c>
      <c r="U51" s="2"/>
      <c r="V51" s="7">
        <f t="shared" si="37"/>
        <v>0</v>
      </c>
      <c r="W51" s="2"/>
      <c r="X51" s="6">
        <f t="shared" si="38"/>
        <v>-5100.9499999999989</v>
      </c>
      <c r="Y51" s="2"/>
      <c r="Z51" s="7">
        <f t="shared" si="39"/>
        <v>-0.54092961059261047</v>
      </c>
    </row>
    <row r="52" spans="1:26" s="25" customFormat="1" outlineLevel="1" collapsed="1" x14ac:dyDescent="0.25">
      <c r="A52" s="27"/>
      <c r="B52" s="13" t="str">
        <f>CONCATENATE("     ","Subscriptions &amp; Dues                              ")</f>
        <v xml:space="preserve">     Subscriptions &amp; Dues                              </v>
      </c>
      <c r="C52" s="13"/>
      <c r="D52" s="1">
        <f>SUM(OSRRefD22_10x_0)</f>
        <v>0</v>
      </c>
      <c r="E52" s="1"/>
      <c r="F52" s="5">
        <f t="shared" si="32"/>
        <v>0</v>
      </c>
      <c r="G52" s="1"/>
      <c r="H52" s="1">
        <f>SUM(OSRRefH22_10x_0)</f>
        <v>0</v>
      </c>
      <c r="I52" s="1"/>
      <c r="J52" s="5">
        <f t="shared" si="33"/>
        <v>0</v>
      </c>
      <c r="K52" s="1"/>
      <c r="L52" s="1">
        <f t="shared" si="34"/>
        <v>0</v>
      </c>
      <c r="M52" s="1"/>
      <c r="N52" s="5">
        <f t="shared" si="35"/>
        <v>0</v>
      </c>
      <c r="O52" s="13"/>
      <c r="P52" s="1">
        <f>SUM(OSRRefP22_10x_0)</f>
        <v>0</v>
      </c>
      <c r="Q52" s="1"/>
      <c r="R52" s="5">
        <f t="shared" si="36"/>
        <v>0</v>
      </c>
      <c r="S52" s="1"/>
      <c r="T52" s="1">
        <f>SUM(OSRRefT22_10x_0)</f>
        <v>39</v>
      </c>
      <c r="U52" s="1"/>
      <c r="V52" s="5">
        <f t="shared" si="37"/>
        <v>0</v>
      </c>
      <c r="W52" s="1"/>
      <c r="X52" s="1">
        <f t="shared" si="38"/>
        <v>-39</v>
      </c>
      <c r="Y52" s="1"/>
      <c r="Z52" s="5">
        <f t="shared" si="39"/>
        <v>-1</v>
      </c>
    </row>
    <row r="53" spans="1:26" s="24" customFormat="1" hidden="1" outlineLevel="2" x14ac:dyDescent="0.25">
      <c r="A53" s="26"/>
      <c r="B53" s="11" t="str">
        <f>CONCATENATE("          ", "6258", " - ", "MEMBERSHIP DUES")</f>
        <v xml:space="preserve">          6258 - MEMBERSHIP DUES</v>
      </c>
      <c r="C53" s="11"/>
      <c r="D53" s="6"/>
      <c r="E53" s="2"/>
      <c r="F53" s="7">
        <f t="shared" si="32"/>
        <v>0</v>
      </c>
      <c r="G53" s="2"/>
      <c r="H53" s="6"/>
      <c r="I53" s="2"/>
      <c r="J53" s="7">
        <f t="shared" si="33"/>
        <v>0</v>
      </c>
      <c r="K53" s="2"/>
      <c r="L53" s="6">
        <f t="shared" si="34"/>
        <v>0</v>
      </c>
      <c r="M53" s="2"/>
      <c r="N53" s="7">
        <f t="shared" si="35"/>
        <v>0</v>
      </c>
      <c r="O53" s="11"/>
      <c r="P53" s="6"/>
      <c r="Q53" s="2"/>
      <c r="R53" s="7">
        <f t="shared" si="36"/>
        <v>0</v>
      </c>
      <c r="S53" s="2"/>
      <c r="T53" s="6">
        <v>39</v>
      </c>
      <c r="U53" s="2"/>
      <c r="V53" s="7">
        <f t="shared" si="37"/>
        <v>0</v>
      </c>
      <c r="W53" s="2"/>
      <c r="X53" s="6">
        <f t="shared" si="38"/>
        <v>-39</v>
      </c>
      <c r="Y53" s="2"/>
      <c r="Z53" s="7">
        <f t="shared" si="39"/>
        <v>-1</v>
      </c>
    </row>
    <row r="54" spans="1:26" s="25" customFormat="1" outlineLevel="1" collapsed="1" x14ac:dyDescent="0.25">
      <c r="A54" s="27"/>
      <c r="B54" s="13" t="str">
        <f>CONCATENATE("     ","Supplies                                          ")</f>
        <v xml:space="preserve">     Supplies                                          </v>
      </c>
      <c r="C54" s="13"/>
      <c r="D54" s="1">
        <f>SUM(OSRRefD22_11x_0)</f>
        <v>1241.08</v>
      </c>
      <c r="E54" s="1"/>
      <c r="F54" s="5">
        <f t="shared" si="32"/>
        <v>0</v>
      </c>
      <c r="G54" s="1"/>
      <c r="H54" s="1">
        <f>SUM(OSRRefH22_11x_0)</f>
        <v>156.65</v>
      </c>
      <c r="I54" s="1"/>
      <c r="J54" s="5">
        <f t="shared" si="33"/>
        <v>0</v>
      </c>
      <c r="K54" s="1"/>
      <c r="L54" s="1">
        <f t="shared" si="34"/>
        <v>1084.4299999999998</v>
      </c>
      <c r="M54" s="1"/>
      <c r="N54" s="5">
        <f t="shared" si="35"/>
        <v>6.9226300670284058</v>
      </c>
      <c r="O54" s="13"/>
      <c r="P54" s="1">
        <f>SUM(OSRRefP22_11x_0)</f>
        <v>2023.97</v>
      </c>
      <c r="Q54" s="1"/>
      <c r="R54" s="5">
        <f t="shared" si="36"/>
        <v>0</v>
      </c>
      <c r="S54" s="1"/>
      <c r="T54" s="1">
        <f>SUM(OSRRefT22_11x_0)</f>
        <v>5394.66</v>
      </c>
      <c r="U54" s="1"/>
      <c r="V54" s="5">
        <f t="shared" si="37"/>
        <v>0</v>
      </c>
      <c r="W54" s="1"/>
      <c r="X54" s="1">
        <f t="shared" si="38"/>
        <v>-3370.6899999999996</v>
      </c>
      <c r="Y54" s="1"/>
      <c r="Z54" s="5">
        <f t="shared" si="39"/>
        <v>-0.62481972913955641</v>
      </c>
    </row>
    <row r="55" spans="1:26" s="24" customFormat="1" hidden="1" outlineLevel="2" x14ac:dyDescent="0.25">
      <c r="A55" s="26"/>
      <c r="B55" s="11" t="str">
        <f>CONCATENATE("          ", "6235", " - ", "COVID-19 EXPENSES")</f>
        <v xml:space="preserve">          6235 - COVID-19 EXPENSES</v>
      </c>
      <c r="C55" s="11"/>
      <c r="D55" s="6"/>
      <c r="E55" s="2"/>
      <c r="F55" s="7">
        <f t="shared" si="32"/>
        <v>0</v>
      </c>
      <c r="G55" s="2"/>
      <c r="H55" s="6"/>
      <c r="I55" s="2"/>
      <c r="J55" s="7">
        <f t="shared" si="33"/>
        <v>0</v>
      </c>
      <c r="K55" s="2"/>
      <c r="L55" s="6">
        <f t="shared" si="34"/>
        <v>0</v>
      </c>
      <c r="M55" s="2"/>
      <c r="N55" s="7">
        <f t="shared" si="35"/>
        <v>0</v>
      </c>
      <c r="O55" s="11"/>
      <c r="P55" s="6">
        <v>426.66</v>
      </c>
      <c r="Q55" s="2"/>
      <c r="R55" s="7">
        <f t="shared" si="36"/>
        <v>0</v>
      </c>
      <c r="S55" s="2"/>
      <c r="T55" s="6"/>
      <c r="U55" s="2"/>
      <c r="V55" s="7">
        <f t="shared" si="37"/>
        <v>0</v>
      </c>
      <c r="W55" s="2"/>
      <c r="X55" s="6">
        <f t="shared" si="38"/>
        <v>426.66</v>
      </c>
      <c r="Y55" s="2"/>
      <c r="Z55" s="7">
        <f t="shared" si="39"/>
        <v>0</v>
      </c>
    </row>
    <row r="56" spans="1:26" s="24" customFormat="1" hidden="1" outlineLevel="2" x14ac:dyDescent="0.25">
      <c r="A56" s="26"/>
      <c r="B56" s="11" t="str">
        <f>CONCATENATE("          ", "6241", " - ", "OFFICE EXPENSE")</f>
        <v xml:space="preserve">          6241 - OFFICE EXPENSE</v>
      </c>
      <c r="C56" s="11"/>
      <c r="D56" s="6">
        <v>1241.08</v>
      </c>
      <c r="E56" s="2"/>
      <c r="F56" s="7">
        <f t="shared" si="32"/>
        <v>0</v>
      </c>
      <c r="G56" s="2"/>
      <c r="H56" s="6">
        <v>156.65</v>
      </c>
      <c r="I56" s="2"/>
      <c r="J56" s="7">
        <f t="shared" si="33"/>
        <v>0</v>
      </c>
      <c r="K56" s="2"/>
      <c r="L56" s="6">
        <f t="shared" si="34"/>
        <v>1084.4299999999998</v>
      </c>
      <c r="M56" s="2"/>
      <c r="N56" s="7">
        <f t="shared" si="35"/>
        <v>6.9226300670284058</v>
      </c>
      <c r="O56" s="11"/>
      <c r="P56" s="6">
        <v>1597.31</v>
      </c>
      <c r="Q56" s="2"/>
      <c r="R56" s="7">
        <f t="shared" si="36"/>
        <v>0</v>
      </c>
      <c r="S56" s="2"/>
      <c r="T56" s="6">
        <v>4731.75</v>
      </c>
      <c r="U56" s="2"/>
      <c r="V56" s="7">
        <f t="shared" si="37"/>
        <v>0</v>
      </c>
      <c r="W56" s="2"/>
      <c r="X56" s="6">
        <f t="shared" si="38"/>
        <v>-3134.44</v>
      </c>
      <c r="Y56" s="2"/>
      <c r="Z56" s="7">
        <f t="shared" si="39"/>
        <v>-0.66242722037301216</v>
      </c>
    </row>
    <row r="57" spans="1:26" s="24" customFormat="1" hidden="1" outlineLevel="2" x14ac:dyDescent="0.25">
      <c r="A57" s="26"/>
      <c r="B57" s="11" t="str">
        <f>CONCATENATE("          ", "6245", " - ", "PRINTING")</f>
        <v xml:space="preserve">          6245 - PRINTING</v>
      </c>
      <c r="C57" s="11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1"/>
      <c r="P57" s="6"/>
      <c r="Q57" s="2"/>
      <c r="R57" s="7">
        <f t="shared" si="36"/>
        <v>0</v>
      </c>
      <c r="S57" s="2"/>
      <c r="T57" s="6">
        <v>662.91</v>
      </c>
      <c r="U57" s="2"/>
      <c r="V57" s="7">
        <f t="shared" si="37"/>
        <v>0</v>
      </c>
      <c r="W57" s="2"/>
      <c r="X57" s="6">
        <f t="shared" si="38"/>
        <v>-662.91</v>
      </c>
      <c r="Y57" s="2"/>
      <c r="Z57" s="7">
        <f t="shared" si="39"/>
        <v>-1</v>
      </c>
    </row>
    <row r="58" spans="1:26" s="25" customFormat="1" outlineLevel="1" collapsed="1" x14ac:dyDescent="0.25">
      <c r="A58" s="27"/>
      <c r="B58" s="13" t="str">
        <f>CONCATENATE("     ","Telephone/Data Lines                              ")</f>
        <v xml:space="preserve">     Telephone/Data Lines                              </v>
      </c>
      <c r="C58" s="13"/>
      <c r="D58" s="1">
        <f>SUM(OSRRefD22_12x_0)</f>
        <v>1582.22</v>
      </c>
      <c r="E58" s="1"/>
      <c r="F58" s="5">
        <f t="shared" ref="F58:F63" si="40">IF(D$12=0,0,D58/D$12)</f>
        <v>0</v>
      </c>
      <c r="G58" s="1"/>
      <c r="H58" s="1">
        <f>SUM(OSRRefH22_12x_0)</f>
        <v>420.25</v>
      </c>
      <c r="I58" s="1"/>
      <c r="J58" s="5">
        <f t="shared" ref="J58:J63" si="41">IF(H$12=0,0,H58/H$12)</f>
        <v>0</v>
      </c>
      <c r="K58" s="1"/>
      <c r="L58" s="1">
        <f t="shared" ref="L58:L63" si="42">+D58-H58</f>
        <v>1161.97</v>
      </c>
      <c r="M58" s="1"/>
      <c r="N58" s="5">
        <f t="shared" ref="N58:N63" si="43">IF(H58=0,0,L58/H58)</f>
        <v>2.7649494348602022</v>
      </c>
      <c r="O58" s="13"/>
      <c r="P58" s="1">
        <f>SUM(OSRRefP22_12x_0)</f>
        <v>4460.38</v>
      </c>
      <c r="Q58" s="1"/>
      <c r="R58" s="5">
        <f t="shared" ref="R58:R63" si="44">IF(P$12=0,0,P58/P$12)</f>
        <v>0</v>
      </c>
      <c r="S58" s="1"/>
      <c r="T58" s="1">
        <f>SUM(OSRRefT22_12x_0)</f>
        <v>3279.04</v>
      </c>
      <c r="U58" s="1"/>
      <c r="V58" s="5">
        <f t="shared" ref="V58:V63" si="45">IF(T$12=0,0,T58/T$12)</f>
        <v>0</v>
      </c>
      <c r="W58" s="1"/>
      <c r="X58" s="1">
        <f t="shared" ref="X58:X63" si="46">+P58-T58</f>
        <v>1181.3400000000001</v>
      </c>
      <c r="Y58" s="1"/>
      <c r="Z58" s="5">
        <f t="shared" ref="Z58:Z63" si="47">IF(T58=0,0,X58/T58)</f>
        <v>0.36027007904752617</v>
      </c>
    </row>
    <row r="59" spans="1:26" s="24" customFormat="1" hidden="1" outlineLevel="2" x14ac:dyDescent="0.25">
      <c r="A59" s="26"/>
      <c r="B59" s="11" t="str">
        <f>CONCATENATE("          ", "6309", " - ", "TELEPHONE")</f>
        <v xml:space="preserve">          6309 - TELEPHONE</v>
      </c>
      <c r="C59" s="11"/>
      <c r="D59" s="6">
        <v>1582.22</v>
      </c>
      <c r="E59" s="2"/>
      <c r="F59" s="7">
        <f t="shared" si="40"/>
        <v>0</v>
      </c>
      <c r="G59" s="2"/>
      <c r="H59" s="6">
        <v>420.25</v>
      </c>
      <c r="I59" s="2"/>
      <c r="J59" s="7">
        <f t="shared" si="41"/>
        <v>0</v>
      </c>
      <c r="K59" s="2"/>
      <c r="L59" s="6">
        <f t="shared" si="42"/>
        <v>1161.97</v>
      </c>
      <c r="M59" s="2"/>
      <c r="N59" s="7">
        <f t="shared" si="43"/>
        <v>2.7649494348602022</v>
      </c>
      <c r="O59" s="11"/>
      <c r="P59" s="6">
        <v>4460.38</v>
      </c>
      <c r="Q59" s="2"/>
      <c r="R59" s="7">
        <f t="shared" si="44"/>
        <v>0</v>
      </c>
      <c r="S59" s="2"/>
      <c r="T59" s="6">
        <v>3279.04</v>
      </c>
      <c r="U59" s="2"/>
      <c r="V59" s="7">
        <f t="shared" si="45"/>
        <v>0</v>
      </c>
      <c r="W59" s="2"/>
      <c r="X59" s="6">
        <f t="shared" si="46"/>
        <v>1181.3400000000001</v>
      </c>
      <c r="Y59" s="2"/>
      <c r="Z59" s="7">
        <f t="shared" si="47"/>
        <v>0.36027007904752617</v>
      </c>
    </row>
    <row r="60" spans="1:26" s="25" customFormat="1" outlineLevel="1" collapsed="1" x14ac:dyDescent="0.25">
      <c r="A60" s="27"/>
      <c r="B60" s="13" t="str">
        <f>CONCATENATE("     ","Training                                          ")</f>
        <v xml:space="preserve">     Training                                          </v>
      </c>
      <c r="C60" s="13"/>
      <c r="D60" s="1">
        <f>SUM(OSRRefD22_13x_0)</f>
        <v>0</v>
      </c>
      <c r="E60" s="1"/>
      <c r="F60" s="5">
        <f t="shared" si="40"/>
        <v>0</v>
      </c>
      <c r="G60" s="1"/>
      <c r="H60" s="1">
        <f>SUM(OSRRefH22_13x_0)</f>
        <v>61.65</v>
      </c>
      <c r="I60" s="1"/>
      <c r="J60" s="5">
        <f t="shared" si="41"/>
        <v>0</v>
      </c>
      <c r="K60" s="1"/>
      <c r="L60" s="1">
        <f t="shared" si="42"/>
        <v>-61.65</v>
      </c>
      <c r="M60" s="1"/>
      <c r="N60" s="5">
        <f t="shared" si="43"/>
        <v>-1</v>
      </c>
      <c r="O60" s="13"/>
      <c r="P60" s="1">
        <f>SUM(OSRRefP22_13x_0)</f>
        <v>548</v>
      </c>
      <c r="Q60" s="1"/>
      <c r="R60" s="5">
        <f t="shared" si="44"/>
        <v>0</v>
      </c>
      <c r="S60" s="1"/>
      <c r="T60" s="1">
        <f>SUM(OSRRefT22_13x_0)</f>
        <v>400.18</v>
      </c>
      <c r="U60" s="1"/>
      <c r="V60" s="5">
        <f t="shared" si="45"/>
        <v>0</v>
      </c>
      <c r="W60" s="1"/>
      <c r="X60" s="1">
        <f t="shared" si="46"/>
        <v>147.82</v>
      </c>
      <c r="Y60" s="1"/>
      <c r="Z60" s="5">
        <f t="shared" si="47"/>
        <v>0.36938377730021488</v>
      </c>
    </row>
    <row r="61" spans="1:26" s="24" customFormat="1" hidden="1" outlineLevel="2" x14ac:dyDescent="0.25">
      <c r="A61" s="26"/>
      <c r="B61" s="11" t="str">
        <f>CONCATENATE("          ", "6376", " - ", "TRAINING")</f>
        <v xml:space="preserve">          6376 - TRAINING</v>
      </c>
      <c r="C61" s="11"/>
      <c r="D61" s="6"/>
      <c r="E61" s="2"/>
      <c r="F61" s="7">
        <f t="shared" si="40"/>
        <v>0</v>
      </c>
      <c r="G61" s="2"/>
      <c r="H61" s="6">
        <v>61.65</v>
      </c>
      <c r="I61" s="2"/>
      <c r="J61" s="7">
        <f t="shared" si="41"/>
        <v>0</v>
      </c>
      <c r="K61" s="2"/>
      <c r="L61" s="6">
        <f t="shared" si="42"/>
        <v>-61.65</v>
      </c>
      <c r="M61" s="2"/>
      <c r="N61" s="7">
        <f t="shared" si="43"/>
        <v>-1</v>
      </c>
      <c r="O61" s="11"/>
      <c r="P61" s="6">
        <v>548</v>
      </c>
      <c r="Q61" s="2"/>
      <c r="R61" s="7">
        <f t="shared" si="44"/>
        <v>0</v>
      </c>
      <c r="S61" s="2"/>
      <c r="T61" s="6">
        <v>400.18</v>
      </c>
      <c r="U61" s="2"/>
      <c r="V61" s="7">
        <f t="shared" si="45"/>
        <v>0</v>
      </c>
      <c r="W61" s="2"/>
      <c r="X61" s="6">
        <f t="shared" si="46"/>
        <v>147.82</v>
      </c>
      <c r="Y61" s="2"/>
      <c r="Z61" s="7">
        <f t="shared" si="47"/>
        <v>0.36938377730021488</v>
      </c>
    </row>
    <row r="62" spans="1:26" s="25" customFormat="1" outlineLevel="1" collapsed="1" x14ac:dyDescent="0.25">
      <c r="A62" s="27"/>
      <c r="B62" s="13" t="str">
        <f>CONCATENATE("     ","Travel                                            ")</f>
        <v xml:space="preserve">     Travel                                            </v>
      </c>
      <c r="C62" s="13"/>
      <c r="D62" s="1">
        <f>SUM(OSRRefD22_14x_0)</f>
        <v>0</v>
      </c>
      <c r="E62" s="1"/>
      <c r="F62" s="5">
        <f t="shared" si="40"/>
        <v>0</v>
      </c>
      <c r="G62" s="1"/>
      <c r="H62" s="1">
        <f>SUM(OSRRefH22_14x_0)</f>
        <v>0</v>
      </c>
      <c r="I62" s="1"/>
      <c r="J62" s="5">
        <f t="shared" si="41"/>
        <v>0</v>
      </c>
      <c r="K62" s="1"/>
      <c r="L62" s="1">
        <f t="shared" si="42"/>
        <v>0</v>
      </c>
      <c r="M62" s="1"/>
      <c r="N62" s="5">
        <f t="shared" si="43"/>
        <v>0</v>
      </c>
      <c r="O62" s="13"/>
      <c r="P62" s="1">
        <f>SUM(OSRRefP22_14x_0)</f>
        <v>67.819999999999993</v>
      </c>
      <c r="Q62" s="1"/>
      <c r="R62" s="5">
        <f t="shared" si="44"/>
        <v>0</v>
      </c>
      <c r="S62" s="1"/>
      <c r="T62" s="1">
        <f>SUM(OSRRefT22_14x_0)</f>
        <v>0</v>
      </c>
      <c r="U62" s="1"/>
      <c r="V62" s="5">
        <f t="shared" si="45"/>
        <v>0</v>
      </c>
      <c r="W62" s="1"/>
      <c r="X62" s="1">
        <f t="shared" si="46"/>
        <v>67.819999999999993</v>
      </c>
      <c r="Y62" s="1"/>
      <c r="Z62" s="5">
        <f t="shared" si="47"/>
        <v>0</v>
      </c>
    </row>
    <row r="63" spans="1:26" s="24" customFormat="1" hidden="1" outlineLevel="2" x14ac:dyDescent="0.25">
      <c r="A63" s="26"/>
      <c r="B63" s="11" t="str">
        <f>CONCATENATE("          ", "6294", " - ", "TRAVEL OPERATIONAL")</f>
        <v xml:space="preserve">          6294 - TRAVEL OPERATIONAL</v>
      </c>
      <c r="C63" s="11"/>
      <c r="D63" s="6"/>
      <c r="E63" s="2"/>
      <c r="F63" s="7">
        <f t="shared" si="40"/>
        <v>0</v>
      </c>
      <c r="G63" s="2"/>
      <c r="H63" s="6"/>
      <c r="I63" s="2"/>
      <c r="J63" s="7">
        <f t="shared" si="41"/>
        <v>0</v>
      </c>
      <c r="K63" s="2"/>
      <c r="L63" s="6">
        <f t="shared" si="42"/>
        <v>0</v>
      </c>
      <c r="M63" s="2"/>
      <c r="N63" s="7">
        <f t="shared" si="43"/>
        <v>0</v>
      </c>
      <c r="O63" s="11"/>
      <c r="P63" s="6">
        <v>67.819999999999993</v>
      </c>
      <c r="Q63" s="2"/>
      <c r="R63" s="7">
        <f t="shared" si="44"/>
        <v>0</v>
      </c>
      <c r="S63" s="2"/>
      <c r="T63" s="6"/>
      <c r="U63" s="2"/>
      <c r="V63" s="7">
        <f t="shared" si="45"/>
        <v>0</v>
      </c>
      <c r="W63" s="2"/>
      <c r="X63" s="6">
        <f t="shared" si="46"/>
        <v>67.819999999999993</v>
      </c>
      <c r="Y63" s="2"/>
      <c r="Z63" s="7">
        <f t="shared" si="47"/>
        <v>0</v>
      </c>
    </row>
    <row r="64" spans="1:26" s="52" customFormat="1" x14ac:dyDescent="0.25">
      <c r="A64" s="37"/>
      <c r="B64" s="37"/>
      <c r="C64" s="37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7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x14ac:dyDescent="0.25">
      <c r="A65" s="10"/>
      <c r="B65" s="28" t="s">
        <v>0</v>
      </c>
      <c r="C65" s="10"/>
      <c r="D65" s="4">
        <f>SUM(0)</f>
        <v>0</v>
      </c>
      <c r="E65" s="4"/>
      <c r="F65" s="12">
        <f>IF(D$12=0,0,D65/D$12)</f>
        <v>0</v>
      </c>
      <c r="G65" s="4"/>
      <c r="H65" s="4">
        <f>SUM(0)</f>
        <v>0</v>
      </c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>
        <f>SUM(0)</f>
        <v>0</v>
      </c>
      <c r="Q65" s="4"/>
      <c r="R65" s="12">
        <f>IF(P$12=0,0,P65/P$12)</f>
        <v>0</v>
      </c>
      <c r="S65" s="4"/>
      <c r="T65" s="4">
        <f>SUM(0)</f>
        <v>0</v>
      </c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10"/>
      <c r="B67" s="29" t="s">
        <v>3</v>
      </c>
      <c r="C67" s="29"/>
      <c r="D67" s="22">
        <f>+D16-D18+D65</f>
        <v>-49534.039999999994</v>
      </c>
      <c r="E67" s="14"/>
      <c r="F67" s="20">
        <f>IF(D$12=0,0,D67/D$12)</f>
        <v>0</v>
      </c>
      <c r="G67" s="14"/>
      <c r="H67" s="22">
        <f>+H16-H18+H65</f>
        <v>-65404.409999999996</v>
      </c>
      <c r="I67" s="14"/>
      <c r="J67" s="20">
        <f>IF(H$12=0,0,H67/H$12)</f>
        <v>0</v>
      </c>
      <c r="K67" s="16"/>
      <c r="L67" s="22">
        <f>+D67-H67</f>
        <v>15870.370000000003</v>
      </c>
      <c r="M67" s="16"/>
      <c r="N67" s="20">
        <f>IF(H67=0,0,L67/H67)</f>
        <v>-0.24264984578257037</v>
      </c>
      <c r="O67" s="28"/>
      <c r="P67" s="22">
        <f>+P16-P18+P65</f>
        <v>-321504.72999999992</v>
      </c>
      <c r="Q67" s="14"/>
      <c r="R67" s="20">
        <f>IF(P$12=0,0,P67/P$12)</f>
        <v>0</v>
      </c>
      <c r="S67" s="14"/>
      <c r="T67" s="22">
        <f>+T16-T18+T65</f>
        <v>-433986.66999999987</v>
      </c>
      <c r="U67" s="14"/>
      <c r="V67" s="20">
        <f>IF(T$12=0,0,T67/T$12)</f>
        <v>0</v>
      </c>
      <c r="W67" s="16"/>
      <c r="X67" s="22">
        <f>+P67-T67</f>
        <v>112481.93999999994</v>
      </c>
      <c r="Y67" s="16"/>
      <c r="Z67" s="20">
        <f>IF(T67=0,0,X67/T67)</f>
        <v>-0.2591829375773223</v>
      </c>
    </row>
    <row r="68" spans="1:26" x14ac:dyDescent="0.25">
      <c r="A68" s="9"/>
      <c r="B68" s="10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51"/>
      <c r="B69" s="10" t="s">
        <v>13</v>
      </c>
      <c r="C69" s="10"/>
      <c r="D69" s="4"/>
      <c r="E69" s="4"/>
      <c r="F69" s="12">
        <f>IF(D$12=0,0,D69/D$12)</f>
        <v>0</v>
      </c>
      <c r="G69" s="4"/>
      <c r="H69" s="4"/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/>
      <c r="Q69" s="4"/>
      <c r="R69" s="12">
        <f>IF(P$12=0,0,P69/P$12)</f>
        <v>0</v>
      </c>
      <c r="S69" s="4"/>
      <c r="T69" s="4"/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9" t="s">
        <v>4</v>
      </c>
      <c r="C71" s="29"/>
      <c r="D71" s="35">
        <f>+D67-D69</f>
        <v>-49534.039999999994</v>
      </c>
      <c r="E71" s="14"/>
      <c r="F71" s="36">
        <f>IF(D$12=0,0,D71/D$12)</f>
        <v>0</v>
      </c>
      <c r="G71" s="14"/>
      <c r="H71" s="35">
        <f>+H67-H69</f>
        <v>-65404.409999999996</v>
      </c>
      <c r="I71" s="14"/>
      <c r="J71" s="36">
        <f>IF(H$12=0,0,H71/H$12)</f>
        <v>0</v>
      </c>
      <c r="K71" s="16"/>
      <c r="L71" s="35">
        <f>D71-H71</f>
        <v>15870.370000000003</v>
      </c>
      <c r="M71" s="16"/>
      <c r="N71" s="36">
        <f>IF(H71=0,0,L71/H71)</f>
        <v>-0.24264984578257037</v>
      </c>
      <c r="O71" s="28"/>
      <c r="P71" s="35">
        <f>+P67-P69</f>
        <v>-321504.72999999992</v>
      </c>
      <c r="Q71" s="14"/>
      <c r="R71" s="36">
        <f>IF(P$12=0,0,P71/P$12)</f>
        <v>0</v>
      </c>
      <c r="S71" s="14"/>
      <c r="T71" s="35">
        <f>+T67-T69</f>
        <v>-433986.66999999987</v>
      </c>
      <c r="U71" s="14"/>
      <c r="V71" s="36">
        <f>IF(T$12=0,0,T71/T$12)</f>
        <v>0</v>
      </c>
      <c r="W71" s="16"/>
      <c r="X71" s="35">
        <f>P71-T71</f>
        <v>112481.93999999994</v>
      </c>
      <c r="Y71" s="16"/>
      <c r="Z71" s="36">
        <f>IF(T71=0,0,X71/T71)</f>
        <v>-0.2591829375773223</v>
      </c>
    </row>
    <row r="72" spans="1:26" ht="15.75" thickTop="1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9" t="s">
        <v>5</v>
      </c>
      <c r="C74" s="29"/>
      <c r="D74" s="31">
        <f>SUM(D71:D73)</f>
        <v>-49534.039999999994</v>
      </c>
      <c r="E74" s="14"/>
      <c r="F74" s="33">
        <f>IF(D$12=0,0,D74/D$12)</f>
        <v>0</v>
      </c>
      <c r="G74" s="14"/>
      <c r="H74" s="31">
        <f>SUM(H71:H73)</f>
        <v>-65404.409999999996</v>
      </c>
      <c r="I74" s="14"/>
      <c r="J74" s="33">
        <f>IF(H$12=0,0,H74/H$12)</f>
        <v>0</v>
      </c>
      <c r="K74" s="16"/>
      <c r="L74" s="31">
        <f>+D74-H74</f>
        <v>15870.370000000003</v>
      </c>
      <c r="M74" s="16"/>
      <c r="N74" s="33">
        <f>IF(H74=0,0,L74/H74)</f>
        <v>-0.24264984578257037</v>
      </c>
      <c r="O74" s="28"/>
      <c r="P74" s="31">
        <f>SUM(P71:P73)</f>
        <v>-321504.72999999992</v>
      </c>
      <c r="Q74" s="14"/>
      <c r="R74" s="33">
        <f>IF(P$12=0,0,P74/P$12)</f>
        <v>0</v>
      </c>
      <c r="S74" s="14"/>
      <c r="T74" s="31">
        <f>SUM(T71:T73)</f>
        <v>-433986.66999999987</v>
      </c>
      <c r="U74" s="14"/>
      <c r="V74" s="33">
        <f>IF(T$12=0,0,T74/T$12)</f>
        <v>0</v>
      </c>
      <c r="W74" s="16"/>
      <c r="X74" s="31">
        <f>+P74-T74</f>
        <v>112481.93999999994</v>
      </c>
      <c r="Y74" s="16"/>
      <c r="Z74" s="33">
        <f>IF(T74=0,0,X74/T74)</f>
        <v>-0.2591829375773223</v>
      </c>
    </row>
    <row r="75" spans="1:26" ht="15.75" thickTop="1" x14ac:dyDescent="0.25">
      <c r="A75" s="9"/>
      <c r="C75" s="9"/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25">
      <c r="A76" s="9"/>
      <c r="B76" s="56">
        <v>44267.66805054398</v>
      </c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A77" s="9"/>
      <c r="B77" s="54" t="s">
        <v>313</v>
      </c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8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","203", " - ", "Human Resources")</f>
        <v>Department 203 - Human Resources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44218.12</v>
      </c>
      <c r="E18" s="21"/>
      <c r="F18" s="32">
        <f t="shared" ref="F18:F29" si="0">IF(D$12=0,0,D18/D$12)</f>
        <v>0</v>
      </c>
      <c r="G18" s="21"/>
      <c r="H18" s="21">
        <f>SUM(OSRRefH22x_0)</f>
        <v>69845.759999999995</v>
      </c>
      <c r="I18" s="21"/>
      <c r="J18" s="32">
        <f t="shared" ref="J18:J29" si="1">IF(H$12=0,0,H18/H$12)</f>
        <v>0</v>
      </c>
      <c r="K18" s="4"/>
      <c r="L18" s="21">
        <f t="shared" ref="L18:L29" si="2">+D18-H18</f>
        <v>-25627.639999999992</v>
      </c>
      <c r="M18" s="4"/>
      <c r="N18" s="32">
        <f t="shared" ref="N18:N29" si="3">IF(H18=0,0,L18/H18)</f>
        <v>-0.36691761962358194</v>
      </c>
      <c r="O18" s="10"/>
      <c r="P18" s="21">
        <f>SUM(OSRRefP22x_0)</f>
        <v>367065.24000000005</v>
      </c>
      <c r="Q18" s="21"/>
      <c r="R18" s="32">
        <f t="shared" ref="R18:R29" si="4">IF(P$12=0,0,P18/P$12)</f>
        <v>0</v>
      </c>
      <c r="S18" s="21"/>
      <c r="T18" s="21">
        <f>SUM(OSRRefT22x_0)</f>
        <v>543997.05000000005</v>
      </c>
      <c r="U18" s="21"/>
      <c r="V18" s="32">
        <f t="shared" ref="V18:V29" si="5">IF(T$12=0,0,T18/T$12)</f>
        <v>0</v>
      </c>
      <c r="W18" s="4"/>
      <c r="X18" s="21">
        <f t="shared" ref="X18:X29" si="6">+P18-T18</f>
        <v>-176931.81</v>
      </c>
      <c r="Y18" s="4"/>
      <c r="Z18" s="32">
        <f t="shared" ref="Z18:Z29" si="7">IF(T18=0,0,X18/T18)</f>
        <v>-0.32524406152570123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11037.230000000001</v>
      </c>
      <c r="E19" s="1"/>
      <c r="F19" s="5">
        <f t="shared" si="0"/>
        <v>0</v>
      </c>
      <c r="G19" s="1"/>
      <c r="H19" s="1">
        <f>SUM(OSRRefH22_0x_0)</f>
        <v>14150.249999999998</v>
      </c>
      <c r="I19" s="1"/>
      <c r="J19" s="5">
        <f t="shared" si="1"/>
        <v>0</v>
      </c>
      <c r="K19" s="1"/>
      <c r="L19" s="1">
        <f t="shared" si="2"/>
        <v>-3113.0199999999968</v>
      </c>
      <c r="M19" s="1"/>
      <c r="N19" s="5">
        <f t="shared" si="3"/>
        <v>-0.2199975265454672</v>
      </c>
      <c r="O19" s="13"/>
      <c r="P19" s="1">
        <f>SUM(OSRRefP22_0x_0)</f>
        <v>98570.400000000009</v>
      </c>
      <c r="Q19" s="1"/>
      <c r="R19" s="5">
        <f t="shared" si="4"/>
        <v>0</v>
      </c>
      <c r="S19" s="1"/>
      <c r="T19" s="1">
        <f>SUM(OSRRefT22_0x_0)</f>
        <v>110978.48000000001</v>
      </c>
      <c r="U19" s="1"/>
      <c r="V19" s="5">
        <f t="shared" si="5"/>
        <v>0</v>
      </c>
      <c r="W19" s="1"/>
      <c r="X19" s="1">
        <f t="shared" si="6"/>
        <v>-12408.080000000002</v>
      </c>
      <c r="Y19" s="1"/>
      <c r="Z19" s="5">
        <f t="shared" si="7"/>
        <v>-0.11180618080189962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1855.51</v>
      </c>
      <c r="E20" s="2"/>
      <c r="F20" s="7">
        <f t="shared" si="0"/>
        <v>0</v>
      </c>
      <c r="G20" s="2"/>
      <c r="H20" s="6">
        <v>2281.7199999999998</v>
      </c>
      <c r="I20" s="2"/>
      <c r="J20" s="7">
        <f t="shared" si="1"/>
        <v>0</v>
      </c>
      <c r="K20" s="2"/>
      <c r="L20" s="6">
        <f t="shared" si="2"/>
        <v>-426.20999999999981</v>
      </c>
      <c r="M20" s="2"/>
      <c r="N20" s="7">
        <f t="shared" si="3"/>
        <v>-0.18679329628525843</v>
      </c>
      <c r="O20" s="11"/>
      <c r="P20" s="6">
        <v>17078.14</v>
      </c>
      <c r="Q20" s="2"/>
      <c r="R20" s="7">
        <f t="shared" si="4"/>
        <v>0</v>
      </c>
      <c r="S20" s="2"/>
      <c r="T20" s="6">
        <v>16900.02</v>
      </c>
      <c r="U20" s="2"/>
      <c r="V20" s="7">
        <f t="shared" si="5"/>
        <v>0</v>
      </c>
      <c r="W20" s="2"/>
      <c r="X20" s="6">
        <f t="shared" si="6"/>
        <v>178.11999999999898</v>
      </c>
      <c r="Y20" s="2"/>
      <c r="Z20" s="7">
        <f t="shared" si="7"/>
        <v>1.0539632497476274E-2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79.650000000000006</v>
      </c>
      <c r="E21" s="2"/>
      <c r="F21" s="7">
        <f t="shared" si="0"/>
        <v>0</v>
      </c>
      <c r="G21" s="2"/>
      <c r="H21" s="6">
        <v>102.61</v>
      </c>
      <c r="I21" s="2"/>
      <c r="J21" s="7">
        <f t="shared" si="1"/>
        <v>0</v>
      </c>
      <c r="K21" s="2"/>
      <c r="L21" s="6">
        <f t="shared" si="2"/>
        <v>-22.959999999999994</v>
      </c>
      <c r="M21" s="2"/>
      <c r="N21" s="7">
        <f t="shared" si="3"/>
        <v>-0.2237598674593119</v>
      </c>
      <c r="O21" s="11"/>
      <c r="P21" s="6">
        <v>743.87</v>
      </c>
      <c r="Q21" s="2"/>
      <c r="R21" s="7">
        <f t="shared" si="4"/>
        <v>0</v>
      </c>
      <c r="S21" s="2"/>
      <c r="T21" s="6">
        <v>621.84</v>
      </c>
      <c r="U21" s="2"/>
      <c r="V21" s="7">
        <f t="shared" si="5"/>
        <v>0</v>
      </c>
      <c r="W21" s="2"/>
      <c r="X21" s="6">
        <f t="shared" si="6"/>
        <v>122.02999999999997</v>
      </c>
      <c r="Y21" s="2"/>
      <c r="Z21" s="7">
        <f t="shared" si="7"/>
        <v>0.19624019040267587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6028.29</v>
      </c>
      <c r="E22" s="2"/>
      <c r="F22" s="7">
        <f t="shared" si="0"/>
        <v>0</v>
      </c>
      <c r="G22" s="2"/>
      <c r="H22" s="6">
        <v>6142.53</v>
      </c>
      <c r="I22" s="2"/>
      <c r="J22" s="7">
        <f t="shared" si="1"/>
        <v>0</v>
      </c>
      <c r="K22" s="2"/>
      <c r="L22" s="6">
        <f t="shared" si="2"/>
        <v>-114.23999999999978</v>
      </c>
      <c r="M22" s="2"/>
      <c r="N22" s="7">
        <f t="shared" si="3"/>
        <v>-1.859819976459208E-2</v>
      </c>
      <c r="O22" s="11"/>
      <c r="P22" s="6">
        <v>48606.6</v>
      </c>
      <c r="Q22" s="2"/>
      <c r="R22" s="7">
        <f t="shared" si="4"/>
        <v>0</v>
      </c>
      <c r="S22" s="2"/>
      <c r="T22" s="6">
        <v>47404.65</v>
      </c>
      <c r="U22" s="2"/>
      <c r="V22" s="7">
        <f t="shared" si="5"/>
        <v>0</v>
      </c>
      <c r="W22" s="2"/>
      <c r="X22" s="6">
        <f t="shared" si="6"/>
        <v>1201.9499999999971</v>
      </c>
      <c r="Y22" s="2"/>
      <c r="Z22" s="7">
        <f t="shared" si="7"/>
        <v>2.5355107568561248E-2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62.76</v>
      </c>
      <c r="E23" s="2"/>
      <c r="F23" s="7">
        <f t="shared" si="0"/>
        <v>0</v>
      </c>
      <c r="G23" s="2"/>
      <c r="H23" s="6">
        <v>78.459999999999994</v>
      </c>
      <c r="I23" s="2"/>
      <c r="J23" s="7">
        <f t="shared" si="1"/>
        <v>0</v>
      </c>
      <c r="K23" s="2"/>
      <c r="L23" s="6">
        <f t="shared" si="2"/>
        <v>-15.699999999999996</v>
      </c>
      <c r="M23" s="2"/>
      <c r="N23" s="7">
        <f t="shared" si="3"/>
        <v>-0.20010196278358394</v>
      </c>
      <c r="O23" s="11"/>
      <c r="P23" s="6">
        <v>586.08000000000004</v>
      </c>
      <c r="Q23" s="2"/>
      <c r="R23" s="7">
        <f t="shared" si="4"/>
        <v>0</v>
      </c>
      <c r="S23" s="2"/>
      <c r="T23" s="6">
        <v>574.21</v>
      </c>
      <c r="U23" s="2"/>
      <c r="V23" s="7">
        <f t="shared" si="5"/>
        <v>0</v>
      </c>
      <c r="W23" s="2"/>
      <c r="X23" s="6">
        <f t="shared" si="6"/>
        <v>11.870000000000005</v>
      </c>
      <c r="Y23" s="2"/>
      <c r="Z23" s="7">
        <f t="shared" si="7"/>
        <v>2.0671879625920837E-2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1091.48</v>
      </c>
      <c r="E24" s="2"/>
      <c r="F24" s="7">
        <f t="shared" si="0"/>
        <v>0</v>
      </c>
      <c r="G24" s="2"/>
      <c r="H24" s="6">
        <v>1365.37</v>
      </c>
      <c r="I24" s="2"/>
      <c r="J24" s="7">
        <f t="shared" si="1"/>
        <v>0</v>
      </c>
      <c r="K24" s="2"/>
      <c r="L24" s="6">
        <f t="shared" si="2"/>
        <v>-273.88999999999987</v>
      </c>
      <c r="M24" s="2"/>
      <c r="N24" s="7">
        <f t="shared" si="3"/>
        <v>-0.20059764020009221</v>
      </c>
      <c r="O24" s="11"/>
      <c r="P24" s="6">
        <v>11100.36</v>
      </c>
      <c r="Q24" s="2"/>
      <c r="R24" s="7">
        <f t="shared" si="4"/>
        <v>0</v>
      </c>
      <c r="S24" s="2"/>
      <c r="T24" s="6">
        <v>10007.73</v>
      </c>
      <c r="U24" s="2"/>
      <c r="V24" s="7">
        <f t="shared" si="5"/>
        <v>0</v>
      </c>
      <c r="W24" s="2"/>
      <c r="X24" s="6">
        <f t="shared" si="6"/>
        <v>1092.630000000001</v>
      </c>
      <c r="Y24" s="2"/>
      <c r="Z24" s="7">
        <f t="shared" si="7"/>
        <v>0.10917860493838273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733</v>
      </c>
      <c r="I25" s="2"/>
      <c r="J25" s="7">
        <f t="shared" si="1"/>
        <v>0</v>
      </c>
      <c r="K25" s="2"/>
      <c r="L25" s="6">
        <f t="shared" si="2"/>
        <v>-733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4936.88</v>
      </c>
      <c r="U25" s="2"/>
      <c r="V25" s="7">
        <f t="shared" si="5"/>
        <v>0</v>
      </c>
      <c r="W25" s="2"/>
      <c r="X25" s="6">
        <f t="shared" si="6"/>
        <v>-4936.88</v>
      </c>
      <c r="Y25" s="2"/>
      <c r="Z25" s="7">
        <f t="shared" si="7"/>
        <v>-1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6">
        <v>532.74</v>
      </c>
      <c r="E26" s="2"/>
      <c r="F26" s="7">
        <f t="shared" si="0"/>
        <v>0</v>
      </c>
      <c r="G26" s="2"/>
      <c r="H26" s="6">
        <v>235.25</v>
      </c>
      <c r="I26" s="2"/>
      <c r="J26" s="7">
        <f t="shared" si="1"/>
        <v>0</v>
      </c>
      <c r="K26" s="2"/>
      <c r="L26" s="6">
        <f t="shared" si="2"/>
        <v>297.49</v>
      </c>
      <c r="M26" s="2"/>
      <c r="N26" s="7">
        <f t="shared" si="3"/>
        <v>1.2645696068012753</v>
      </c>
      <c r="O26" s="11"/>
      <c r="P26" s="6">
        <v>4864.58</v>
      </c>
      <c r="Q26" s="2"/>
      <c r="R26" s="7">
        <f t="shared" si="4"/>
        <v>0</v>
      </c>
      <c r="S26" s="2"/>
      <c r="T26" s="6">
        <v>3561.21</v>
      </c>
      <c r="U26" s="2"/>
      <c r="V26" s="7">
        <f t="shared" si="5"/>
        <v>0</v>
      </c>
      <c r="W26" s="2"/>
      <c r="X26" s="6">
        <f t="shared" si="6"/>
        <v>1303.3699999999999</v>
      </c>
      <c r="Y26" s="2"/>
      <c r="Z26" s="7">
        <f t="shared" si="7"/>
        <v>0.36599077279913284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6">
        <v>478.68</v>
      </c>
      <c r="E27" s="2"/>
      <c r="F27" s="7">
        <f t="shared" si="0"/>
        <v>0</v>
      </c>
      <c r="G27" s="2"/>
      <c r="H27" s="6">
        <v>1447.62</v>
      </c>
      <c r="I27" s="2"/>
      <c r="J27" s="7">
        <f t="shared" si="1"/>
        <v>0</v>
      </c>
      <c r="K27" s="2"/>
      <c r="L27" s="6">
        <f t="shared" si="2"/>
        <v>-968.93999999999983</v>
      </c>
      <c r="M27" s="2"/>
      <c r="N27" s="7">
        <f t="shared" si="3"/>
        <v>-0.66933311228084713</v>
      </c>
      <c r="O27" s="11"/>
      <c r="P27" s="6">
        <v>7531.92</v>
      </c>
      <c r="Q27" s="2"/>
      <c r="R27" s="7">
        <f t="shared" si="4"/>
        <v>0</v>
      </c>
      <c r="S27" s="2"/>
      <c r="T27" s="6">
        <v>14060.03</v>
      </c>
      <c r="U27" s="2"/>
      <c r="V27" s="7">
        <f t="shared" si="5"/>
        <v>0</v>
      </c>
      <c r="W27" s="2"/>
      <c r="X27" s="6">
        <f t="shared" si="6"/>
        <v>-6528.1100000000006</v>
      </c>
      <c r="Y27" s="2"/>
      <c r="Z27" s="7">
        <f t="shared" si="7"/>
        <v>-0.46430270774671178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6">
        <v>908.12</v>
      </c>
      <c r="E28" s="2"/>
      <c r="F28" s="7">
        <f t="shared" si="0"/>
        <v>0</v>
      </c>
      <c r="G28" s="2"/>
      <c r="H28" s="6">
        <v>1153.74</v>
      </c>
      <c r="I28" s="2"/>
      <c r="J28" s="7">
        <f t="shared" si="1"/>
        <v>0</v>
      </c>
      <c r="K28" s="2"/>
      <c r="L28" s="6">
        <f t="shared" si="2"/>
        <v>-245.62</v>
      </c>
      <c r="M28" s="2"/>
      <c r="N28" s="7">
        <f t="shared" si="3"/>
        <v>-0.2128902525699031</v>
      </c>
      <c r="O28" s="11"/>
      <c r="P28" s="6">
        <v>7719.02</v>
      </c>
      <c r="Q28" s="2"/>
      <c r="R28" s="7">
        <f t="shared" si="4"/>
        <v>0</v>
      </c>
      <c r="S28" s="2"/>
      <c r="T28" s="6">
        <v>9570.56</v>
      </c>
      <c r="U28" s="2"/>
      <c r="V28" s="7">
        <f t="shared" si="5"/>
        <v>0</v>
      </c>
      <c r="W28" s="2"/>
      <c r="X28" s="6">
        <f t="shared" si="6"/>
        <v>-1851.5399999999991</v>
      </c>
      <c r="Y28" s="2"/>
      <c r="Z28" s="7">
        <f t="shared" si="7"/>
        <v>-0.19346203356961339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6"/>
      <c r="E29" s="2"/>
      <c r="F29" s="7">
        <f t="shared" si="0"/>
        <v>0</v>
      </c>
      <c r="G29" s="2"/>
      <c r="H29" s="6">
        <v>609.95000000000005</v>
      </c>
      <c r="I29" s="2"/>
      <c r="J29" s="7">
        <f t="shared" si="1"/>
        <v>0</v>
      </c>
      <c r="K29" s="2"/>
      <c r="L29" s="6">
        <f t="shared" si="2"/>
        <v>-609.95000000000005</v>
      </c>
      <c r="M29" s="2"/>
      <c r="N29" s="7">
        <f t="shared" si="3"/>
        <v>-1</v>
      </c>
      <c r="O29" s="11"/>
      <c r="P29" s="6">
        <v>339.83</v>
      </c>
      <c r="Q29" s="2"/>
      <c r="R29" s="7">
        <f t="shared" si="4"/>
        <v>0</v>
      </c>
      <c r="S29" s="2"/>
      <c r="T29" s="6">
        <v>3341.35</v>
      </c>
      <c r="U29" s="2"/>
      <c r="V29" s="7">
        <f t="shared" si="5"/>
        <v>0</v>
      </c>
      <c r="W29" s="2"/>
      <c r="X29" s="6">
        <f t="shared" si="6"/>
        <v>-3001.52</v>
      </c>
      <c r="Y29" s="2"/>
      <c r="Z29" s="7">
        <f t="shared" si="7"/>
        <v>-0.89829559908420253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22005.079999999998</v>
      </c>
      <c r="E30" s="1"/>
      <c r="F30" s="5">
        <f t="shared" ref="F30:F35" si="8">IF(D$12=0,0,D30/D$12)</f>
        <v>0</v>
      </c>
      <c r="G30" s="1"/>
      <c r="H30" s="1">
        <f>SUM(OSRRefH22_1x_0)</f>
        <v>29724.28</v>
      </c>
      <c r="I30" s="1"/>
      <c r="J30" s="5">
        <f t="shared" ref="J30:J35" si="9">IF(H$12=0,0,H30/H$12)</f>
        <v>0</v>
      </c>
      <c r="K30" s="1"/>
      <c r="L30" s="1">
        <f t="shared" ref="L30:L35" si="10">+D30-H30</f>
        <v>-7719.2000000000007</v>
      </c>
      <c r="M30" s="1"/>
      <c r="N30" s="5">
        <f t="shared" ref="N30:N35" si="11">IF(H30=0,0,L30/H30)</f>
        <v>-0.25969342234698373</v>
      </c>
      <c r="O30" s="13"/>
      <c r="P30" s="1">
        <f>SUM(OSRRefP22_1x_0)</f>
        <v>212556.08000000002</v>
      </c>
      <c r="Q30" s="1"/>
      <c r="R30" s="5">
        <f t="shared" ref="R30:R35" si="12">IF(P$12=0,0,P30/P$12)</f>
        <v>0</v>
      </c>
      <c r="S30" s="1"/>
      <c r="T30" s="1">
        <f>SUM(OSRRefT22_1x_0)</f>
        <v>203246.77</v>
      </c>
      <c r="U30" s="1"/>
      <c r="V30" s="5">
        <f t="shared" ref="V30:V35" si="13">IF(T$12=0,0,T30/T$12)</f>
        <v>0</v>
      </c>
      <c r="W30" s="1"/>
      <c r="X30" s="1">
        <f t="shared" ref="X30:X35" si="14">+P30-T30</f>
        <v>9309.3100000000268</v>
      </c>
      <c r="Y30" s="1"/>
      <c r="Z30" s="5">
        <f t="shared" ref="Z30:Z35" si="15">IF(T30=0,0,X30/T30)</f>
        <v>4.5802991112724831E-2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6">
        <v>8980.2099999999991</v>
      </c>
      <c r="E31" s="2"/>
      <c r="F31" s="7">
        <f t="shared" si="8"/>
        <v>0</v>
      </c>
      <c r="G31" s="2"/>
      <c r="H31" s="6">
        <v>9220.16</v>
      </c>
      <c r="I31" s="2"/>
      <c r="J31" s="7">
        <f t="shared" si="9"/>
        <v>0</v>
      </c>
      <c r="K31" s="2"/>
      <c r="L31" s="6">
        <f t="shared" si="10"/>
        <v>-239.95000000000073</v>
      </c>
      <c r="M31" s="2"/>
      <c r="N31" s="7">
        <f t="shared" si="11"/>
        <v>-2.6024494151945382E-2</v>
      </c>
      <c r="O31" s="11"/>
      <c r="P31" s="6">
        <v>82276.19</v>
      </c>
      <c r="Q31" s="2"/>
      <c r="R31" s="7">
        <f t="shared" si="12"/>
        <v>0</v>
      </c>
      <c r="S31" s="2"/>
      <c r="T31" s="6">
        <v>71286.97</v>
      </c>
      <c r="U31" s="2"/>
      <c r="V31" s="7">
        <f t="shared" si="13"/>
        <v>0</v>
      </c>
      <c r="W31" s="2"/>
      <c r="X31" s="6">
        <f t="shared" si="14"/>
        <v>10989.220000000001</v>
      </c>
      <c r="Y31" s="2"/>
      <c r="Z31" s="7">
        <f t="shared" si="15"/>
        <v>0.15415467931937632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8"/>
        <v>0</v>
      </c>
      <c r="G32" s="2"/>
      <c r="H32" s="6">
        <v>6384.62</v>
      </c>
      <c r="I32" s="2"/>
      <c r="J32" s="7">
        <f t="shared" si="9"/>
        <v>0</v>
      </c>
      <c r="K32" s="2"/>
      <c r="L32" s="6">
        <f t="shared" si="10"/>
        <v>-6384.62</v>
      </c>
      <c r="M32" s="2"/>
      <c r="N32" s="7">
        <f t="shared" si="11"/>
        <v>-1</v>
      </c>
      <c r="O32" s="11"/>
      <c r="P32" s="6"/>
      <c r="Q32" s="2"/>
      <c r="R32" s="7">
        <f t="shared" si="12"/>
        <v>0</v>
      </c>
      <c r="S32" s="2"/>
      <c r="T32" s="6">
        <v>11172.93</v>
      </c>
      <c r="U32" s="2"/>
      <c r="V32" s="7">
        <f t="shared" si="13"/>
        <v>0</v>
      </c>
      <c r="W32" s="2"/>
      <c r="X32" s="6">
        <f t="shared" si="14"/>
        <v>-11172.93</v>
      </c>
      <c r="Y32" s="2"/>
      <c r="Z32" s="7">
        <f t="shared" si="15"/>
        <v>-1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6">
        <v>10055.74</v>
      </c>
      <c r="E33" s="2"/>
      <c r="F33" s="7">
        <f t="shared" si="8"/>
        <v>0</v>
      </c>
      <c r="G33" s="2"/>
      <c r="H33" s="6">
        <v>9345.98</v>
      </c>
      <c r="I33" s="2"/>
      <c r="J33" s="7">
        <f t="shared" si="9"/>
        <v>0</v>
      </c>
      <c r="K33" s="2"/>
      <c r="L33" s="6">
        <f t="shared" si="10"/>
        <v>709.76000000000022</v>
      </c>
      <c r="M33" s="2"/>
      <c r="N33" s="7">
        <f t="shared" si="11"/>
        <v>7.5942811775758165E-2</v>
      </c>
      <c r="O33" s="11"/>
      <c r="P33" s="6">
        <v>83776.960000000006</v>
      </c>
      <c r="Q33" s="2"/>
      <c r="R33" s="7">
        <f t="shared" si="12"/>
        <v>0</v>
      </c>
      <c r="S33" s="2"/>
      <c r="T33" s="6">
        <v>77285.72</v>
      </c>
      <c r="U33" s="2"/>
      <c r="V33" s="7">
        <f t="shared" si="13"/>
        <v>0</v>
      </c>
      <c r="W33" s="2"/>
      <c r="X33" s="6">
        <f t="shared" si="14"/>
        <v>6491.2400000000052</v>
      </c>
      <c r="Y33" s="2"/>
      <c r="Z33" s="7">
        <f t="shared" si="15"/>
        <v>8.3990160148601903E-2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>
        <v>4163.13</v>
      </c>
      <c r="E34" s="2"/>
      <c r="F34" s="7">
        <f t="shared" si="8"/>
        <v>0</v>
      </c>
      <c r="G34" s="2"/>
      <c r="H34" s="6">
        <v>5228.5200000000004</v>
      </c>
      <c r="I34" s="2"/>
      <c r="J34" s="7">
        <f t="shared" si="9"/>
        <v>0</v>
      </c>
      <c r="K34" s="2"/>
      <c r="L34" s="6">
        <f t="shared" si="10"/>
        <v>-1065.3900000000003</v>
      </c>
      <c r="M34" s="2"/>
      <c r="N34" s="7">
        <f t="shared" si="11"/>
        <v>-0.20376511900117056</v>
      </c>
      <c r="O34" s="11"/>
      <c r="P34" s="6">
        <v>43970.93</v>
      </c>
      <c r="Q34" s="2"/>
      <c r="R34" s="7">
        <f t="shared" si="12"/>
        <v>0</v>
      </c>
      <c r="S34" s="2"/>
      <c r="T34" s="6">
        <v>40466.15</v>
      </c>
      <c r="U34" s="2"/>
      <c r="V34" s="7">
        <f t="shared" si="13"/>
        <v>0</v>
      </c>
      <c r="W34" s="2"/>
      <c r="X34" s="6">
        <f t="shared" si="14"/>
        <v>3504.7799999999988</v>
      </c>
      <c r="Y34" s="2"/>
      <c r="Z34" s="7">
        <f t="shared" si="15"/>
        <v>8.6610166769015548E-2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6">
        <v>-1194</v>
      </c>
      <c r="E35" s="2"/>
      <c r="F35" s="7">
        <f t="shared" si="8"/>
        <v>0</v>
      </c>
      <c r="G35" s="2"/>
      <c r="H35" s="6">
        <v>-455</v>
      </c>
      <c r="I35" s="2"/>
      <c r="J35" s="7">
        <f t="shared" si="9"/>
        <v>0</v>
      </c>
      <c r="K35" s="2"/>
      <c r="L35" s="6">
        <f t="shared" si="10"/>
        <v>-739</v>
      </c>
      <c r="M35" s="2"/>
      <c r="N35" s="7">
        <f t="shared" si="11"/>
        <v>1.6241758241758242</v>
      </c>
      <c r="O35" s="11"/>
      <c r="P35" s="6">
        <v>2532</v>
      </c>
      <c r="Q35" s="2"/>
      <c r="R35" s="7">
        <f t="shared" si="12"/>
        <v>0</v>
      </c>
      <c r="S35" s="2"/>
      <c r="T35" s="6">
        <v>3035</v>
      </c>
      <c r="U35" s="2"/>
      <c r="V35" s="7">
        <f t="shared" si="13"/>
        <v>0</v>
      </c>
      <c r="W35" s="2"/>
      <c r="X35" s="6">
        <f t="shared" si="14"/>
        <v>-503</v>
      </c>
      <c r="Y35" s="2"/>
      <c r="Z35" s="7">
        <f t="shared" si="15"/>
        <v>-0.16573311367380561</v>
      </c>
    </row>
    <row r="36" spans="1:26" s="25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52" si="16">IF(D$12=0,0,D36/D$12)</f>
        <v>0</v>
      </c>
      <c r="G36" s="1"/>
      <c r="H36" s="1">
        <f>SUM(OSRRefH22_2x_0)</f>
        <v>15</v>
      </c>
      <c r="I36" s="1"/>
      <c r="J36" s="5">
        <f t="shared" ref="J36:J52" si="17">IF(H$12=0,0,H36/H$12)</f>
        <v>0</v>
      </c>
      <c r="K36" s="1"/>
      <c r="L36" s="1">
        <f t="shared" ref="L36:L52" si="18">+D36-H36</f>
        <v>-15</v>
      </c>
      <c r="M36" s="1"/>
      <c r="N36" s="5">
        <f t="shared" ref="N36:N52" si="19">IF(H36=0,0,L36/H36)</f>
        <v>-1</v>
      </c>
      <c r="O36" s="13"/>
      <c r="P36" s="1">
        <f>SUM(OSRRefP22_2x_0)</f>
        <v>0</v>
      </c>
      <c r="Q36" s="1"/>
      <c r="R36" s="5">
        <f t="shared" ref="R36:R52" si="20">IF(P$12=0,0,P36/P$12)</f>
        <v>0</v>
      </c>
      <c r="S36" s="1"/>
      <c r="T36" s="1">
        <f>SUM(OSRRefT22_2x_0)</f>
        <v>1556.04</v>
      </c>
      <c r="U36" s="1"/>
      <c r="V36" s="5">
        <f t="shared" ref="V36:V52" si="21">IF(T$12=0,0,T36/T$12)</f>
        <v>0</v>
      </c>
      <c r="W36" s="1"/>
      <c r="X36" s="1">
        <f t="shared" ref="X36:X52" si="22">+P36-T36</f>
        <v>-1556.04</v>
      </c>
      <c r="Y36" s="1"/>
      <c r="Z36" s="5">
        <f t="shared" ref="Z36:Z52" si="23">IF(T36=0,0,X36/T36)</f>
        <v>-1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16"/>
        <v>0</v>
      </c>
      <c r="G37" s="2"/>
      <c r="H37" s="6">
        <v>15</v>
      </c>
      <c r="I37" s="2"/>
      <c r="J37" s="7">
        <f t="shared" si="17"/>
        <v>0</v>
      </c>
      <c r="K37" s="2"/>
      <c r="L37" s="6">
        <f t="shared" si="18"/>
        <v>-15</v>
      </c>
      <c r="M37" s="2"/>
      <c r="N37" s="7">
        <f t="shared" si="19"/>
        <v>-1</v>
      </c>
      <c r="O37" s="11"/>
      <c r="P37" s="6"/>
      <c r="Q37" s="2"/>
      <c r="R37" s="7">
        <f t="shared" si="20"/>
        <v>0</v>
      </c>
      <c r="S37" s="2"/>
      <c r="T37" s="6">
        <v>1556.04</v>
      </c>
      <c r="U37" s="2"/>
      <c r="V37" s="7">
        <f t="shared" si="21"/>
        <v>0</v>
      </c>
      <c r="W37" s="2"/>
      <c r="X37" s="6">
        <f t="shared" si="22"/>
        <v>-1556.04</v>
      </c>
      <c r="Y37" s="2"/>
      <c r="Z37" s="7">
        <f t="shared" si="23"/>
        <v>-1</v>
      </c>
    </row>
    <row r="38" spans="1:26" s="25" customFormat="1" outlineLevel="1" collapsed="1" x14ac:dyDescent="0.25">
      <c r="A38" s="27"/>
      <c r="B38" s="13" t="str">
        <f>CONCATENATE("     ","Depreciation                                      ")</f>
        <v xml:space="preserve">     Depreciation                                      </v>
      </c>
      <c r="C38" s="13"/>
      <c r="D38" s="1">
        <f>SUM(OSRRefD22_3x_0)</f>
        <v>0</v>
      </c>
      <c r="E38" s="1"/>
      <c r="F38" s="5">
        <f t="shared" si="16"/>
        <v>0</v>
      </c>
      <c r="G38" s="1"/>
      <c r="H38" s="1">
        <f>SUM(OSRRefH22_3x_0)</f>
        <v>224.18</v>
      </c>
      <c r="I38" s="1"/>
      <c r="J38" s="5">
        <f t="shared" si="17"/>
        <v>0</v>
      </c>
      <c r="K38" s="1"/>
      <c r="L38" s="1">
        <f t="shared" si="18"/>
        <v>-224.18</v>
      </c>
      <c r="M38" s="1"/>
      <c r="N38" s="5">
        <f t="shared" si="19"/>
        <v>-1</v>
      </c>
      <c r="O38" s="13"/>
      <c r="P38" s="1">
        <f>SUM(OSRRefP22_3x_0)</f>
        <v>0</v>
      </c>
      <c r="Q38" s="1"/>
      <c r="R38" s="5">
        <f t="shared" si="20"/>
        <v>0</v>
      </c>
      <c r="S38" s="1"/>
      <c r="T38" s="1">
        <f>SUM(OSRRefT22_3x_0)</f>
        <v>1793.44</v>
      </c>
      <c r="U38" s="1"/>
      <c r="V38" s="5">
        <f t="shared" si="21"/>
        <v>0</v>
      </c>
      <c r="W38" s="1"/>
      <c r="X38" s="1">
        <f t="shared" si="22"/>
        <v>-1793.44</v>
      </c>
      <c r="Y38" s="1"/>
      <c r="Z38" s="5">
        <f t="shared" si="23"/>
        <v>-1</v>
      </c>
    </row>
    <row r="39" spans="1:26" s="24" customFormat="1" hidden="1" outlineLevel="2" x14ac:dyDescent="0.25">
      <c r="A39" s="26"/>
      <c r="B39" s="11" t="str">
        <f>CONCATENATE("          ", "6322", " - ", "EQUIPMENT DEPRECIATION EXPENSE")</f>
        <v xml:space="preserve">          6322 - EQUIPMENT DEPRECIATION EXPENSE</v>
      </c>
      <c r="C39" s="11"/>
      <c r="D39" s="6"/>
      <c r="E39" s="2"/>
      <c r="F39" s="7">
        <f t="shared" si="16"/>
        <v>0</v>
      </c>
      <c r="G39" s="2"/>
      <c r="H39" s="6">
        <v>224.18</v>
      </c>
      <c r="I39" s="2"/>
      <c r="J39" s="7">
        <f t="shared" si="17"/>
        <v>0</v>
      </c>
      <c r="K39" s="2"/>
      <c r="L39" s="6">
        <f t="shared" si="18"/>
        <v>-224.18</v>
      </c>
      <c r="M39" s="2"/>
      <c r="N39" s="7">
        <f t="shared" si="19"/>
        <v>-1</v>
      </c>
      <c r="O39" s="11"/>
      <c r="P39" s="6"/>
      <c r="Q39" s="2"/>
      <c r="R39" s="7">
        <f t="shared" si="20"/>
        <v>0</v>
      </c>
      <c r="S39" s="2"/>
      <c r="T39" s="6">
        <v>1793.44</v>
      </c>
      <c r="U39" s="2"/>
      <c r="V39" s="7">
        <f t="shared" si="21"/>
        <v>0</v>
      </c>
      <c r="W39" s="2"/>
      <c r="X39" s="6">
        <f t="shared" si="22"/>
        <v>-1793.44</v>
      </c>
      <c r="Y39" s="2"/>
      <c r="Z39" s="7">
        <f t="shared" si="23"/>
        <v>-1</v>
      </c>
    </row>
    <row r="40" spans="1:26" s="25" customFormat="1" outlineLevel="1" collapsed="1" x14ac:dyDescent="0.25">
      <c r="A40" s="27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si="16"/>
        <v>0</v>
      </c>
      <c r="G40" s="1"/>
      <c r="H40" s="1">
        <f>SUM(OSRRefH22_4x_0)</f>
        <v>1501.18</v>
      </c>
      <c r="I40" s="1"/>
      <c r="J40" s="5">
        <f t="shared" si="17"/>
        <v>0</v>
      </c>
      <c r="K40" s="1"/>
      <c r="L40" s="1">
        <f t="shared" si="18"/>
        <v>-1501.18</v>
      </c>
      <c r="M40" s="1"/>
      <c r="N40" s="5">
        <f t="shared" si="19"/>
        <v>-1</v>
      </c>
      <c r="O40" s="13"/>
      <c r="P40" s="1">
        <f>SUM(OSRRefP22_4x_0)</f>
        <v>81.56</v>
      </c>
      <c r="Q40" s="1"/>
      <c r="R40" s="5">
        <f t="shared" si="20"/>
        <v>0</v>
      </c>
      <c r="S40" s="1"/>
      <c r="T40" s="1">
        <f>SUM(OSRRefT22_4x_0)</f>
        <v>28519.22</v>
      </c>
      <c r="U40" s="1"/>
      <c r="V40" s="5">
        <f t="shared" si="21"/>
        <v>0</v>
      </c>
      <c r="W40" s="1"/>
      <c r="X40" s="1">
        <f t="shared" si="22"/>
        <v>-28437.66</v>
      </c>
      <c r="Y40" s="1"/>
      <c r="Z40" s="5">
        <f t="shared" si="23"/>
        <v>-0.99714017424038937</v>
      </c>
    </row>
    <row r="41" spans="1:26" s="24" customFormat="1" hidden="1" outlineLevel="2" x14ac:dyDescent="0.25">
      <c r="A41" s="26"/>
      <c r="B41" s="11" t="str">
        <f>CONCATENATE("          ", "6277", " - ", "EMPLOYEE APPRECIATION")</f>
        <v xml:space="preserve">          6277 - EMPLOYEE APPRECIATION</v>
      </c>
      <c r="C41" s="11"/>
      <c r="D41" s="6"/>
      <c r="E41" s="2"/>
      <c r="F41" s="7">
        <f t="shared" si="16"/>
        <v>0</v>
      </c>
      <c r="G41" s="2"/>
      <c r="H41" s="6">
        <v>1501.18</v>
      </c>
      <c r="I41" s="2"/>
      <c r="J41" s="7">
        <f t="shared" si="17"/>
        <v>0</v>
      </c>
      <c r="K41" s="2"/>
      <c r="L41" s="6">
        <f t="shared" si="18"/>
        <v>-1501.18</v>
      </c>
      <c r="M41" s="2"/>
      <c r="N41" s="7">
        <f t="shared" si="19"/>
        <v>-1</v>
      </c>
      <c r="O41" s="11"/>
      <c r="P41" s="6">
        <v>81.56</v>
      </c>
      <c r="Q41" s="2"/>
      <c r="R41" s="7">
        <f t="shared" si="20"/>
        <v>0</v>
      </c>
      <c r="S41" s="2"/>
      <c r="T41" s="6">
        <v>28519.22</v>
      </c>
      <c r="U41" s="2"/>
      <c r="V41" s="7">
        <f t="shared" si="21"/>
        <v>0</v>
      </c>
      <c r="W41" s="2"/>
      <c r="X41" s="6">
        <f t="shared" si="22"/>
        <v>-28437.66</v>
      </c>
      <c r="Y41" s="2"/>
      <c r="Z41" s="7">
        <f t="shared" si="23"/>
        <v>-0.99714017424038937</v>
      </c>
    </row>
    <row r="42" spans="1:26" s="25" customFormat="1" outlineLevel="1" collapsed="1" x14ac:dyDescent="0.25">
      <c r="A42" s="27"/>
      <c r="B42" s="13" t="str">
        <f>CONCATENATE("     ","Equipment Rental                                  ")</f>
        <v xml:space="preserve">     Equipment Rental                                  </v>
      </c>
      <c r="C42" s="13"/>
      <c r="D42" s="1">
        <f>SUM(OSRRefD22_5x_0)</f>
        <v>0</v>
      </c>
      <c r="E42" s="1"/>
      <c r="F42" s="5">
        <f t="shared" si="16"/>
        <v>0</v>
      </c>
      <c r="G42" s="1"/>
      <c r="H42" s="1">
        <f>SUM(OSRRefH22_5x_0)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3"/>
      <c r="P42" s="1">
        <f>SUM(OSRRefP22_5x_0)</f>
        <v>0</v>
      </c>
      <c r="Q42" s="1"/>
      <c r="R42" s="5">
        <f t="shared" si="20"/>
        <v>0</v>
      </c>
      <c r="S42" s="1"/>
      <c r="T42" s="1">
        <f>SUM(OSRRefT22_5x_0)</f>
        <v>273.77999999999997</v>
      </c>
      <c r="U42" s="1"/>
      <c r="V42" s="5">
        <f t="shared" si="21"/>
        <v>0</v>
      </c>
      <c r="W42" s="1"/>
      <c r="X42" s="1">
        <f t="shared" si="22"/>
        <v>-273.77999999999997</v>
      </c>
      <c r="Y42" s="1"/>
      <c r="Z42" s="5">
        <f t="shared" si="23"/>
        <v>-1</v>
      </c>
    </row>
    <row r="43" spans="1:26" s="24" customFormat="1" hidden="1" outlineLevel="2" x14ac:dyDescent="0.25">
      <c r="A43" s="26"/>
      <c r="B43" s="11" t="str">
        <f>CONCATENATE("          ", "6351", " - ", "EQUIPMENT RENTAL")</f>
        <v xml:space="preserve">          6351 - EQUIPMENT RENTAL</v>
      </c>
      <c r="C43" s="11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1"/>
      <c r="P43" s="6"/>
      <c r="Q43" s="2"/>
      <c r="R43" s="7">
        <f t="shared" si="20"/>
        <v>0</v>
      </c>
      <c r="S43" s="2"/>
      <c r="T43" s="6">
        <v>273.77999999999997</v>
      </c>
      <c r="U43" s="2"/>
      <c r="V43" s="7">
        <f t="shared" si="21"/>
        <v>0</v>
      </c>
      <c r="W43" s="2"/>
      <c r="X43" s="6">
        <f t="shared" si="22"/>
        <v>-273.77999999999997</v>
      </c>
      <c r="Y43" s="2"/>
      <c r="Z43" s="7">
        <f t="shared" si="23"/>
        <v>-1</v>
      </c>
    </row>
    <row r="44" spans="1:26" s="25" customFormat="1" outlineLevel="1" collapsed="1" x14ac:dyDescent="0.25">
      <c r="A44" s="27"/>
      <c r="B44" s="13" t="str">
        <f>CONCATENATE("     ","Freight out/Postage                               ")</f>
        <v xml:space="preserve">     Freight out/Postage                               </v>
      </c>
      <c r="C44" s="13"/>
      <c r="D44" s="1">
        <f>SUM(OSRRefD22_6x_0)</f>
        <v>0</v>
      </c>
      <c r="E44" s="1"/>
      <c r="F44" s="5">
        <f t="shared" si="16"/>
        <v>0</v>
      </c>
      <c r="G44" s="1"/>
      <c r="H44" s="1">
        <f>SUM(OSRRefH22_6x_0)</f>
        <v>99.8</v>
      </c>
      <c r="I44" s="1"/>
      <c r="J44" s="5">
        <f t="shared" si="17"/>
        <v>0</v>
      </c>
      <c r="K44" s="1"/>
      <c r="L44" s="1">
        <f t="shared" si="18"/>
        <v>-99.8</v>
      </c>
      <c r="M44" s="1"/>
      <c r="N44" s="5">
        <f t="shared" si="19"/>
        <v>-1</v>
      </c>
      <c r="O44" s="13"/>
      <c r="P44" s="1">
        <f>SUM(OSRRefP22_6x_0)</f>
        <v>106.55</v>
      </c>
      <c r="Q44" s="1"/>
      <c r="R44" s="5">
        <f t="shared" si="20"/>
        <v>0</v>
      </c>
      <c r="S44" s="1"/>
      <c r="T44" s="1">
        <f>SUM(OSRRefT22_6x_0)</f>
        <v>956.6</v>
      </c>
      <c r="U44" s="1"/>
      <c r="V44" s="5">
        <f t="shared" si="21"/>
        <v>0</v>
      </c>
      <c r="W44" s="1"/>
      <c r="X44" s="1">
        <f t="shared" si="22"/>
        <v>-850.05000000000007</v>
      </c>
      <c r="Y44" s="1"/>
      <c r="Z44" s="5">
        <f t="shared" si="23"/>
        <v>-0.88861593142379269</v>
      </c>
    </row>
    <row r="45" spans="1:26" s="24" customFormat="1" hidden="1" outlineLevel="2" x14ac:dyDescent="0.25">
      <c r="A45" s="26"/>
      <c r="B45" s="11" t="str">
        <f>CONCATENATE("          ", "6307", " - ", "POSTAGE")</f>
        <v xml:space="preserve">          6307 - POSTAGE</v>
      </c>
      <c r="C45" s="11"/>
      <c r="D45" s="6"/>
      <c r="E45" s="2"/>
      <c r="F45" s="7">
        <f t="shared" si="16"/>
        <v>0</v>
      </c>
      <c r="G45" s="2"/>
      <c r="H45" s="6">
        <v>99.8</v>
      </c>
      <c r="I45" s="2"/>
      <c r="J45" s="7">
        <f t="shared" si="17"/>
        <v>0</v>
      </c>
      <c r="K45" s="2"/>
      <c r="L45" s="6">
        <f t="shared" si="18"/>
        <v>-99.8</v>
      </c>
      <c r="M45" s="2"/>
      <c r="N45" s="7">
        <f t="shared" si="19"/>
        <v>-1</v>
      </c>
      <c r="O45" s="11"/>
      <c r="P45" s="6">
        <v>106.55</v>
      </c>
      <c r="Q45" s="2"/>
      <c r="R45" s="7">
        <f t="shared" si="20"/>
        <v>0</v>
      </c>
      <c r="S45" s="2"/>
      <c r="T45" s="6">
        <v>956.6</v>
      </c>
      <c r="U45" s="2"/>
      <c r="V45" s="7">
        <f t="shared" si="21"/>
        <v>0</v>
      </c>
      <c r="W45" s="2"/>
      <c r="X45" s="6">
        <f t="shared" si="22"/>
        <v>-850.05000000000007</v>
      </c>
      <c r="Y45" s="2"/>
      <c r="Z45" s="7">
        <f t="shared" si="23"/>
        <v>-0.88861593142379269</v>
      </c>
    </row>
    <row r="46" spans="1:26" s="25" customFormat="1" outlineLevel="1" collapsed="1" x14ac:dyDescent="0.25">
      <c r="A46" s="27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SUM(OSRRefD22_7x_0)</f>
        <v>-489.4</v>
      </c>
      <c r="E46" s="1"/>
      <c r="F46" s="5">
        <f t="shared" si="16"/>
        <v>0</v>
      </c>
      <c r="G46" s="1"/>
      <c r="H46" s="1">
        <f>SUM(OSRRefH22_7x_0)</f>
        <v>0</v>
      </c>
      <c r="I46" s="1"/>
      <c r="J46" s="5">
        <f t="shared" si="17"/>
        <v>0</v>
      </c>
      <c r="K46" s="1"/>
      <c r="L46" s="1">
        <f t="shared" si="18"/>
        <v>-489.4</v>
      </c>
      <c r="M46" s="1"/>
      <c r="N46" s="5">
        <f t="shared" si="19"/>
        <v>0</v>
      </c>
      <c r="O46" s="13"/>
      <c r="P46" s="1">
        <f>SUM(OSRRefP22_7x_0)</f>
        <v>177.14</v>
      </c>
      <c r="Q46" s="1"/>
      <c r="R46" s="5">
        <f t="shared" si="20"/>
        <v>0</v>
      </c>
      <c r="S46" s="1"/>
      <c r="T46" s="1">
        <f>SUM(OSRRefT22_7x_0)</f>
        <v>700</v>
      </c>
      <c r="U46" s="1"/>
      <c r="V46" s="5">
        <f t="shared" si="21"/>
        <v>0</v>
      </c>
      <c r="W46" s="1"/>
      <c r="X46" s="1">
        <f t="shared" si="22"/>
        <v>-522.86</v>
      </c>
      <c r="Y46" s="1"/>
      <c r="Z46" s="5">
        <f t="shared" si="23"/>
        <v>-0.74694285714285713</v>
      </c>
    </row>
    <row r="47" spans="1:26" s="24" customFormat="1" hidden="1" outlineLevel="2" x14ac:dyDescent="0.25">
      <c r="A47" s="26"/>
      <c r="B47" s="11" t="str">
        <f>CONCATENATE("          ", "6279", " - ", "GENERAL EXPENSE")</f>
        <v xml:space="preserve">          6279 - GENERAL EXPENSE</v>
      </c>
      <c r="C47" s="11"/>
      <c r="D47" s="6">
        <v>-489.4</v>
      </c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-489.4</v>
      </c>
      <c r="M47" s="2"/>
      <c r="N47" s="7">
        <f t="shared" si="19"/>
        <v>0</v>
      </c>
      <c r="O47" s="11"/>
      <c r="P47" s="6">
        <v>177.14</v>
      </c>
      <c r="Q47" s="2"/>
      <c r="R47" s="7">
        <f t="shared" si="20"/>
        <v>0</v>
      </c>
      <c r="S47" s="2"/>
      <c r="T47" s="6">
        <v>700</v>
      </c>
      <c r="U47" s="2"/>
      <c r="V47" s="7">
        <f t="shared" si="21"/>
        <v>0</v>
      </c>
      <c r="W47" s="2"/>
      <c r="X47" s="6">
        <f t="shared" si="22"/>
        <v>-522.86</v>
      </c>
      <c r="Y47" s="2"/>
      <c r="Z47" s="7">
        <f t="shared" si="23"/>
        <v>-0.74694285714285713</v>
      </c>
    </row>
    <row r="48" spans="1:26" s="25" customFormat="1" outlineLevel="1" collapsed="1" x14ac:dyDescent="0.25">
      <c r="A48" s="27"/>
      <c r="B48" s="13" t="str">
        <f>CONCATENATE("     ","Insurance                                         ")</f>
        <v xml:space="preserve">     Insurance                                         </v>
      </c>
      <c r="C48" s="13"/>
      <c r="D48" s="1">
        <f>SUM(OSRRefD22_8x_0)</f>
        <v>65.47</v>
      </c>
      <c r="E48" s="1"/>
      <c r="F48" s="5">
        <f t="shared" si="16"/>
        <v>0</v>
      </c>
      <c r="G48" s="1"/>
      <c r="H48" s="1">
        <f>SUM(OSRRefH22_8x_0)</f>
        <v>65.47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3"/>
      <c r="P48" s="1">
        <f>SUM(OSRRefP22_8x_0)</f>
        <v>523.76</v>
      </c>
      <c r="Q48" s="1"/>
      <c r="R48" s="5">
        <f t="shared" si="20"/>
        <v>0</v>
      </c>
      <c r="S48" s="1"/>
      <c r="T48" s="1">
        <f>SUM(OSRRefT22_8x_0)</f>
        <v>523.76</v>
      </c>
      <c r="U48" s="1"/>
      <c r="V48" s="5">
        <f t="shared" si="21"/>
        <v>0</v>
      </c>
      <c r="W48" s="1"/>
      <c r="X48" s="1">
        <f t="shared" si="22"/>
        <v>0</v>
      </c>
      <c r="Y48" s="1"/>
      <c r="Z48" s="5">
        <f t="shared" si="23"/>
        <v>0</v>
      </c>
    </row>
    <row r="49" spans="1:26" s="24" customFormat="1" hidden="1" outlineLevel="2" x14ac:dyDescent="0.25">
      <c r="A49" s="26"/>
      <c r="B49" s="11" t="str">
        <f>CONCATENATE("          ", "6314", " - ", "LIABILITY INSURANCE")</f>
        <v xml:space="preserve">          6314 - LIABILITY INSURANCE</v>
      </c>
      <c r="C49" s="11"/>
      <c r="D49" s="6">
        <v>65.47</v>
      </c>
      <c r="E49" s="2"/>
      <c r="F49" s="7">
        <f t="shared" si="16"/>
        <v>0</v>
      </c>
      <c r="G49" s="2"/>
      <c r="H49" s="6">
        <v>65.47</v>
      </c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1"/>
      <c r="P49" s="6">
        <v>523.76</v>
      </c>
      <c r="Q49" s="2"/>
      <c r="R49" s="7">
        <f t="shared" si="20"/>
        <v>0</v>
      </c>
      <c r="S49" s="2"/>
      <c r="T49" s="6">
        <v>523.76</v>
      </c>
      <c r="U49" s="2"/>
      <c r="V49" s="7">
        <f t="shared" si="21"/>
        <v>0</v>
      </c>
      <c r="W49" s="2"/>
      <c r="X49" s="6">
        <f t="shared" si="22"/>
        <v>0</v>
      </c>
      <c r="Y49" s="2"/>
      <c r="Z49" s="7">
        <f t="shared" si="23"/>
        <v>0</v>
      </c>
    </row>
    <row r="50" spans="1:26" s="25" customFormat="1" outlineLevel="1" collapsed="1" x14ac:dyDescent="0.25">
      <c r="A50" s="27"/>
      <c r="B50" s="13" t="str">
        <f>CONCATENATE("     ","Professional Services                             ")</f>
        <v xml:space="preserve">     Professional Services                             </v>
      </c>
      <c r="C50" s="13"/>
      <c r="D50" s="1">
        <f>SUM(OSRRefD22_9x_0)</f>
        <v>0</v>
      </c>
      <c r="E50" s="1"/>
      <c r="F50" s="5">
        <f t="shared" si="16"/>
        <v>0</v>
      </c>
      <c r="G50" s="1"/>
      <c r="H50" s="1">
        <f>SUM(OSRRefH22_9x_0)</f>
        <v>2077.5300000000002</v>
      </c>
      <c r="I50" s="1"/>
      <c r="J50" s="5">
        <f t="shared" si="17"/>
        <v>0</v>
      </c>
      <c r="K50" s="1"/>
      <c r="L50" s="1">
        <f t="shared" si="18"/>
        <v>-2077.5300000000002</v>
      </c>
      <c r="M50" s="1"/>
      <c r="N50" s="5">
        <f t="shared" si="19"/>
        <v>-1</v>
      </c>
      <c r="O50" s="13"/>
      <c r="P50" s="1">
        <f>SUM(OSRRefP22_9x_0)</f>
        <v>8819.880000000001</v>
      </c>
      <c r="Q50" s="1"/>
      <c r="R50" s="5">
        <f t="shared" si="20"/>
        <v>0</v>
      </c>
      <c r="S50" s="1"/>
      <c r="T50" s="1">
        <f>SUM(OSRRefT22_9x_0)</f>
        <v>57433.520000000004</v>
      </c>
      <c r="U50" s="1"/>
      <c r="V50" s="5">
        <f t="shared" si="21"/>
        <v>0</v>
      </c>
      <c r="W50" s="1"/>
      <c r="X50" s="1">
        <f t="shared" si="22"/>
        <v>-48613.64</v>
      </c>
      <c r="Y50" s="1"/>
      <c r="Z50" s="5">
        <f t="shared" si="23"/>
        <v>-0.84643323271845428</v>
      </c>
    </row>
    <row r="51" spans="1:26" s="24" customFormat="1" hidden="1" outlineLevel="2" x14ac:dyDescent="0.25">
      <c r="A51" s="26"/>
      <c r="B51" s="11" t="str">
        <f>CONCATENATE("          ", "6334", " - ", "LEGAL COUNCIL EXPENSE")</f>
        <v xml:space="preserve">          6334 - LEGAL COUNCIL EXPENSE</v>
      </c>
      <c r="C51" s="11"/>
      <c r="D51" s="6"/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0</v>
      </c>
      <c r="M51" s="2"/>
      <c r="N51" s="7">
        <f t="shared" si="19"/>
        <v>0</v>
      </c>
      <c r="O51" s="11"/>
      <c r="P51" s="6">
        <v>2450</v>
      </c>
      <c r="Q51" s="2"/>
      <c r="R51" s="7">
        <f t="shared" si="20"/>
        <v>0</v>
      </c>
      <c r="S51" s="2"/>
      <c r="T51" s="6">
        <v>38010</v>
      </c>
      <c r="U51" s="2"/>
      <c r="V51" s="7">
        <f t="shared" si="21"/>
        <v>0</v>
      </c>
      <c r="W51" s="2"/>
      <c r="X51" s="6">
        <f t="shared" si="22"/>
        <v>-35560</v>
      </c>
      <c r="Y51" s="2"/>
      <c r="Z51" s="7">
        <f t="shared" si="23"/>
        <v>-0.9355432780847146</v>
      </c>
    </row>
    <row r="52" spans="1:26" s="24" customFormat="1" hidden="1" outlineLevel="2" x14ac:dyDescent="0.25">
      <c r="A52" s="26"/>
      <c r="B52" s="11" t="str">
        <f>CONCATENATE("          ", "6336", " - ", "PROFESSIONAL SERVICES")</f>
        <v xml:space="preserve">          6336 - PROFESSIONAL SERVICES</v>
      </c>
      <c r="C52" s="11"/>
      <c r="D52" s="6"/>
      <c r="E52" s="2"/>
      <c r="F52" s="7">
        <f t="shared" si="16"/>
        <v>0</v>
      </c>
      <c r="G52" s="2"/>
      <c r="H52" s="6">
        <v>2077.5300000000002</v>
      </c>
      <c r="I52" s="2"/>
      <c r="J52" s="7">
        <f t="shared" si="17"/>
        <v>0</v>
      </c>
      <c r="K52" s="2"/>
      <c r="L52" s="6">
        <f t="shared" si="18"/>
        <v>-2077.5300000000002</v>
      </c>
      <c r="M52" s="2"/>
      <c r="N52" s="7">
        <f t="shared" si="19"/>
        <v>-1</v>
      </c>
      <c r="O52" s="11"/>
      <c r="P52" s="6">
        <v>6369.88</v>
      </c>
      <c r="Q52" s="2"/>
      <c r="R52" s="7">
        <f t="shared" si="20"/>
        <v>0</v>
      </c>
      <c r="S52" s="2"/>
      <c r="T52" s="6">
        <v>19423.52</v>
      </c>
      <c r="U52" s="2"/>
      <c r="V52" s="7">
        <f t="shared" si="21"/>
        <v>0</v>
      </c>
      <c r="W52" s="2"/>
      <c r="X52" s="6">
        <f t="shared" si="22"/>
        <v>-13053.64</v>
      </c>
      <c r="Y52" s="2"/>
      <c r="Z52" s="7">
        <f t="shared" si="23"/>
        <v>-0.67205326326021231</v>
      </c>
    </row>
    <row r="53" spans="1:26" s="25" customFormat="1" outlineLevel="1" collapsed="1" x14ac:dyDescent="0.25">
      <c r="A53" s="27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SUM(OSRRefD22_10x_0)</f>
        <v>10344.780000000001</v>
      </c>
      <c r="E53" s="1"/>
      <c r="F53" s="5">
        <f t="shared" ref="F53:F55" si="24">IF(D$12=0,0,D53/D$12)</f>
        <v>0</v>
      </c>
      <c r="G53" s="1"/>
      <c r="H53" s="1">
        <f>SUM(OSRRefH22_10x_0)</f>
        <v>20367.189999999999</v>
      </c>
      <c r="I53" s="1"/>
      <c r="J53" s="5">
        <f t="shared" ref="J53:J55" si="25">IF(H$12=0,0,H53/H$12)</f>
        <v>0</v>
      </c>
      <c r="K53" s="1"/>
      <c r="L53" s="1">
        <f t="shared" ref="L53:L55" si="26">+D53-H53</f>
        <v>-10022.409999999998</v>
      </c>
      <c r="M53" s="1"/>
      <c r="N53" s="5">
        <f t="shared" ref="N53:N55" si="27">IF(H53=0,0,L53/H53)</f>
        <v>-0.4920860462341638</v>
      </c>
      <c r="O53" s="13"/>
      <c r="P53" s="1">
        <f>SUM(OSRRefP22_10x_0)</f>
        <v>39360.069999999992</v>
      </c>
      <c r="Q53" s="1"/>
      <c r="R53" s="5">
        <f t="shared" ref="R53:R55" si="28">IF(P$12=0,0,P53/P$12)</f>
        <v>0</v>
      </c>
      <c r="S53" s="1"/>
      <c r="T53" s="1">
        <f>SUM(OSRRefT22_10x_0)</f>
        <v>106304.12000000001</v>
      </c>
      <c r="U53" s="1"/>
      <c r="V53" s="5">
        <f t="shared" ref="V53:V55" si="29">IF(T$12=0,0,T53/T$12)</f>
        <v>0</v>
      </c>
      <c r="W53" s="1"/>
      <c r="X53" s="1">
        <f t="shared" ref="X53:X55" si="30">+P53-T53</f>
        <v>-66944.050000000017</v>
      </c>
      <c r="Y53" s="1"/>
      <c r="Z53" s="5">
        <f t="shared" ref="Z53:Z55" si="31">IF(T53=0,0,X53/T53)</f>
        <v>-0.62974087928106659</v>
      </c>
    </row>
    <row r="54" spans="1:26" s="24" customFormat="1" hidden="1" outlineLevel="2" x14ac:dyDescent="0.25">
      <c r="A54" s="26"/>
      <c r="B54" s="11" t="str">
        <f>CONCATENATE("          ", "6371", " - ", "COMPUTER SOFTWARE MAINTENANCE")</f>
        <v xml:space="preserve">          6371 - COMPUTER SOFTWARE MAINTENANCE</v>
      </c>
      <c r="C54" s="11"/>
      <c r="D54" s="6">
        <v>10296.85</v>
      </c>
      <c r="E54" s="2"/>
      <c r="F54" s="7">
        <f t="shared" si="24"/>
        <v>0</v>
      </c>
      <c r="G54" s="2"/>
      <c r="H54" s="6">
        <v>19956.439999999999</v>
      </c>
      <c r="I54" s="2"/>
      <c r="J54" s="7">
        <f t="shared" si="25"/>
        <v>0</v>
      </c>
      <c r="K54" s="2"/>
      <c r="L54" s="6">
        <f t="shared" si="26"/>
        <v>-9659.5899999999983</v>
      </c>
      <c r="M54" s="2"/>
      <c r="N54" s="7">
        <f t="shared" si="27"/>
        <v>-0.48403372545403883</v>
      </c>
      <c r="O54" s="11"/>
      <c r="P54" s="6">
        <v>39254.049999999996</v>
      </c>
      <c r="Q54" s="2"/>
      <c r="R54" s="7">
        <f t="shared" si="28"/>
        <v>0</v>
      </c>
      <c r="S54" s="2"/>
      <c r="T54" s="6">
        <v>105610.45000000001</v>
      </c>
      <c r="U54" s="2"/>
      <c r="V54" s="7">
        <f t="shared" si="29"/>
        <v>0</v>
      </c>
      <c r="W54" s="2"/>
      <c r="X54" s="6">
        <f t="shared" si="30"/>
        <v>-66356.400000000023</v>
      </c>
      <c r="Y54" s="2"/>
      <c r="Z54" s="7">
        <f t="shared" si="31"/>
        <v>-0.62831282321020332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6">
        <v>47.93</v>
      </c>
      <c r="E55" s="2"/>
      <c r="F55" s="7">
        <f t="shared" si="24"/>
        <v>0</v>
      </c>
      <c r="G55" s="2"/>
      <c r="H55" s="6">
        <v>410.75</v>
      </c>
      <c r="I55" s="2"/>
      <c r="J55" s="7">
        <f t="shared" si="25"/>
        <v>0</v>
      </c>
      <c r="K55" s="2"/>
      <c r="L55" s="6">
        <f t="shared" si="26"/>
        <v>-362.82</v>
      </c>
      <c r="M55" s="2"/>
      <c r="N55" s="7">
        <f t="shared" si="27"/>
        <v>-0.88331101643335364</v>
      </c>
      <c r="O55" s="11"/>
      <c r="P55" s="6">
        <v>106.02</v>
      </c>
      <c r="Q55" s="2"/>
      <c r="R55" s="7">
        <f t="shared" si="28"/>
        <v>0</v>
      </c>
      <c r="S55" s="2"/>
      <c r="T55" s="6">
        <v>693.67</v>
      </c>
      <c r="U55" s="2"/>
      <c r="V55" s="7">
        <f t="shared" si="29"/>
        <v>0</v>
      </c>
      <c r="W55" s="2"/>
      <c r="X55" s="6">
        <f t="shared" si="30"/>
        <v>-587.65</v>
      </c>
      <c r="Y55" s="2"/>
      <c r="Z55" s="7">
        <f t="shared" si="31"/>
        <v>-0.84716075367249555</v>
      </c>
    </row>
    <row r="56" spans="1:26" s="25" customFormat="1" outlineLevel="1" collapsed="1" x14ac:dyDescent="0.25">
      <c r="A56" s="27"/>
      <c r="B56" s="13" t="str">
        <f>CONCATENATE("     ","Subscriptions &amp; Dues                              ")</f>
        <v xml:space="preserve">     Subscriptions &amp; Dues                              </v>
      </c>
      <c r="C56" s="13"/>
      <c r="D56" s="1">
        <f>SUM(OSRRefD22_11x_0)</f>
        <v>795</v>
      </c>
      <c r="E56" s="1"/>
      <c r="F56" s="5">
        <f t="shared" ref="F56:F62" si="32">IF(D$12=0,0,D56/D$12)</f>
        <v>0</v>
      </c>
      <c r="G56" s="1"/>
      <c r="H56" s="1">
        <f>SUM(OSRRefH22_11x_0)</f>
        <v>0</v>
      </c>
      <c r="I56" s="1"/>
      <c r="J56" s="5">
        <f t="shared" ref="J56:J62" si="33">IF(H$12=0,0,H56/H$12)</f>
        <v>0</v>
      </c>
      <c r="K56" s="1"/>
      <c r="L56" s="1">
        <f t="shared" ref="L56:L62" si="34">+D56-H56</f>
        <v>795</v>
      </c>
      <c r="M56" s="1"/>
      <c r="N56" s="5">
        <f t="shared" ref="N56:N62" si="35">IF(H56=0,0,L56/H56)</f>
        <v>0</v>
      </c>
      <c r="O56" s="13"/>
      <c r="P56" s="1">
        <f>SUM(OSRRefP22_11x_0)</f>
        <v>1329.99</v>
      </c>
      <c r="Q56" s="1"/>
      <c r="R56" s="5">
        <f t="shared" ref="R56:R62" si="36">IF(P$12=0,0,P56/P$12)</f>
        <v>0</v>
      </c>
      <c r="S56" s="1"/>
      <c r="T56" s="1">
        <f>SUM(OSRRefT22_11x_0)</f>
        <v>587</v>
      </c>
      <c r="U56" s="1"/>
      <c r="V56" s="5">
        <f t="shared" ref="V56:V62" si="37">IF(T$12=0,0,T56/T$12)</f>
        <v>0</v>
      </c>
      <c r="W56" s="1"/>
      <c r="X56" s="1">
        <f t="shared" ref="X56:X62" si="38">+P56-T56</f>
        <v>742.99</v>
      </c>
      <c r="Y56" s="1"/>
      <c r="Z56" s="5">
        <f t="shared" ref="Z56:Z62" si="39">IF(T56=0,0,X56/T56)</f>
        <v>1.265741056218058</v>
      </c>
    </row>
    <row r="57" spans="1:26" s="24" customFormat="1" hidden="1" outlineLevel="2" x14ac:dyDescent="0.25">
      <c r="A57" s="26"/>
      <c r="B57" s="11" t="str">
        <f>CONCATENATE("          ", "6258", " - ", "MEMBERSHIP DUES")</f>
        <v xml:space="preserve">          6258 - MEMBERSHIP DUES</v>
      </c>
      <c r="C57" s="11"/>
      <c r="D57" s="6">
        <v>795</v>
      </c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795</v>
      </c>
      <c r="M57" s="2"/>
      <c r="N57" s="7">
        <f t="shared" si="35"/>
        <v>0</v>
      </c>
      <c r="O57" s="11"/>
      <c r="P57" s="6">
        <v>1329.99</v>
      </c>
      <c r="Q57" s="2"/>
      <c r="R57" s="7">
        <f t="shared" si="36"/>
        <v>0</v>
      </c>
      <c r="S57" s="2"/>
      <c r="T57" s="6">
        <v>587</v>
      </c>
      <c r="U57" s="2"/>
      <c r="V57" s="7">
        <f t="shared" si="37"/>
        <v>0</v>
      </c>
      <c r="W57" s="2"/>
      <c r="X57" s="6">
        <f t="shared" si="38"/>
        <v>742.99</v>
      </c>
      <c r="Y57" s="2"/>
      <c r="Z57" s="7">
        <f t="shared" si="39"/>
        <v>1.265741056218058</v>
      </c>
    </row>
    <row r="58" spans="1:26" s="25" customFormat="1" outlineLevel="1" collapsed="1" x14ac:dyDescent="0.25">
      <c r="A58" s="27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SUM(OSRRefD22_12x_0)</f>
        <v>189.41</v>
      </c>
      <c r="E58" s="1"/>
      <c r="F58" s="5">
        <f t="shared" si="32"/>
        <v>0</v>
      </c>
      <c r="G58" s="1"/>
      <c r="H58" s="1">
        <f>SUM(OSRRefH22_12x_0)</f>
        <v>1038.1199999999999</v>
      </c>
      <c r="I58" s="1"/>
      <c r="J58" s="5">
        <f t="shared" si="33"/>
        <v>0</v>
      </c>
      <c r="K58" s="1"/>
      <c r="L58" s="1">
        <f t="shared" si="34"/>
        <v>-848.70999999999992</v>
      </c>
      <c r="M58" s="1"/>
      <c r="N58" s="5">
        <f t="shared" si="35"/>
        <v>-0.81754517782144642</v>
      </c>
      <c r="O58" s="13"/>
      <c r="P58" s="1">
        <f>SUM(OSRRefP22_12x_0)</f>
        <v>2388.2600000000002</v>
      </c>
      <c r="Q58" s="1"/>
      <c r="R58" s="5">
        <f t="shared" si="36"/>
        <v>0</v>
      </c>
      <c r="S58" s="1"/>
      <c r="T58" s="1">
        <f>SUM(OSRRefT22_12x_0)</f>
        <v>15991.61</v>
      </c>
      <c r="U58" s="1"/>
      <c r="V58" s="5">
        <f t="shared" si="37"/>
        <v>0</v>
      </c>
      <c r="W58" s="1"/>
      <c r="X58" s="1">
        <f t="shared" si="38"/>
        <v>-13603.35</v>
      </c>
      <c r="Y58" s="1"/>
      <c r="Z58" s="5">
        <f t="shared" si="39"/>
        <v>-0.85065543744501027</v>
      </c>
    </row>
    <row r="59" spans="1:26" s="24" customFormat="1" hidden="1" outlineLevel="2" x14ac:dyDescent="0.25">
      <c r="A59" s="26"/>
      <c r="B59" s="11" t="str">
        <f>CONCATENATE("          ", "6235", " - ", "COVID-19 EXPENSES")</f>
        <v xml:space="preserve">          6235 - COVID-19 EXPENSES</v>
      </c>
      <c r="C59" s="11"/>
      <c r="D59" s="6"/>
      <c r="E59" s="2"/>
      <c r="F59" s="7">
        <f t="shared" si="32"/>
        <v>0</v>
      </c>
      <c r="G59" s="2"/>
      <c r="H59" s="6"/>
      <c r="I59" s="2"/>
      <c r="J59" s="7">
        <f t="shared" si="33"/>
        <v>0</v>
      </c>
      <c r="K59" s="2"/>
      <c r="L59" s="6">
        <f t="shared" si="34"/>
        <v>0</v>
      </c>
      <c r="M59" s="2"/>
      <c r="N59" s="7">
        <f t="shared" si="35"/>
        <v>0</v>
      </c>
      <c r="O59" s="11"/>
      <c r="P59" s="6">
        <v>210.58</v>
      </c>
      <c r="Q59" s="2"/>
      <c r="R59" s="7">
        <f t="shared" si="36"/>
        <v>0</v>
      </c>
      <c r="S59" s="2"/>
      <c r="T59" s="6"/>
      <c r="U59" s="2"/>
      <c r="V59" s="7">
        <f t="shared" si="37"/>
        <v>0</v>
      </c>
      <c r="W59" s="2"/>
      <c r="X59" s="6">
        <f t="shared" si="38"/>
        <v>210.58</v>
      </c>
      <c r="Y59" s="2"/>
      <c r="Z59" s="7">
        <f t="shared" si="39"/>
        <v>0</v>
      </c>
    </row>
    <row r="60" spans="1:26" s="24" customFormat="1" hidden="1" outlineLevel="2" x14ac:dyDescent="0.25">
      <c r="A60" s="26"/>
      <c r="B60" s="11" t="str">
        <f>CONCATENATE("          ", "6241", " - ", "OFFICE EXPENSE")</f>
        <v xml:space="preserve">          6241 - OFFICE EXPENSE</v>
      </c>
      <c r="C60" s="11"/>
      <c r="D60" s="6">
        <v>189.41</v>
      </c>
      <c r="E60" s="2"/>
      <c r="F60" s="7">
        <f t="shared" si="32"/>
        <v>0</v>
      </c>
      <c r="G60" s="2"/>
      <c r="H60" s="6">
        <v>831.26</v>
      </c>
      <c r="I60" s="2"/>
      <c r="J60" s="7">
        <f t="shared" si="33"/>
        <v>0</v>
      </c>
      <c r="K60" s="2"/>
      <c r="L60" s="6">
        <f t="shared" si="34"/>
        <v>-641.85</v>
      </c>
      <c r="M60" s="2"/>
      <c r="N60" s="7">
        <f t="shared" si="35"/>
        <v>-0.772141087024517</v>
      </c>
      <c r="O60" s="11"/>
      <c r="P60" s="6">
        <v>1954.97</v>
      </c>
      <c r="Q60" s="2"/>
      <c r="R60" s="7">
        <f t="shared" si="36"/>
        <v>0</v>
      </c>
      <c r="S60" s="2"/>
      <c r="T60" s="6">
        <v>11780.62</v>
      </c>
      <c r="U60" s="2"/>
      <c r="V60" s="7">
        <f t="shared" si="37"/>
        <v>0</v>
      </c>
      <c r="W60" s="2"/>
      <c r="X60" s="6">
        <f t="shared" si="38"/>
        <v>-9825.6500000000015</v>
      </c>
      <c r="Y60" s="2"/>
      <c r="Z60" s="7">
        <f t="shared" si="39"/>
        <v>-0.8340520278219653</v>
      </c>
    </row>
    <row r="61" spans="1:26" s="24" customFormat="1" hidden="1" outlineLevel="2" x14ac:dyDescent="0.25">
      <c r="A61" s="26"/>
      <c r="B61" s="11" t="str">
        <f>CONCATENATE("          ", "6244", " - ", "SAFETY SUPPLY EXPENSE")</f>
        <v xml:space="preserve">          6244 - SAFETY SUPPLY EXPENSE</v>
      </c>
      <c r="C61" s="11"/>
      <c r="D61" s="6"/>
      <c r="E61" s="2"/>
      <c r="F61" s="7">
        <f t="shared" si="32"/>
        <v>0</v>
      </c>
      <c r="G61" s="2"/>
      <c r="H61" s="6">
        <v>175</v>
      </c>
      <c r="I61" s="2"/>
      <c r="J61" s="7">
        <f t="shared" si="33"/>
        <v>0</v>
      </c>
      <c r="K61" s="2"/>
      <c r="L61" s="6">
        <f t="shared" si="34"/>
        <v>-175</v>
      </c>
      <c r="M61" s="2"/>
      <c r="N61" s="7">
        <f t="shared" si="35"/>
        <v>-1</v>
      </c>
      <c r="O61" s="11"/>
      <c r="P61" s="6">
        <v>222.71</v>
      </c>
      <c r="Q61" s="2"/>
      <c r="R61" s="7">
        <f t="shared" si="36"/>
        <v>0</v>
      </c>
      <c r="S61" s="2"/>
      <c r="T61" s="6">
        <v>2007.33</v>
      </c>
      <c r="U61" s="2"/>
      <c r="V61" s="7">
        <f t="shared" si="37"/>
        <v>0</v>
      </c>
      <c r="W61" s="2"/>
      <c r="X61" s="6">
        <f t="shared" si="38"/>
        <v>-1784.62</v>
      </c>
      <c r="Y61" s="2"/>
      <c r="Z61" s="7">
        <f t="shared" si="39"/>
        <v>-0.88905162579147423</v>
      </c>
    </row>
    <row r="62" spans="1:26" s="24" customFormat="1" hidden="1" outlineLevel="2" x14ac:dyDescent="0.25">
      <c r="A62" s="26"/>
      <c r="B62" s="11" t="str">
        <f>CONCATENATE("          ", "6245", " - ", "PRINTING")</f>
        <v xml:space="preserve">          6245 - PRINTING</v>
      </c>
      <c r="C62" s="11"/>
      <c r="D62" s="6"/>
      <c r="E62" s="2"/>
      <c r="F62" s="7">
        <f t="shared" si="32"/>
        <v>0</v>
      </c>
      <c r="G62" s="2"/>
      <c r="H62" s="6">
        <v>31.86</v>
      </c>
      <c r="I62" s="2"/>
      <c r="J62" s="7">
        <f t="shared" si="33"/>
        <v>0</v>
      </c>
      <c r="K62" s="2"/>
      <c r="L62" s="6">
        <f t="shared" si="34"/>
        <v>-31.86</v>
      </c>
      <c r="M62" s="2"/>
      <c r="N62" s="7">
        <f t="shared" si="35"/>
        <v>-1</v>
      </c>
      <c r="O62" s="11"/>
      <c r="P62" s="6"/>
      <c r="Q62" s="2"/>
      <c r="R62" s="7">
        <f t="shared" si="36"/>
        <v>0</v>
      </c>
      <c r="S62" s="2"/>
      <c r="T62" s="6">
        <v>2203.66</v>
      </c>
      <c r="U62" s="2"/>
      <c r="V62" s="7">
        <f t="shared" si="37"/>
        <v>0</v>
      </c>
      <c r="W62" s="2"/>
      <c r="X62" s="6">
        <f t="shared" si="38"/>
        <v>-2203.66</v>
      </c>
      <c r="Y62" s="2"/>
      <c r="Z62" s="7">
        <f t="shared" si="39"/>
        <v>-1</v>
      </c>
    </row>
    <row r="63" spans="1:26" s="25" customFormat="1" outlineLevel="1" collapsed="1" x14ac:dyDescent="0.25">
      <c r="A63" s="27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SUM(OSRRefD22_13x_0)</f>
        <v>270.55</v>
      </c>
      <c r="E63" s="1"/>
      <c r="F63" s="5">
        <f t="shared" ref="F63:F68" si="40">IF(D$12=0,0,D63/D$12)</f>
        <v>0</v>
      </c>
      <c r="G63" s="1"/>
      <c r="H63" s="1">
        <f>SUM(OSRRefH22_13x_0)</f>
        <v>334.75</v>
      </c>
      <c r="I63" s="1"/>
      <c r="J63" s="5">
        <f t="shared" ref="J63:J68" si="41">IF(H$12=0,0,H63/H$12)</f>
        <v>0</v>
      </c>
      <c r="K63" s="1"/>
      <c r="L63" s="1">
        <f t="shared" ref="L63:L68" si="42">+D63-H63</f>
        <v>-64.199999999999989</v>
      </c>
      <c r="M63" s="1"/>
      <c r="N63" s="5">
        <f t="shared" ref="N63:N68" si="43">IF(H63=0,0,L63/H63)</f>
        <v>-0.19178491411501117</v>
      </c>
      <c r="O63" s="13"/>
      <c r="P63" s="1">
        <f>SUM(OSRRefP22_13x_0)</f>
        <v>2528.5500000000002</v>
      </c>
      <c r="Q63" s="1"/>
      <c r="R63" s="5">
        <f t="shared" ref="R63:R68" si="44">IF(P$12=0,0,P63/P$12)</f>
        <v>0</v>
      </c>
      <c r="S63" s="1"/>
      <c r="T63" s="1">
        <f>SUM(OSRRefT22_13x_0)</f>
        <v>2612.9</v>
      </c>
      <c r="U63" s="1"/>
      <c r="V63" s="5">
        <f t="shared" ref="V63:V68" si="45">IF(T$12=0,0,T63/T$12)</f>
        <v>0</v>
      </c>
      <c r="W63" s="1"/>
      <c r="X63" s="1">
        <f t="shared" ref="X63:X68" si="46">+P63-T63</f>
        <v>-84.349999999999909</v>
      </c>
      <c r="Y63" s="1"/>
      <c r="Z63" s="5">
        <f t="shared" ref="Z63:Z68" si="47">IF(T63=0,0,X63/T63)</f>
        <v>-3.2282138619924183E-2</v>
      </c>
    </row>
    <row r="64" spans="1:26" s="24" customFormat="1" hidden="1" outlineLevel="2" x14ac:dyDescent="0.25">
      <c r="A64" s="26"/>
      <c r="B64" s="11" t="str">
        <f>CONCATENATE("          ", "6309", " - ", "TELEPHONE")</f>
        <v xml:space="preserve">          6309 - TELEPHONE</v>
      </c>
      <c r="C64" s="11"/>
      <c r="D64" s="6">
        <v>270.55</v>
      </c>
      <c r="E64" s="2"/>
      <c r="F64" s="7">
        <f t="shared" si="40"/>
        <v>0</v>
      </c>
      <c r="G64" s="2"/>
      <c r="H64" s="6">
        <v>334.75</v>
      </c>
      <c r="I64" s="2"/>
      <c r="J64" s="7">
        <f t="shared" si="41"/>
        <v>0</v>
      </c>
      <c r="K64" s="2"/>
      <c r="L64" s="6">
        <f t="shared" si="42"/>
        <v>-64.199999999999989</v>
      </c>
      <c r="M64" s="2"/>
      <c r="N64" s="7">
        <f t="shared" si="43"/>
        <v>-0.19178491411501117</v>
      </c>
      <c r="O64" s="11"/>
      <c r="P64" s="6">
        <v>2528.5500000000002</v>
      </c>
      <c r="Q64" s="2"/>
      <c r="R64" s="7">
        <f t="shared" si="44"/>
        <v>0</v>
      </c>
      <c r="S64" s="2"/>
      <c r="T64" s="6">
        <v>2612.9</v>
      </c>
      <c r="U64" s="2"/>
      <c r="V64" s="7">
        <f t="shared" si="45"/>
        <v>0</v>
      </c>
      <c r="W64" s="2"/>
      <c r="X64" s="6">
        <f t="shared" si="46"/>
        <v>-84.349999999999909</v>
      </c>
      <c r="Y64" s="2"/>
      <c r="Z64" s="7">
        <f t="shared" si="47"/>
        <v>-3.2282138619924183E-2</v>
      </c>
    </row>
    <row r="65" spans="1:26" s="25" customFormat="1" outlineLevel="1" collapsed="1" x14ac:dyDescent="0.25">
      <c r="A65" s="27"/>
      <c r="B65" s="13" t="str">
        <f>CONCATENATE("     ","Training                                          ")</f>
        <v xml:space="preserve">     Training                                          </v>
      </c>
      <c r="C65" s="13"/>
      <c r="D65" s="1">
        <f>SUM(OSRRefD22_14x_0)</f>
        <v>0</v>
      </c>
      <c r="E65" s="1"/>
      <c r="F65" s="5">
        <f t="shared" si="40"/>
        <v>0</v>
      </c>
      <c r="G65" s="1"/>
      <c r="H65" s="1">
        <f>SUM(OSRRefH22_14x_0)</f>
        <v>248.01</v>
      </c>
      <c r="I65" s="1"/>
      <c r="J65" s="5">
        <f t="shared" si="41"/>
        <v>0</v>
      </c>
      <c r="K65" s="1"/>
      <c r="L65" s="1">
        <f t="shared" si="42"/>
        <v>-248.01</v>
      </c>
      <c r="M65" s="1"/>
      <c r="N65" s="5">
        <f t="shared" si="43"/>
        <v>-1</v>
      </c>
      <c r="O65" s="13"/>
      <c r="P65" s="1">
        <f>SUM(OSRRefP22_14x_0)</f>
        <v>-97</v>
      </c>
      <c r="Q65" s="1"/>
      <c r="R65" s="5">
        <f t="shared" si="44"/>
        <v>0</v>
      </c>
      <c r="S65" s="1"/>
      <c r="T65" s="1">
        <f>SUM(OSRRefT22_14x_0)</f>
        <v>9032.7999999999993</v>
      </c>
      <c r="U65" s="1"/>
      <c r="V65" s="5">
        <f t="shared" si="45"/>
        <v>0</v>
      </c>
      <c r="W65" s="1"/>
      <c r="X65" s="1">
        <f t="shared" si="46"/>
        <v>-9129.7999999999993</v>
      </c>
      <c r="Y65" s="1"/>
      <c r="Z65" s="5">
        <f t="shared" si="47"/>
        <v>-1.0107386413958019</v>
      </c>
    </row>
    <row r="66" spans="1:26" s="24" customFormat="1" hidden="1" outlineLevel="2" x14ac:dyDescent="0.25">
      <c r="A66" s="26"/>
      <c r="B66" s="11" t="str">
        <f>CONCATENATE("          ", "6376", " - ", "TRAINING")</f>
        <v xml:space="preserve">          6376 - TRAINING</v>
      </c>
      <c r="C66" s="11"/>
      <c r="D66" s="6"/>
      <c r="E66" s="2"/>
      <c r="F66" s="7">
        <f t="shared" si="40"/>
        <v>0</v>
      </c>
      <c r="G66" s="2"/>
      <c r="H66" s="6">
        <v>248.01</v>
      </c>
      <c r="I66" s="2"/>
      <c r="J66" s="7">
        <f t="shared" si="41"/>
        <v>0</v>
      </c>
      <c r="K66" s="2"/>
      <c r="L66" s="6">
        <f t="shared" si="42"/>
        <v>-248.01</v>
      </c>
      <c r="M66" s="2"/>
      <c r="N66" s="7">
        <f t="shared" si="43"/>
        <v>-1</v>
      </c>
      <c r="O66" s="11"/>
      <c r="P66" s="6">
        <v>-97</v>
      </c>
      <c r="Q66" s="2"/>
      <c r="R66" s="7">
        <f t="shared" si="44"/>
        <v>0</v>
      </c>
      <c r="S66" s="2"/>
      <c r="T66" s="6">
        <v>9032.7999999999993</v>
      </c>
      <c r="U66" s="2"/>
      <c r="V66" s="7">
        <f t="shared" si="45"/>
        <v>0</v>
      </c>
      <c r="W66" s="2"/>
      <c r="X66" s="6">
        <f t="shared" si="46"/>
        <v>-9129.7999999999993</v>
      </c>
      <c r="Y66" s="2"/>
      <c r="Z66" s="7">
        <f t="shared" si="47"/>
        <v>-1.0107386413958019</v>
      </c>
    </row>
    <row r="67" spans="1:26" s="25" customFormat="1" outlineLevel="1" collapsed="1" x14ac:dyDescent="0.25">
      <c r="A67" s="27"/>
      <c r="B67" s="13" t="str">
        <f>CONCATENATE("     ","Travel                                            ")</f>
        <v xml:space="preserve">     Travel                                            </v>
      </c>
      <c r="C67" s="13"/>
      <c r="D67" s="1">
        <f>SUM(OSRRefD22_15x_0)</f>
        <v>0</v>
      </c>
      <c r="E67" s="1"/>
      <c r="F67" s="5">
        <f t="shared" si="40"/>
        <v>0</v>
      </c>
      <c r="G67" s="1"/>
      <c r="H67" s="1">
        <f>SUM(OSRRefH22_15x_0)</f>
        <v>0</v>
      </c>
      <c r="I67" s="1"/>
      <c r="J67" s="5">
        <f t="shared" si="41"/>
        <v>0</v>
      </c>
      <c r="K67" s="1"/>
      <c r="L67" s="1">
        <f t="shared" si="42"/>
        <v>0</v>
      </c>
      <c r="M67" s="1"/>
      <c r="N67" s="5">
        <f t="shared" si="43"/>
        <v>0</v>
      </c>
      <c r="O67" s="13"/>
      <c r="P67" s="1">
        <f>SUM(OSRRefP22_15x_0)</f>
        <v>720</v>
      </c>
      <c r="Q67" s="1"/>
      <c r="R67" s="5">
        <f t="shared" si="44"/>
        <v>0</v>
      </c>
      <c r="S67" s="1"/>
      <c r="T67" s="1">
        <f>SUM(OSRRefT22_15x_0)</f>
        <v>3487.01</v>
      </c>
      <c r="U67" s="1"/>
      <c r="V67" s="5">
        <f t="shared" si="45"/>
        <v>0</v>
      </c>
      <c r="W67" s="1"/>
      <c r="X67" s="1">
        <f t="shared" si="46"/>
        <v>-2767.01</v>
      </c>
      <c r="Y67" s="1"/>
      <c r="Z67" s="5">
        <f t="shared" si="47"/>
        <v>-0.79351937619909318</v>
      </c>
    </row>
    <row r="68" spans="1:26" s="24" customFormat="1" hidden="1" outlineLevel="2" x14ac:dyDescent="0.25">
      <c r="A68" s="26"/>
      <c r="B68" s="11" t="str">
        <f>CONCATENATE("          ", "6292", " - ", "TRAVEL/CONFERENCE")</f>
        <v xml:space="preserve">          6292 - TRAVEL/CONFERENCE</v>
      </c>
      <c r="C68" s="11"/>
      <c r="D68" s="6"/>
      <c r="E68" s="2"/>
      <c r="F68" s="7">
        <f t="shared" si="40"/>
        <v>0</v>
      </c>
      <c r="G68" s="2"/>
      <c r="H68" s="6"/>
      <c r="I68" s="2"/>
      <c r="J68" s="7">
        <f t="shared" si="41"/>
        <v>0</v>
      </c>
      <c r="K68" s="2"/>
      <c r="L68" s="6">
        <f t="shared" si="42"/>
        <v>0</v>
      </c>
      <c r="M68" s="2"/>
      <c r="N68" s="7">
        <f t="shared" si="43"/>
        <v>0</v>
      </c>
      <c r="O68" s="11"/>
      <c r="P68" s="6">
        <v>720</v>
      </c>
      <c r="Q68" s="2"/>
      <c r="R68" s="7">
        <f t="shared" si="44"/>
        <v>0</v>
      </c>
      <c r="S68" s="2"/>
      <c r="T68" s="6">
        <v>3487.01</v>
      </c>
      <c r="U68" s="2"/>
      <c r="V68" s="7">
        <f t="shared" si="45"/>
        <v>0</v>
      </c>
      <c r="W68" s="2"/>
      <c r="X68" s="6">
        <f t="shared" si="46"/>
        <v>-2767.01</v>
      </c>
      <c r="Y68" s="2"/>
      <c r="Z68" s="7">
        <f t="shared" si="47"/>
        <v>-0.79351937619909318</v>
      </c>
    </row>
    <row r="69" spans="1:26" s="52" customFormat="1" x14ac:dyDescent="0.25">
      <c r="A69" s="37"/>
      <c r="B69" s="37"/>
      <c r="C69" s="37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7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25">
      <c r="A70" s="10"/>
      <c r="B70" s="28" t="s">
        <v>0</v>
      </c>
      <c r="C70" s="10"/>
      <c r="D70" s="4">
        <f>SUM(0)</f>
        <v>0</v>
      </c>
      <c r="E70" s="4"/>
      <c r="F70" s="12">
        <f>IF(D$12=0,0,D70/D$12)</f>
        <v>0</v>
      </c>
      <c r="G70" s="4"/>
      <c r="H70" s="4">
        <f>SUM(0)</f>
        <v>0</v>
      </c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>
        <f>SUM(0)</f>
        <v>0</v>
      </c>
      <c r="Q70" s="4"/>
      <c r="R70" s="12">
        <f>IF(P$12=0,0,P70/P$12)</f>
        <v>0</v>
      </c>
      <c r="S70" s="4"/>
      <c r="T70" s="4">
        <f>SUM(0)</f>
        <v>0</v>
      </c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10"/>
      <c r="B72" s="29" t="s">
        <v>3</v>
      </c>
      <c r="C72" s="29"/>
      <c r="D72" s="22">
        <f>+D16-D18+D70</f>
        <v>-44218.12</v>
      </c>
      <c r="E72" s="14"/>
      <c r="F72" s="20">
        <f>IF(D$12=0,0,D72/D$12)</f>
        <v>0</v>
      </c>
      <c r="G72" s="14"/>
      <c r="H72" s="22">
        <f>+H16-H18+H70</f>
        <v>-69845.759999999995</v>
      </c>
      <c r="I72" s="14"/>
      <c r="J72" s="20">
        <f>IF(H$12=0,0,H72/H$12)</f>
        <v>0</v>
      </c>
      <c r="K72" s="16"/>
      <c r="L72" s="22">
        <f>+D72-H72</f>
        <v>25627.639999999992</v>
      </c>
      <c r="M72" s="16"/>
      <c r="N72" s="20">
        <f>IF(H72=0,0,L72/H72)</f>
        <v>-0.36691761962358194</v>
      </c>
      <c r="O72" s="28"/>
      <c r="P72" s="22">
        <f>+P16-P18+P70</f>
        <v>-367065.24000000005</v>
      </c>
      <c r="Q72" s="14"/>
      <c r="R72" s="20">
        <f>IF(P$12=0,0,P72/P$12)</f>
        <v>0</v>
      </c>
      <c r="S72" s="14"/>
      <c r="T72" s="22">
        <f>+T16-T18+T70</f>
        <v>-543997.05000000005</v>
      </c>
      <c r="U72" s="14"/>
      <c r="V72" s="20">
        <f>IF(T$12=0,0,T72/T$12)</f>
        <v>0</v>
      </c>
      <c r="W72" s="16"/>
      <c r="X72" s="22">
        <f>+P72-T72</f>
        <v>176931.81</v>
      </c>
      <c r="Y72" s="16"/>
      <c r="Z72" s="20">
        <f>IF(T72=0,0,X72/T72)</f>
        <v>-0.32524406152570123</v>
      </c>
    </row>
    <row r="73" spans="1:26" x14ac:dyDescent="0.25">
      <c r="A73" s="9"/>
      <c r="B73" s="10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51"/>
      <c r="B74" s="10" t="s">
        <v>13</v>
      </c>
      <c r="C74" s="10"/>
      <c r="D74" s="4"/>
      <c r="E74" s="4"/>
      <c r="F74" s="12">
        <f>IF(D$12=0,0,D74/D$12)</f>
        <v>0</v>
      </c>
      <c r="G74" s="4"/>
      <c r="H74" s="4"/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/>
      <c r="Q74" s="4"/>
      <c r="R74" s="12">
        <f>IF(P$12=0,0,P74/P$12)</f>
        <v>0</v>
      </c>
      <c r="S74" s="4"/>
      <c r="T74" s="4"/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9" t="s">
        <v>4</v>
      </c>
      <c r="C76" s="29"/>
      <c r="D76" s="35">
        <f>+D72-D74</f>
        <v>-44218.12</v>
      </c>
      <c r="E76" s="14"/>
      <c r="F76" s="36">
        <f>IF(D$12=0,0,D76/D$12)</f>
        <v>0</v>
      </c>
      <c r="G76" s="14"/>
      <c r="H76" s="35">
        <f>+H72-H74</f>
        <v>-69845.759999999995</v>
      </c>
      <c r="I76" s="14"/>
      <c r="J76" s="36">
        <f>IF(H$12=0,0,H76/H$12)</f>
        <v>0</v>
      </c>
      <c r="K76" s="16"/>
      <c r="L76" s="35">
        <f>D76-H76</f>
        <v>25627.639999999992</v>
      </c>
      <c r="M76" s="16"/>
      <c r="N76" s="36">
        <f>IF(H76=0,0,L76/H76)</f>
        <v>-0.36691761962358194</v>
      </c>
      <c r="O76" s="28"/>
      <c r="P76" s="35">
        <f>+P72-P74</f>
        <v>-367065.24000000005</v>
      </c>
      <c r="Q76" s="14"/>
      <c r="R76" s="36">
        <f>IF(P$12=0,0,P76/P$12)</f>
        <v>0</v>
      </c>
      <c r="S76" s="14"/>
      <c r="T76" s="35">
        <f>+T72-T74</f>
        <v>-543997.05000000005</v>
      </c>
      <c r="U76" s="14"/>
      <c r="V76" s="36">
        <f>IF(T$12=0,0,T76/T$12)</f>
        <v>0</v>
      </c>
      <c r="W76" s="16"/>
      <c r="X76" s="35">
        <f>P76-T76</f>
        <v>176931.81</v>
      </c>
      <c r="Y76" s="16"/>
      <c r="Z76" s="36">
        <f>IF(T76=0,0,X76/T76)</f>
        <v>-0.32524406152570123</v>
      </c>
    </row>
    <row r="77" spans="1:26" ht="15.75" thickTop="1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9" t="s">
        <v>5</v>
      </c>
      <c r="C79" s="29"/>
      <c r="D79" s="31">
        <f>SUM(D76:D78)</f>
        <v>-44218.12</v>
      </c>
      <c r="E79" s="14"/>
      <c r="F79" s="33">
        <f>IF(D$12=0,0,D79/D$12)</f>
        <v>0</v>
      </c>
      <c r="G79" s="14"/>
      <c r="H79" s="31">
        <f>SUM(H76:H78)</f>
        <v>-69845.759999999995</v>
      </c>
      <c r="I79" s="14"/>
      <c r="J79" s="33">
        <f>IF(H$12=0,0,H79/H$12)</f>
        <v>0</v>
      </c>
      <c r="K79" s="16"/>
      <c r="L79" s="31">
        <f>+D79-H79</f>
        <v>25627.639999999992</v>
      </c>
      <c r="M79" s="16"/>
      <c r="N79" s="33">
        <f>IF(H79=0,0,L79/H79)</f>
        <v>-0.36691761962358194</v>
      </c>
      <c r="O79" s="28"/>
      <c r="P79" s="31">
        <f>SUM(P76:P78)</f>
        <v>-367065.24000000005</v>
      </c>
      <c r="Q79" s="14"/>
      <c r="R79" s="33">
        <f>IF(P$12=0,0,P79/P$12)</f>
        <v>0</v>
      </c>
      <c r="S79" s="14"/>
      <c r="T79" s="31">
        <f>SUM(T76:T78)</f>
        <v>-543997.05000000005</v>
      </c>
      <c r="U79" s="14"/>
      <c r="V79" s="33">
        <f>IF(T$12=0,0,T79/T$12)</f>
        <v>0</v>
      </c>
      <c r="W79" s="16"/>
      <c r="X79" s="31">
        <f>+P79-T79</f>
        <v>176931.81</v>
      </c>
      <c r="Y79" s="16"/>
      <c r="Z79" s="33">
        <f>IF(T79=0,0,X79/T79)</f>
        <v>-0.32524406152570123</v>
      </c>
    </row>
    <row r="80" spans="1:26" ht="15.75" thickTop="1" x14ac:dyDescent="0.25">
      <c r="A80" s="9"/>
      <c r="C80" s="9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6">
        <v>44267.668063194447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4" t="s">
        <v>313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58"/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","204", " - ", "Information Technology")</f>
        <v>Department 204 - Information Technology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48909.27</v>
      </c>
      <c r="E18" s="21"/>
      <c r="F18" s="32">
        <f t="shared" ref="F18:F29" si="0">IF(D$12=0,0,D18/D$12)</f>
        <v>0</v>
      </c>
      <c r="G18" s="21"/>
      <c r="H18" s="21">
        <f>SUM(OSRRefH22x_0)</f>
        <v>56736.340000000004</v>
      </c>
      <c r="I18" s="21"/>
      <c r="J18" s="32">
        <f t="shared" ref="J18:J29" si="1">IF(H$12=0,0,H18/H$12)</f>
        <v>0</v>
      </c>
      <c r="K18" s="4"/>
      <c r="L18" s="21">
        <f t="shared" ref="L18:L29" si="2">+D18-H18</f>
        <v>-7827.070000000007</v>
      </c>
      <c r="M18" s="4"/>
      <c r="N18" s="32">
        <f t="shared" ref="N18:N29" si="3">IF(H18=0,0,L18/H18)</f>
        <v>-0.13795514479784926</v>
      </c>
      <c r="O18" s="10"/>
      <c r="P18" s="21">
        <f>SUM(OSRRefP22x_0)</f>
        <v>406084.63999999996</v>
      </c>
      <c r="Q18" s="21"/>
      <c r="R18" s="32">
        <f t="shared" ref="R18:R29" si="4">IF(P$12=0,0,P18/P$12)</f>
        <v>0</v>
      </c>
      <c r="S18" s="21"/>
      <c r="T18" s="21">
        <f>SUM(OSRRefT22x_0)</f>
        <v>481561.76999999996</v>
      </c>
      <c r="U18" s="21"/>
      <c r="V18" s="32">
        <f t="shared" ref="V18:V29" si="5">IF(T$12=0,0,T18/T$12)</f>
        <v>0</v>
      </c>
      <c r="W18" s="4"/>
      <c r="X18" s="21">
        <f t="shared" ref="X18:X29" si="6">+P18-T18</f>
        <v>-75477.13</v>
      </c>
      <c r="Y18" s="4"/>
      <c r="Z18" s="32">
        <f t="shared" ref="Z18:Z29" si="7">IF(T18=0,0,X18/T18)</f>
        <v>-0.15673405719062791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10174.23</v>
      </c>
      <c r="E19" s="1"/>
      <c r="F19" s="5">
        <f t="shared" si="0"/>
        <v>0</v>
      </c>
      <c r="G19" s="1"/>
      <c r="H19" s="1">
        <f>SUM(OSRRefH22_0x_0)</f>
        <v>12348.060000000001</v>
      </c>
      <c r="I19" s="1"/>
      <c r="J19" s="5">
        <f t="shared" si="1"/>
        <v>0</v>
      </c>
      <c r="K19" s="1"/>
      <c r="L19" s="1">
        <f t="shared" si="2"/>
        <v>-2173.8300000000017</v>
      </c>
      <c r="M19" s="1"/>
      <c r="N19" s="5">
        <f t="shared" si="3"/>
        <v>-0.17604627771488002</v>
      </c>
      <c r="O19" s="13"/>
      <c r="P19" s="1">
        <f>SUM(OSRRefP22_0x_0)</f>
        <v>98516.28</v>
      </c>
      <c r="Q19" s="1"/>
      <c r="R19" s="5">
        <f t="shared" si="4"/>
        <v>0</v>
      </c>
      <c r="S19" s="1"/>
      <c r="T19" s="1">
        <f>SUM(OSRRefT22_0x_0)</f>
        <v>103928.8</v>
      </c>
      <c r="U19" s="1"/>
      <c r="V19" s="5">
        <f t="shared" si="5"/>
        <v>0</v>
      </c>
      <c r="W19" s="1"/>
      <c r="X19" s="1">
        <f t="shared" si="6"/>
        <v>-5412.5200000000041</v>
      </c>
      <c r="Y19" s="1"/>
      <c r="Z19" s="5">
        <f t="shared" si="7"/>
        <v>-5.2079115702288528E-2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1417.14</v>
      </c>
      <c r="E20" s="2"/>
      <c r="F20" s="7">
        <f t="shared" si="0"/>
        <v>0</v>
      </c>
      <c r="G20" s="2"/>
      <c r="H20" s="6">
        <v>1925.88</v>
      </c>
      <c r="I20" s="2"/>
      <c r="J20" s="7">
        <f t="shared" si="1"/>
        <v>0</v>
      </c>
      <c r="K20" s="2"/>
      <c r="L20" s="6">
        <f t="shared" si="2"/>
        <v>-508.74</v>
      </c>
      <c r="M20" s="2"/>
      <c r="N20" s="7">
        <f t="shared" si="3"/>
        <v>-0.26415976073275593</v>
      </c>
      <c r="O20" s="11"/>
      <c r="P20" s="6">
        <v>14124.85</v>
      </c>
      <c r="Q20" s="2"/>
      <c r="R20" s="7">
        <f t="shared" si="4"/>
        <v>0</v>
      </c>
      <c r="S20" s="2"/>
      <c r="T20" s="6">
        <v>16954.34</v>
      </c>
      <c r="U20" s="2"/>
      <c r="V20" s="7">
        <f t="shared" si="5"/>
        <v>0</v>
      </c>
      <c r="W20" s="2"/>
      <c r="X20" s="6">
        <f t="shared" si="6"/>
        <v>-2829.49</v>
      </c>
      <c r="Y20" s="2"/>
      <c r="Z20" s="7">
        <f t="shared" si="7"/>
        <v>-0.16688883200407681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61.13</v>
      </c>
      <c r="E21" s="2"/>
      <c r="F21" s="7">
        <f t="shared" si="0"/>
        <v>0</v>
      </c>
      <c r="G21" s="2"/>
      <c r="H21" s="6">
        <v>94.78</v>
      </c>
      <c r="I21" s="2"/>
      <c r="J21" s="7">
        <f t="shared" si="1"/>
        <v>0</v>
      </c>
      <c r="K21" s="2"/>
      <c r="L21" s="6">
        <f t="shared" si="2"/>
        <v>-33.65</v>
      </c>
      <c r="M21" s="2"/>
      <c r="N21" s="7">
        <f t="shared" si="3"/>
        <v>-0.35503270732221986</v>
      </c>
      <c r="O21" s="11"/>
      <c r="P21" s="6">
        <v>661.72</v>
      </c>
      <c r="Q21" s="2"/>
      <c r="R21" s="7">
        <f t="shared" si="4"/>
        <v>0</v>
      </c>
      <c r="S21" s="2"/>
      <c r="T21" s="6">
        <v>645.47</v>
      </c>
      <c r="U21" s="2"/>
      <c r="V21" s="7">
        <f t="shared" si="5"/>
        <v>0</v>
      </c>
      <c r="W21" s="2"/>
      <c r="X21" s="6">
        <f t="shared" si="6"/>
        <v>16.25</v>
      </c>
      <c r="Y21" s="2"/>
      <c r="Z21" s="7">
        <f t="shared" si="7"/>
        <v>2.5175453545478489E-2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4844.5200000000004</v>
      </c>
      <c r="E22" s="2"/>
      <c r="F22" s="7">
        <f t="shared" si="0"/>
        <v>0</v>
      </c>
      <c r="G22" s="2"/>
      <c r="H22" s="6">
        <v>5567.87</v>
      </c>
      <c r="I22" s="2"/>
      <c r="J22" s="7">
        <f t="shared" si="1"/>
        <v>0</v>
      </c>
      <c r="K22" s="2"/>
      <c r="L22" s="6">
        <f t="shared" si="2"/>
        <v>-723.34999999999945</v>
      </c>
      <c r="M22" s="2"/>
      <c r="N22" s="7">
        <f t="shared" si="3"/>
        <v>-0.12991503034373997</v>
      </c>
      <c r="O22" s="11"/>
      <c r="P22" s="6">
        <v>43069.420000000006</v>
      </c>
      <c r="Q22" s="2"/>
      <c r="R22" s="7">
        <f t="shared" si="4"/>
        <v>0</v>
      </c>
      <c r="S22" s="2"/>
      <c r="T22" s="6">
        <v>42111.519999999997</v>
      </c>
      <c r="U22" s="2"/>
      <c r="V22" s="7">
        <f t="shared" si="5"/>
        <v>0</v>
      </c>
      <c r="W22" s="2"/>
      <c r="X22" s="6">
        <f t="shared" si="6"/>
        <v>957.90000000000873</v>
      </c>
      <c r="Y22" s="2"/>
      <c r="Z22" s="7">
        <f t="shared" si="7"/>
        <v>2.2746744833717917E-2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48.16</v>
      </c>
      <c r="E23" s="2"/>
      <c r="F23" s="7">
        <f t="shared" si="0"/>
        <v>0</v>
      </c>
      <c r="G23" s="2"/>
      <c r="H23" s="6">
        <v>72.48</v>
      </c>
      <c r="I23" s="2"/>
      <c r="J23" s="7">
        <f t="shared" si="1"/>
        <v>0</v>
      </c>
      <c r="K23" s="2"/>
      <c r="L23" s="6">
        <f t="shared" si="2"/>
        <v>-24.320000000000007</v>
      </c>
      <c r="M23" s="2"/>
      <c r="N23" s="7">
        <f t="shared" si="3"/>
        <v>-0.33554083885209723</v>
      </c>
      <c r="O23" s="11"/>
      <c r="P23" s="6">
        <v>482.18</v>
      </c>
      <c r="Q23" s="2"/>
      <c r="R23" s="7">
        <f t="shared" si="4"/>
        <v>0</v>
      </c>
      <c r="S23" s="2"/>
      <c r="T23" s="6">
        <v>619.48</v>
      </c>
      <c r="U23" s="2"/>
      <c r="V23" s="7">
        <f t="shared" si="5"/>
        <v>0</v>
      </c>
      <c r="W23" s="2"/>
      <c r="X23" s="6">
        <f t="shared" si="6"/>
        <v>-137.30000000000001</v>
      </c>
      <c r="Y23" s="2"/>
      <c r="Z23" s="7">
        <f t="shared" si="7"/>
        <v>-0.22163750242138569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1861.21</v>
      </c>
      <c r="E24" s="2"/>
      <c r="F24" s="7">
        <f t="shared" si="0"/>
        <v>0</v>
      </c>
      <c r="G24" s="2"/>
      <c r="H24" s="6">
        <v>1382.95</v>
      </c>
      <c r="I24" s="2"/>
      <c r="J24" s="7">
        <f t="shared" si="1"/>
        <v>0</v>
      </c>
      <c r="K24" s="2"/>
      <c r="L24" s="6">
        <f t="shared" si="2"/>
        <v>478.26</v>
      </c>
      <c r="M24" s="2"/>
      <c r="N24" s="7">
        <f t="shared" si="3"/>
        <v>0.34582595176976749</v>
      </c>
      <c r="O24" s="11"/>
      <c r="P24" s="6">
        <v>18206.11</v>
      </c>
      <c r="Q24" s="2"/>
      <c r="R24" s="7">
        <f t="shared" si="4"/>
        <v>0</v>
      </c>
      <c r="S24" s="2"/>
      <c r="T24" s="6">
        <v>13188.53</v>
      </c>
      <c r="U24" s="2"/>
      <c r="V24" s="7">
        <f t="shared" si="5"/>
        <v>0</v>
      </c>
      <c r="W24" s="2"/>
      <c r="X24" s="6">
        <f t="shared" si="6"/>
        <v>5017.58</v>
      </c>
      <c r="Y24" s="2"/>
      <c r="Z24" s="7">
        <f t="shared" si="7"/>
        <v>0.38045028520995133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134</v>
      </c>
      <c r="U25" s="2"/>
      <c r="V25" s="7">
        <f t="shared" si="5"/>
        <v>0</v>
      </c>
      <c r="W25" s="2"/>
      <c r="X25" s="6">
        <f t="shared" si="6"/>
        <v>-134</v>
      </c>
      <c r="Y25" s="2"/>
      <c r="Z25" s="7">
        <f t="shared" si="7"/>
        <v>-1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6"/>
      <c r="E26" s="2"/>
      <c r="F26" s="7">
        <f t="shared" si="0"/>
        <v>0</v>
      </c>
      <c r="G26" s="2"/>
      <c r="H26" s="6">
        <v>194.37</v>
      </c>
      <c r="I26" s="2"/>
      <c r="J26" s="7">
        <f t="shared" si="1"/>
        <v>0</v>
      </c>
      <c r="K26" s="2"/>
      <c r="L26" s="6">
        <f t="shared" si="2"/>
        <v>-194.37</v>
      </c>
      <c r="M26" s="2"/>
      <c r="N26" s="7">
        <f t="shared" si="3"/>
        <v>-1</v>
      </c>
      <c r="O26" s="11"/>
      <c r="P26" s="6">
        <v>912.28</v>
      </c>
      <c r="Q26" s="2"/>
      <c r="R26" s="7">
        <f t="shared" si="4"/>
        <v>0</v>
      </c>
      <c r="S26" s="2"/>
      <c r="T26" s="6">
        <v>3324.37</v>
      </c>
      <c r="U26" s="2"/>
      <c r="V26" s="7">
        <f t="shared" si="5"/>
        <v>0</v>
      </c>
      <c r="W26" s="2"/>
      <c r="X26" s="6">
        <f t="shared" si="6"/>
        <v>-2412.09</v>
      </c>
      <c r="Y26" s="2"/>
      <c r="Z26" s="7">
        <f t="shared" si="7"/>
        <v>-0.72557807945565633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6">
        <v>1038.9100000000001</v>
      </c>
      <c r="E27" s="2"/>
      <c r="F27" s="7">
        <f t="shared" si="0"/>
        <v>0</v>
      </c>
      <c r="G27" s="2"/>
      <c r="H27" s="6">
        <v>1455.62</v>
      </c>
      <c r="I27" s="2"/>
      <c r="J27" s="7">
        <f t="shared" si="1"/>
        <v>0</v>
      </c>
      <c r="K27" s="2"/>
      <c r="L27" s="6">
        <f t="shared" si="2"/>
        <v>-416.70999999999981</v>
      </c>
      <c r="M27" s="2"/>
      <c r="N27" s="7">
        <f t="shared" si="3"/>
        <v>-0.28627663813357873</v>
      </c>
      <c r="O27" s="11"/>
      <c r="P27" s="6">
        <v>11726.46</v>
      </c>
      <c r="Q27" s="2"/>
      <c r="R27" s="7">
        <f t="shared" si="4"/>
        <v>0</v>
      </c>
      <c r="S27" s="2"/>
      <c r="T27" s="6">
        <v>13064.7</v>
      </c>
      <c r="U27" s="2"/>
      <c r="V27" s="7">
        <f t="shared" si="5"/>
        <v>0</v>
      </c>
      <c r="W27" s="2"/>
      <c r="X27" s="6">
        <f t="shared" si="6"/>
        <v>-1338.2400000000016</v>
      </c>
      <c r="Y27" s="2"/>
      <c r="Z27" s="7">
        <f t="shared" si="7"/>
        <v>-0.102431743553239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6">
        <v>844.06</v>
      </c>
      <c r="E28" s="2"/>
      <c r="F28" s="7">
        <f t="shared" si="0"/>
        <v>0</v>
      </c>
      <c r="G28" s="2"/>
      <c r="H28" s="6">
        <v>976.26</v>
      </c>
      <c r="I28" s="2"/>
      <c r="J28" s="7">
        <f t="shared" si="1"/>
        <v>0</v>
      </c>
      <c r="K28" s="2"/>
      <c r="L28" s="6">
        <f t="shared" si="2"/>
        <v>-132.20000000000005</v>
      </c>
      <c r="M28" s="2"/>
      <c r="N28" s="7">
        <f t="shared" si="3"/>
        <v>-0.13541474607174322</v>
      </c>
      <c r="O28" s="11"/>
      <c r="P28" s="6">
        <v>7949.41</v>
      </c>
      <c r="Q28" s="2"/>
      <c r="R28" s="7">
        <f t="shared" si="4"/>
        <v>0</v>
      </c>
      <c r="S28" s="2"/>
      <c r="T28" s="6">
        <v>8749.2800000000007</v>
      </c>
      <c r="U28" s="2"/>
      <c r="V28" s="7">
        <f t="shared" si="5"/>
        <v>0</v>
      </c>
      <c r="W28" s="2"/>
      <c r="X28" s="6">
        <f t="shared" si="6"/>
        <v>-799.8700000000008</v>
      </c>
      <c r="Y28" s="2"/>
      <c r="Z28" s="7">
        <f t="shared" si="7"/>
        <v>-9.1421236947497472E-2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6">
        <v>59.1</v>
      </c>
      <c r="E29" s="2"/>
      <c r="F29" s="7">
        <f t="shared" si="0"/>
        <v>0</v>
      </c>
      <c r="G29" s="2"/>
      <c r="H29" s="6">
        <v>677.85</v>
      </c>
      <c r="I29" s="2"/>
      <c r="J29" s="7">
        <f t="shared" si="1"/>
        <v>0</v>
      </c>
      <c r="K29" s="2"/>
      <c r="L29" s="6">
        <f t="shared" si="2"/>
        <v>-618.75</v>
      </c>
      <c r="M29" s="2"/>
      <c r="N29" s="7">
        <f t="shared" si="3"/>
        <v>-0.91281256915246733</v>
      </c>
      <c r="O29" s="11"/>
      <c r="P29" s="6">
        <v>1383.85</v>
      </c>
      <c r="Q29" s="2"/>
      <c r="R29" s="7">
        <f t="shared" si="4"/>
        <v>0</v>
      </c>
      <c r="S29" s="2"/>
      <c r="T29" s="6">
        <v>5137.1099999999997</v>
      </c>
      <c r="U29" s="2"/>
      <c r="V29" s="7">
        <f t="shared" si="5"/>
        <v>0</v>
      </c>
      <c r="W29" s="2"/>
      <c r="X29" s="6">
        <f t="shared" si="6"/>
        <v>-3753.2599999999998</v>
      </c>
      <c r="Y29" s="2"/>
      <c r="Z29" s="7">
        <f t="shared" si="7"/>
        <v>-0.7306170200754899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17527.439999999999</v>
      </c>
      <c r="E30" s="1"/>
      <c r="F30" s="5">
        <f t="shared" ref="F30:F35" si="8">IF(D$12=0,0,D30/D$12)</f>
        <v>0</v>
      </c>
      <c r="G30" s="1"/>
      <c r="H30" s="1">
        <f>SUM(OSRRefH22_1x_0)</f>
        <v>24234.480000000003</v>
      </c>
      <c r="I30" s="1"/>
      <c r="J30" s="5">
        <f t="shared" ref="J30:J35" si="9">IF(H$12=0,0,H30/H$12)</f>
        <v>0</v>
      </c>
      <c r="K30" s="1"/>
      <c r="L30" s="1">
        <f t="shared" ref="L30:L35" si="10">+D30-H30</f>
        <v>-6707.0400000000045</v>
      </c>
      <c r="M30" s="1"/>
      <c r="N30" s="5">
        <f t="shared" ref="N30:N35" si="11">IF(H30=0,0,L30/H30)</f>
        <v>-0.27675609297166698</v>
      </c>
      <c r="O30" s="13"/>
      <c r="P30" s="1">
        <f>SUM(OSRRefP22_1x_0)</f>
        <v>163285.63999999998</v>
      </c>
      <c r="Q30" s="1"/>
      <c r="R30" s="5">
        <f t="shared" ref="R30:R35" si="12">IF(P$12=0,0,P30/P$12)</f>
        <v>0</v>
      </c>
      <c r="S30" s="1"/>
      <c r="T30" s="1">
        <f>SUM(OSRRefT22_1x_0)</f>
        <v>212111.23</v>
      </c>
      <c r="U30" s="1"/>
      <c r="V30" s="5">
        <f t="shared" ref="V30:V35" si="13">IF(T$12=0,0,T30/T$12)</f>
        <v>0</v>
      </c>
      <c r="W30" s="1"/>
      <c r="X30" s="1">
        <f t="shared" ref="X30:X35" si="14">+P30-T30</f>
        <v>-48825.590000000026</v>
      </c>
      <c r="Y30" s="1"/>
      <c r="Z30" s="5">
        <f t="shared" ref="Z30:Z35" si="15">IF(T30=0,0,X30/T30)</f>
        <v>-0.23018861377589495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>
        <v>17527.439999999999</v>
      </c>
      <c r="E31" s="2"/>
      <c r="F31" s="7">
        <f t="shared" si="8"/>
        <v>0</v>
      </c>
      <c r="G31" s="2"/>
      <c r="H31" s="6">
        <v>10659.8</v>
      </c>
      <c r="I31" s="2"/>
      <c r="J31" s="7">
        <f t="shared" si="9"/>
        <v>0</v>
      </c>
      <c r="K31" s="2"/>
      <c r="L31" s="6">
        <f t="shared" si="10"/>
        <v>6867.6399999999994</v>
      </c>
      <c r="M31" s="2"/>
      <c r="N31" s="7">
        <f t="shared" si="11"/>
        <v>0.64425598979342946</v>
      </c>
      <c r="O31" s="11"/>
      <c r="P31" s="6">
        <v>149072.4</v>
      </c>
      <c r="Q31" s="2"/>
      <c r="R31" s="7">
        <f t="shared" si="12"/>
        <v>0</v>
      </c>
      <c r="S31" s="2"/>
      <c r="T31" s="6">
        <v>99447.079999999987</v>
      </c>
      <c r="U31" s="2"/>
      <c r="V31" s="7">
        <f t="shared" si="13"/>
        <v>0</v>
      </c>
      <c r="W31" s="2"/>
      <c r="X31" s="6">
        <f t="shared" si="14"/>
        <v>49625.320000000007</v>
      </c>
      <c r="Y31" s="2"/>
      <c r="Z31" s="7">
        <f t="shared" si="15"/>
        <v>0.4990123390249368</v>
      </c>
    </row>
    <row r="32" spans="1:26" s="24" customFormat="1" hidden="1" outlineLevel="2" x14ac:dyDescent="0.25">
      <c r="A32" s="26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8"/>
        <v>0</v>
      </c>
      <c r="G32" s="2"/>
      <c r="H32" s="6">
        <v>7416.91</v>
      </c>
      <c r="I32" s="2"/>
      <c r="J32" s="7">
        <f t="shared" si="9"/>
        <v>0</v>
      </c>
      <c r="K32" s="2"/>
      <c r="L32" s="6">
        <f t="shared" si="10"/>
        <v>-7416.91</v>
      </c>
      <c r="M32" s="2"/>
      <c r="N32" s="7">
        <f t="shared" si="11"/>
        <v>-1</v>
      </c>
      <c r="O32" s="11"/>
      <c r="P32" s="6">
        <v>14213.24</v>
      </c>
      <c r="Q32" s="2"/>
      <c r="R32" s="7">
        <f t="shared" si="12"/>
        <v>0</v>
      </c>
      <c r="S32" s="2"/>
      <c r="T32" s="6">
        <v>64258.439999999995</v>
      </c>
      <c r="U32" s="2"/>
      <c r="V32" s="7">
        <f t="shared" si="13"/>
        <v>0</v>
      </c>
      <c r="W32" s="2"/>
      <c r="X32" s="6">
        <f t="shared" si="14"/>
        <v>-50045.2</v>
      </c>
      <c r="Y32" s="2"/>
      <c r="Z32" s="7">
        <f t="shared" si="15"/>
        <v>-0.77881131256843461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8"/>
        <v>0</v>
      </c>
      <c r="G33" s="2"/>
      <c r="H33" s="6">
        <v>3065.26</v>
      </c>
      <c r="I33" s="2"/>
      <c r="J33" s="7">
        <f t="shared" si="9"/>
        <v>0</v>
      </c>
      <c r="K33" s="2"/>
      <c r="L33" s="6">
        <f t="shared" si="10"/>
        <v>-3065.26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20335.510000000002</v>
      </c>
      <c r="U33" s="2"/>
      <c r="V33" s="7">
        <f t="shared" si="13"/>
        <v>0</v>
      </c>
      <c r="W33" s="2"/>
      <c r="X33" s="6">
        <f t="shared" si="14"/>
        <v>-20335.510000000002</v>
      </c>
      <c r="Y33" s="2"/>
      <c r="Z33" s="7">
        <f t="shared" si="15"/>
        <v>-1</v>
      </c>
    </row>
    <row r="34" spans="1:26" s="24" customFormat="1" hidden="1" outlineLevel="2" x14ac:dyDescent="0.25">
      <c r="A34" s="26"/>
      <c r="B34" s="11" t="str">
        <f>CONCATENATE("          ", "6007", " - ", "STUDENT HOURLY")</f>
        <v xml:space="preserve">          6007 - STUDENT HOURLY</v>
      </c>
      <c r="C34" s="11"/>
      <c r="D34" s="6"/>
      <c r="E34" s="2"/>
      <c r="F34" s="7">
        <f t="shared" si="8"/>
        <v>0</v>
      </c>
      <c r="G34" s="2"/>
      <c r="H34" s="6">
        <v>3092.51</v>
      </c>
      <c r="I34" s="2"/>
      <c r="J34" s="7">
        <f t="shared" si="9"/>
        <v>0</v>
      </c>
      <c r="K34" s="2"/>
      <c r="L34" s="6">
        <f t="shared" si="10"/>
        <v>-3092.51</v>
      </c>
      <c r="M34" s="2"/>
      <c r="N34" s="7">
        <f t="shared" si="11"/>
        <v>-1</v>
      </c>
      <c r="O34" s="11"/>
      <c r="P34" s="6">
        <v>0</v>
      </c>
      <c r="Q34" s="2"/>
      <c r="R34" s="7">
        <f t="shared" si="12"/>
        <v>0</v>
      </c>
      <c r="S34" s="2"/>
      <c r="T34" s="6">
        <v>25550.2</v>
      </c>
      <c r="U34" s="2"/>
      <c r="V34" s="7">
        <f t="shared" si="13"/>
        <v>0</v>
      </c>
      <c r="W34" s="2"/>
      <c r="X34" s="6">
        <f t="shared" si="14"/>
        <v>-25550.2</v>
      </c>
      <c r="Y34" s="2"/>
      <c r="Z34" s="7">
        <f t="shared" si="15"/>
        <v>-1</v>
      </c>
    </row>
    <row r="35" spans="1:26" s="24" customFormat="1" hidden="1" outlineLevel="2" x14ac:dyDescent="0.25">
      <c r="A35" s="26"/>
      <c r="B35" s="11" t="str">
        <f>CONCATENATE("          ", "6008", " - ", "STUDENT HOURLY-FICA EXEMPT")</f>
        <v xml:space="preserve">          6008 - STUDENT HOURLY-FICA EXEMPT</v>
      </c>
      <c r="C35" s="11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2520</v>
      </c>
      <c r="U35" s="2"/>
      <c r="V35" s="7">
        <f t="shared" si="13"/>
        <v>0</v>
      </c>
      <c r="W35" s="2"/>
      <c r="X35" s="6">
        <f t="shared" si="14"/>
        <v>-2520</v>
      </c>
      <c r="Y35" s="2"/>
      <c r="Z35" s="7">
        <f t="shared" si="15"/>
        <v>-1</v>
      </c>
    </row>
    <row r="36" spans="1:26" s="25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7" si="16">IF(D$12=0,0,D36/D$12)</f>
        <v>0</v>
      </c>
      <c r="G36" s="1"/>
      <c r="H36" s="1">
        <f>SUM(OSRRefH22_2x_0)</f>
        <v>0</v>
      </c>
      <c r="I36" s="1"/>
      <c r="J36" s="5">
        <f t="shared" ref="J36:J47" si="17">IF(H$12=0,0,H36/H$12)</f>
        <v>0</v>
      </c>
      <c r="K36" s="1"/>
      <c r="L36" s="1">
        <f t="shared" ref="L36:L47" si="18">+D36-H36</f>
        <v>0</v>
      </c>
      <c r="M36" s="1"/>
      <c r="N36" s="5">
        <f t="shared" ref="N36:N47" si="19">IF(H36=0,0,L36/H36)</f>
        <v>0</v>
      </c>
      <c r="O36" s="13"/>
      <c r="P36" s="1">
        <f>SUM(OSRRefP22_2x_0)</f>
        <v>0</v>
      </c>
      <c r="Q36" s="1"/>
      <c r="R36" s="5">
        <f t="shared" ref="R36:R47" si="20">IF(P$12=0,0,P36/P$12)</f>
        <v>0</v>
      </c>
      <c r="S36" s="1"/>
      <c r="T36" s="1">
        <f>SUM(OSRRefT22_2x_0)</f>
        <v>9.99</v>
      </c>
      <c r="U36" s="1"/>
      <c r="V36" s="5">
        <f t="shared" ref="V36:V47" si="21">IF(T$12=0,0,T36/T$12)</f>
        <v>0</v>
      </c>
      <c r="W36" s="1"/>
      <c r="X36" s="1">
        <f t="shared" ref="X36:X47" si="22">+P36-T36</f>
        <v>-9.99</v>
      </c>
      <c r="Y36" s="1"/>
      <c r="Z36" s="5">
        <f t="shared" ref="Z36:Z47" si="23">IF(T36=0,0,X36/T36)</f>
        <v>-1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1"/>
      <c r="P37" s="6"/>
      <c r="Q37" s="2"/>
      <c r="R37" s="7">
        <f t="shared" si="20"/>
        <v>0</v>
      </c>
      <c r="S37" s="2"/>
      <c r="T37" s="6">
        <v>9.99</v>
      </c>
      <c r="U37" s="2"/>
      <c r="V37" s="7">
        <f t="shared" si="21"/>
        <v>0</v>
      </c>
      <c r="W37" s="2"/>
      <c r="X37" s="6">
        <f t="shared" si="22"/>
        <v>-9.99</v>
      </c>
      <c r="Y37" s="2"/>
      <c r="Z37" s="7">
        <f t="shared" si="23"/>
        <v>-1</v>
      </c>
    </row>
    <row r="38" spans="1:26" s="25" customFormat="1" outlineLevel="1" collapsed="1" x14ac:dyDescent="0.25">
      <c r="A38" s="27"/>
      <c r="B38" s="13" t="str">
        <f>CONCATENATE("     ","Depreciation                                      ")</f>
        <v xml:space="preserve">     Depreciation                                      </v>
      </c>
      <c r="C38" s="13"/>
      <c r="D38" s="1">
        <f>SUM(OSRRefD22_3x_0)</f>
        <v>4994.03</v>
      </c>
      <c r="E38" s="1"/>
      <c r="F38" s="5">
        <f t="shared" si="16"/>
        <v>0</v>
      </c>
      <c r="G38" s="1"/>
      <c r="H38" s="1">
        <f>SUM(OSRRefH22_3x_0)</f>
        <v>6175.97</v>
      </c>
      <c r="I38" s="1"/>
      <c r="J38" s="5">
        <f t="shared" si="17"/>
        <v>0</v>
      </c>
      <c r="K38" s="1"/>
      <c r="L38" s="1">
        <f t="shared" si="18"/>
        <v>-1181.9400000000005</v>
      </c>
      <c r="M38" s="1"/>
      <c r="N38" s="5">
        <f t="shared" si="19"/>
        <v>-0.19137722495413684</v>
      </c>
      <c r="O38" s="13"/>
      <c r="P38" s="1">
        <f>SUM(OSRRefP22_3x_0)</f>
        <v>41522.76</v>
      </c>
      <c r="Q38" s="1"/>
      <c r="R38" s="5">
        <f t="shared" si="20"/>
        <v>0</v>
      </c>
      <c r="S38" s="1"/>
      <c r="T38" s="1">
        <f>SUM(OSRRefT22_3x_0)</f>
        <v>49407.76</v>
      </c>
      <c r="U38" s="1"/>
      <c r="V38" s="5">
        <f t="shared" si="21"/>
        <v>0</v>
      </c>
      <c r="W38" s="1"/>
      <c r="X38" s="1">
        <f t="shared" si="22"/>
        <v>-7885</v>
      </c>
      <c r="Y38" s="1"/>
      <c r="Z38" s="5">
        <f t="shared" si="23"/>
        <v>-0.15959031536746454</v>
      </c>
    </row>
    <row r="39" spans="1:26" s="24" customFormat="1" hidden="1" outlineLevel="2" x14ac:dyDescent="0.25">
      <c r="A39" s="26"/>
      <c r="B39" s="11" t="str">
        <f>CONCATENATE("          ", "6322", " - ", "EQUIPMENT DEPRECIATION EXPENSE")</f>
        <v xml:space="preserve">          6322 - EQUIPMENT DEPRECIATION EXPENSE</v>
      </c>
      <c r="C39" s="11"/>
      <c r="D39" s="6">
        <v>4994.03</v>
      </c>
      <c r="E39" s="2"/>
      <c r="F39" s="7">
        <f t="shared" si="16"/>
        <v>0</v>
      </c>
      <c r="G39" s="2"/>
      <c r="H39" s="6">
        <v>6175.97</v>
      </c>
      <c r="I39" s="2"/>
      <c r="J39" s="7">
        <f t="shared" si="17"/>
        <v>0</v>
      </c>
      <c r="K39" s="2"/>
      <c r="L39" s="6">
        <f t="shared" si="18"/>
        <v>-1181.9400000000005</v>
      </c>
      <c r="M39" s="2"/>
      <c r="N39" s="7">
        <f t="shared" si="19"/>
        <v>-0.19137722495413684</v>
      </c>
      <c r="O39" s="11"/>
      <c r="P39" s="6">
        <v>41522.76</v>
      </c>
      <c r="Q39" s="2"/>
      <c r="R39" s="7">
        <f t="shared" si="20"/>
        <v>0</v>
      </c>
      <c r="S39" s="2"/>
      <c r="T39" s="6">
        <v>49407.76</v>
      </c>
      <c r="U39" s="2"/>
      <c r="V39" s="7">
        <f t="shared" si="21"/>
        <v>0</v>
      </c>
      <c r="W39" s="2"/>
      <c r="X39" s="6">
        <f t="shared" si="22"/>
        <v>-7885</v>
      </c>
      <c r="Y39" s="2"/>
      <c r="Z39" s="7">
        <f t="shared" si="23"/>
        <v>-0.15959031536746454</v>
      </c>
    </row>
    <row r="40" spans="1:26" s="25" customFormat="1" outlineLevel="1" collapsed="1" x14ac:dyDescent="0.25">
      <c r="A40" s="27"/>
      <c r="B40" s="13" t="str">
        <f>CONCATENATE("     ","Freight out/Postage                               ")</f>
        <v xml:space="preserve">     Freight out/Postage                               </v>
      </c>
      <c r="C40" s="13"/>
      <c r="D40" s="1">
        <f>SUM(OSRRefD22_4x_0)</f>
        <v>0</v>
      </c>
      <c r="E40" s="1"/>
      <c r="F40" s="5">
        <f t="shared" si="16"/>
        <v>0</v>
      </c>
      <c r="G40" s="1"/>
      <c r="H40" s="1">
        <f>SUM(OSRRefH22_4x_0)</f>
        <v>0</v>
      </c>
      <c r="I40" s="1"/>
      <c r="J40" s="5">
        <f t="shared" si="17"/>
        <v>0</v>
      </c>
      <c r="K40" s="1"/>
      <c r="L40" s="1">
        <f t="shared" si="18"/>
        <v>0</v>
      </c>
      <c r="M40" s="1"/>
      <c r="N40" s="5">
        <f t="shared" si="19"/>
        <v>0</v>
      </c>
      <c r="O40" s="13"/>
      <c r="P40" s="1">
        <f>SUM(OSRRefP22_4x_0)</f>
        <v>5.7</v>
      </c>
      <c r="Q40" s="1"/>
      <c r="R40" s="5">
        <f t="shared" si="20"/>
        <v>0</v>
      </c>
      <c r="S40" s="1"/>
      <c r="T40" s="1">
        <f>SUM(OSRRefT22_4x_0)</f>
        <v>0</v>
      </c>
      <c r="U40" s="1"/>
      <c r="V40" s="5">
        <f t="shared" si="21"/>
        <v>0</v>
      </c>
      <c r="W40" s="1"/>
      <c r="X40" s="1">
        <f t="shared" si="22"/>
        <v>5.7</v>
      </c>
      <c r="Y40" s="1"/>
      <c r="Z40" s="5">
        <f t="shared" si="23"/>
        <v>0</v>
      </c>
    </row>
    <row r="41" spans="1:26" s="24" customFormat="1" hidden="1" outlineLevel="2" x14ac:dyDescent="0.25">
      <c r="A41" s="26"/>
      <c r="B41" s="11" t="str">
        <f>CONCATENATE("          ", "6307", " - ", "POSTAGE")</f>
        <v xml:space="preserve">          6307 - POSTAGE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>
        <v>5.7</v>
      </c>
      <c r="Q41" s="2"/>
      <c r="R41" s="7">
        <f t="shared" si="20"/>
        <v>0</v>
      </c>
      <c r="S41" s="2"/>
      <c r="T41" s="6"/>
      <c r="U41" s="2"/>
      <c r="V41" s="7">
        <f t="shared" si="21"/>
        <v>0</v>
      </c>
      <c r="W41" s="2"/>
      <c r="X41" s="6">
        <f t="shared" si="22"/>
        <v>5.7</v>
      </c>
      <c r="Y41" s="2"/>
      <c r="Z41" s="7">
        <f t="shared" si="23"/>
        <v>0</v>
      </c>
    </row>
    <row r="42" spans="1:26" s="25" customFormat="1" outlineLevel="1" collapsed="1" x14ac:dyDescent="0.25">
      <c r="A42" s="27"/>
      <c r="B42" s="13" t="str">
        <f>CONCATENATE("     ","Insurance                                         ")</f>
        <v xml:space="preserve">     Insurance                                         </v>
      </c>
      <c r="C42" s="13"/>
      <c r="D42" s="1">
        <f>SUM(OSRRefD22_5x_0)</f>
        <v>56.34</v>
      </c>
      <c r="E42" s="1"/>
      <c r="F42" s="5">
        <f t="shared" si="16"/>
        <v>0</v>
      </c>
      <c r="G42" s="1"/>
      <c r="H42" s="1">
        <f>SUM(OSRRefH22_5x_0)</f>
        <v>56.34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3"/>
      <c r="P42" s="1">
        <f>SUM(OSRRefP22_5x_0)</f>
        <v>450.72</v>
      </c>
      <c r="Q42" s="1"/>
      <c r="R42" s="5">
        <f t="shared" si="20"/>
        <v>0</v>
      </c>
      <c r="S42" s="1"/>
      <c r="T42" s="1">
        <f>SUM(OSRRefT22_5x_0)</f>
        <v>450.72</v>
      </c>
      <c r="U42" s="1"/>
      <c r="V42" s="5">
        <f t="shared" si="21"/>
        <v>0</v>
      </c>
      <c r="W42" s="1"/>
      <c r="X42" s="1">
        <f t="shared" si="22"/>
        <v>0</v>
      </c>
      <c r="Y42" s="1"/>
      <c r="Z42" s="5">
        <f t="shared" si="23"/>
        <v>0</v>
      </c>
    </row>
    <row r="43" spans="1:26" s="24" customFormat="1" hidden="1" outlineLevel="2" x14ac:dyDescent="0.25">
      <c r="A43" s="26"/>
      <c r="B43" s="11" t="str">
        <f>CONCATENATE("          ", "6314", " - ", "LIABILITY INSURANCE")</f>
        <v xml:space="preserve">          6314 - LIABILITY INSURANCE</v>
      </c>
      <c r="C43" s="11"/>
      <c r="D43" s="6">
        <v>56.34</v>
      </c>
      <c r="E43" s="2"/>
      <c r="F43" s="7">
        <f t="shared" si="16"/>
        <v>0</v>
      </c>
      <c r="G43" s="2"/>
      <c r="H43" s="6">
        <v>56.34</v>
      </c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1"/>
      <c r="P43" s="6">
        <v>450.72</v>
      </c>
      <c r="Q43" s="2"/>
      <c r="R43" s="7">
        <f t="shared" si="20"/>
        <v>0</v>
      </c>
      <c r="S43" s="2"/>
      <c r="T43" s="6">
        <v>450.72</v>
      </c>
      <c r="U43" s="2"/>
      <c r="V43" s="7">
        <f t="shared" si="21"/>
        <v>0</v>
      </c>
      <c r="W43" s="2"/>
      <c r="X43" s="6">
        <f t="shared" si="22"/>
        <v>0</v>
      </c>
      <c r="Y43" s="2"/>
      <c r="Z43" s="7">
        <f t="shared" si="23"/>
        <v>0</v>
      </c>
    </row>
    <row r="44" spans="1:26" s="25" customFormat="1" outlineLevel="1" collapsed="1" x14ac:dyDescent="0.25">
      <c r="A44" s="27"/>
      <c r="B44" s="13" t="str">
        <f>CONCATENATE("     ","Repair and Maintenance                            ")</f>
        <v xml:space="preserve">     Repair and Maintenance                            </v>
      </c>
      <c r="C44" s="13"/>
      <c r="D44" s="1">
        <f>SUM(OSRRefD22_6x_0)</f>
        <v>14990.82</v>
      </c>
      <c r="E44" s="1"/>
      <c r="F44" s="5">
        <f t="shared" si="16"/>
        <v>0</v>
      </c>
      <c r="G44" s="1"/>
      <c r="H44" s="1">
        <f>SUM(OSRRefH22_6x_0)</f>
        <v>9862.48</v>
      </c>
      <c r="I44" s="1"/>
      <c r="J44" s="5">
        <f t="shared" si="17"/>
        <v>0</v>
      </c>
      <c r="K44" s="1"/>
      <c r="L44" s="1">
        <f t="shared" si="18"/>
        <v>5128.34</v>
      </c>
      <c r="M44" s="1"/>
      <c r="N44" s="5">
        <f t="shared" si="19"/>
        <v>0.51998483140143259</v>
      </c>
      <c r="O44" s="13"/>
      <c r="P44" s="1">
        <f>SUM(OSRRefP22_6x_0)</f>
        <v>98150.98</v>
      </c>
      <c r="Q44" s="1"/>
      <c r="R44" s="5">
        <f t="shared" si="20"/>
        <v>0</v>
      </c>
      <c r="S44" s="1"/>
      <c r="T44" s="1">
        <f>SUM(OSRRefT22_6x_0)</f>
        <v>76915.42</v>
      </c>
      <c r="U44" s="1"/>
      <c r="V44" s="5">
        <f t="shared" si="21"/>
        <v>0</v>
      </c>
      <c r="W44" s="1"/>
      <c r="X44" s="1">
        <f t="shared" si="22"/>
        <v>21235.559999999998</v>
      </c>
      <c r="Y44" s="1"/>
      <c r="Z44" s="5">
        <f t="shared" si="23"/>
        <v>0.27608976197490698</v>
      </c>
    </row>
    <row r="45" spans="1:26" s="24" customFormat="1" hidden="1" outlineLevel="2" x14ac:dyDescent="0.25">
      <c r="A45" s="26"/>
      <c r="B45" s="11" t="str">
        <f>CONCATENATE("          ", "6371", " - ", "COMPUTER SOFTWARE MAINTENANCE")</f>
        <v xml:space="preserve">          6371 - COMPUTER SOFTWARE MAINTENANCE</v>
      </c>
      <c r="C45" s="11"/>
      <c r="D45" s="6">
        <v>433.82</v>
      </c>
      <c r="E45" s="2"/>
      <c r="F45" s="7">
        <f t="shared" si="16"/>
        <v>0</v>
      </c>
      <c r="G45" s="2"/>
      <c r="H45" s="6">
        <v>263.89999999999998</v>
      </c>
      <c r="I45" s="2"/>
      <c r="J45" s="7">
        <f t="shared" si="17"/>
        <v>0</v>
      </c>
      <c r="K45" s="2"/>
      <c r="L45" s="6">
        <f t="shared" si="18"/>
        <v>169.92000000000002</v>
      </c>
      <c r="M45" s="2"/>
      <c r="N45" s="7">
        <f t="shared" si="19"/>
        <v>0.64388025767336121</v>
      </c>
      <c r="O45" s="11"/>
      <c r="P45" s="6">
        <v>849.98</v>
      </c>
      <c r="Q45" s="2"/>
      <c r="R45" s="7">
        <f t="shared" si="20"/>
        <v>0</v>
      </c>
      <c r="S45" s="2"/>
      <c r="T45" s="6">
        <v>1019.35</v>
      </c>
      <c r="U45" s="2"/>
      <c r="V45" s="7">
        <f t="shared" si="21"/>
        <v>0</v>
      </c>
      <c r="W45" s="2"/>
      <c r="X45" s="6">
        <f t="shared" si="22"/>
        <v>-169.37</v>
      </c>
      <c r="Y45" s="2"/>
      <c r="Z45" s="7">
        <f t="shared" si="23"/>
        <v>-0.16615490263403149</v>
      </c>
    </row>
    <row r="46" spans="1:26" s="24" customFormat="1" hidden="1" outlineLevel="2" x14ac:dyDescent="0.25">
      <c r="A46" s="26"/>
      <c r="B46" s="11" t="str">
        <f>CONCATENATE("          ", "6373", " - ", "MAINTENANCE CONTRACTS")</f>
        <v xml:space="preserve">          6373 - MAINTENANCE CONTRACTS</v>
      </c>
      <c r="C46" s="11"/>
      <c r="D46" s="6">
        <v>14557</v>
      </c>
      <c r="E46" s="2"/>
      <c r="F46" s="7">
        <f t="shared" si="16"/>
        <v>0</v>
      </c>
      <c r="G46" s="2"/>
      <c r="H46" s="6">
        <v>9598.58</v>
      </c>
      <c r="I46" s="2"/>
      <c r="J46" s="7">
        <f t="shared" si="17"/>
        <v>0</v>
      </c>
      <c r="K46" s="2"/>
      <c r="L46" s="6">
        <f t="shared" si="18"/>
        <v>4958.42</v>
      </c>
      <c r="M46" s="2"/>
      <c r="N46" s="7">
        <f t="shared" si="19"/>
        <v>0.5165784939022231</v>
      </c>
      <c r="O46" s="11"/>
      <c r="P46" s="6">
        <v>97301</v>
      </c>
      <c r="Q46" s="2"/>
      <c r="R46" s="7">
        <f t="shared" si="20"/>
        <v>0</v>
      </c>
      <c r="S46" s="2"/>
      <c r="T46" s="6">
        <v>75737.67</v>
      </c>
      <c r="U46" s="2"/>
      <c r="V46" s="7">
        <f t="shared" si="21"/>
        <v>0</v>
      </c>
      <c r="W46" s="2"/>
      <c r="X46" s="6">
        <f t="shared" si="22"/>
        <v>21563.33</v>
      </c>
      <c r="Y46" s="2"/>
      <c r="Z46" s="7">
        <f t="shared" si="23"/>
        <v>0.28471076546188973</v>
      </c>
    </row>
    <row r="47" spans="1:26" s="24" customFormat="1" hidden="1" outlineLevel="2" x14ac:dyDescent="0.25">
      <c r="A47" s="26"/>
      <c r="B47" s="11" t="str">
        <f>CONCATENATE("          ", "6375", " - ", "OUTSIDE REPAIRS &amp; MAINTENANCE")</f>
        <v xml:space="preserve">          6375 - OUTSIDE REPAIRS &amp; MAINTENANCE</v>
      </c>
      <c r="C47" s="11"/>
      <c r="D47" s="6"/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0</v>
      </c>
      <c r="M47" s="2"/>
      <c r="N47" s="7">
        <f t="shared" si="19"/>
        <v>0</v>
      </c>
      <c r="O47" s="11"/>
      <c r="P47" s="6"/>
      <c r="Q47" s="2"/>
      <c r="R47" s="7">
        <f t="shared" si="20"/>
        <v>0</v>
      </c>
      <c r="S47" s="2"/>
      <c r="T47" s="6">
        <v>158.4</v>
      </c>
      <c r="U47" s="2"/>
      <c r="V47" s="7">
        <f t="shared" si="21"/>
        <v>0</v>
      </c>
      <c r="W47" s="2"/>
      <c r="X47" s="6">
        <f t="shared" si="22"/>
        <v>-158.4</v>
      </c>
      <c r="Y47" s="2"/>
      <c r="Z47" s="7">
        <f t="shared" si="23"/>
        <v>-1</v>
      </c>
    </row>
    <row r="48" spans="1:26" s="25" customFormat="1" outlineLevel="1" collapsed="1" x14ac:dyDescent="0.25">
      <c r="A48" s="27"/>
      <c r="B48" s="13" t="str">
        <f>CONCATENATE("     ","Supplies                                          ")</f>
        <v xml:space="preserve">     Supplies                                          </v>
      </c>
      <c r="C48" s="13"/>
      <c r="D48" s="1">
        <f>SUM(OSRRefD22_7x_0)</f>
        <v>646.02</v>
      </c>
      <c r="E48" s="1"/>
      <c r="F48" s="5">
        <f t="shared" ref="F48:F52" si="24">IF(D$12=0,0,D48/D$12)</f>
        <v>0</v>
      </c>
      <c r="G48" s="1"/>
      <c r="H48" s="1">
        <f>SUM(OSRRefH22_7x_0)</f>
        <v>732.83</v>
      </c>
      <c r="I48" s="1"/>
      <c r="J48" s="5">
        <f t="shared" ref="J48:J52" si="25">IF(H$12=0,0,H48/H$12)</f>
        <v>0</v>
      </c>
      <c r="K48" s="1"/>
      <c r="L48" s="1">
        <f t="shared" ref="L48:L52" si="26">+D48-H48</f>
        <v>-86.810000000000059</v>
      </c>
      <c r="M48" s="1"/>
      <c r="N48" s="5">
        <f t="shared" ref="N48:N52" si="27">IF(H48=0,0,L48/H48)</f>
        <v>-0.11845857838789359</v>
      </c>
      <c r="O48" s="13"/>
      <c r="P48" s="1">
        <f>SUM(OSRRefP22_7x_0)</f>
        <v>-2179.5100000000002</v>
      </c>
      <c r="Q48" s="1"/>
      <c r="R48" s="5">
        <f t="shared" ref="R48:R52" si="28">IF(P$12=0,0,P48/P$12)</f>
        <v>0</v>
      </c>
      <c r="S48" s="1"/>
      <c r="T48" s="1">
        <f>SUM(OSRRefT22_7x_0)</f>
        <v>23023.06</v>
      </c>
      <c r="U48" s="1"/>
      <c r="V48" s="5">
        <f t="shared" ref="V48:V52" si="29">IF(T$12=0,0,T48/T$12)</f>
        <v>0</v>
      </c>
      <c r="W48" s="1"/>
      <c r="X48" s="1">
        <f t="shared" ref="X48:X52" si="30">+P48-T48</f>
        <v>-25202.57</v>
      </c>
      <c r="Y48" s="1"/>
      <c r="Z48" s="5">
        <f t="shared" ref="Z48:Z52" si="31">IF(T48=0,0,X48/T48)</f>
        <v>-1.0946663910010224</v>
      </c>
    </row>
    <row r="49" spans="1:26" s="24" customFormat="1" hidden="1" outlineLevel="2" x14ac:dyDescent="0.25">
      <c r="A49" s="26"/>
      <c r="B49" s="11" t="str">
        <f>CONCATENATE("          ", "6241", " - ", "OFFICE EXPENSE")</f>
        <v xml:space="preserve">          6241 - OFFICE EXPENSE</v>
      </c>
      <c r="C49" s="11"/>
      <c r="D49" s="6">
        <v>646.02</v>
      </c>
      <c r="E49" s="2"/>
      <c r="F49" s="7">
        <f t="shared" si="24"/>
        <v>0</v>
      </c>
      <c r="G49" s="2"/>
      <c r="H49" s="6">
        <v>732.83</v>
      </c>
      <c r="I49" s="2"/>
      <c r="J49" s="7">
        <f t="shared" si="25"/>
        <v>0</v>
      </c>
      <c r="K49" s="2"/>
      <c r="L49" s="6">
        <f t="shared" si="26"/>
        <v>-86.810000000000059</v>
      </c>
      <c r="M49" s="2"/>
      <c r="N49" s="7">
        <f t="shared" si="27"/>
        <v>-0.11845857838789359</v>
      </c>
      <c r="O49" s="11"/>
      <c r="P49" s="6">
        <v>-2179.5100000000002</v>
      </c>
      <c r="Q49" s="2"/>
      <c r="R49" s="7">
        <f t="shared" si="28"/>
        <v>0</v>
      </c>
      <c r="S49" s="2"/>
      <c r="T49" s="6">
        <v>23023.06</v>
      </c>
      <c r="U49" s="2"/>
      <c r="V49" s="7">
        <f t="shared" si="29"/>
        <v>0</v>
      </c>
      <c r="W49" s="2"/>
      <c r="X49" s="6">
        <f t="shared" si="30"/>
        <v>-25202.57</v>
      </c>
      <c r="Y49" s="2"/>
      <c r="Z49" s="7">
        <f t="shared" si="31"/>
        <v>-1.0946663910010224</v>
      </c>
    </row>
    <row r="50" spans="1:26" s="25" customFormat="1" outlineLevel="1" collapsed="1" x14ac:dyDescent="0.25">
      <c r="A50" s="27"/>
      <c r="B50" s="13" t="str">
        <f>CONCATENATE("     ","Telephone/Data Lines                              ")</f>
        <v xml:space="preserve">     Telephone/Data Lines                              </v>
      </c>
      <c r="C50" s="13"/>
      <c r="D50" s="1">
        <f>SUM(OSRRefD22_8x_0)</f>
        <v>520.39</v>
      </c>
      <c r="E50" s="1"/>
      <c r="F50" s="5">
        <f t="shared" si="24"/>
        <v>0</v>
      </c>
      <c r="G50" s="1"/>
      <c r="H50" s="1">
        <f>SUM(OSRRefH22_8x_0)</f>
        <v>1038.3699999999999</v>
      </c>
      <c r="I50" s="1"/>
      <c r="J50" s="5">
        <f t="shared" si="25"/>
        <v>0</v>
      </c>
      <c r="K50" s="1"/>
      <c r="L50" s="1">
        <f t="shared" si="26"/>
        <v>-517.9799999999999</v>
      </c>
      <c r="M50" s="1"/>
      <c r="N50" s="5">
        <f t="shared" si="27"/>
        <v>-0.49883952733611331</v>
      </c>
      <c r="O50" s="13"/>
      <c r="P50" s="1">
        <f>SUM(OSRRefP22_8x_0)</f>
        <v>6233.07</v>
      </c>
      <c r="Q50" s="1"/>
      <c r="R50" s="5">
        <f t="shared" si="28"/>
        <v>0</v>
      </c>
      <c r="S50" s="1"/>
      <c r="T50" s="1">
        <f>SUM(OSRRefT22_8x_0)</f>
        <v>10639.720000000001</v>
      </c>
      <c r="U50" s="1"/>
      <c r="V50" s="5">
        <f t="shared" si="29"/>
        <v>0</v>
      </c>
      <c r="W50" s="1"/>
      <c r="X50" s="1">
        <f t="shared" si="30"/>
        <v>-4406.6500000000015</v>
      </c>
      <c r="Y50" s="1"/>
      <c r="Z50" s="5">
        <f t="shared" si="31"/>
        <v>-0.41416973378998706</v>
      </c>
    </row>
    <row r="51" spans="1:26" s="24" customFormat="1" hidden="1" outlineLevel="2" x14ac:dyDescent="0.25">
      <c r="A51" s="26"/>
      <c r="B51" s="11" t="str">
        <f>CONCATENATE("          ", "6303", " - ", "DATA PHONE LINES")</f>
        <v xml:space="preserve">          6303 - DATA PHONE LINES</v>
      </c>
      <c r="C51" s="11"/>
      <c r="D51" s="6">
        <v>78.989999999999995</v>
      </c>
      <c r="E51" s="2"/>
      <c r="F51" s="7">
        <f t="shared" si="24"/>
        <v>0</v>
      </c>
      <c r="G51" s="2"/>
      <c r="H51" s="6">
        <v>143.97999999999999</v>
      </c>
      <c r="I51" s="2"/>
      <c r="J51" s="7">
        <f t="shared" si="25"/>
        <v>0</v>
      </c>
      <c r="K51" s="2"/>
      <c r="L51" s="6">
        <f t="shared" si="26"/>
        <v>-64.989999999999995</v>
      </c>
      <c r="M51" s="2"/>
      <c r="N51" s="7">
        <f t="shared" si="27"/>
        <v>-0.45138213640783442</v>
      </c>
      <c r="O51" s="11"/>
      <c r="P51" s="6">
        <v>1002.87</v>
      </c>
      <c r="Q51" s="2"/>
      <c r="R51" s="7">
        <f t="shared" si="28"/>
        <v>0</v>
      </c>
      <c r="S51" s="2"/>
      <c r="T51" s="6">
        <v>1249.04</v>
      </c>
      <c r="U51" s="2"/>
      <c r="V51" s="7">
        <f t="shared" si="29"/>
        <v>0</v>
      </c>
      <c r="W51" s="2"/>
      <c r="X51" s="6">
        <f t="shared" si="30"/>
        <v>-246.16999999999996</v>
      </c>
      <c r="Y51" s="2"/>
      <c r="Z51" s="7">
        <f t="shared" si="31"/>
        <v>-0.19708736309485683</v>
      </c>
    </row>
    <row r="52" spans="1:26" s="24" customFormat="1" hidden="1" outlineLevel="2" x14ac:dyDescent="0.25">
      <c r="A52" s="26"/>
      <c r="B52" s="11" t="str">
        <f>CONCATENATE("          ", "6309", " - ", "TELEPHONE")</f>
        <v xml:space="preserve">          6309 - TELEPHONE</v>
      </c>
      <c r="C52" s="11"/>
      <c r="D52" s="6">
        <v>441.4</v>
      </c>
      <c r="E52" s="2"/>
      <c r="F52" s="7">
        <f t="shared" si="24"/>
        <v>0</v>
      </c>
      <c r="G52" s="2"/>
      <c r="H52" s="6">
        <v>894.39</v>
      </c>
      <c r="I52" s="2"/>
      <c r="J52" s="7">
        <f t="shared" si="25"/>
        <v>0</v>
      </c>
      <c r="K52" s="2"/>
      <c r="L52" s="6">
        <f t="shared" si="26"/>
        <v>-452.99</v>
      </c>
      <c r="M52" s="2"/>
      <c r="N52" s="7">
        <f t="shared" si="27"/>
        <v>-0.50647927637831369</v>
      </c>
      <c r="O52" s="11"/>
      <c r="P52" s="6">
        <v>5230.2</v>
      </c>
      <c r="Q52" s="2"/>
      <c r="R52" s="7">
        <f t="shared" si="28"/>
        <v>0</v>
      </c>
      <c r="S52" s="2"/>
      <c r="T52" s="6">
        <v>9390.68</v>
      </c>
      <c r="U52" s="2"/>
      <c r="V52" s="7">
        <f t="shared" si="29"/>
        <v>0</v>
      </c>
      <c r="W52" s="2"/>
      <c r="X52" s="6">
        <f t="shared" si="30"/>
        <v>-4160.4800000000005</v>
      </c>
      <c r="Y52" s="2"/>
      <c r="Z52" s="7">
        <f t="shared" si="31"/>
        <v>-0.44304352826419391</v>
      </c>
    </row>
    <row r="53" spans="1:26" s="25" customFormat="1" outlineLevel="1" collapsed="1" x14ac:dyDescent="0.25">
      <c r="A53" s="27"/>
      <c r="B53" s="13" t="str">
        <f>CONCATENATE("     ","Training                                          ")</f>
        <v xml:space="preserve">     Training                                          </v>
      </c>
      <c r="C53" s="13"/>
      <c r="D53" s="1">
        <f>SUM(OSRRefD22_9x_0)</f>
        <v>0</v>
      </c>
      <c r="E53" s="1"/>
      <c r="F53" s="5">
        <f t="shared" ref="F53:F57" si="32">IF(D$12=0,0,D53/D$12)</f>
        <v>0</v>
      </c>
      <c r="G53" s="1"/>
      <c r="H53" s="1">
        <f>SUM(OSRRefH22_9x_0)</f>
        <v>2287.81</v>
      </c>
      <c r="I53" s="1"/>
      <c r="J53" s="5">
        <f t="shared" ref="J53:J57" si="33">IF(H$12=0,0,H53/H$12)</f>
        <v>0</v>
      </c>
      <c r="K53" s="1"/>
      <c r="L53" s="1">
        <f t="shared" ref="L53:L57" si="34">+D53-H53</f>
        <v>-2287.81</v>
      </c>
      <c r="M53" s="1"/>
      <c r="N53" s="5">
        <f t="shared" ref="N53:N57" si="35">IF(H53=0,0,L53/H53)</f>
        <v>-1</v>
      </c>
      <c r="O53" s="13"/>
      <c r="P53" s="1">
        <f>SUM(OSRRefP22_9x_0)</f>
        <v>99</v>
      </c>
      <c r="Q53" s="1"/>
      <c r="R53" s="5">
        <f t="shared" ref="R53:R57" si="36">IF(P$12=0,0,P53/P$12)</f>
        <v>0</v>
      </c>
      <c r="S53" s="1"/>
      <c r="T53" s="1">
        <f>SUM(OSRRefT22_9x_0)</f>
        <v>3691.86</v>
      </c>
      <c r="U53" s="1"/>
      <c r="V53" s="5">
        <f t="shared" ref="V53:V57" si="37">IF(T$12=0,0,T53/T$12)</f>
        <v>0</v>
      </c>
      <c r="W53" s="1"/>
      <c r="X53" s="1">
        <f t="shared" ref="X53:X57" si="38">+P53-T53</f>
        <v>-3592.86</v>
      </c>
      <c r="Y53" s="1"/>
      <c r="Z53" s="5">
        <f t="shared" ref="Z53:Z57" si="39">IF(T53=0,0,X53/T53)</f>
        <v>-0.97318424859014152</v>
      </c>
    </row>
    <row r="54" spans="1:26" s="24" customFormat="1" hidden="1" outlineLevel="2" x14ac:dyDescent="0.25">
      <c r="A54" s="26"/>
      <c r="B54" s="11" t="str">
        <f>CONCATENATE("          ", "6376", " - ", "TRAINING")</f>
        <v xml:space="preserve">          6376 - TRAINING</v>
      </c>
      <c r="C54" s="11"/>
      <c r="D54" s="6"/>
      <c r="E54" s="2"/>
      <c r="F54" s="7">
        <f t="shared" si="32"/>
        <v>0</v>
      </c>
      <c r="G54" s="2"/>
      <c r="H54" s="6">
        <v>2287.81</v>
      </c>
      <c r="I54" s="2"/>
      <c r="J54" s="7">
        <f t="shared" si="33"/>
        <v>0</v>
      </c>
      <c r="K54" s="2"/>
      <c r="L54" s="6">
        <f t="shared" si="34"/>
        <v>-2287.81</v>
      </c>
      <c r="M54" s="2"/>
      <c r="N54" s="7">
        <f t="shared" si="35"/>
        <v>-1</v>
      </c>
      <c r="O54" s="11"/>
      <c r="P54" s="6">
        <v>99</v>
      </c>
      <c r="Q54" s="2"/>
      <c r="R54" s="7">
        <f t="shared" si="36"/>
        <v>0</v>
      </c>
      <c r="S54" s="2"/>
      <c r="T54" s="6">
        <v>3691.86</v>
      </c>
      <c r="U54" s="2"/>
      <c r="V54" s="7">
        <f t="shared" si="37"/>
        <v>0</v>
      </c>
      <c r="W54" s="2"/>
      <c r="X54" s="6">
        <f t="shared" si="38"/>
        <v>-3592.86</v>
      </c>
      <c r="Y54" s="2"/>
      <c r="Z54" s="7">
        <f t="shared" si="39"/>
        <v>-0.97318424859014152</v>
      </c>
    </row>
    <row r="55" spans="1:26" s="25" customFormat="1" outlineLevel="1" collapsed="1" x14ac:dyDescent="0.25">
      <c r="A55" s="27"/>
      <c r="B55" s="13" t="str">
        <f>CONCATENATE("     ","Travel                                            ")</f>
        <v xml:space="preserve">     Travel                                            </v>
      </c>
      <c r="C55" s="13"/>
      <c r="D55" s="1">
        <f>SUM(OSRRefD22_10x_0)</f>
        <v>0</v>
      </c>
      <c r="E55" s="1"/>
      <c r="F55" s="5">
        <f t="shared" si="32"/>
        <v>0</v>
      </c>
      <c r="G55" s="1"/>
      <c r="H55" s="1">
        <f>SUM(OSRRefH22_10x_0)</f>
        <v>0</v>
      </c>
      <c r="I55" s="1"/>
      <c r="J55" s="5">
        <f t="shared" si="33"/>
        <v>0</v>
      </c>
      <c r="K55" s="1"/>
      <c r="L55" s="1">
        <f t="shared" si="34"/>
        <v>0</v>
      </c>
      <c r="M55" s="1"/>
      <c r="N55" s="5">
        <f t="shared" si="35"/>
        <v>0</v>
      </c>
      <c r="O55" s="13"/>
      <c r="P55" s="1">
        <f>SUM(OSRRefP22_10x_0)</f>
        <v>0</v>
      </c>
      <c r="Q55" s="1"/>
      <c r="R55" s="5">
        <f t="shared" si="36"/>
        <v>0</v>
      </c>
      <c r="S55" s="1"/>
      <c r="T55" s="1">
        <f>SUM(OSRRefT22_10x_0)</f>
        <v>1383.21</v>
      </c>
      <c r="U55" s="1"/>
      <c r="V55" s="5">
        <f t="shared" si="37"/>
        <v>0</v>
      </c>
      <c r="W55" s="1"/>
      <c r="X55" s="1">
        <f t="shared" si="38"/>
        <v>-1383.21</v>
      </c>
      <c r="Y55" s="1"/>
      <c r="Z55" s="5">
        <f t="shared" si="39"/>
        <v>-1</v>
      </c>
    </row>
    <row r="56" spans="1:26" s="24" customFormat="1" hidden="1" outlineLevel="2" x14ac:dyDescent="0.25">
      <c r="A56" s="26"/>
      <c r="B56" s="11" t="str">
        <f>CONCATENATE("          ", "6292", " - ", "TRAVEL/CONFERENCE")</f>
        <v xml:space="preserve">          6292 - TRAVEL/CONFERENCE</v>
      </c>
      <c r="C56" s="11"/>
      <c r="D56" s="6"/>
      <c r="E56" s="2"/>
      <c r="F56" s="7">
        <f t="shared" si="32"/>
        <v>0</v>
      </c>
      <c r="G56" s="2"/>
      <c r="H56" s="6"/>
      <c r="I56" s="2"/>
      <c r="J56" s="7">
        <f t="shared" si="33"/>
        <v>0</v>
      </c>
      <c r="K56" s="2"/>
      <c r="L56" s="6">
        <f t="shared" si="34"/>
        <v>0</v>
      </c>
      <c r="M56" s="2"/>
      <c r="N56" s="7">
        <f t="shared" si="35"/>
        <v>0</v>
      </c>
      <c r="O56" s="11"/>
      <c r="P56" s="6"/>
      <c r="Q56" s="2"/>
      <c r="R56" s="7">
        <f t="shared" si="36"/>
        <v>0</v>
      </c>
      <c r="S56" s="2"/>
      <c r="T56" s="6">
        <v>1359.31</v>
      </c>
      <c r="U56" s="2"/>
      <c r="V56" s="7">
        <f t="shared" si="37"/>
        <v>0</v>
      </c>
      <c r="W56" s="2"/>
      <c r="X56" s="6">
        <f t="shared" si="38"/>
        <v>-1359.31</v>
      </c>
      <c r="Y56" s="2"/>
      <c r="Z56" s="7">
        <f t="shared" si="39"/>
        <v>-1</v>
      </c>
    </row>
    <row r="57" spans="1:26" s="24" customFormat="1" hidden="1" outlineLevel="2" x14ac:dyDescent="0.25">
      <c r="A57" s="26"/>
      <c r="B57" s="11" t="str">
        <f>CONCATENATE("          ", "6294", " - ", "TRAVEL OPERATIONAL")</f>
        <v xml:space="preserve">          6294 - TRAVEL OPERATIONAL</v>
      </c>
      <c r="C57" s="11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1"/>
      <c r="P57" s="6"/>
      <c r="Q57" s="2"/>
      <c r="R57" s="7">
        <f t="shared" si="36"/>
        <v>0</v>
      </c>
      <c r="S57" s="2"/>
      <c r="T57" s="6">
        <v>23.9</v>
      </c>
      <c r="U57" s="2"/>
      <c r="V57" s="7">
        <f t="shared" si="37"/>
        <v>0</v>
      </c>
      <c r="W57" s="2"/>
      <c r="X57" s="6">
        <f t="shared" si="38"/>
        <v>-23.9</v>
      </c>
      <c r="Y57" s="2"/>
      <c r="Z57" s="7">
        <f t="shared" si="39"/>
        <v>-1</v>
      </c>
    </row>
    <row r="58" spans="1:26" s="52" customFormat="1" x14ac:dyDescent="0.25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8" t="s">
        <v>0</v>
      </c>
      <c r="C59" s="10"/>
      <c r="D59" s="4">
        <f>SUM(0)</f>
        <v>0</v>
      </c>
      <c r="E59" s="4"/>
      <c r="F59" s="12">
        <f>IF(D$12=0,0,D59/D$12)</f>
        <v>0</v>
      </c>
      <c r="G59" s="4"/>
      <c r="H59" s="4">
        <f>SUM(0)</f>
        <v>0</v>
      </c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>
        <f>SUM(0)</f>
        <v>0</v>
      </c>
      <c r="Q59" s="4"/>
      <c r="R59" s="12">
        <f>IF(P$12=0,0,P59/P$12)</f>
        <v>0</v>
      </c>
      <c r="S59" s="4"/>
      <c r="T59" s="4">
        <f>SUM(0)</f>
        <v>0</v>
      </c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9" t="s">
        <v>3</v>
      </c>
      <c r="C61" s="29"/>
      <c r="D61" s="22">
        <f>+D16-D18+D59</f>
        <v>-48909.27</v>
      </c>
      <c r="E61" s="14"/>
      <c r="F61" s="20">
        <f>IF(D$12=0,0,D61/D$12)</f>
        <v>0</v>
      </c>
      <c r="G61" s="14"/>
      <c r="H61" s="22">
        <f>+H16-H18+H59</f>
        <v>-56736.340000000004</v>
      </c>
      <c r="I61" s="14"/>
      <c r="J61" s="20">
        <f>IF(H$12=0,0,H61/H$12)</f>
        <v>0</v>
      </c>
      <c r="K61" s="16"/>
      <c r="L61" s="22">
        <f>+D61-H61</f>
        <v>7827.070000000007</v>
      </c>
      <c r="M61" s="16"/>
      <c r="N61" s="20">
        <f>IF(H61=0,0,L61/H61)</f>
        <v>-0.13795514479784926</v>
      </c>
      <c r="O61" s="28"/>
      <c r="P61" s="22">
        <f>+P16-P18+P59</f>
        <v>-406084.63999999996</v>
      </c>
      <c r="Q61" s="14"/>
      <c r="R61" s="20">
        <f>IF(P$12=0,0,P61/P$12)</f>
        <v>0</v>
      </c>
      <c r="S61" s="14"/>
      <c r="T61" s="22">
        <f>+T16-T18+T59</f>
        <v>-481561.76999999996</v>
      </c>
      <c r="U61" s="14"/>
      <c r="V61" s="20">
        <f>IF(T$12=0,0,T61/T$12)</f>
        <v>0</v>
      </c>
      <c r="W61" s="16"/>
      <c r="X61" s="22">
        <f>+P61-T61</f>
        <v>75477.13</v>
      </c>
      <c r="Y61" s="16"/>
      <c r="Z61" s="20">
        <f>IF(T61=0,0,X61/T61)</f>
        <v>-0.15673405719062791</v>
      </c>
    </row>
    <row r="62" spans="1:26" x14ac:dyDescent="0.25">
      <c r="A62" s="9"/>
      <c r="B62" s="10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51"/>
      <c r="B63" s="10" t="s">
        <v>13</v>
      </c>
      <c r="C63" s="10"/>
      <c r="D63" s="4"/>
      <c r="E63" s="4"/>
      <c r="F63" s="12">
        <f>IF(D$12=0,0,D63/D$12)</f>
        <v>0</v>
      </c>
      <c r="G63" s="4"/>
      <c r="H63" s="4"/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/>
      <c r="Q63" s="4"/>
      <c r="R63" s="12">
        <f>IF(P$12=0,0,P63/P$12)</f>
        <v>0</v>
      </c>
      <c r="S63" s="4"/>
      <c r="T63" s="4"/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9" t="s">
        <v>4</v>
      </c>
      <c r="C65" s="29"/>
      <c r="D65" s="35">
        <f>+D61-D63</f>
        <v>-48909.27</v>
      </c>
      <c r="E65" s="14"/>
      <c r="F65" s="36">
        <f>IF(D$12=0,0,D65/D$12)</f>
        <v>0</v>
      </c>
      <c r="G65" s="14"/>
      <c r="H65" s="35">
        <f>+H61-H63</f>
        <v>-56736.340000000004</v>
      </c>
      <c r="I65" s="14"/>
      <c r="J65" s="36">
        <f>IF(H$12=0,0,H65/H$12)</f>
        <v>0</v>
      </c>
      <c r="K65" s="16"/>
      <c r="L65" s="35">
        <f>D65-H65</f>
        <v>7827.070000000007</v>
      </c>
      <c r="M65" s="16"/>
      <c r="N65" s="36">
        <f>IF(H65=0,0,L65/H65)</f>
        <v>-0.13795514479784926</v>
      </c>
      <c r="O65" s="28"/>
      <c r="P65" s="35">
        <f>+P61-P63</f>
        <v>-406084.63999999996</v>
      </c>
      <c r="Q65" s="14"/>
      <c r="R65" s="36">
        <f>IF(P$12=0,0,P65/P$12)</f>
        <v>0</v>
      </c>
      <c r="S65" s="14"/>
      <c r="T65" s="35">
        <f>+T61-T63</f>
        <v>-481561.76999999996</v>
      </c>
      <c r="U65" s="14"/>
      <c r="V65" s="36">
        <f>IF(T$12=0,0,T65/T$12)</f>
        <v>0</v>
      </c>
      <c r="W65" s="16"/>
      <c r="X65" s="35">
        <f>P65-T65</f>
        <v>75477.13</v>
      </c>
      <c r="Y65" s="16"/>
      <c r="Z65" s="36">
        <f>IF(T65=0,0,X65/T65)</f>
        <v>-0.15673405719062791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9" t="s">
        <v>5</v>
      </c>
      <c r="C68" s="29"/>
      <c r="D68" s="31">
        <f>SUM(D65:D67)</f>
        <v>-48909.27</v>
      </c>
      <c r="E68" s="14"/>
      <c r="F68" s="33">
        <f>IF(D$12=0,0,D68/D$12)</f>
        <v>0</v>
      </c>
      <c r="G68" s="14"/>
      <c r="H68" s="31">
        <f>SUM(H65:H67)</f>
        <v>-56736.340000000004</v>
      </c>
      <c r="I68" s="14"/>
      <c r="J68" s="33">
        <f>IF(H$12=0,0,H68/H$12)</f>
        <v>0</v>
      </c>
      <c r="K68" s="16"/>
      <c r="L68" s="31">
        <f>+D68-H68</f>
        <v>7827.070000000007</v>
      </c>
      <c r="M68" s="16"/>
      <c r="N68" s="33">
        <f>IF(H68=0,0,L68/H68)</f>
        <v>-0.13795514479784926</v>
      </c>
      <c r="O68" s="28"/>
      <c r="P68" s="31">
        <f>SUM(P65:P67)</f>
        <v>-406084.63999999996</v>
      </c>
      <c r="Q68" s="14"/>
      <c r="R68" s="33">
        <f>IF(P$12=0,0,P68/P$12)</f>
        <v>0</v>
      </c>
      <c r="S68" s="14"/>
      <c r="T68" s="31">
        <f>SUM(T65:T67)</f>
        <v>-481561.76999999996</v>
      </c>
      <c r="U68" s="14"/>
      <c r="V68" s="33">
        <f>IF(T$12=0,0,T68/T$12)</f>
        <v>0</v>
      </c>
      <c r="W68" s="16"/>
      <c r="X68" s="31">
        <f>+P68-T68</f>
        <v>75477.13</v>
      </c>
      <c r="Y68" s="16"/>
      <c r="Z68" s="33">
        <f>IF(T68=0,0,X68/T68)</f>
        <v>-0.15673405719062791</v>
      </c>
    </row>
    <row r="69" spans="1:26" ht="15.75" thickTop="1" x14ac:dyDescent="0.25">
      <c r="A69" s="9"/>
      <c r="C69" s="9"/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A70" s="9"/>
      <c r="B70" s="56">
        <v>44267.668076122682</v>
      </c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25">
      <c r="A71" s="9"/>
      <c r="B71" s="54" t="s">
        <v>313</v>
      </c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A72" s="9"/>
      <c r="B72" s="58"/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","205", " - ", "Maintenance")</f>
        <v>Department 205 - Maintenance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6657.22</v>
      </c>
      <c r="E18" s="21"/>
      <c r="F18" s="32">
        <f t="shared" ref="F18:F27" si="0">IF(D$12=0,0,D18/D$12)</f>
        <v>0</v>
      </c>
      <c r="G18" s="21"/>
      <c r="H18" s="21">
        <f>SUM(OSRRefH22x_0)</f>
        <v>7108.4000000000015</v>
      </c>
      <c r="I18" s="21"/>
      <c r="J18" s="32">
        <f t="shared" ref="J18:J27" si="1">IF(H$12=0,0,H18/H$12)</f>
        <v>0</v>
      </c>
      <c r="K18" s="4"/>
      <c r="L18" s="21">
        <f t="shared" ref="L18:L27" si="2">+D18-H18</f>
        <v>-451.1800000000012</v>
      </c>
      <c r="M18" s="4"/>
      <c r="N18" s="32">
        <f t="shared" ref="N18:N27" si="3">IF(H18=0,0,L18/H18)</f>
        <v>-6.3471385965899657E-2</v>
      </c>
      <c r="O18" s="10"/>
      <c r="P18" s="21">
        <f>SUM(OSRRefP22x_0)</f>
        <v>62446.820000000007</v>
      </c>
      <c r="Q18" s="21"/>
      <c r="R18" s="32">
        <f t="shared" ref="R18:R27" si="4">IF(P$12=0,0,P18/P$12)</f>
        <v>0</v>
      </c>
      <c r="S18" s="21"/>
      <c r="T18" s="21">
        <f>SUM(OSRRefT22x_0)</f>
        <v>66733.62000000001</v>
      </c>
      <c r="U18" s="21"/>
      <c r="V18" s="32">
        <f t="shared" ref="V18:V27" si="5">IF(T$12=0,0,T18/T$12)</f>
        <v>0</v>
      </c>
      <c r="W18" s="4"/>
      <c r="X18" s="21">
        <f t="shared" ref="X18:X27" si="6">+P18-T18</f>
        <v>-4286.8000000000029</v>
      </c>
      <c r="Y18" s="4"/>
      <c r="Z18" s="32">
        <f t="shared" ref="Z18:Z27" si="7">IF(T18=0,0,X18/T18)</f>
        <v>-6.4237486292516466E-2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2490.0799999999995</v>
      </c>
      <c r="E19" s="1"/>
      <c r="F19" s="5">
        <f t="shared" si="0"/>
        <v>0</v>
      </c>
      <c r="G19" s="1"/>
      <c r="H19" s="1">
        <f>SUM(OSRRefH22_0x_0)</f>
        <v>2460.4699999999998</v>
      </c>
      <c r="I19" s="1"/>
      <c r="J19" s="5">
        <f t="shared" si="1"/>
        <v>0</v>
      </c>
      <c r="K19" s="1"/>
      <c r="L19" s="1">
        <f t="shared" si="2"/>
        <v>29.609999999999673</v>
      </c>
      <c r="M19" s="1"/>
      <c r="N19" s="5">
        <f t="shared" si="3"/>
        <v>1.2034286132324179E-2</v>
      </c>
      <c r="O19" s="13"/>
      <c r="P19" s="1">
        <f>SUM(OSRRefP22_0x_0)</f>
        <v>19909.09</v>
      </c>
      <c r="Q19" s="1"/>
      <c r="R19" s="5">
        <f t="shared" si="4"/>
        <v>0</v>
      </c>
      <c r="S19" s="1"/>
      <c r="T19" s="1">
        <f>SUM(OSRRefT22_0x_0)</f>
        <v>21459.309999999998</v>
      </c>
      <c r="U19" s="1"/>
      <c r="V19" s="5">
        <f t="shared" si="5"/>
        <v>0</v>
      </c>
      <c r="W19" s="1"/>
      <c r="X19" s="1">
        <f t="shared" si="6"/>
        <v>-1550.2199999999975</v>
      </c>
      <c r="Y19" s="1"/>
      <c r="Z19" s="5">
        <f t="shared" si="7"/>
        <v>-7.2239974165059256E-2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322.3</v>
      </c>
      <c r="E20" s="2"/>
      <c r="F20" s="7">
        <f t="shared" si="0"/>
        <v>0</v>
      </c>
      <c r="G20" s="2"/>
      <c r="H20" s="6">
        <v>315.83999999999997</v>
      </c>
      <c r="I20" s="2"/>
      <c r="J20" s="7">
        <f t="shared" si="1"/>
        <v>0</v>
      </c>
      <c r="K20" s="2"/>
      <c r="L20" s="6">
        <f t="shared" si="2"/>
        <v>6.4600000000000364</v>
      </c>
      <c r="M20" s="2"/>
      <c r="N20" s="7">
        <f t="shared" si="3"/>
        <v>2.0453394123607006E-2</v>
      </c>
      <c r="O20" s="11"/>
      <c r="P20" s="6">
        <v>2704.06</v>
      </c>
      <c r="Q20" s="2"/>
      <c r="R20" s="7">
        <f t="shared" si="4"/>
        <v>0</v>
      </c>
      <c r="S20" s="2"/>
      <c r="T20" s="6">
        <v>2776.28</v>
      </c>
      <c r="U20" s="2"/>
      <c r="V20" s="7">
        <f t="shared" si="5"/>
        <v>0</v>
      </c>
      <c r="W20" s="2"/>
      <c r="X20" s="6">
        <f t="shared" si="6"/>
        <v>-72.220000000000255</v>
      </c>
      <c r="Y20" s="2"/>
      <c r="Z20" s="7">
        <f t="shared" si="7"/>
        <v>-2.601322633163811E-2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291.97000000000003</v>
      </c>
      <c r="E21" s="2"/>
      <c r="F21" s="7">
        <f t="shared" si="0"/>
        <v>0</v>
      </c>
      <c r="G21" s="2"/>
      <c r="H21" s="6">
        <v>279.52</v>
      </c>
      <c r="I21" s="2"/>
      <c r="J21" s="7">
        <f t="shared" si="1"/>
        <v>0</v>
      </c>
      <c r="K21" s="2"/>
      <c r="L21" s="6">
        <f t="shared" si="2"/>
        <v>12.450000000000045</v>
      </c>
      <c r="M21" s="2"/>
      <c r="N21" s="7">
        <f t="shared" si="3"/>
        <v>4.454064109902707E-2</v>
      </c>
      <c r="O21" s="11"/>
      <c r="P21" s="6">
        <v>2448.6999999999998</v>
      </c>
      <c r="Q21" s="2"/>
      <c r="R21" s="7">
        <f t="shared" si="4"/>
        <v>0</v>
      </c>
      <c r="S21" s="2"/>
      <c r="T21" s="6">
        <v>2092.9299999999998</v>
      </c>
      <c r="U21" s="2"/>
      <c r="V21" s="7">
        <f t="shared" si="5"/>
        <v>0</v>
      </c>
      <c r="W21" s="2"/>
      <c r="X21" s="6">
        <f t="shared" si="6"/>
        <v>355.77</v>
      </c>
      <c r="Y21" s="2"/>
      <c r="Z21" s="7">
        <f t="shared" si="7"/>
        <v>0.1699865738462347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699.91</v>
      </c>
      <c r="E22" s="2"/>
      <c r="F22" s="7">
        <f t="shared" si="0"/>
        <v>0</v>
      </c>
      <c r="G22" s="2"/>
      <c r="H22" s="6">
        <v>696.16</v>
      </c>
      <c r="I22" s="2"/>
      <c r="J22" s="7">
        <f t="shared" si="1"/>
        <v>0</v>
      </c>
      <c r="K22" s="2"/>
      <c r="L22" s="6">
        <f t="shared" si="2"/>
        <v>3.75</v>
      </c>
      <c r="M22" s="2"/>
      <c r="N22" s="7">
        <f t="shared" si="3"/>
        <v>5.3866927143185481E-3</v>
      </c>
      <c r="O22" s="11"/>
      <c r="P22" s="6">
        <v>5576.78</v>
      </c>
      <c r="Q22" s="2"/>
      <c r="R22" s="7">
        <f t="shared" si="4"/>
        <v>0</v>
      </c>
      <c r="S22" s="2"/>
      <c r="T22" s="6">
        <v>5563.16</v>
      </c>
      <c r="U22" s="2"/>
      <c r="V22" s="7">
        <f t="shared" si="5"/>
        <v>0</v>
      </c>
      <c r="W22" s="2"/>
      <c r="X22" s="6">
        <f t="shared" si="6"/>
        <v>13.619999999999891</v>
      </c>
      <c r="Y22" s="2"/>
      <c r="Z22" s="7">
        <f t="shared" si="7"/>
        <v>2.448248836991906E-3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10.95</v>
      </c>
      <c r="E23" s="2"/>
      <c r="F23" s="7">
        <f t="shared" si="0"/>
        <v>0</v>
      </c>
      <c r="G23" s="2"/>
      <c r="H23" s="6">
        <v>10.74</v>
      </c>
      <c r="I23" s="2"/>
      <c r="J23" s="7">
        <f t="shared" si="1"/>
        <v>0</v>
      </c>
      <c r="K23" s="2"/>
      <c r="L23" s="6">
        <f t="shared" si="2"/>
        <v>0.20999999999999908</v>
      </c>
      <c r="M23" s="2"/>
      <c r="N23" s="7">
        <f t="shared" si="3"/>
        <v>1.9553072625698237E-2</v>
      </c>
      <c r="O23" s="11"/>
      <c r="P23" s="6">
        <v>91.88</v>
      </c>
      <c r="Q23" s="2"/>
      <c r="R23" s="7">
        <f t="shared" si="4"/>
        <v>0</v>
      </c>
      <c r="S23" s="2"/>
      <c r="T23" s="6">
        <v>93.42</v>
      </c>
      <c r="U23" s="2"/>
      <c r="V23" s="7">
        <f t="shared" si="5"/>
        <v>0</v>
      </c>
      <c r="W23" s="2"/>
      <c r="X23" s="6">
        <f t="shared" si="6"/>
        <v>-1.5400000000000063</v>
      </c>
      <c r="Y23" s="2"/>
      <c r="Z23" s="7">
        <f t="shared" si="7"/>
        <v>-1.6484692785270885E-2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463.27</v>
      </c>
      <c r="E24" s="2"/>
      <c r="F24" s="7">
        <f t="shared" si="0"/>
        <v>0</v>
      </c>
      <c r="G24" s="2"/>
      <c r="H24" s="6">
        <v>429.26</v>
      </c>
      <c r="I24" s="2"/>
      <c r="J24" s="7">
        <f t="shared" si="1"/>
        <v>0</v>
      </c>
      <c r="K24" s="2"/>
      <c r="L24" s="6">
        <f t="shared" si="2"/>
        <v>34.009999999999991</v>
      </c>
      <c r="M24" s="2"/>
      <c r="N24" s="7">
        <f t="shared" si="3"/>
        <v>7.9229371476494406E-2</v>
      </c>
      <c r="O24" s="11"/>
      <c r="P24" s="6">
        <v>4169.4399999999996</v>
      </c>
      <c r="Q24" s="2"/>
      <c r="R24" s="7">
        <f t="shared" si="4"/>
        <v>0</v>
      </c>
      <c r="S24" s="2"/>
      <c r="T24" s="6">
        <v>3648.7</v>
      </c>
      <c r="U24" s="2"/>
      <c r="V24" s="7">
        <f t="shared" si="5"/>
        <v>0</v>
      </c>
      <c r="W24" s="2"/>
      <c r="X24" s="6">
        <f t="shared" si="6"/>
        <v>520.73999999999978</v>
      </c>
      <c r="Y24" s="2"/>
      <c r="Z24" s="7">
        <f t="shared" si="7"/>
        <v>0.14271932469098578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>
        <v>387.96</v>
      </c>
      <c r="E25" s="2"/>
      <c r="F25" s="7">
        <f t="shared" si="0"/>
        <v>0</v>
      </c>
      <c r="G25" s="2"/>
      <c r="H25" s="6">
        <v>387.96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2197.8200000000002</v>
      </c>
      <c r="Q25" s="2"/>
      <c r="R25" s="7">
        <f t="shared" si="4"/>
        <v>0</v>
      </c>
      <c r="S25" s="2"/>
      <c r="T25" s="6">
        <v>3612.89</v>
      </c>
      <c r="U25" s="2"/>
      <c r="V25" s="7">
        <f t="shared" si="5"/>
        <v>0</v>
      </c>
      <c r="W25" s="2"/>
      <c r="X25" s="6">
        <f t="shared" si="6"/>
        <v>-1415.0699999999997</v>
      </c>
      <c r="Y25" s="2"/>
      <c r="Z25" s="7">
        <f t="shared" si="7"/>
        <v>-0.39167259451574771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>
        <v>193.72</v>
      </c>
      <c r="E26" s="2"/>
      <c r="F26" s="7">
        <f t="shared" si="0"/>
        <v>0</v>
      </c>
      <c r="G26" s="2"/>
      <c r="H26" s="6">
        <v>193.72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1646.62</v>
      </c>
      <c r="Q26" s="2"/>
      <c r="R26" s="7">
        <f t="shared" si="4"/>
        <v>0</v>
      </c>
      <c r="S26" s="2"/>
      <c r="T26" s="6">
        <v>2491.66</v>
      </c>
      <c r="U26" s="2"/>
      <c r="V26" s="7">
        <f t="shared" si="5"/>
        <v>0</v>
      </c>
      <c r="W26" s="2"/>
      <c r="X26" s="6">
        <f t="shared" si="6"/>
        <v>-845.04</v>
      </c>
      <c r="Y26" s="2"/>
      <c r="Z26" s="7">
        <f t="shared" si="7"/>
        <v>-0.33914739571209557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6">
        <v>120</v>
      </c>
      <c r="E27" s="2"/>
      <c r="F27" s="7">
        <f t="shared" si="0"/>
        <v>0</v>
      </c>
      <c r="G27" s="2"/>
      <c r="H27" s="6">
        <v>147.27000000000001</v>
      </c>
      <c r="I27" s="2"/>
      <c r="J27" s="7">
        <f t="shared" si="1"/>
        <v>0</v>
      </c>
      <c r="K27" s="2"/>
      <c r="L27" s="6">
        <f t="shared" si="2"/>
        <v>-27.27000000000001</v>
      </c>
      <c r="M27" s="2"/>
      <c r="N27" s="7">
        <f t="shared" si="3"/>
        <v>-0.18517009574251381</v>
      </c>
      <c r="O27" s="11"/>
      <c r="P27" s="6">
        <v>1073.79</v>
      </c>
      <c r="Q27" s="2"/>
      <c r="R27" s="7">
        <f t="shared" si="4"/>
        <v>0</v>
      </c>
      <c r="S27" s="2"/>
      <c r="T27" s="6">
        <v>1180.27</v>
      </c>
      <c r="U27" s="2"/>
      <c r="V27" s="7">
        <f t="shared" si="5"/>
        <v>0</v>
      </c>
      <c r="W27" s="2"/>
      <c r="X27" s="6">
        <f t="shared" si="6"/>
        <v>-106.48000000000002</v>
      </c>
      <c r="Y27" s="2"/>
      <c r="Z27" s="7">
        <f t="shared" si="7"/>
        <v>-9.021664534386202E-2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3224.8</v>
      </c>
      <c r="E28" s="1"/>
      <c r="F28" s="5">
        <f t="shared" ref="F28:F36" si="8">IF(D$12=0,0,D28/D$12)</f>
        <v>0</v>
      </c>
      <c r="G28" s="1"/>
      <c r="H28" s="1">
        <f>SUM(OSRRefH22_1x_0)</f>
        <v>3254.8</v>
      </c>
      <c r="I28" s="1"/>
      <c r="J28" s="5">
        <f t="shared" ref="J28:J36" si="9">IF(H$12=0,0,H28/H$12)</f>
        <v>0</v>
      </c>
      <c r="K28" s="1"/>
      <c r="L28" s="1">
        <f t="shared" ref="L28:L36" si="10">+D28-H28</f>
        <v>-30</v>
      </c>
      <c r="M28" s="1"/>
      <c r="N28" s="5">
        <f t="shared" ref="N28:N36" si="11">IF(H28=0,0,L28/H28)</f>
        <v>-9.217156200073736E-3</v>
      </c>
      <c r="O28" s="13"/>
      <c r="P28" s="1">
        <f>SUM(OSRRefP22_1x_0)</f>
        <v>33747.96</v>
      </c>
      <c r="Q28" s="1"/>
      <c r="R28" s="5">
        <f t="shared" ref="R28:R36" si="12">IF(P$12=0,0,P28/P$12)</f>
        <v>0</v>
      </c>
      <c r="S28" s="1"/>
      <c r="T28" s="1">
        <f>SUM(OSRRefT22_1x_0)</f>
        <v>33348.700000000004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399.25999999999476</v>
      </c>
      <c r="Y28" s="1"/>
      <c r="Z28" s="5">
        <f t="shared" ref="Z28:Z36" si="15">IF(T28=0,0,X28/T28)</f>
        <v>1.1972280778560924E-2</v>
      </c>
    </row>
    <row r="29" spans="1:26" s="24" customFormat="1" hidden="1" outlineLevel="2" x14ac:dyDescent="0.25">
      <c r="A29" s="26"/>
      <c r="B29" s="11" t="str">
        <f>CONCATENATE("          ", "6002", " - ", "STAFF SALARIES")</f>
        <v xml:space="preserve">          6002 - STAFF SALARIES</v>
      </c>
      <c r="C29" s="11"/>
      <c r="D29" s="6">
        <v>3224.8</v>
      </c>
      <c r="E29" s="2"/>
      <c r="F29" s="7">
        <f t="shared" si="8"/>
        <v>0</v>
      </c>
      <c r="G29" s="2"/>
      <c r="H29" s="6">
        <v>3254.8</v>
      </c>
      <c r="I29" s="2"/>
      <c r="J29" s="7">
        <f t="shared" si="9"/>
        <v>0</v>
      </c>
      <c r="K29" s="2"/>
      <c r="L29" s="6">
        <f t="shared" si="10"/>
        <v>-30</v>
      </c>
      <c r="M29" s="2"/>
      <c r="N29" s="7">
        <f t="shared" si="11"/>
        <v>-9.217156200073736E-3</v>
      </c>
      <c r="O29" s="11"/>
      <c r="P29" s="6">
        <v>33747.96</v>
      </c>
      <c r="Q29" s="2"/>
      <c r="R29" s="7">
        <f t="shared" si="12"/>
        <v>0</v>
      </c>
      <c r="S29" s="2"/>
      <c r="T29" s="6">
        <v>33348.700000000004</v>
      </c>
      <c r="U29" s="2"/>
      <c r="V29" s="7">
        <f t="shared" si="13"/>
        <v>0</v>
      </c>
      <c r="W29" s="2"/>
      <c r="X29" s="6">
        <f t="shared" si="14"/>
        <v>399.25999999999476</v>
      </c>
      <c r="Y29" s="2"/>
      <c r="Z29" s="7">
        <f t="shared" si="15"/>
        <v>1.1972280778560924E-2</v>
      </c>
    </row>
    <row r="30" spans="1:26" s="25" customFormat="1" outlineLevel="1" collapsed="1" x14ac:dyDescent="0.25">
      <c r="A30" s="27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-90.83</v>
      </c>
      <c r="I30" s="1"/>
      <c r="J30" s="5">
        <f t="shared" si="9"/>
        <v>0</v>
      </c>
      <c r="K30" s="1"/>
      <c r="L30" s="1">
        <f t="shared" si="10"/>
        <v>90.83</v>
      </c>
      <c r="M30" s="1"/>
      <c r="N30" s="5">
        <f t="shared" si="11"/>
        <v>-1</v>
      </c>
      <c r="O30" s="13"/>
      <c r="P30" s="1">
        <f>SUM(OSRRefP22_2x_0)</f>
        <v>-238.8</v>
      </c>
      <c r="Q30" s="1"/>
      <c r="R30" s="5">
        <f t="shared" si="12"/>
        <v>0</v>
      </c>
      <c r="S30" s="1"/>
      <c r="T30" s="1">
        <f>SUM(OSRRefT22_2x_0)</f>
        <v>-709.61</v>
      </c>
      <c r="U30" s="1"/>
      <c r="V30" s="5">
        <f t="shared" si="13"/>
        <v>0</v>
      </c>
      <c r="W30" s="1"/>
      <c r="X30" s="1">
        <f t="shared" si="14"/>
        <v>470.81</v>
      </c>
      <c r="Y30" s="1"/>
      <c r="Z30" s="5">
        <f t="shared" si="15"/>
        <v>-0.66347712123560831</v>
      </c>
    </row>
    <row r="31" spans="1:26" s="24" customFormat="1" hidden="1" outlineLevel="2" x14ac:dyDescent="0.25">
      <c r="A31" s="26"/>
      <c r="B31" s="11" t="str">
        <f>CONCATENATE("          ", "6279", " - ", "GENERAL EXPENSE")</f>
        <v xml:space="preserve">          6279 - GENERAL EXPENSE</v>
      </c>
      <c r="C31" s="11"/>
      <c r="D31" s="6"/>
      <c r="E31" s="2"/>
      <c r="F31" s="7">
        <f t="shared" si="8"/>
        <v>0</v>
      </c>
      <c r="G31" s="2"/>
      <c r="H31" s="6">
        <v>-90.83</v>
      </c>
      <c r="I31" s="2"/>
      <c r="J31" s="7">
        <f t="shared" si="9"/>
        <v>0</v>
      </c>
      <c r="K31" s="2"/>
      <c r="L31" s="6">
        <f t="shared" si="10"/>
        <v>90.83</v>
      </c>
      <c r="M31" s="2"/>
      <c r="N31" s="7">
        <f t="shared" si="11"/>
        <v>-1</v>
      </c>
      <c r="O31" s="11"/>
      <c r="P31" s="6">
        <v>-238.8</v>
      </c>
      <c r="Q31" s="2"/>
      <c r="R31" s="7">
        <f t="shared" si="12"/>
        <v>0</v>
      </c>
      <c r="S31" s="2"/>
      <c r="T31" s="6">
        <v>-709.61</v>
      </c>
      <c r="U31" s="2"/>
      <c r="V31" s="7">
        <f t="shared" si="13"/>
        <v>0</v>
      </c>
      <c r="W31" s="2"/>
      <c r="X31" s="6">
        <f t="shared" si="14"/>
        <v>470.81</v>
      </c>
      <c r="Y31" s="2"/>
      <c r="Z31" s="7">
        <f t="shared" si="15"/>
        <v>-0.66347712123560831</v>
      </c>
    </row>
    <row r="32" spans="1:26" s="25" customFormat="1" outlineLevel="1" collapsed="1" x14ac:dyDescent="0.25">
      <c r="A32" s="27"/>
      <c r="B32" s="13" t="str">
        <f>CONCATENATE("     ","Insurance                                         ")</f>
        <v xml:space="preserve">     Insurance                                         </v>
      </c>
      <c r="C32" s="13"/>
      <c r="D32" s="1">
        <f>SUM(OSRRefD22_3x_0)</f>
        <v>24.56</v>
      </c>
      <c r="E32" s="1"/>
      <c r="F32" s="5">
        <f t="shared" si="8"/>
        <v>0</v>
      </c>
      <c r="G32" s="1"/>
      <c r="H32" s="1">
        <f>SUM(OSRRefH22_3x_0)</f>
        <v>24.56</v>
      </c>
      <c r="I32" s="1"/>
      <c r="J32" s="5">
        <f t="shared" si="9"/>
        <v>0</v>
      </c>
      <c r="K32" s="1"/>
      <c r="L32" s="1">
        <f t="shared" si="10"/>
        <v>0</v>
      </c>
      <c r="M32" s="1"/>
      <c r="N32" s="5">
        <f t="shared" si="11"/>
        <v>0</v>
      </c>
      <c r="O32" s="13"/>
      <c r="P32" s="1">
        <f>SUM(OSRRefP22_3x_0)</f>
        <v>196.48</v>
      </c>
      <c r="Q32" s="1"/>
      <c r="R32" s="5">
        <f t="shared" si="12"/>
        <v>0</v>
      </c>
      <c r="S32" s="1"/>
      <c r="T32" s="1">
        <f>SUM(OSRRefT22_3x_0)</f>
        <v>196.48</v>
      </c>
      <c r="U32" s="1"/>
      <c r="V32" s="5">
        <f t="shared" si="13"/>
        <v>0</v>
      </c>
      <c r="W32" s="1"/>
      <c r="X32" s="1">
        <f t="shared" si="14"/>
        <v>0</v>
      </c>
      <c r="Y32" s="1"/>
      <c r="Z32" s="5">
        <f t="shared" si="15"/>
        <v>0</v>
      </c>
    </row>
    <row r="33" spans="1:26" s="24" customFormat="1" hidden="1" outlineLevel="2" x14ac:dyDescent="0.25">
      <c r="A33" s="26"/>
      <c r="B33" s="11" t="str">
        <f>CONCATENATE("          ", "6314", " - ", "LIABILITY INSURANCE")</f>
        <v xml:space="preserve">          6314 - LIABILITY INSURANCE</v>
      </c>
      <c r="C33" s="11"/>
      <c r="D33" s="6">
        <v>24.56</v>
      </c>
      <c r="E33" s="2"/>
      <c r="F33" s="7">
        <f t="shared" si="8"/>
        <v>0</v>
      </c>
      <c r="G33" s="2"/>
      <c r="H33" s="6">
        <v>24.56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>
        <v>196.48</v>
      </c>
      <c r="Q33" s="2"/>
      <c r="R33" s="7">
        <f t="shared" si="12"/>
        <v>0</v>
      </c>
      <c r="S33" s="2"/>
      <c r="T33" s="6">
        <v>196.48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5" customFormat="1" outlineLevel="1" collapsed="1" x14ac:dyDescent="0.25">
      <c r="A34" s="27"/>
      <c r="B34" s="13" t="str">
        <f>CONCATENATE("     ","Repair and Maintenance                            ")</f>
        <v xml:space="preserve">     Repair and Maintenance                            </v>
      </c>
      <c r="C34" s="13"/>
      <c r="D34" s="1">
        <f>SUM(OSRRefD22_4x_0)</f>
        <v>891.98</v>
      </c>
      <c r="E34" s="1"/>
      <c r="F34" s="5">
        <f t="shared" si="8"/>
        <v>0</v>
      </c>
      <c r="G34" s="1"/>
      <c r="H34" s="1">
        <f>SUM(OSRRefH22_4x_0)</f>
        <v>1455.95</v>
      </c>
      <c r="I34" s="1"/>
      <c r="J34" s="5">
        <f t="shared" si="9"/>
        <v>0</v>
      </c>
      <c r="K34" s="1"/>
      <c r="L34" s="1">
        <f t="shared" si="10"/>
        <v>-563.97</v>
      </c>
      <c r="M34" s="1"/>
      <c r="N34" s="5">
        <f t="shared" si="11"/>
        <v>-0.38735533500463615</v>
      </c>
      <c r="O34" s="13"/>
      <c r="P34" s="1">
        <f>SUM(OSRRefP22_4x_0)</f>
        <v>8284.25</v>
      </c>
      <c r="Q34" s="1"/>
      <c r="R34" s="5">
        <f t="shared" si="12"/>
        <v>0</v>
      </c>
      <c r="S34" s="1"/>
      <c r="T34" s="1">
        <f>SUM(OSRRefT22_4x_0)</f>
        <v>10452.76</v>
      </c>
      <c r="U34" s="1"/>
      <c r="V34" s="5">
        <f t="shared" si="13"/>
        <v>0</v>
      </c>
      <c r="W34" s="1"/>
      <c r="X34" s="1">
        <f t="shared" si="14"/>
        <v>-2168.5100000000002</v>
      </c>
      <c r="Y34" s="1"/>
      <c r="Z34" s="5">
        <f t="shared" si="15"/>
        <v>-0.20745812589210891</v>
      </c>
    </row>
    <row r="35" spans="1:26" s="24" customFormat="1" hidden="1" outlineLevel="2" x14ac:dyDescent="0.25">
      <c r="A35" s="26"/>
      <c r="B35" s="11" t="str">
        <f>CONCATENATE("          ", "6373", " - ", "MAINTENANCE CONTRACTS")</f>
        <v xml:space="preserve">          6373 - MAINTENANCE CONTRACTS</v>
      </c>
      <c r="C35" s="11"/>
      <c r="D35" s="6">
        <v>891.98</v>
      </c>
      <c r="E35" s="2"/>
      <c r="F35" s="7">
        <f t="shared" si="8"/>
        <v>0</v>
      </c>
      <c r="G35" s="2"/>
      <c r="H35" s="6">
        <v>1455.95</v>
      </c>
      <c r="I35" s="2"/>
      <c r="J35" s="7">
        <f t="shared" si="9"/>
        <v>0</v>
      </c>
      <c r="K35" s="2"/>
      <c r="L35" s="6">
        <f t="shared" si="10"/>
        <v>-563.97</v>
      </c>
      <c r="M35" s="2"/>
      <c r="N35" s="7">
        <f t="shared" si="11"/>
        <v>-0.38735533500463615</v>
      </c>
      <c r="O35" s="11"/>
      <c r="P35" s="6">
        <v>6113.96</v>
      </c>
      <c r="Q35" s="2"/>
      <c r="R35" s="7">
        <f t="shared" si="12"/>
        <v>0</v>
      </c>
      <c r="S35" s="2"/>
      <c r="T35" s="6">
        <v>9891.65</v>
      </c>
      <c r="U35" s="2"/>
      <c r="V35" s="7">
        <f t="shared" si="13"/>
        <v>0</v>
      </c>
      <c r="W35" s="2"/>
      <c r="X35" s="6">
        <f t="shared" si="14"/>
        <v>-3777.6899999999996</v>
      </c>
      <c r="Y35" s="2"/>
      <c r="Z35" s="7">
        <f t="shared" si="15"/>
        <v>-0.38190696193253904</v>
      </c>
    </row>
    <row r="36" spans="1:26" s="24" customFormat="1" hidden="1" outlineLevel="2" x14ac:dyDescent="0.25">
      <c r="A36" s="26"/>
      <c r="B36" s="11" t="str">
        <f>CONCATENATE("          ", "6375", " - ", "OUTSIDE REPAIRS &amp; MAINTENANCE")</f>
        <v xml:space="preserve">          6375 - OUTSIDE REPAIRS &amp; MAINTENANCE</v>
      </c>
      <c r="C36" s="11"/>
      <c r="D36" s="6"/>
      <c r="E36" s="2"/>
      <c r="F36" s="7">
        <f t="shared" si="8"/>
        <v>0</v>
      </c>
      <c r="G36" s="2"/>
      <c r="H36" s="6"/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>
        <v>2170.29</v>
      </c>
      <c r="Q36" s="2"/>
      <c r="R36" s="7">
        <f t="shared" si="12"/>
        <v>0</v>
      </c>
      <c r="S36" s="2"/>
      <c r="T36" s="6">
        <v>561.11</v>
      </c>
      <c r="U36" s="2"/>
      <c r="V36" s="7">
        <f t="shared" si="13"/>
        <v>0</v>
      </c>
      <c r="W36" s="2"/>
      <c r="X36" s="6">
        <f t="shared" si="14"/>
        <v>1609.1799999999998</v>
      </c>
      <c r="Y36" s="2"/>
      <c r="Z36" s="7">
        <f t="shared" si="15"/>
        <v>2.8678512234677687</v>
      </c>
    </row>
    <row r="37" spans="1:26" s="25" customFormat="1" outlineLevel="1" collapsed="1" x14ac:dyDescent="0.25">
      <c r="A37" s="27"/>
      <c r="B37" s="13" t="str">
        <f>CONCATENATE("     ","Services                                          ")</f>
        <v xml:space="preserve">     Services                                          </v>
      </c>
      <c r="C37" s="13"/>
      <c r="D37" s="1">
        <f>SUM(OSRRefD22_5x_0)</f>
        <v>0</v>
      </c>
      <c r="E37" s="1"/>
      <c r="F37" s="5">
        <f t="shared" ref="F37:F42" si="16">IF(D$12=0,0,D37/D$12)</f>
        <v>0</v>
      </c>
      <c r="G37" s="1"/>
      <c r="H37" s="1">
        <f>SUM(OSRRefH22_5x_0)</f>
        <v>13.26</v>
      </c>
      <c r="I37" s="1"/>
      <c r="J37" s="5">
        <f t="shared" ref="J37:J42" si="17">IF(H$12=0,0,H37/H$12)</f>
        <v>0</v>
      </c>
      <c r="K37" s="1"/>
      <c r="L37" s="1">
        <f t="shared" ref="L37:L42" si="18">+D37-H37</f>
        <v>-13.26</v>
      </c>
      <c r="M37" s="1"/>
      <c r="N37" s="5">
        <f t="shared" ref="N37:N42" si="19">IF(H37=0,0,L37/H37)</f>
        <v>-1</v>
      </c>
      <c r="O37" s="13"/>
      <c r="P37" s="1">
        <f>SUM(OSRRefP22_5x_0)</f>
        <v>0</v>
      </c>
      <c r="Q37" s="1"/>
      <c r="R37" s="5">
        <f t="shared" ref="R37:R42" si="20">IF(P$12=0,0,P37/P$12)</f>
        <v>0</v>
      </c>
      <c r="S37" s="1"/>
      <c r="T37" s="1">
        <f>SUM(OSRRefT22_5x_0)</f>
        <v>70.72</v>
      </c>
      <c r="U37" s="1"/>
      <c r="V37" s="5">
        <f t="shared" ref="V37:V42" si="21">IF(T$12=0,0,T37/T$12)</f>
        <v>0</v>
      </c>
      <c r="W37" s="1"/>
      <c r="X37" s="1">
        <f t="shared" ref="X37:X42" si="22">+P37-T37</f>
        <v>-70.72</v>
      </c>
      <c r="Y37" s="1"/>
      <c r="Z37" s="5">
        <f t="shared" ref="Z37:Z42" si="23">IF(T37=0,0,X37/T37)</f>
        <v>-1</v>
      </c>
    </row>
    <row r="38" spans="1:26" s="24" customFormat="1" hidden="1" outlineLevel="2" x14ac:dyDescent="0.25">
      <c r="A38" s="26"/>
      <c r="B38" s="11" t="str">
        <f>CONCATENATE("          ", "6286", " - ", "LAUNDRY EXPENSE")</f>
        <v xml:space="preserve">          6286 - LAUNDRY EXPENSE</v>
      </c>
      <c r="C38" s="11"/>
      <c r="D38" s="6"/>
      <c r="E38" s="2"/>
      <c r="F38" s="7">
        <f t="shared" si="16"/>
        <v>0</v>
      </c>
      <c r="G38" s="2"/>
      <c r="H38" s="6">
        <v>13.26</v>
      </c>
      <c r="I38" s="2"/>
      <c r="J38" s="7">
        <f t="shared" si="17"/>
        <v>0</v>
      </c>
      <c r="K38" s="2"/>
      <c r="L38" s="6">
        <f t="shared" si="18"/>
        <v>-13.26</v>
      </c>
      <c r="M38" s="2"/>
      <c r="N38" s="7">
        <f t="shared" si="19"/>
        <v>-1</v>
      </c>
      <c r="O38" s="11"/>
      <c r="P38" s="6"/>
      <c r="Q38" s="2"/>
      <c r="R38" s="7">
        <f t="shared" si="20"/>
        <v>0</v>
      </c>
      <c r="S38" s="2"/>
      <c r="T38" s="6">
        <v>70.72</v>
      </c>
      <c r="U38" s="2"/>
      <c r="V38" s="7">
        <f t="shared" si="21"/>
        <v>0</v>
      </c>
      <c r="W38" s="2"/>
      <c r="X38" s="6">
        <f t="shared" si="22"/>
        <v>-70.72</v>
      </c>
      <c r="Y38" s="2"/>
      <c r="Z38" s="7">
        <f t="shared" si="23"/>
        <v>-1</v>
      </c>
    </row>
    <row r="39" spans="1:26" s="25" customFormat="1" outlineLevel="1" collapsed="1" x14ac:dyDescent="0.25">
      <c r="A39" s="27"/>
      <c r="B39" s="13" t="str">
        <f>CONCATENATE("     ","Supplies                                          ")</f>
        <v xml:space="preserve">     Supplies                                          </v>
      </c>
      <c r="C39" s="13"/>
      <c r="D39" s="1">
        <f>SUM(OSRRefD22_6x_0)</f>
        <v>2.8</v>
      </c>
      <c r="E39" s="1"/>
      <c r="F39" s="5">
        <f t="shared" si="16"/>
        <v>0</v>
      </c>
      <c r="G39" s="1"/>
      <c r="H39" s="1">
        <f>SUM(OSRRefH22_6x_0)</f>
        <v>65.89</v>
      </c>
      <c r="I39" s="1"/>
      <c r="J39" s="5">
        <f t="shared" si="17"/>
        <v>0</v>
      </c>
      <c r="K39" s="1"/>
      <c r="L39" s="1">
        <f t="shared" si="18"/>
        <v>-63.09</v>
      </c>
      <c r="M39" s="1"/>
      <c r="N39" s="5">
        <f t="shared" si="19"/>
        <v>-0.95750493246319623</v>
      </c>
      <c r="O39" s="13"/>
      <c r="P39" s="1">
        <f>SUM(OSRRefP22_6x_0)</f>
        <v>84.84</v>
      </c>
      <c r="Q39" s="1"/>
      <c r="R39" s="5">
        <f t="shared" si="20"/>
        <v>0</v>
      </c>
      <c r="S39" s="1"/>
      <c r="T39" s="1">
        <f>SUM(OSRRefT22_6x_0)</f>
        <v>1123.9000000000001</v>
      </c>
      <c r="U39" s="1"/>
      <c r="V39" s="5">
        <f t="shared" si="21"/>
        <v>0</v>
      </c>
      <c r="W39" s="1"/>
      <c r="X39" s="1">
        <f t="shared" si="22"/>
        <v>-1039.0600000000002</v>
      </c>
      <c r="Y39" s="1"/>
      <c r="Z39" s="5">
        <f t="shared" si="23"/>
        <v>-0.92451285701574881</v>
      </c>
    </row>
    <row r="40" spans="1:26" s="24" customFormat="1" hidden="1" outlineLevel="2" x14ac:dyDescent="0.25">
      <c r="A40" s="26"/>
      <c r="B40" s="11" t="str">
        <f>CONCATENATE("          ", "6234", " - ", "EXPENDABLE SUPPLIES &amp; EQUIPMEN")</f>
        <v xml:space="preserve">          6234 - EXPENDABLE SUPPLIES &amp; EQUIPMEN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/>
      <c r="Q40" s="2"/>
      <c r="R40" s="7">
        <f t="shared" si="20"/>
        <v>0</v>
      </c>
      <c r="S40" s="2"/>
      <c r="T40" s="6">
        <v>1006.59</v>
      </c>
      <c r="U40" s="2"/>
      <c r="V40" s="7">
        <f t="shared" si="21"/>
        <v>0</v>
      </c>
      <c r="W40" s="2"/>
      <c r="X40" s="6">
        <f t="shared" si="22"/>
        <v>-1006.59</v>
      </c>
      <c r="Y40" s="2"/>
      <c r="Z40" s="7">
        <f t="shared" si="23"/>
        <v>-1</v>
      </c>
    </row>
    <row r="41" spans="1:26" s="24" customFormat="1" hidden="1" outlineLevel="2" x14ac:dyDescent="0.25">
      <c r="A41" s="26"/>
      <c r="B41" s="11" t="str">
        <f>CONCATENATE("          ", "6235", " - ", "COVID-19 EXPENSES")</f>
        <v xml:space="preserve">          6235 - COVID-19 EXPENSES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>
        <v>66.12</v>
      </c>
      <c r="Q41" s="2"/>
      <c r="R41" s="7">
        <f t="shared" si="20"/>
        <v>0</v>
      </c>
      <c r="S41" s="2"/>
      <c r="T41" s="6"/>
      <c r="U41" s="2"/>
      <c r="V41" s="7">
        <f t="shared" si="21"/>
        <v>0</v>
      </c>
      <c r="W41" s="2"/>
      <c r="X41" s="6">
        <f t="shared" si="22"/>
        <v>66.12</v>
      </c>
      <c r="Y41" s="2"/>
      <c r="Z41" s="7">
        <f t="shared" si="23"/>
        <v>0</v>
      </c>
    </row>
    <row r="42" spans="1:26" s="24" customFormat="1" hidden="1" outlineLevel="2" x14ac:dyDescent="0.25">
      <c r="A42" s="26"/>
      <c r="B42" s="11" t="str">
        <f>CONCATENATE("          ", "6241", " - ", "OFFICE EXPENSE")</f>
        <v xml:space="preserve">          6241 - OFFICE EXPENSE</v>
      </c>
      <c r="C42" s="11"/>
      <c r="D42" s="6">
        <v>2.8</v>
      </c>
      <c r="E42" s="2"/>
      <c r="F42" s="7">
        <f t="shared" si="16"/>
        <v>0</v>
      </c>
      <c r="G42" s="2"/>
      <c r="H42" s="6">
        <v>65.89</v>
      </c>
      <c r="I42" s="2"/>
      <c r="J42" s="7">
        <f t="shared" si="17"/>
        <v>0</v>
      </c>
      <c r="K42" s="2"/>
      <c r="L42" s="6">
        <f t="shared" si="18"/>
        <v>-63.09</v>
      </c>
      <c r="M42" s="2"/>
      <c r="N42" s="7">
        <f t="shared" si="19"/>
        <v>-0.95750493246319623</v>
      </c>
      <c r="O42" s="11"/>
      <c r="P42" s="6">
        <v>18.72</v>
      </c>
      <c r="Q42" s="2"/>
      <c r="R42" s="7">
        <f t="shared" si="20"/>
        <v>0</v>
      </c>
      <c r="S42" s="2"/>
      <c r="T42" s="6">
        <v>117.31</v>
      </c>
      <c r="U42" s="2"/>
      <c r="V42" s="7">
        <f t="shared" si="21"/>
        <v>0</v>
      </c>
      <c r="W42" s="2"/>
      <c r="X42" s="6">
        <f t="shared" si="22"/>
        <v>-98.59</v>
      </c>
      <c r="Y42" s="2"/>
      <c r="Z42" s="7">
        <f t="shared" si="23"/>
        <v>-0.84042281135453079</v>
      </c>
    </row>
    <row r="43" spans="1:26" s="25" customFormat="1" outlineLevel="1" collapsed="1" x14ac:dyDescent="0.25">
      <c r="A43" s="27"/>
      <c r="B43" s="13" t="str">
        <f>CONCATENATE("     ","Telephone/Data Lines                              ")</f>
        <v xml:space="preserve">     Telephone/Data Lines                              </v>
      </c>
      <c r="C43" s="13"/>
      <c r="D43" s="1">
        <f>SUM(OSRRefD22_7x_0)</f>
        <v>23</v>
      </c>
      <c r="E43" s="1"/>
      <c r="F43" s="5">
        <f t="shared" ref="F43:F46" si="24">IF(D$12=0,0,D43/D$12)</f>
        <v>0</v>
      </c>
      <c r="G43" s="1"/>
      <c r="H43" s="1">
        <f>SUM(OSRRefH22_7x_0)</f>
        <v>-75.7</v>
      </c>
      <c r="I43" s="1"/>
      <c r="J43" s="5">
        <f t="shared" ref="J43:J46" si="25">IF(H$12=0,0,H43/H$12)</f>
        <v>0</v>
      </c>
      <c r="K43" s="1"/>
      <c r="L43" s="1">
        <f t="shared" ref="L43:L46" si="26">+D43-H43</f>
        <v>98.7</v>
      </c>
      <c r="M43" s="1"/>
      <c r="N43" s="5">
        <f t="shared" ref="N43:N46" si="27">IF(H43=0,0,L43/H43)</f>
        <v>-1.3038309114927344</v>
      </c>
      <c r="O43" s="13"/>
      <c r="P43" s="1">
        <f>SUM(OSRRefP22_7x_0)</f>
        <v>463</v>
      </c>
      <c r="Q43" s="1"/>
      <c r="R43" s="5">
        <f t="shared" ref="R43:R46" si="28">IF(P$12=0,0,P43/P$12)</f>
        <v>0</v>
      </c>
      <c r="S43" s="1"/>
      <c r="T43" s="1">
        <f>SUM(OSRRefT22_7x_0)</f>
        <v>534.5</v>
      </c>
      <c r="U43" s="1"/>
      <c r="V43" s="5">
        <f t="shared" ref="V43:V46" si="29">IF(T$12=0,0,T43/T$12)</f>
        <v>0</v>
      </c>
      <c r="W43" s="1"/>
      <c r="X43" s="1">
        <f t="shared" ref="X43:X46" si="30">+P43-T43</f>
        <v>-71.5</v>
      </c>
      <c r="Y43" s="1"/>
      <c r="Z43" s="5">
        <f t="shared" ref="Z43:Z46" si="31">IF(T43=0,0,X43/T43)</f>
        <v>-0.13376987839101964</v>
      </c>
    </row>
    <row r="44" spans="1:26" s="24" customFormat="1" hidden="1" outlineLevel="2" x14ac:dyDescent="0.25">
      <c r="A44" s="26"/>
      <c r="B44" s="11" t="str">
        <f>CONCATENATE("          ", "6309", " - ", "TELEPHONE")</f>
        <v xml:space="preserve">          6309 - TELEPHONE</v>
      </c>
      <c r="C44" s="11"/>
      <c r="D44" s="6">
        <v>23</v>
      </c>
      <c r="E44" s="2"/>
      <c r="F44" s="7">
        <f t="shared" si="24"/>
        <v>0</v>
      </c>
      <c r="G44" s="2"/>
      <c r="H44" s="6">
        <v>-75.7</v>
      </c>
      <c r="I44" s="2"/>
      <c r="J44" s="7">
        <f t="shared" si="25"/>
        <v>0</v>
      </c>
      <c r="K44" s="2"/>
      <c r="L44" s="6">
        <f t="shared" si="26"/>
        <v>98.7</v>
      </c>
      <c r="M44" s="2"/>
      <c r="N44" s="7">
        <f t="shared" si="27"/>
        <v>-1.3038309114927344</v>
      </c>
      <c r="O44" s="11"/>
      <c r="P44" s="6">
        <v>463</v>
      </c>
      <c r="Q44" s="2"/>
      <c r="R44" s="7">
        <f t="shared" si="28"/>
        <v>0</v>
      </c>
      <c r="S44" s="2"/>
      <c r="T44" s="6">
        <v>534.5</v>
      </c>
      <c r="U44" s="2"/>
      <c r="V44" s="7">
        <f t="shared" si="29"/>
        <v>0</v>
      </c>
      <c r="W44" s="2"/>
      <c r="X44" s="6">
        <f t="shared" si="30"/>
        <v>-71.5</v>
      </c>
      <c r="Y44" s="2"/>
      <c r="Z44" s="7">
        <f t="shared" si="31"/>
        <v>-0.13376987839101964</v>
      </c>
    </row>
    <row r="45" spans="1:26" s="25" customFormat="1" outlineLevel="1" collapsed="1" x14ac:dyDescent="0.25">
      <c r="A45" s="27"/>
      <c r="B45" s="13" t="str">
        <f>CONCATENATE("     ","Travel                                            ")</f>
        <v xml:space="preserve">     Travel                                            </v>
      </c>
      <c r="C45" s="13"/>
      <c r="D45" s="1">
        <f>SUM(OSRRefD22_8x_0)</f>
        <v>0</v>
      </c>
      <c r="E45" s="1"/>
      <c r="F45" s="5">
        <f t="shared" si="24"/>
        <v>0</v>
      </c>
      <c r="G45" s="1"/>
      <c r="H45" s="1">
        <f>SUM(OSRRefH22_8x_0)</f>
        <v>0</v>
      </c>
      <c r="I45" s="1"/>
      <c r="J45" s="5">
        <f t="shared" si="25"/>
        <v>0</v>
      </c>
      <c r="K45" s="1"/>
      <c r="L45" s="1">
        <f t="shared" si="26"/>
        <v>0</v>
      </c>
      <c r="M45" s="1"/>
      <c r="N45" s="5">
        <f t="shared" si="27"/>
        <v>0</v>
      </c>
      <c r="O45" s="13"/>
      <c r="P45" s="1">
        <f>SUM(OSRRefP22_8x_0)</f>
        <v>0</v>
      </c>
      <c r="Q45" s="1"/>
      <c r="R45" s="5">
        <f t="shared" si="28"/>
        <v>0</v>
      </c>
      <c r="S45" s="1"/>
      <c r="T45" s="1">
        <f>SUM(OSRRefT22_8x_0)</f>
        <v>256.86</v>
      </c>
      <c r="U45" s="1"/>
      <c r="V45" s="5">
        <f t="shared" si="29"/>
        <v>0</v>
      </c>
      <c r="W45" s="1"/>
      <c r="X45" s="1">
        <f t="shared" si="30"/>
        <v>-256.86</v>
      </c>
      <c r="Y45" s="1"/>
      <c r="Z45" s="5">
        <f t="shared" si="31"/>
        <v>-1</v>
      </c>
    </row>
    <row r="46" spans="1:26" s="24" customFormat="1" hidden="1" outlineLevel="2" x14ac:dyDescent="0.25">
      <c r="A46" s="26"/>
      <c r="B46" s="11" t="str">
        <f>CONCATENATE("          ", "6292", " - ", "TRAVEL/CONFERENCE")</f>
        <v xml:space="preserve">          6292 - TRAVEL/CONFERENCE</v>
      </c>
      <c r="C46" s="11"/>
      <c r="D46" s="6"/>
      <c r="E46" s="2"/>
      <c r="F46" s="7">
        <f t="shared" si="24"/>
        <v>0</v>
      </c>
      <c r="G46" s="2"/>
      <c r="H46" s="6"/>
      <c r="I46" s="2"/>
      <c r="J46" s="7">
        <f t="shared" si="25"/>
        <v>0</v>
      </c>
      <c r="K46" s="2"/>
      <c r="L46" s="6">
        <f t="shared" si="26"/>
        <v>0</v>
      </c>
      <c r="M46" s="2"/>
      <c r="N46" s="7">
        <f t="shared" si="27"/>
        <v>0</v>
      </c>
      <c r="O46" s="11"/>
      <c r="P46" s="6"/>
      <c r="Q46" s="2"/>
      <c r="R46" s="7">
        <f t="shared" si="28"/>
        <v>0</v>
      </c>
      <c r="S46" s="2"/>
      <c r="T46" s="6">
        <v>256.86</v>
      </c>
      <c r="U46" s="2"/>
      <c r="V46" s="7">
        <f t="shared" si="29"/>
        <v>0</v>
      </c>
      <c r="W46" s="2"/>
      <c r="X46" s="6">
        <f t="shared" si="30"/>
        <v>-256.86</v>
      </c>
      <c r="Y46" s="2"/>
      <c r="Z46" s="7">
        <f t="shared" si="31"/>
        <v>-1</v>
      </c>
    </row>
    <row r="47" spans="1:26" s="52" customFormat="1" x14ac:dyDescent="0.25">
      <c r="A47" s="37"/>
      <c r="B47" s="37"/>
      <c r="C47" s="37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8" t="s">
        <v>0</v>
      </c>
      <c r="C48" s="10"/>
      <c r="D48" s="4">
        <f>SUM(0)</f>
        <v>0</v>
      </c>
      <c r="E48" s="4"/>
      <c r="F48" s="12">
        <f>IF(D$12=0,0,D48/D$12)</f>
        <v>0</v>
      </c>
      <c r="G48" s="4"/>
      <c r="H48" s="4">
        <f>SUM(0)</f>
        <v>0</v>
      </c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>
        <f>SUM(0)</f>
        <v>0</v>
      </c>
      <c r="Q48" s="4"/>
      <c r="R48" s="12">
        <f>IF(P$12=0,0,P48/P$12)</f>
        <v>0</v>
      </c>
      <c r="S48" s="4"/>
      <c r="T48" s="4">
        <f>SUM(0)</f>
        <v>0</v>
      </c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9" t="s">
        <v>3</v>
      </c>
      <c r="C50" s="29"/>
      <c r="D50" s="22">
        <f>+D16-D18+D48</f>
        <v>-6657.22</v>
      </c>
      <c r="E50" s="14"/>
      <c r="F50" s="20">
        <f>IF(D$12=0,0,D50/D$12)</f>
        <v>0</v>
      </c>
      <c r="G50" s="14"/>
      <c r="H50" s="22">
        <f>+H16-H18+H48</f>
        <v>-7108.4000000000015</v>
      </c>
      <c r="I50" s="14"/>
      <c r="J50" s="20">
        <f>IF(H$12=0,0,H50/H$12)</f>
        <v>0</v>
      </c>
      <c r="K50" s="16"/>
      <c r="L50" s="22">
        <f>+D50-H50</f>
        <v>451.1800000000012</v>
      </c>
      <c r="M50" s="16"/>
      <c r="N50" s="20">
        <f>IF(H50=0,0,L50/H50)</f>
        <v>-6.3471385965899657E-2</v>
      </c>
      <c r="O50" s="28"/>
      <c r="P50" s="22">
        <f>+P16-P18+P48</f>
        <v>-62446.820000000007</v>
      </c>
      <c r="Q50" s="14"/>
      <c r="R50" s="20">
        <f>IF(P$12=0,0,P50/P$12)</f>
        <v>0</v>
      </c>
      <c r="S50" s="14"/>
      <c r="T50" s="22">
        <f>+T16-T18+T48</f>
        <v>-66733.62000000001</v>
      </c>
      <c r="U50" s="14"/>
      <c r="V50" s="20">
        <f>IF(T$12=0,0,T50/T$12)</f>
        <v>0</v>
      </c>
      <c r="W50" s="16"/>
      <c r="X50" s="22">
        <f>+P50-T50</f>
        <v>4286.8000000000029</v>
      </c>
      <c r="Y50" s="16"/>
      <c r="Z50" s="20">
        <f>IF(T50=0,0,X50/T50)</f>
        <v>-6.4237486292516466E-2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51"/>
      <c r="B52" s="10" t="s">
        <v>13</v>
      </c>
      <c r="C52" s="10"/>
      <c r="D52" s="4"/>
      <c r="E52" s="4"/>
      <c r="F52" s="12">
        <f>IF(D$12=0,0,D52/D$12)</f>
        <v>0</v>
      </c>
      <c r="G52" s="4"/>
      <c r="H52" s="4"/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/>
      <c r="Q52" s="4"/>
      <c r="R52" s="12">
        <f>IF(P$12=0,0,P52/P$12)</f>
        <v>0</v>
      </c>
      <c r="S52" s="4"/>
      <c r="T52" s="4"/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.75" thickBot="1" x14ac:dyDescent="0.3">
      <c r="A54" s="10"/>
      <c r="B54" s="29" t="s">
        <v>4</v>
      </c>
      <c r="C54" s="29"/>
      <c r="D54" s="35">
        <f>+D50-D52</f>
        <v>-6657.22</v>
      </c>
      <c r="E54" s="14"/>
      <c r="F54" s="36">
        <f>IF(D$12=0,0,D54/D$12)</f>
        <v>0</v>
      </c>
      <c r="G54" s="14"/>
      <c r="H54" s="35">
        <f>+H50-H52</f>
        <v>-7108.4000000000015</v>
      </c>
      <c r="I54" s="14"/>
      <c r="J54" s="36">
        <f>IF(H$12=0,0,H54/H$12)</f>
        <v>0</v>
      </c>
      <c r="K54" s="16"/>
      <c r="L54" s="35">
        <f>D54-H54</f>
        <v>451.1800000000012</v>
      </c>
      <c r="M54" s="16"/>
      <c r="N54" s="36">
        <f>IF(H54=0,0,L54/H54)</f>
        <v>-6.3471385965899657E-2</v>
      </c>
      <c r="O54" s="28"/>
      <c r="P54" s="35">
        <f>+P50-P52</f>
        <v>-62446.820000000007</v>
      </c>
      <c r="Q54" s="14"/>
      <c r="R54" s="36">
        <f>IF(P$12=0,0,P54/P$12)</f>
        <v>0</v>
      </c>
      <c r="S54" s="14"/>
      <c r="T54" s="35">
        <f>+T50-T52</f>
        <v>-66733.62000000001</v>
      </c>
      <c r="U54" s="14"/>
      <c r="V54" s="36">
        <f>IF(T$12=0,0,T54/T$12)</f>
        <v>0</v>
      </c>
      <c r="W54" s="16"/>
      <c r="X54" s="35">
        <f>P54-T54</f>
        <v>4286.8000000000029</v>
      </c>
      <c r="Y54" s="16"/>
      <c r="Z54" s="36">
        <f>IF(T54=0,0,X54/T54)</f>
        <v>-6.4237486292516466E-2</v>
      </c>
    </row>
    <row r="55" spans="1:26" ht="15.75" thickTop="1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9" t="s">
        <v>5</v>
      </c>
      <c r="C57" s="29"/>
      <c r="D57" s="31">
        <f>SUM(D54:D56)</f>
        <v>-6657.22</v>
      </c>
      <c r="E57" s="14"/>
      <c r="F57" s="33">
        <f>IF(D$12=0,0,D57/D$12)</f>
        <v>0</v>
      </c>
      <c r="G57" s="14"/>
      <c r="H57" s="31">
        <f>SUM(H54:H56)</f>
        <v>-7108.4000000000015</v>
      </c>
      <c r="I57" s="14"/>
      <c r="J57" s="33">
        <f>IF(H$12=0,0,H57/H$12)</f>
        <v>0</v>
      </c>
      <c r="K57" s="16"/>
      <c r="L57" s="31">
        <f>+D57-H57</f>
        <v>451.1800000000012</v>
      </c>
      <c r="M57" s="16"/>
      <c r="N57" s="33">
        <f>IF(H57=0,0,L57/H57)</f>
        <v>-6.3471385965899657E-2</v>
      </c>
      <c r="O57" s="28"/>
      <c r="P57" s="31">
        <f>SUM(P54:P56)</f>
        <v>-62446.820000000007</v>
      </c>
      <c r="Q57" s="14"/>
      <c r="R57" s="33">
        <f>IF(P$12=0,0,P57/P$12)</f>
        <v>0</v>
      </c>
      <c r="S57" s="14"/>
      <c r="T57" s="31">
        <f>SUM(T54:T56)</f>
        <v>-66733.62000000001</v>
      </c>
      <c r="U57" s="14"/>
      <c r="V57" s="33">
        <f>IF(T$12=0,0,T57/T$12)</f>
        <v>0</v>
      </c>
      <c r="W57" s="16"/>
      <c r="X57" s="31">
        <f>+P57-T57</f>
        <v>4286.8000000000029</v>
      </c>
      <c r="Y57" s="16"/>
      <c r="Z57" s="33">
        <f>IF(T57=0,0,X57/T57)</f>
        <v>-6.4237486292516466E-2</v>
      </c>
    </row>
    <row r="58" spans="1:26" ht="15.75" thickTop="1" x14ac:dyDescent="0.25">
      <c r="A58" s="9"/>
      <c r="C58" s="9"/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  <row r="59" spans="1:26" x14ac:dyDescent="0.25">
      <c r="A59" s="9"/>
      <c r="B59" s="56">
        <v>44267.668088576385</v>
      </c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A60" s="9"/>
      <c r="B60" s="54" t="s">
        <v>313</v>
      </c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25">
      <c r="A61" s="9"/>
      <c r="B61" s="58"/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25"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","206", " - ", "Graphics")</f>
        <v>Department 206 - Graphics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8181.4500000000007</v>
      </c>
      <c r="E18" s="21"/>
      <c r="F18" s="32">
        <f t="shared" ref="F18:F27" si="0">IF(D$12=0,0,D18/D$12)</f>
        <v>0</v>
      </c>
      <c r="G18" s="21"/>
      <c r="H18" s="21">
        <f>SUM(OSRRefH22x_0)</f>
        <v>12035.209999999997</v>
      </c>
      <c r="I18" s="21"/>
      <c r="J18" s="32">
        <f t="shared" ref="J18:J27" si="1">IF(H$12=0,0,H18/H$12)</f>
        <v>0</v>
      </c>
      <c r="K18" s="4"/>
      <c r="L18" s="21">
        <f t="shared" ref="L18:L27" si="2">+D18-H18</f>
        <v>-3853.7599999999966</v>
      </c>
      <c r="M18" s="4"/>
      <c r="N18" s="32">
        <f t="shared" ref="N18:N27" si="3">IF(H18=0,0,L18/H18)</f>
        <v>-0.32020712559232428</v>
      </c>
      <c r="O18" s="10"/>
      <c r="P18" s="21">
        <f>SUM(OSRRefP22x_0)</f>
        <v>70827.299999999988</v>
      </c>
      <c r="Q18" s="21"/>
      <c r="R18" s="32">
        <f t="shared" ref="R18:R27" si="4">IF(P$12=0,0,P18/P$12)</f>
        <v>0</v>
      </c>
      <c r="S18" s="21"/>
      <c r="T18" s="21">
        <f>SUM(OSRRefT22x_0)</f>
        <v>63852.78</v>
      </c>
      <c r="U18" s="21"/>
      <c r="V18" s="32">
        <f t="shared" ref="V18:V27" si="5">IF(T$12=0,0,T18/T$12)</f>
        <v>0</v>
      </c>
      <c r="W18" s="4"/>
      <c r="X18" s="21">
        <f t="shared" ref="X18:X27" si="6">+P18-T18</f>
        <v>6974.5199999999895</v>
      </c>
      <c r="Y18" s="4"/>
      <c r="Z18" s="32">
        <f t="shared" ref="Z18:Z27" si="7">IF(T18=0,0,X18/T18)</f>
        <v>0.10922813384162741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2006.0500000000002</v>
      </c>
      <c r="E19" s="1"/>
      <c r="F19" s="5">
        <f t="shared" si="0"/>
        <v>0</v>
      </c>
      <c r="G19" s="1"/>
      <c r="H19" s="1">
        <f>SUM(OSRRefH22_0x_0)</f>
        <v>1696.64</v>
      </c>
      <c r="I19" s="1"/>
      <c r="J19" s="5">
        <f t="shared" si="1"/>
        <v>0</v>
      </c>
      <c r="K19" s="1"/>
      <c r="L19" s="1">
        <f t="shared" si="2"/>
        <v>309.41000000000008</v>
      </c>
      <c r="M19" s="1"/>
      <c r="N19" s="5">
        <f t="shared" si="3"/>
        <v>0.18236632402866845</v>
      </c>
      <c r="O19" s="13"/>
      <c r="P19" s="1">
        <f>SUM(OSRRefP22_0x_0)</f>
        <v>13521.12</v>
      </c>
      <c r="Q19" s="1"/>
      <c r="R19" s="5">
        <f t="shared" si="4"/>
        <v>0</v>
      </c>
      <c r="S19" s="1"/>
      <c r="T19" s="1">
        <f>SUM(OSRRefT22_0x_0)</f>
        <v>14595.919999999998</v>
      </c>
      <c r="U19" s="1"/>
      <c r="V19" s="5">
        <f t="shared" si="5"/>
        <v>0</v>
      </c>
      <c r="W19" s="1"/>
      <c r="X19" s="1">
        <f t="shared" si="6"/>
        <v>-1074.7999999999975</v>
      </c>
      <c r="Y19" s="1"/>
      <c r="Z19" s="5">
        <f t="shared" si="7"/>
        <v>-7.3637016371698227E-2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399.03</v>
      </c>
      <c r="E20" s="2"/>
      <c r="F20" s="7">
        <f t="shared" si="0"/>
        <v>0</v>
      </c>
      <c r="G20" s="2"/>
      <c r="H20" s="6">
        <v>348.96</v>
      </c>
      <c r="I20" s="2"/>
      <c r="J20" s="7">
        <f t="shared" si="1"/>
        <v>0</v>
      </c>
      <c r="K20" s="2"/>
      <c r="L20" s="6">
        <f t="shared" si="2"/>
        <v>50.069999999999993</v>
      </c>
      <c r="M20" s="2"/>
      <c r="N20" s="7">
        <f t="shared" si="3"/>
        <v>0.1434834938101788</v>
      </c>
      <c r="O20" s="11"/>
      <c r="P20" s="6">
        <v>3203.12</v>
      </c>
      <c r="Q20" s="2"/>
      <c r="R20" s="7">
        <f t="shared" si="4"/>
        <v>0</v>
      </c>
      <c r="S20" s="2"/>
      <c r="T20" s="6">
        <v>3834.18</v>
      </c>
      <c r="U20" s="2"/>
      <c r="V20" s="7">
        <f t="shared" si="5"/>
        <v>0</v>
      </c>
      <c r="W20" s="2"/>
      <c r="X20" s="6">
        <f t="shared" si="6"/>
        <v>-631.05999999999995</v>
      </c>
      <c r="Y20" s="2"/>
      <c r="Z20" s="7">
        <f t="shared" si="7"/>
        <v>-0.16458799534711463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19.989999999999998</v>
      </c>
      <c r="E21" s="2"/>
      <c r="F21" s="7">
        <f t="shared" si="0"/>
        <v>0</v>
      </c>
      <c r="G21" s="2"/>
      <c r="H21" s="6">
        <v>37.46</v>
      </c>
      <c r="I21" s="2"/>
      <c r="J21" s="7">
        <f t="shared" si="1"/>
        <v>0</v>
      </c>
      <c r="K21" s="2"/>
      <c r="L21" s="6">
        <f t="shared" si="2"/>
        <v>-17.470000000000002</v>
      </c>
      <c r="M21" s="2"/>
      <c r="N21" s="7">
        <f t="shared" si="3"/>
        <v>-0.4663641217298452</v>
      </c>
      <c r="O21" s="11"/>
      <c r="P21" s="6">
        <v>169.27</v>
      </c>
      <c r="Q21" s="2"/>
      <c r="R21" s="7">
        <f t="shared" si="4"/>
        <v>0</v>
      </c>
      <c r="S21" s="2"/>
      <c r="T21" s="6">
        <v>184.72</v>
      </c>
      <c r="U21" s="2"/>
      <c r="V21" s="7">
        <f t="shared" si="5"/>
        <v>0</v>
      </c>
      <c r="W21" s="2"/>
      <c r="X21" s="6">
        <f t="shared" si="6"/>
        <v>-15.449999999999989</v>
      </c>
      <c r="Y21" s="2"/>
      <c r="Z21" s="7">
        <f t="shared" si="7"/>
        <v>-8.3640103941099983E-2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704.62</v>
      </c>
      <c r="E22" s="2"/>
      <c r="F22" s="7">
        <f t="shared" si="0"/>
        <v>0</v>
      </c>
      <c r="G22" s="2"/>
      <c r="H22" s="6">
        <v>700.87</v>
      </c>
      <c r="I22" s="2"/>
      <c r="J22" s="7">
        <f t="shared" si="1"/>
        <v>0</v>
      </c>
      <c r="K22" s="2"/>
      <c r="L22" s="6">
        <f t="shared" si="2"/>
        <v>3.75</v>
      </c>
      <c r="M22" s="2"/>
      <c r="N22" s="7">
        <f t="shared" si="3"/>
        <v>5.350492958751266E-3</v>
      </c>
      <c r="O22" s="11"/>
      <c r="P22" s="6">
        <v>5614.46</v>
      </c>
      <c r="Q22" s="2"/>
      <c r="R22" s="7">
        <f t="shared" si="4"/>
        <v>0</v>
      </c>
      <c r="S22" s="2"/>
      <c r="T22" s="6">
        <v>5607.2</v>
      </c>
      <c r="U22" s="2"/>
      <c r="V22" s="7">
        <f t="shared" si="5"/>
        <v>0</v>
      </c>
      <c r="W22" s="2"/>
      <c r="X22" s="6">
        <f t="shared" si="6"/>
        <v>7.2600000000002183</v>
      </c>
      <c r="Y22" s="2"/>
      <c r="Z22" s="7">
        <f t="shared" si="7"/>
        <v>1.2947638750178733E-3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15.75</v>
      </c>
      <c r="E23" s="2"/>
      <c r="F23" s="7">
        <f t="shared" si="0"/>
        <v>0</v>
      </c>
      <c r="G23" s="2"/>
      <c r="H23" s="6">
        <v>28.65</v>
      </c>
      <c r="I23" s="2"/>
      <c r="J23" s="7">
        <f t="shared" si="1"/>
        <v>0</v>
      </c>
      <c r="K23" s="2"/>
      <c r="L23" s="6">
        <f t="shared" si="2"/>
        <v>-12.899999999999999</v>
      </c>
      <c r="M23" s="2"/>
      <c r="N23" s="7">
        <f t="shared" si="3"/>
        <v>-0.45026178010471202</v>
      </c>
      <c r="O23" s="11"/>
      <c r="P23" s="6">
        <v>133.37</v>
      </c>
      <c r="Q23" s="2"/>
      <c r="R23" s="7">
        <f t="shared" si="4"/>
        <v>0</v>
      </c>
      <c r="S23" s="2"/>
      <c r="T23" s="6">
        <v>217.43</v>
      </c>
      <c r="U23" s="2"/>
      <c r="V23" s="7">
        <f t="shared" si="5"/>
        <v>0</v>
      </c>
      <c r="W23" s="2"/>
      <c r="X23" s="6">
        <f t="shared" si="6"/>
        <v>-84.06</v>
      </c>
      <c r="Y23" s="2"/>
      <c r="Z23" s="7">
        <f t="shared" si="7"/>
        <v>-0.38660718392126203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368.66</v>
      </c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368.66</v>
      </c>
      <c r="M24" s="2"/>
      <c r="N24" s="7">
        <f t="shared" si="3"/>
        <v>0</v>
      </c>
      <c r="O24" s="11"/>
      <c r="P24" s="6">
        <v>810.5</v>
      </c>
      <c r="Q24" s="2"/>
      <c r="R24" s="7">
        <f t="shared" si="4"/>
        <v>0</v>
      </c>
      <c r="S24" s="2"/>
      <c r="T24" s="6"/>
      <c r="U24" s="2"/>
      <c r="V24" s="7">
        <f t="shared" si="5"/>
        <v>0</v>
      </c>
      <c r="W24" s="2"/>
      <c r="X24" s="6">
        <f t="shared" si="6"/>
        <v>810.5</v>
      </c>
      <c r="Y24" s="2"/>
      <c r="Z24" s="7">
        <f t="shared" si="7"/>
        <v>0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>
        <v>276.60000000000002</v>
      </c>
      <c r="E25" s="2"/>
      <c r="F25" s="7">
        <f t="shared" si="0"/>
        <v>0</v>
      </c>
      <c r="G25" s="2"/>
      <c r="H25" s="6">
        <v>184.8</v>
      </c>
      <c r="I25" s="2"/>
      <c r="J25" s="7">
        <f t="shared" si="1"/>
        <v>0</v>
      </c>
      <c r="K25" s="2"/>
      <c r="L25" s="6">
        <f t="shared" si="2"/>
        <v>91.800000000000011</v>
      </c>
      <c r="M25" s="2"/>
      <c r="N25" s="7">
        <f t="shared" si="3"/>
        <v>0.49675324675324678</v>
      </c>
      <c r="O25" s="11"/>
      <c r="P25" s="6">
        <v>1708.5</v>
      </c>
      <c r="Q25" s="2"/>
      <c r="R25" s="7">
        <f t="shared" si="4"/>
        <v>0</v>
      </c>
      <c r="S25" s="2"/>
      <c r="T25" s="6">
        <v>1570.8</v>
      </c>
      <c r="U25" s="2"/>
      <c r="V25" s="7">
        <f t="shared" si="5"/>
        <v>0</v>
      </c>
      <c r="W25" s="2"/>
      <c r="X25" s="6">
        <f t="shared" si="6"/>
        <v>137.70000000000005</v>
      </c>
      <c r="Y25" s="2"/>
      <c r="Z25" s="7">
        <f t="shared" si="7"/>
        <v>8.7662337662337692E-2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>
        <v>221.4</v>
      </c>
      <c r="E26" s="2"/>
      <c r="F26" s="7">
        <f t="shared" si="0"/>
        <v>0</v>
      </c>
      <c r="G26" s="2"/>
      <c r="H26" s="6">
        <v>221.4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1881.9</v>
      </c>
      <c r="Q26" s="2"/>
      <c r="R26" s="7">
        <f t="shared" si="4"/>
        <v>0</v>
      </c>
      <c r="S26" s="2"/>
      <c r="T26" s="6">
        <v>1881.9</v>
      </c>
      <c r="U26" s="2"/>
      <c r="V26" s="7">
        <f t="shared" si="5"/>
        <v>0</v>
      </c>
      <c r="W26" s="2"/>
      <c r="X26" s="6">
        <f t="shared" si="6"/>
        <v>0</v>
      </c>
      <c r="Y26" s="2"/>
      <c r="Z26" s="7">
        <f t="shared" si="7"/>
        <v>0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6"/>
      <c r="E27" s="2"/>
      <c r="F27" s="7">
        <f t="shared" si="0"/>
        <v>0</v>
      </c>
      <c r="G27" s="2"/>
      <c r="H27" s="6">
        <v>174.5</v>
      </c>
      <c r="I27" s="2"/>
      <c r="J27" s="7">
        <f t="shared" si="1"/>
        <v>0</v>
      </c>
      <c r="K27" s="2"/>
      <c r="L27" s="6">
        <f t="shared" si="2"/>
        <v>-174.5</v>
      </c>
      <c r="M27" s="2"/>
      <c r="N27" s="7">
        <f t="shared" si="3"/>
        <v>-1</v>
      </c>
      <c r="O27" s="11"/>
      <c r="P27" s="6"/>
      <c r="Q27" s="2"/>
      <c r="R27" s="7">
        <f t="shared" si="4"/>
        <v>0</v>
      </c>
      <c r="S27" s="2"/>
      <c r="T27" s="6">
        <v>1299.69</v>
      </c>
      <c r="U27" s="2"/>
      <c r="V27" s="7">
        <f t="shared" si="5"/>
        <v>0</v>
      </c>
      <c r="W27" s="2"/>
      <c r="X27" s="6">
        <f t="shared" si="6"/>
        <v>-1299.69</v>
      </c>
      <c r="Y27" s="2"/>
      <c r="Z27" s="7">
        <f t="shared" si="7"/>
        <v>-1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5792.93</v>
      </c>
      <c r="E28" s="1"/>
      <c r="F28" s="5">
        <f t="shared" ref="F28:F32" si="8">IF(D$12=0,0,D28/D$12)</f>
        <v>0</v>
      </c>
      <c r="G28" s="1"/>
      <c r="H28" s="1">
        <f>SUM(OSRRefH22_1x_0)</f>
        <v>10549.55</v>
      </c>
      <c r="I28" s="1"/>
      <c r="J28" s="5">
        <f t="shared" ref="J28:J32" si="9">IF(H$12=0,0,H28/H$12)</f>
        <v>0</v>
      </c>
      <c r="K28" s="1"/>
      <c r="L28" s="1">
        <f t="shared" ref="L28:L32" si="10">+D28-H28</f>
        <v>-4756.619999999999</v>
      </c>
      <c r="M28" s="1"/>
      <c r="N28" s="5">
        <f t="shared" ref="N28:N32" si="11">IF(H28=0,0,L28/H28)</f>
        <v>-0.45088368698190912</v>
      </c>
      <c r="O28" s="13"/>
      <c r="P28" s="1">
        <f>SUM(OSRRefP22_1x_0)</f>
        <v>53769.409999999996</v>
      </c>
      <c r="Q28" s="1"/>
      <c r="R28" s="5">
        <f t="shared" ref="R28:R32" si="12">IF(P$12=0,0,P28/P$12)</f>
        <v>0</v>
      </c>
      <c r="S28" s="1"/>
      <c r="T28" s="1">
        <f>SUM(OSRRefT22_1x_0)</f>
        <v>87582.080000000002</v>
      </c>
      <c r="U28" s="1"/>
      <c r="V28" s="5">
        <f t="shared" ref="V28:V32" si="13">IF(T$12=0,0,T28/T$12)</f>
        <v>0</v>
      </c>
      <c r="W28" s="1"/>
      <c r="X28" s="1">
        <f t="shared" ref="X28:X32" si="14">+P28-T28</f>
        <v>-33812.670000000006</v>
      </c>
      <c r="Y28" s="1"/>
      <c r="Z28" s="5">
        <f t="shared" ref="Z28:Z32" si="15">IF(T28=0,0,X28/T28)</f>
        <v>-0.3860683601028887</v>
      </c>
    </row>
    <row r="29" spans="1:26" s="24" customFormat="1" hidden="1" outlineLevel="2" x14ac:dyDescent="0.25">
      <c r="A29" s="26"/>
      <c r="B29" s="11" t="str">
        <f>CONCATENATE("          ", "6004", " - ", "STAFF HOURLY")</f>
        <v xml:space="preserve">          6004 - STAFF HOURLY</v>
      </c>
      <c r="C29" s="11"/>
      <c r="D29" s="6">
        <v>5475</v>
      </c>
      <c r="E29" s="2"/>
      <c r="F29" s="7">
        <f t="shared" si="8"/>
        <v>0</v>
      </c>
      <c r="G29" s="2"/>
      <c r="H29" s="6">
        <v>4835.3999999999996</v>
      </c>
      <c r="I29" s="2"/>
      <c r="J29" s="7">
        <f t="shared" si="9"/>
        <v>0</v>
      </c>
      <c r="K29" s="2"/>
      <c r="L29" s="6">
        <f t="shared" si="10"/>
        <v>639.60000000000036</v>
      </c>
      <c r="M29" s="2"/>
      <c r="N29" s="7">
        <f t="shared" si="11"/>
        <v>0.13227447574140722</v>
      </c>
      <c r="O29" s="11"/>
      <c r="P29" s="6">
        <v>42080.1</v>
      </c>
      <c r="Q29" s="2"/>
      <c r="R29" s="7">
        <f t="shared" si="12"/>
        <v>0</v>
      </c>
      <c r="S29" s="2"/>
      <c r="T29" s="6">
        <v>40809.15</v>
      </c>
      <c r="U29" s="2"/>
      <c r="V29" s="7">
        <f t="shared" si="13"/>
        <v>0</v>
      </c>
      <c r="W29" s="2"/>
      <c r="X29" s="6">
        <f t="shared" si="14"/>
        <v>1270.9499999999971</v>
      </c>
      <c r="Y29" s="2"/>
      <c r="Z29" s="7">
        <f t="shared" si="15"/>
        <v>3.1143750849993129E-2</v>
      </c>
    </row>
    <row r="30" spans="1:26" s="24" customFormat="1" hidden="1" outlineLevel="2" x14ac:dyDescent="0.25">
      <c r="A30" s="26"/>
      <c r="B30" s="11" t="str">
        <f>CONCATENATE("          ", "6006", " - ", "TEMPORARY PART TIME")</f>
        <v xml:space="preserve">          6006 - TEMPORARY PART TIME</v>
      </c>
      <c r="C30" s="11"/>
      <c r="D30" s="6"/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2361.4299999999998</v>
      </c>
      <c r="U30" s="2"/>
      <c r="V30" s="7">
        <f t="shared" si="13"/>
        <v>0</v>
      </c>
      <c r="W30" s="2"/>
      <c r="X30" s="6">
        <f t="shared" si="14"/>
        <v>-2361.4299999999998</v>
      </c>
      <c r="Y30" s="2"/>
      <c r="Z30" s="7">
        <f t="shared" si="15"/>
        <v>-1</v>
      </c>
    </row>
    <row r="31" spans="1:26" s="24" customFormat="1" hidden="1" outlineLevel="2" x14ac:dyDescent="0.25">
      <c r="A31" s="26"/>
      <c r="B31" s="11" t="str">
        <f>CONCATENATE("          ", "6007", " - ", "STUDENT HOURLY")</f>
        <v xml:space="preserve">          6007 - STUDENT HOURLY</v>
      </c>
      <c r="C31" s="11"/>
      <c r="D31" s="6">
        <v>-838</v>
      </c>
      <c r="E31" s="2"/>
      <c r="F31" s="7">
        <f t="shared" si="8"/>
        <v>0</v>
      </c>
      <c r="G31" s="2"/>
      <c r="H31" s="6">
        <v>4539.6099999999997</v>
      </c>
      <c r="I31" s="2"/>
      <c r="J31" s="7">
        <f t="shared" si="9"/>
        <v>0</v>
      </c>
      <c r="K31" s="2"/>
      <c r="L31" s="6">
        <f t="shared" si="10"/>
        <v>-5377.61</v>
      </c>
      <c r="M31" s="2"/>
      <c r="N31" s="7">
        <f t="shared" si="11"/>
        <v>-1.1845973552794182</v>
      </c>
      <c r="O31" s="11"/>
      <c r="P31" s="6">
        <v>938</v>
      </c>
      <c r="Q31" s="2"/>
      <c r="R31" s="7">
        <f t="shared" si="12"/>
        <v>0</v>
      </c>
      <c r="S31" s="2"/>
      <c r="T31" s="6">
        <v>37409.64</v>
      </c>
      <c r="U31" s="2"/>
      <c r="V31" s="7">
        <f t="shared" si="13"/>
        <v>0</v>
      </c>
      <c r="W31" s="2"/>
      <c r="X31" s="6">
        <f t="shared" si="14"/>
        <v>-36471.64</v>
      </c>
      <c r="Y31" s="2"/>
      <c r="Z31" s="7">
        <f t="shared" si="15"/>
        <v>-0.97492624895615143</v>
      </c>
    </row>
    <row r="32" spans="1:26" s="24" customFormat="1" hidden="1" outlineLevel="2" x14ac:dyDescent="0.25">
      <c r="A32" s="26"/>
      <c r="B32" s="11" t="str">
        <f>CONCATENATE("          ", "6008", " - ", "STUDENT HOURLY-FICA EXEMPT")</f>
        <v xml:space="preserve">          6008 - STUDENT HOURLY-FICA EXEMPT</v>
      </c>
      <c r="C32" s="11"/>
      <c r="D32" s="6">
        <v>1155.93</v>
      </c>
      <c r="E32" s="2"/>
      <c r="F32" s="7">
        <f t="shared" si="8"/>
        <v>0</v>
      </c>
      <c r="G32" s="2"/>
      <c r="H32" s="6">
        <v>1174.54</v>
      </c>
      <c r="I32" s="2"/>
      <c r="J32" s="7">
        <f t="shared" si="9"/>
        <v>0</v>
      </c>
      <c r="K32" s="2"/>
      <c r="L32" s="6">
        <f t="shared" si="10"/>
        <v>-18.6099999999999</v>
      </c>
      <c r="M32" s="2"/>
      <c r="N32" s="7">
        <f t="shared" si="11"/>
        <v>-1.5844500825855142E-2</v>
      </c>
      <c r="O32" s="11"/>
      <c r="P32" s="6">
        <v>10751.31</v>
      </c>
      <c r="Q32" s="2"/>
      <c r="R32" s="7">
        <f t="shared" si="12"/>
        <v>0</v>
      </c>
      <c r="S32" s="2"/>
      <c r="T32" s="6">
        <v>7001.86</v>
      </c>
      <c r="U32" s="2"/>
      <c r="V32" s="7">
        <f t="shared" si="13"/>
        <v>0</v>
      </c>
      <c r="W32" s="2"/>
      <c r="X32" s="6">
        <f t="shared" si="14"/>
        <v>3749.45</v>
      </c>
      <c r="Y32" s="2"/>
      <c r="Z32" s="7">
        <f t="shared" si="15"/>
        <v>0.53549342603251138</v>
      </c>
    </row>
    <row r="33" spans="1:26" s="25" customFormat="1" outlineLevel="1" collapsed="1" x14ac:dyDescent="0.25">
      <c r="A33" s="27"/>
      <c r="B33" s="13" t="str">
        <f>CONCATENATE("     ","Advertising/Promo                                 ")</f>
        <v xml:space="preserve">     Advertising/Promo                                 </v>
      </c>
      <c r="C33" s="13"/>
      <c r="D33" s="1">
        <f>SUM(OSRRefD22_2x_0)</f>
        <v>346.42</v>
      </c>
      <c r="E33" s="1"/>
      <c r="F33" s="5">
        <f t="shared" ref="F33:F41" si="16">IF(D$12=0,0,D33/D$12)</f>
        <v>0</v>
      </c>
      <c r="G33" s="1"/>
      <c r="H33" s="1">
        <f>SUM(OSRRefH22_2x_0)</f>
        <v>-5068.72</v>
      </c>
      <c r="I33" s="1"/>
      <c r="J33" s="5">
        <f t="shared" ref="J33:J41" si="17">IF(H$12=0,0,H33/H$12)</f>
        <v>0</v>
      </c>
      <c r="K33" s="1"/>
      <c r="L33" s="1">
        <f t="shared" ref="L33:L41" si="18">+D33-H33</f>
        <v>5415.14</v>
      </c>
      <c r="M33" s="1"/>
      <c r="N33" s="5">
        <f t="shared" ref="N33:N41" si="19">IF(H33=0,0,L33/H33)</f>
        <v>-1.0683446708439213</v>
      </c>
      <c r="O33" s="13"/>
      <c r="P33" s="1">
        <f>SUM(OSRRefP22_2x_0)</f>
        <v>1385.68</v>
      </c>
      <c r="Q33" s="1"/>
      <c r="R33" s="5">
        <f t="shared" ref="R33:R41" si="20">IF(P$12=0,0,P33/P$12)</f>
        <v>0</v>
      </c>
      <c r="S33" s="1"/>
      <c r="T33" s="1">
        <f>SUM(OSRRefT22_2x_0)</f>
        <v>-48025.8</v>
      </c>
      <c r="U33" s="1"/>
      <c r="V33" s="5">
        <f t="shared" ref="V33:V41" si="21">IF(T$12=0,0,T33/T$12)</f>
        <v>0</v>
      </c>
      <c r="W33" s="1"/>
      <c r="X33" s="1">
        <f t="shared" ref="X33:X41" si="22">+P33-T33</f>
        <v>49411.48</v>
      </c>
      <c r="Y33" s="1"/>
      <c r="Z33" s="5">
        <f t="shared" ref="Z33:Z41" si="23">IF(T33=0,0,X33/T33)</f>
        <v>-1.028852824939928</v>
      </c>
    </row>
    <row r="34" spans="1:26" s="24" customFormat="1" hidden="1" outlineLevel="2" x14ac:dyDescent="0.25">
      <c r="A34" s="26"/>
      <c r="B34" s="11" t="str">
        <f>CONCATENATE("          ", "6362", " - ", "ADVERTISING EXPENSE")</f>
        <v xml:space="preserve">          6362 - ADVERTISING EXPENSE</v>
      </c>
      <c r="C34" s="11"/>
      <c r="D34" s="6">
        <v>346.42</v>
      </c>
      <c r="E34" s="2"/>
      <c r="F34" s="7">
        <f t="shared" si="16"/>
        <v>0</v>
      </c>
      <c r="G34" s="2"/>
      <c r="H34" s="6">
        <v>-5068.72</v>
      </c>
      <c r="I34" s="2"/>
      <c r="J34" s="7">
        <f t="shared" si="17"/>
        <v>0</v>
      </c>
      <c r="K34" s="2"/>
      <c r="L34" s="6">
        <f t="shared" si="18"/>
        <v>5415.14</v>
      </c>
      <c r="M34" s="2"/>
      <c r="N34" s="7">
        <f t="shared" si="19"/>
        <v>-1.0683446708439213</v>
      </c>
      <c r="O34" s="11"/>
      <c r="P34" s="6">
        <v>1385.68</v>
      </c>
      <c r="Q34" s="2"/>
      <c r="R34" s="7">
        <f t="shared" si="20"/>
        <v>0</v>
      </c>
      <c r="S34" s="2"/>
      <c r="T34" s="6">
        <v>-48025.8</v>
      </c>
      <c r="U34" s="2"/>
      <c r="V34" s="7">
        <f t="shared" si="21"/>
        <v>0</v>
      </c>
      <c r="W34" s="2"/>
      <c r="X34" s="6">
        <f t="shared" si="22"/>
        <v>49411.48</v>
      </c>
      <c r="Y34" s="2"/>
      <c r="Z34" s="7">
        <f t="shared" si="23"/>
        <v>-1.028852824939928</v>
      </c>
    </row>
    <row r="35" spans="1:26" s="25" customFormat="1" outlineLevel="1" collapsed="1" x14ac:dyDescent="0.25">
      <c r="A35" s="27"/>
      <c r="B35" s="13" t="str">
        <f>CONCATENATE("     ","Depreciation                                      ")</f>
        <v xml:space="preserve">     Depreciation                                      </v>
      </c>
      <c r="C35" s="13"/>
      <c r="D35" s="1">
        <f>SUM(OSRRefD22_3x_0)</f>
        <v>0.05</v>
      </c>
      <c r="E35" s="1"/>
      <c r="F35" s="5">
        <f t="shared" si="16"/>
        <v>0</v>
      </c>
      <c r="G35" s="1"/>
      <c r="H35" s="1">
        <f>SUM(OSRRefH22_3x_0)</f>
        <v>295.67</v>
      </c>
      <c r="I35" s="1"/>
      <c r="J35" s="5">
        <f t="shared" si="17"/>
        <v>0</v>
      </c>
      <c r="K35" s="1"/>
      <c r="L35" s="1">
        <f t="shared" si="18"/>
        <v>-295.62</v>
      </c>
      <c r="M35" s="1"/>
      <c r="N35" s="5">
        <f t="shared" si="19"/>
        <v>-0.99983089254912572</v>
      </c>
      <c r="O35" s="13"/>
      <c r="P35" s="1">
        <f>SUM(OSRRefP22_3x_0)</f>
        <v>1898.94</v>
      </c>
      <c r="Q35" s="1"/>
      <c r="R35" s="5">
        <f t="shared" si="20"/>
        <v>0</v>
      </c>
      <c r="S35" s="1"/>
      <c r="T35" s="1">
        <f>SUM(OSRRefT22_3x_0)</f>
        <v>2365.36</v>
      </c>
      <c r="U35" s="1"/>
      <c r="V35" s="5">
        <f t="shared" si="21"/>
        <v>0</v>
      </c>
      <c r="W35" s="1"/>
      <c r="X35" s="1">
        <f t="shared" si="22"/>
        <v>-466.42000000000007</v>
      </c>
      <c r="Y35" s="1"/>
      <c r="Z35" s="5">
        <f t="shared" si="23"/>
        <v>-0.19718774309196066</v>
      </c>
    </row>
    <row r="36" spans="1:26" s="24" customFormat="1" hidden="1" outlineLevel="2" x14ac:dyDescent="0.25">
      <c r="A36" s="26"/>
      <c r="B36" s="11" t="str">
        <f>CONCATENATE("          ", "6322", " - ", "EQUIPMENT DEPRECIATION EXPENSE")</f>
        <v xml:space="preserve">          6322 - EQUIPMENT DEPRECIATION EXPENSE</v>
      </c>
      <c r="C36" s="11"/>
      <c r="D36" s="6">
        <v>0.05</v>
      </c>
      <c r="E36" s="2"/>
      <c r="F36" s="7">
        <f t="shared" si="16"/>
        <v>0</v>
      </c>
      <c r="G36" s="2"/>
      <c r="H36" s="6">
        <v>295.67</v>
      </c>
      <c r="I36" s="2"/>
      <c r="J36" s="7">
        <f t="shared" si="17"/>
        <v>0</v>
      </c>
      <c r="K36" s="2"/>
      <c r="L36" s="6">
        <f t="shared" si="18"/>
        <v>-295.62</v>
      </c>
      <c r="M36" s="2"/>
      <c r="N36" s="7">
        <f t="shared" si="19"/>
        <v>-0.99983089254912572</v>
      </c>
      <c r="O36" s="11"/>
      <c r="P36" s="6">
        <v>1898.94</v>
      </c>
      <c r="Q36" s="2"/>
      <c r="R36" s="7">
        <f t="shared" si="20"/>
        <v>0</v>
      </c>
      <c r="S36" s="2"/>
      <c r="T36" s="6">
        <v>2365.36</v>
      </c>
      <c r="U36" s="2"/>
      <c r="V36" s="7">
        <f t="shared" si="21"/>
        <v>0</v>
      </c>
      <c r="W36" s="2"/>
      <c r="X36" s="6">
        <f t="shared" si="22"/>
        <v>-466.42000000000007</v>
      </c>
      <c r="Y36" s="2"/>
      <c r="Z36" s="7">
        <f t="shared" si="23"/>
        <v>-0.19718774309196066</v>
      </c>
    </row>
    <row r="37" spans="1:26" s="25" customFormat="1" outlineLevel="1" collapsed="1" x14ac:dyDescent="0.25">
      <c r="A37" s="27"/>
      <c r="B37" s="13" t="str">
        <f>CONCATENATE("     ","General                                           ")</f>
        <v xml:space="preserve">     General                                           </v>
      </c>
      <c r="C37" s="13"/>
      <c r="D37" s="1">
        <f>SUM(OSRRefD22_4x_0)</f>
        <v>0</v>
      </c>
      <c r="E37" s="1"/>
      <c r="F37" s="5">
        <f t="shared" si="16"/>
        <v>0</v>
      </c>
      <c r="G37" s="1"/>
      <c r="H37" s="1">
        <f>SUM(OSRRefH22_4x_0)</f>
        <v>173.21</v>
      </c>
      <c r="I37" s="1"/>
      <c r="J37" s="5">
        <f t="shared" si="17"/>
        <v>0</v>
      </c>
      <c r="K37" s="1"/>
      <c r="L37" s="1">
        <f t="shared" si="18"/>
        <v>-173.21</v>
      </c>
      <c r="M37" s="1"/>
      <c r="N37" s="5">
        <f t="shared" si="19"/>
        <v>-1</v>
      </c>
      <c r="O37" s="13"/>
      <c r="P37" s="1">
        <f>SUM(OSRRefP22_4x_0)</f>
        <v>0</v>
      </c>
      <c r="Q37" s="1"/>
      <c r="R37" s="5">
        <f t="shared" si="20"/>
        <v>0</v>
      </c>
      <c r="S37" s="1"/>
      <c r="T37" s="1">
        <f>SUM(OSRRefT22_4x_0)</f>
        <v>1200.01</v>
      </c>
      <c r="U37" s="1"/>
      <c r="V37" s="5">
        <f t="shared" si="21"/>
        <v>0</v>
      </c>
      <c r="W37" s="1"/>
      <c r="X37" s="1">
        <f t="shared" si="22"/>
        <v>-1200.01</v>
      </c>
      <c r="Y37" s="1"/>
      <c r="Z37" s="5">
        <f t="shared" si="23"/>
        <v>-1</v>
      </c>
    </row>
    <row r="38" spans="1:26" s="24" customFormat="1" hidden="1" outlineLevel="2" x14ac:dyDescent="0.25">
      <c r="A38" s="26"/>
      <c r="B38" s="11" t="str">
        <f>CONCATENATE("          ", "6279", " - ", "GENERAL EXPENSE")</f>
        <v xml:space="preserve">          6279 - GENERAL EXPENSE</v>
      </c>
      <c r="C38" s="11"/>
      <c r="D38" s="6"/>
      <c r="E38" s="2"/>
      <c r="F38" s="7">
        <f t="shared" si="16"/>
        <v>0</v>
      </c>
      <c r="G38" s="2"/>
      <c r="H38" s="6">
        <v>173.21</v>
      </c>
      <c r="I38" s="2"/>
      <c r="J38" s="7">
        <f t="shared" si="17"/>
        <v>0</v>
      </c>
      <c r="K38" s="2"/>
      <c r="L38" s="6">
        <f t="shared" si="18"/>
        <v>-173.21</v>
      </c>
      <c r="M38" s="2"/>
      <c r="N38" s="7">
        <f t="shared" si="19"/>
        <v>-1</v>
      </c>
      <c r="O38" s="11"/>
      <c r="P38" s="6"/>
      <c r="Q38" s="2"/>
      <c r="R38" s="7">
        <f t="shared" si="20"/>
        <v>0</v>
      </c>
      <c r="S38" s="2"/>
      <c r="T38" s="6">
        <v>1200.01</v>
      </c>
      <c r="U38" s="2"/>
      <c r="V38" s="7">
        <f t="shared" si="21"/>
        <v>0</v>
      </c>
      <c r="W38" s="2"/>
      <c r="X38" s="6">
        <f t="shared" si="22"/>
        <v>-1200.01</v>
      </c>
      <c r="Y38" s="2"/>
      <c r="Z38" s="7">
        <f t="shared" si="23"/>
        <v>-1</v>
      </c>
    </row>
    <row r="39" spans="1:26" s="25" customFormat="1" outlineLevel="1" collapsed="1" x14ac:dyDescent="0.25">
      <c r="A39" s="27"/>
      <c r="B39" s="13" t="str">
        <f>CONCATENATE("     ","Supplies                                          ")</f>
        <v xml:space="preserve">     Supplies                                          </v>
      </c>
      <c r="C39" s="13"/>
      <c r="D39" s="1">
        <f>SUM(OSRRefD22_5x_0)</f>
        <v>0</v>
      </c>
      <c r="E39" s="1"/>
      <c r="F39" s="5">
        <f t="shared" si="16"/>
        <v>0</v>
      </c>
      <c r="G39" s="1"/>
      <c r="H39" s="1">
        <f>SUM(OSRRefH22_5x_0)</f>
        <v>513.79999999999995</v>
      </c>
      <c r="I39" s="1"/>
      <c r="J39" s="5">
        <f t="shared" si="17"/>
        <v>0</v>
      </c>
      <c r="K39" s="1"/>
      <c r="L39" s="1">
        <f t="shared" si="18"/>
        <v>-513.79999999999995</v>
      </c>
      <c r="M39" s="1"/>
      <c r="N39" s="5">
        <f t="shared" si="19"/>
        <v>-1</v>
      </c>
      <c r="O39" s="13"/>
      <c r="P39" s="1">
        <f>SUM(OSRRefP22_5x_0)</f>
        <v>0</v>
      </c>
      <c r="Q39" s="1"/>
      <c r="R39" s="5">
        <f t="shared" si="20"/>
        <v>0</v>
      </c>
      <c r="S39" s="1"/>
      <c r="T39" s="1">
        <f>SUM(OSRRefT22_5x_0)</f>
        <v>1627.93</v>
      </c>
      <c r="U39" s="1"/>
      <c r="V39" s="5">
        <f t="shared" si="21"/>
        <v>0</v>
      </c>
      <c r="W39" s="1"/>
      <c r="X39" s="1">
        <f t="shared" si="22"/>
        <v>-1627.93</v>
      </c>
      <c r="Y39" s="1"/>
      <c r="Z39" s="5">
        <f t="shared" si="23"/>
        <v>-1</v>
      </c>
    </row>
    <row r="40" spans="1:26" s="24" customFormat="1" hidden="1" outlineLevel="2" x14ac:dyDescent="0.25">
      <c r="A40" s="26"/>
      <c r="B40" s="11" t="str">
        <f>CONCATENATE("          ", "6241", " - ", "OFFICE EXPENSE")</f>
        <v xml:space="preserve">          6241 - OFFICE EXPENSE</v>
      </c>
      <c r="C40" s="11"/>
      <c r="D40" s="6"/>
      <c r="E40" s="2"/>
      <c r="F40" s="7">
        <f t="shared" si="16"/>
        <v>0</v>
      </c>
      <c r="G40" s="2"/>
      <c r="H40" s="6">
        <v>513.79999999999995</v>
      </c>
      <c r="I40" s="2"/>
      <c r="J40" s="7">
        <f t="shared" si="17"/>
        <v>0</v>
      </c>
      <c r="K40" s="2"/>
      <c r="L40" s="6">
        <f t="shared" si="18"/>
        <v>-513.79999999999995</v>
      </c>
      <c r="M40" s="2"/>
      <c r="N40" s="7">
        <f t="shared" si="19"/>
        <v>-1</v>
      </c>
      <c r="O40" s="11"/>
      <c r="P40" s="6"/>
      <c r="Q40" s="2"/>
      <c r="R40" s="7">
        <f t="shared" si="20"/>
        <v>0</v>
      </c>
      <c r="S40" s="2"/>
      <c r="T40" s="6">
        <v>1281.51</v>
      </c>
      <c r="U40" s="2"/>
      <c r="V40" s="7">
        <f t="shared" si="21"/>
        <v>0</v>
      </c>
      <c r="W40" s="2"/>
      <c r="X40" s="6">
        <f t="shared" si="22"/>
        <v>-1281.51</v>
      </c>
      <c r="Y40" s="2"/>
      <c r="Z40" s="7">
        <f t="shared" si="23"/>
        <v>-1</v>
      </c>
    </row>
    <row r="41" spans="1:26" s="24" customFormat="1" hidden="1" outlineLevel="2" x14ac:dyDescent="0.25">
      <c r="A41" s="26"/>
      <c r="B41" s="11" t="str">
        <f>CONCATENATE("          ", "6245", " - ", "PRINTING")</f>
        <v xml:space="preserve">          6245 - PRINTING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/>
      <c r="Q41" s="2"/>
      <c r="R41" s="7">
        <f t="shared" si="20"/>
        <v>0</v>
      </c>
      <c r="S41" s="2"/>
      <c r="T41" s="6">
        <v>346.42</v>
      </c>
      <c r="U41" s="2"/>
      <c r="V41" s="7">
        <f t="shared" si="21"/>
        <v>0</v>
      </c>
      <c r="W41" s="2"/>
      <c r="X41" s="6">
        <f t="shared" si="22"/>
        <v>-346.42</v>
      </c>
      <c r="Y41" s="2"/>
      <c r="Z41" s="7">
        <f t="shared" si="23"/>
        <v>-1</v>
      </c>
    </row>
    <row r="42" spans="1:26" s="25" customFormat="1" outlineLevel="1" collapsed="1" x14ac:dyDescent="0.25">
      <c r="A42" s="27"/>
      <c r="B42" s="13" t="str">
        <f>CONCATENATE("     ","Telephone/Data Lines                              ")</f>
        <v xml:space="preserve">     Telephone/Data Lines                              </v>
      </c>
      <c r="C42" s="13"/>
      <c r="D42" s="1">
        <f>SUM(OSRRefD22_6x_0)</f>
        <v>36</v>
      </c>
      <c r="E42" s="1"/>
      <c r="F42" s="5">
        <f t="shared" ref="F42:F45" si="24">IF(D$12=0,0,D42/D$12)</f>
        <v>0</v>
      </c>
      <c r="G42" s="1"/>
      <c r="H42" s="1">
        <f>SUM(OSRRefH22_6x_0)</f>
        <v>72</v>
      </c>
      <c r="I42" s="1"/>
      <c r="J42" s="5">
        <f t="shared" ref="J42:J45" si="25">IF(H$12=0,0,H42/H$12)</f>
        <v>0</v>
      </c>
      <c r="K42" s="1"/>
      <c r="L42" s="1">
        <f t="shared" ref="L42:L45" si="26">+D42-H42</f>
        <v>-36</v>
      </c>
      <c r="M42" s="1"/>
      <c r="N42" s="5">
        <f t="shared" ref="N42:N45" si="27">IF(H42=0,0,L42/H42)</f>
        <v>-0.5</v>
      </c>
      <c r="O42" s="13"/>
      <c r="P42" s="1">
        <f>SUM(OSRRefP22_6x_0)</f>
        <v>252.15</v>
      </c>
      <c r="Q42" s="1"/>
      <c r="R42" s="5">
        <f t="shared" ref="R42:R45" si="28">IF(P$12=0,0,P42/P$12)</f>
        <v>0</v>
      </c>
      <c r="S42" s="1"/>
      <c r="T42" s="1">
        <f>SUM(OSRRefT22_6x_0)</f>
        <v>585.9</v>
      </c>
      <c r="U42" s="1"/>
      <c r="V42" s="5">
        <f t="shared" ref="V42:V45" si="29">IF(T$12=0,0,T42/T$12)</f>
        <v>0</v>
      </c>
      <c r="W42" s="1"/>
      <c r="X42" s="1">
        <f t="shared" ref="X42:X45" si="30">+P42-T42</f>
        <v>-333.75</v>
      </c>
      <c r="Y42" s="1"/>
      <c r="Z42" s="5">
        <f t="shared" ref="Z42:Z45" si="31">IF(T42=0,0,X42/T42)</f>
        <v>-0.56963645673323093</v>
      </c>
    </row>
    <row r="43" spans="1:26" s="24" customFormat="1" hidden="1" outlineLevel="2" x14ac:dyDescent="0.25">
      <c r="A43" s="26"/>
      <c r="B43" s="11" t="str">
        <f>CONCATENATE("          ", "6309", " - ", "TELEPHONE")</f>
        <v xml:space="preserve">          6309 - TELEPHONE</v>
      </c>
      <c r="C43" s="11"/>
      <c r="D43" s="6">
        <v>36</v>
      </c>
      <c r="E43" s="2"/>
      <c r="F43" s="7">
        <f t="shared" si="24"/>
        <v>0</v>
      </c>
      <c r="G43" s="2"/>
      <c r="H43" s="6">
        <v>72</v>
      </c>
      <c r="I43" s="2"/>
      <c r="J43" s="7">
        <f t="shared" si="25"/>
        <v>0</v>
      </c>
      <c r="K43" s="2"/>
      <c r="L43" s="6">
        <f t="shared" si="26"/>
        <v>-36</v>
      </c>
      <c r="M43" s="2"/>
      <c r="N43" s="7">
        <f t="shared" si="27"/>
        <v>-0.5</v>
      </c>
      <c r="O43" s="11"/>
      <c r="P43" s="6">
        <v>252.15</v>
      </c>
      <c r="Q43" s="2"/>
      <c r="R43" s="7">
        <f t="shared" si="28"/>
        <v>0</v>
      </c>
      <c r="S43" s="2"/>
      <c r="T43" s="6">
        <v>585.9</v>
      </c>
      <c r="U43" s="2"/>
      <c r="V43" s="7">
        <f t="shared" si="29"/>
        <v>0</v>
      </c>
      <c r="W43" s="2"/>
      <c r="X43" s="6">
        <f t="shared" si="30"/>
        <v>-333.75</v>
      </c>
      <c r="Y43" s="2"/>
      <c r="Z43" s="7">
        <f t="shared" si="31"/>
        <v>-0.56963645673323093</v>
      </c>
    </row>
    <row r="44" spans="1:26" s="25" customFormat="1" outlineLevel="1" collapsed="1" x14ac:dyDescent="0.25">
      <c r="A44" s="27"/>
      <c r="B44" s="13" t="str">
        <f>CONCATENATE("     ","Travel                                            ")</f>
        <v xml:space="preserve">     Travel                                            </v>
      </c>
      <c r="C44" s="13"/>
      <c r="D44" s="1">
        <f>SUM(OSRRefD22_7x_0)</f>
        <v>0</v>
      </c>
      <c r="E44" s="1"/>
      <c r="F44" s="5">
        <f t="shared" si="24"/>
        <v>0</v>
      </c>
      <c r="G44" s="1"/>
      <c r="H44" s="1">
        <f>SUM(OSRRefH22_7x_0)</f>
        <v>3803.06</v>
      </c>
      <c r="I44" s="1"/>
      <c r="J44" s="5">
        <f t="shared" si="25"/>
        <v>0</v>
      </c>
      <c r="K44" s="1"/>
      <c r="L44" s="1">
        <f t="shared" si="26"/>
        <v>-3803.06</v>
      </c>
      <c r="M44" s="1"/>
      <c r="N44" s="5">
        <f t="shared" si="27"/>
        <v>-1</v>
      </c>
      <c r="O44" s="13"/>
      <c r="P44" s="1">
        <f>SUM(OSRRefP22_7x_0)</f>
        <v>0</v>
      </c>
      <c r="Q44" s="1"/>
      <c r="R44" s="5">
        <f t="shared" si="28"/>
        <v>0</v>
      </c>
      <c r="S44" s="1"/>
      <c r="T44" s="1">
        <f>SUM(OSRRefT22_7x_0)</f>
        <v>3921.38</v>
      </c>
      <c r="U44" s="1"/>
      <c r="V44" s="5">
        <f t="shared" si="29"/>
        <v>0</v>
      </c>
      <c r="W44" s="1"/>
      <c r="X44" s="1">
        <f t="shared" si="30"/>
        <v>-3921.38</v>
      </c>
      <c r="Y44" s="1"/>
      <c r="Z44" s="5">
        <f t="shared" si="31"/>
        <v>-1</v>
      </c>
    </row>
    <row r="45" spans="1:26" s="24" customFormat="1" hidden="1" outlineLevel="2" x14ac:dyDescent="0.25">
      <c r="A45" s="26"/>
      <c r="B45" s="11" t="str">
        <f>CONCATENATE("          ", "6292", " - ", "TRAVEL/CONFERENCE")</f>
        <v xml:space="preserve">          6292 - TRAVEL/CONFERENCE</v>
      </c>
      <c r="C45" s="11"/>
      <c r="D45" s="6"/>
      <c r="E45" s="2"/>
      <c r="F45" s="7">
        <f t="shared" si="24"/>
        <v>0</v>
      </c>
      <c r="G45" s="2"/>
      <c r="H45" s="6">
        <v>3803.06</v>
      </c>
      <c r="I45" s="2"/>
      <c r="J45" s="7">
        <f t="shared" si="25"/>
        <v>0</v>
      </c>
      <c r="K45" s="2"/>
      <c r="L45" s="6">
        <f t="shared" si="26"/>
        <v>-3803.06</v>
      </c>
      <c r="M45" s="2"/>
      <c r="N45" s="7">
        <f t="shared" si="27"/>
        <v>-1</v>
      </c>
      <c r="O45" s="11"/>
      <c r="P45" s="6"/>
      <c r="Q45" s="2"/>
      <c r="R45" s="7">
        <f t="shared" si="28"/>
        <v>0</v>
      </c>
      <c r="S45" s="2"/>
      <c r="T45" s="6">
        <v>3921.38</v>
      </c>
      <c r="U45" s="2"/>
      <c r="V45" s="7">
        <f t="shared" si="29"/>
        <v>0</v>
      </c>
      <c r="W45" s="2"/>
      <c r="X45" s="6">
        <f t="shared" si="30"/>
        <v>-3921.38</v>
      </c>
      <c r="Y45" s="2"/>
      <c r="Z45" s="7">
        <f t="shared" si="31"/>
        <v>-1</v>
      </c>
    </row>
    <row r="46" spans="1:26" s="52" customFormat="1" x14ac:dyDescent="0.25">
      <c r="A46" s="37"/>
      <c r="B46" s="37"/>
      <c r="C46" s="37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8" t="s">
        <v>0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9" t="s">
        <v>3</v>
      </c>
      <c r="C49" s="29"/>
      <c r="D49" s="22">
        <f>+D16-D18+D47</f>
        <v>-8181.4500000000007</v>
      </c>
      <c r="E49" s="14"/>
      <c r="F49" s="20">
        <f>IF(D$12=0,0,D49/D$12)</f>
        <v>0</v>
      </c>
      <c r="G49" s="14"/>
      <c r="H49" s="22">
        <f>+H16-H18+H47</f>
        <v>-12035.209999999997</v>
      </c>
      <c r="I49" s="14"/>
      <c r="J49" s="20">
        <f>IF(H$12=0,0,H49/H$12)</f>
        <v>0</v>
      </c>
      <c r="K49" s="16"/>
      <c r="L49" s="22">
        <f>+D49-H49</f>
        <v>3853.7599999999966</v>
      </c>
      <c r="M49" s="16"/>
      <c r="N49" s="20">
        <f>IF(H49=0,0,L49/H49)</f>
        <v>-0.32020712559232428</v>
      </c>
      <c r="O49" s="28"/>
      <c r="P49" s="22">
        <f>+P16-P18+P47</f>
        <v>-70827.299999999988</v>
      </c>
      <c r="Q49" s="14"/>
      <c r="R49" s="20">
        <f>IF(P$12=0,0,P49/P$12)</f>
        <v>0</v>
      </c>
      <c r="S49" s="14"/>
      <c r="T49" s="22">
        <f>+T16-T18+T47</f>
        <v>-63852.78</v>
      </c>
      <c r="U49" s="14"/>
      <c r="V49" s="20">
        <f>IF(T$12=0,0,T49/T$12)</f>
        <v>0</v>
      </c>
      <c r="W49" s="16"/>
      <c r="X49" s="22">
        <f>+P49-T49</f>
        <v>-6974.5199999999895</v>
      </c>
      <c r="Y49" s="16"/>
      <c r="Z49" s="20">
        <f>IF(T49=0,0,X49/T49)</f>
        <v>0.10922813384162741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51"/>
      <c r="B51" s="10" t="s">
        <v>13</v>
      </c>
      <c r="C51" s="10"/>
      <c r="D51" s="4"/>
      <c r="E51" s="4"/>
      <c r="F51" s="12">
        <f>IF(D$12=0,0,D51/D$12)</f>
        <v>0</v>
      </c>
      <c r="G51" s="4"/>
      <c r="H51" s="4"/>
      <c r="I51" s="4"/>
      <c r="J51" s="12">
        <f>IF(H$12=0,0,H51/H$12)</f>
        <v>0</v>
      </c>
      <c r="K51" s="4"/>
      <c r="L51" s="4">
        <f>+D51-H51</f>
        <v>0</v>
      </c>
      <c r="M51" s="4"/>
      <c r="N51" s="12">
        <f>IF(H51=0,0,L51/H51)</f>
        <v>0</v>
      </c>
      <c r="O51" s="10"/>
      <c r="P51" s="4"/>
      <c r="Q51" s="4"/>
      <c r="R51" s="12">
        <f>IF(P$12=0,0,P51/P$12)</f>
        <v>0</v>
      </c>
      <c r="S51" s="4"/>
      <c r="T51" s="4"/>
      <c r="U51" s="4"/>
      <c r="V51" s="12">
        <f>IF(T$12=0,0,T51/T$12)</f>
        <v>0</v>
      </c>
      <c r="W51" s="4"/>
      <c r="X51" s="4">
        <f>+P51-T51</f>
        <v>0</v>
      </c>
      <c r="Y51" s="4"/>
      <c r="Z51" s="12">
        <f>IF(T51=0,0,X51/T51)</f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9" t="s">
        <v>4</v>
      </c>
      <c r="C53" s="29"/>
      <c r="D53" s="35">
        <f>+D49-D51</f>
        <v>-8181.4500000000007</v>
      </c>
      <c r="E53" s="14"/>
      <c r="F53" s="36">
        <f>IF(D$12=0,0,D53/D$12)</f>
        <v>0</v>
      </c>
      <c r="G53" s="14"/>
      <c r="H53" s="35">
        <f>+H49-H51</f>
        <v>-12035.209999999997</v>
      </c>
      <c r="I53" s="14"/>
      <c r="J53" s="36">
        <f>IF(H$12=0,0,H53/H$12)</f>
        <v>0</v>
      </c>
      <c r="K53" s="16"/>
      <c r="L53" s="35">
        <f>D53-H53</f>
        <v>3853.7599999999966</v>
      </c>
      <c r="M53" s="16"/>
      <c r="N53" s="36">
        <f>IF(H53=0,0,L53/H53)</f>
        <v>-0.32020712559232428</v>
      </c>
      <c r="O53" s="28"/>
      <c r="P53" s="35">
        <f>+P49-P51</f>
        <v>-70827.299999999988</v>
      </c>
      <c r="Q53" s="14"/>
      <c r="R53" s="36">
        <f>IF(P$12=0,0,P53/P$12)</f>
        <v>0</v>
      </c>
      <c r="S53" s="14"/>
      <c r="T53" s="35">
        <f>+T49-T51</f>
        <v>-63852.78</v>
      </c>
      <c r="U53" s="14"/>
      <c r="V53" s="36">
        <f>IF(T$12=0,0,T53/T$12)</f>
        <v>0</v>
      </c>
      <c r="W53" s="16"/>
      <c r="X53" s="35">
        <f>P53-T53</f>
        <v>-6974.5199999999895</v>
      </c>
      <c r="Y53" s="16"/>
      <c r="Z53" s="36">
        <f>IF(T53=0,0,X53/T53)</f>
        <v>0.10922813384162741</v>
      </c>
    </row>
    <row r="54" spans="1:26" ht="15.75" thickTop="1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9" t="s">
        <v>5</v>
      </c>
      <c r="C56" s="29"/>
      <c r="D56" s="31">
        <f>SUM(D53:D55)</f>
        <v>-8181.4500000000007</v>
      </c>
      <c r="E56" s="14"/>
      <c r="F56" s="33">
        <f>IF(D$12=0,0,D56/D$12)</f>
        <v>0</v>
      </c>
      <c r="G56" s="14"/>
      <c r="H56" s="31">
        <f>SUM(H53:H55)</f>
        <v>-12035.209999999997</v>
      </c>
      <c r="I56" s="14"/>
      <c r="J56" s="33">
        <f>IF(H$12=0,0,H56/H$12)</f>
        <v>0</v>
      </c>
      <c r="K56" s="16"/>
      <c r="L56" s="31">
        <f>+D56-H56</f>
        <v>3853.7599999999966</v>
      </c>
      <c r="M56" s="16"/>
      <c r="N56" s="33">
        <f>IF(H56=0,0,L56/H56)</f>
        <v>-0.32020712559232428</v>
      </c>
      <c r="O56" s="28"/>
      <c r="P56" s="31">
        <f>SUM(P53:P55)</f>
        <v>-70827.299999999988</v>
      </c>
      <c r="Q56" s="14"/>
      <c r="R56" s="33">
        <f>IF(P$12=0,0,P56/P$12)</f>
        <v>0</v>
      </c>
      <c r="S56" s="14"/>
      <c r="T56" s="31">
        <f>SUM(T53:T55)</f>
        <v>-63852.78</v>
      </c>
      <c r="U56" s="14"/>
      <c r="V56" s="33">
        <f>IF(T$12=0,0,T56/T$12)</f>
        <v>0</v>
      </c>
      <c r="W56" s="16"/>
      <c r="X56" s="31">
        <f>+P56-T56</f>
        <v>-6974.5199999999895</v>
      </c>
      <c r="Y56" s="16"/>
      <c r="Z56" s="33">
        <f>IF(T56=0,0,X56/T56)</f>
        <v>0.10922813384162741</v>
      </c>
    </row>
    <row r="57" spans="1:26" ht="15.75" thickTop="1" x14ac:dyDescent="0.25">
      <c r="A57" s="9"/>
      <c r="C57" s="9"/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25">
      <c r="A58" s="9"/>
      <c r="B58" s="56">
        <v>44267.668101157411</v>
      </c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  <row r="59" spans="1:26" x14ac:dyDescent="0.25">
      <c r="A59" s="9"/>
      <c r="B59" s="54" t="s">
        <v>313</v>
      </c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A60" s="9"/>
      <c r="B60" s="58"/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25"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8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307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202974.15000000002</v>
      </c>
      <c r="E12" s="4"/>
      <c r="F12" s="12"/>
      <c r="G12" s="4"/>
      <c r="H12" s="4">
        <f>SUM(OSRRefH13x_0)</f>
        <v>1071707.9600000002</v>
      </c>
      <c r="I12" s="4"/>
      <c r="J12" s="12"/>
      <c r="K12" s="4"/>
      <c r="L12" s="4">
        <f t="shared" ref="L12:L110" si="0">+D12-H12</f>
        <v>-868733.81000000017</v>
      </c>
      <c r="M12" s="4"/>
      <c r="N12" s="12">
        <f t="shared" ref="N12:N110" si="1">IF(H12=0,0,L12/H12)</f>
        <v>-0.81060684666371241</v>
      </c>
      <c r="O12" s="10"/>
      <c r="P12" s="4">
        <f>SUM(OSRRefP13x_0)</f>
        <v>4082999.0099999993</v>
      </c>
      <c r="Q12" s="4"/>
      <c r="R12" s="12"/>
      <c r="S12" s="4"/>
      <c r="T12" s="4">
        <f>SUM(OSRRefT13x_0)</f>
        <v>10568306.310000001</v>
      </c>
      <c r="U12" s="4"/>
      <c r="V12" s="12"/>
      <c r="W12" s="4"/>
      <c r="X12" s="4">
        <f t="shared" ref="X12:X110" si="2">+P12-T12</f>
        <v>-6485307.3000000007</v>
      </c>
      <c r="Y12" s="4"/>
      <c r="Z12" s="12">
        <f t="shared" ref="Z12:Z110" si="3">IF(T12=0,0,X12/T12)</f>
        <v>-0.61365625766007914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-7353.1</f>
        <v>-7353.1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-7353.1</v>
      </c>
      <c r="M13" s="2"/>
      <c r="N13" s="19">
        <f t="shared" si="1"/>
        <v>0</v>
      </c>
      <c r="O13" s="11"/>
      <c r="P13" s="2">
        <f>-108361.13</f>
        <v>-108361.13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-108361.13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--34627.67</f>
        <v>34627.67</v>
      </c>
      <c r="E14" s="2"/>
      <c r="F14" s="19"/>
      <c r="G14" s="2"/>
      <c r="H14" s="2">
        <f>--104784.96</f>
        <v>104784.96000000001</v>
      </c>
      <c r="I14" s="2"/>
      <c r="J14" s="19"/>
      <c r="K14" s="2"/>
      <c r="L14" s="2">
        <f t="shared" si="0"/>
        <v>-70157.290000000008</v>
      </c>
      <c r="M14" s="2"/>
      <c r="N14" s="19">
        <f t="shared" si="1"/>
        <v>-0.66953587614100352</v>
      </c>
      <c r="O14" s="11"/>
      <c r="P14" s="2">
        <f>--1224724.01</f>
        <v>1224724.01</v>
      </c>
      <c r="Q14" s="2"/>
      <c r="R14" s="19"/>
      <c r="S14" s="2"/>
      <c r="T14" s="2">
        <f>--2390761.72</f>
        <v>2390761.7200000002</v>
      </c>
      <c r="U14" s="2"/>
      <c r="V14" s="19"/>
      <c r="W14" s="2"/>
      <c r="X14" s="2">
        <f t="shared" si="2"/>
        <v>-1166037.7100000002</v>
      </c>
      <c r="Y14" s="2"/>
      <c r="Z14" s="19">
        <f t="shared" si="3"/>
        <v>-0.48772644310199181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--12732.98</f>
        <v>12732.98</v>
      </c>
      <c r="E15" s="2"/>
      <c r="F15" s="19"/>
      <c r="G15" s="2"/>
      <c r="H15" s="2">
        <f>--46558.78</f>
        <v>46558.78</v>
      </c>
      <c r="I15" s="2"/>
      <c r="J15" s="19"/>
      <c r="K15" s="2"/>
      <c r="L15" s="2">
        <f t="shared" si="0"/>
        <v>-33825.800000000003</v>
      </c>
      <c r="M15" s="2"/>
      <c r="N15" s="19">
        <f t="shared" si="1"/>
        <v>-0.72651817766702653</v>
      </c>
      <c r="O15" s="11"/>
      <c r="P15" s="2">
        <f>--575134.48</f>
        <v>575134.48</v>
      </c>
      <c r="Q15" s="2"/>
      <c r="R15" s="19"/>
      <c r="S15" s="2"/>
      <c r="T15" s="2">
        <f>--1239973.19</f>
        <v>1239973.19</v>
      </c>
      <c r="U15" s="2"/>
      <c r="V15" s="19"/>
      <c r="W15" s="2"/>
      <c r="X15" s="2">
        <f t="shared" si="2"/>
        <v>-664838.71</v>
      </c>
      <c r="Y15" s="2"/>
      <c r="Z15" s="19">
        <f t="shared" si="3"/>
        <v>-0.53617184255411199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--40</f>
        <v>40</v>
      </c>
      <c r="E16" s="2"/>
      <c r="F16" s="19"/>
      <c r="G16" s="2"/>
      <c r="H16" s="2">
        <f>--1344.88</f>
        <v>1344.88</v>
      </c>
      <c r="I16" s="2"/>
      <c r="J16" s="19"/>
      <c r="K16" s="2"/>
      <c r="L16" s="2">
        <f t="shared" si="0"/>
        <v>-1304.8800000000001</v>
      </c>
      <c r="M16" s="2"/>
      <c r="N16" s="19">
        <f t="shared" si="1"/>
        <v>-0.97025756944857533</v>
      </c>
      <c r="O16" s="11"/>
      <c r="P16" s="2">
        <f>--17927.89</f>
        <v>17927.89</v>
      </c>
      <c r="Q16" s="2"/>
      <c r="R16" s="19"/>
      <c r="S16" s="2"/>
      <c r="T16" s="2">
        <f>--33616.89</f>
        <v>33616.89</v>
      </c>
      <c r="U16" s="2"/>
      <c r="V16" s="19"/>
      <c r="W16" s="2"/>
      <c r="X16" s="2">
        <f t="shared" si="2"/>
        <v>-15689</v>
      </c>
      <c r="Y16" s="2"/>
      <c r="Z16" s="19">
        <f t="shared" si="3"/>
        <v>-0.46669992375856306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ref="D17:D18" si="4">0</f>
        <v>0</v>
      </c>
      <c r="E17" s="2"/>
      <c r="F17" s="19"/>
      <c r="G17" s="2"/>
      <c r="H17" s="2">
        <f>--993.89</f>
        <v>993.89</v>
      </c>
      <c r="I17" s="2"/>
      <c r="J17" s="19"/>
      <c r="K17" s="2"/>
      <c r="L17" s="2">
        <f t="shared" si="0"/>
        <v>-993.89</v>
      </c>
      <c r="M17" s="2"/>
      <c r="N17" s="19">
        <f t="shared" si="1"/>
        <v>-1</v>
      </c>
      <c r="O17" s="11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--785.66</f>
        <v>785.66</v>
      </c>
      <c r="I18" s="2"/>
      <c r="J18" s="19"/>
      <c r="K18" s="2"/>
      <c r="L18" s="2">
        <f t="shared" si="0"/>
        <v>-785.66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f>--798.88</f>
        <v>798.88</v>
      </c>
      <c r="U18" s="2"/>
      <c r="V18" s="19"/>
      <c r="W18" s="2"/>
      <c r="X18" s="2">
        <f t="shared" si="2"/>
        <v>-798.88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--242.29</f>
        <v>242.29</v>
      </c>
      <c r="E19" s="2"/>
      <c r="F19" s="19"/>
      <c r="G19" s="2"/>
      <c r="H19" s="2">
        <f>--772.36</f>
        <v>772.36</v>
      </c>
      <c r="I19" s="2"/>
      <c r="J19" s="19"/>
      <c r="K19" s="2"/>
      <c r="L19" s="2">
        <f t="shared" si="0"/>
        <v>-530.07000000000005</v>
      </c>
      <c r="M19" s="2"/>
      <c r="N19" s="19">
        <f t="shared" si="1"/>
        <v>-0.68629913511833862</v>
      </c>
      <c r="O19" s="11"/>
      <c r="P19" s="2">
        <f>--1172.81</f>
        <v>1172.81</v>
      </c>
      <c r="Q19" s="2"/>
      <c r="R19" s="19"/>
      <c r="S19" s="2"/>
      <c r="T19" s="2">
        <f>--2282.25</f>
        <v>2282.25</v>
      </c>
      <c r="U19" s="2"/>
      <c r="V19" s="19"/>
      <c r="W19" s="2"/>
      <c r="X19" s="2">
        <f t="shared" si="2"/>
        <v>-1109.44</v>
      </c>
      <c r="Y19" s="2"/>
      <c r="Z19" s="19">
        <f t="shared" si="3"/>
        <v>-0.48611677073063864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--31.84</f>
        <v>31.84</v>
      </c>
      <c r="E20" s="2"/>
      <c r="F20" s="19"/>
      <c r="G20" s="2"/>
      <c r="H20" s="2">
        <f>--51.77</f>
        <v>51.77</v>
      </c>
      <c r="I20" s="2"/>
      <c r="J20" s="19"/>
      <c r="K20" s="2"/>
      <c r="L20" s="2">
        <f t="shared" si="0"/>
        <v>-19.930000000000003</v>
      </c>
      <c r="M20" s="2"/>
      <c r="N20" s="19">
        <f t="shared" si="1"/>
        <v>-0.38497199150086925</v>
      </c>
      <c r="O20" s="11"/>
      <c r="P20" s="2">
        <f>--411.88</f>
        <v>411.88</v>
      </c>
      <c r="Q20" s="2"/>
      <c r="R20" s="19"/>
      <c r="S20" s="2"/>
      <c r="T20" s="2">
        <f>--1151.94</f>
        <v>1151.94</v>
      </c>
      <c r="U20" s="2"/>
      <c r="V20" s="19"/>
      <c r="W20" s="2"/>
      <c r="X20" s="2">
        <f t="shared" si="2"/>
        <v>-740.06000000000006</v>
      </c>
      <c r="Y20" s="2"/>
      <c r="Z20" s="19">
        <f t="shared" si="3"/>
        <v>-0.64244665520773658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0</f>
        <v>0</v>
      </c>
      <c r="E21" s="2"/>
      <c r="F21" s="19"/>
      <c r="G21" s="2"/>
      <c r="H21" s="2">
        <f>--16.47</f>
        <v>16.47</v>
      </c>
      <c r="I21" s="2"/>
      <c r="J21" s="19"/>
      <c r="K21" s="2"/>
      <c r="L21" s="2">
        <f t="shared" si="0"/>
        <v>-16.47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--271.59</f>
        <v>271.58999999999997</v>
      </c>
      <c r="U21" s="2"/>
      <c r="V21" s="19"/>
      <c r="W21" s="2"/>
      <c r="X21" s="2">
        <f t="shared" si="2"/>
        <v>-271.58999999999997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--41.7</f>
        <v>41.7</v>
      </c>
      <c r="E22" s="2"/>
      <c r="F22" s="19"/>
      <c r="G22" s="2"/>
      <c r="H22" s="2">
        <f>--469.81</f>
        <v>469.81</v>
      </c>
      <c r="I22" s="2"/>
      <c r="J22" s="19"/>
      <c r="K22" s="2"/>
      <c r="L22" s="2">
        <f t="shared" si="0"/>
        <v>-428.11</v>
      </c>
      <c r="M22" s="2"/>
      <c r="N22" s="19">
        <f t="shared" si="1"/>
        <v>-0.91124071433132547</v>
      </c>
      <c r="O22" s="11"/>
      <c r="P22" s="2">
        <f>--332.84</f>
        <v>332.84</v>
      </c>
      <c r="Q22" s="2"/>
      <c r="R22" s="19"/>
      <c r="S22" s="2"/>
      <c r="T22" s="2">
        <f>--4097.71</f>
        <v>4097.71</v>
      </c>
      <c r="U22" s="2"/>
      <c r="V22" s="19"/>
      <c r="W22" s="2"/>
      <c r="X22" s="2">
        <f t="shared" si="2"/>
        <v>-3764.87</v>
      </c>
      <c r="Y22" s="2"/>
      <c r="Z22" s="19">
        <f t="shared" si="3"/>
        <v>-0.91877414458319395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ref="D23:D24" si="5">0</f>
        <v>0</v>
      </c>
      <c r="E23" s="2"/>
      <c r="F23" s="19"/>
      <c r="G23" s="2"/>
      <c r="H23" s="2">
        <f>--8.97</f>
        <v>8.9700000000000006</v>
      </c>
      <c r="I23" s="2"/>
      <c r="J23" s="19"/>
      <c r="K23" s="2"/>
      <c r="L23" s="2">
        <f t="shared" si="0"/>
        <v>-8.9700000000000006</v>
      </c>
      <c r="M23" s="2"/>
      <c r="N23" s="19">
        <f t="shared" si="1"/>
        <v>-1</v>
      </c>
      <c r="O23" s="11"/>
      <c r="P23" s="2">
        <f t="shared" ref="P23:P24" si="6">0</f>
        <v>0</v>
      </c>
      <c r="Q23" s="2"/>
      <c r="R23" s="19"/>
      <c r="S23" s="2"/>
      <c r="T23" s="2">
        <f>--42.85</f>
        <v>42.85</v>
      </c>
      <c r="U23" s="2"/>
      <c r="V23" s="19"/>
      <c r="W23" s="2"/>
      <c r="X23" s="2">
        <f t="shared" si="2"/>
        <v>-42.85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5"/>
        <v>0</v>
      </c>
      <c r="E24" s="2"/>
      <c r="F24" s="19"/>
      <c r="G24" s="2"/>
      <c r="H24" s="2">
        <f>--11343.24</f>
        <v>11343.24</v>
      </c>
      <c r="I24" s="2"/>
      <c r="J24" s="19"/>
      <c r="K24" s="2"/>
      <c r="L24" s="2">
        <f t="shared" si="0"/>
        <v>-11343.24</v>
      </c>
      <c r="M24" s="2"/>
      <c r="N24" s="19">
        <f t="shared" si="1"/>
        <v>-1</v>
      </c>
      <c r="O24" s="11"/>
      <c r="P24" s="2">
        <f t="shared" si="6"/>
        <v>0</v>
      </c>
      <c r="Q24" s="2"/>
      <c r="R24" s="19"/>
      <c r="S24" s="2"/>
      <c r="T24" s="2">
        <f>--51783.69</f>
        <v>51783.69</v>
      </c>
      <c r="U24" s="2"/>
      <c r="V24" s="19"/>
      <c r="W24" s="2"/>
      <c r="X24" s="2">
        <f t="shared" si="2"/>
        <v>-51783.69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--41.38</f>
        <v>41.38</v>
      </c>
      <c r="E25" s="2"/>
      <c r="F25" s="19"/>
      <c r="G25" s="2"/>
      <c r="H25" s="2">
        <f>--11784.71</f>
        <v>11784.71</v>
      </c>
      <c r="I25" s="2"/>
      <c r="J25" s="19"/>
      <c r="K25" s="2"/>
      <c r="L25" s="2">
        <f t="shared" si="0"/>
        <v>-11743.33</v>
      </c>
      <c r="M25" s="2"/>
      <c r="N25" s="19">
        <f t="shared" si="1"/>
        <v>-0.99648867048913392</v>
      </c>
      <c r="O25" s="11"/>
      <c r="P25" s="2">
        <f>--448.38</f>
        <v>448.38</v>
      </c>
      <c r="Q25" s="2"/>
      <c r="R25" s="19"/>
      <c r="S25" s="2"/>
      <c r="T25" s="2">
        <f>--75474.2</f>
        <v>75474.2</v>
      </c>
      <c r="U25" s="2"/>
      <c r="V25" s="19"/>
      <c r="W25" s="2"/>
      <c r="X25" s="2">
        <f t="shared" si="2"/>
        <v>-75025.819999999992</v>
      </c>
      <c r="Y25" s="2"/>
      <c r="Z25" s="19">
        <f t="shared" si="3"/>
        <v>-0.99405916193878163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--5808.1</f>
        <v>5808.1</v>
      </c>
      <c r="E26" s="2"/>
      <c r="F26" s="19"/>
      <c r="G26" s="2"/>
      <c r="H26" s="2">
        <f>--30046.01</f>
        <v>30046.01</v>
      </c>
      <c r="I26" s="2"/>
      <c r="J26" s="19"/>
      <c r="K26" s="2"/>
      <c r="L26" s="2">
        <f t="shared" si="0"/>
        <v>-24237.909999999996</v>
      </c>
      <c r="M26" s="2"/>
      <c r="N26" s="19">
        <f t="shared" si="1"/>
        <v>-0.80669313496201323</v>
      </c>
      <c r="O26" s="11"/>
      <c r="P26" s="2">
        <f>--54484.32</f>
        <v>54484.32</v>
      </c>
      <c r="Q26" s="2"/>
      <c r="R26" s="19"/>
      <c r="S26" s="2"/>
      <c r="T26" s="2">
        <f>--261693.33</f>
        <v>261693.33</v>
      </c>
      <c r="U26" s="2"/>
      <c r="V26" s="19"/>
      <c r="W26" s="2"/>
      <c r="X26" s="2">
        <f t="shared" si="2"/>
        <v>-207209.00999999998</v>
      </c>
      <c r="Y26" s="2"/>
      <c r="Z26" s="19">
        <f t="shared" si="3"/>
        <v>-0.79180088388190861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--1924.8</f>
        <v>1924.8</v>
      </c>
      <c r="E27" s="2"/>
      <c r="F27" s="19"/>
      <c r="G27" s="2"/>
      <c r="H27" s="2">
        <f>--42663.45</f>
        <v>42663.45</v>
      </c>
      <c r="I27" s="2"/>
      <c r="J27" s="19"/>
      <c r="K27" s="2"/>
      <c r="L27" s="2">
        <f t="shared" si="0"/>
        <v>-40738.649999999994</v>
      </c>
      <c r="M27" s="2"/>
      <c r="N27" s="19">
        <f t="shared" si="1"/>
        <v>-0.95488409868400226</v>
      </c>
      <c r="O27" s="11"/>
      <c r="P27" s="2">
        <f>--40876.62</f>
        <v>40876.620000000003</v>
      </c>
      <c r="Q27" s="2"/>
      <c r="R27" s="19"/>
      <c r="S27" s="2"/>
      <c r="T27" s="2">
        <f>--275336.23</f>
        <v>275336.23</v>
      </c>
      <c r="U27" s="2"/>
      <c r="V27" s="19"/>
      <c r="W27" s="2"/>
      <c r="X27" s="2">
        <f t="shared" si="2"/>
        <v>-234459.61</v>
      </c>
      <c r="Y27" s="2"/>
      <c r="Z27" s="19">
        <f t="shared" si="3"/>
        <v>-0.85153926165110927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--593.6</f>
        <v>593.6</v>
      </c>
      <c r="E28" s="2"/>
      <c r="F28" s="19"/>
      <c r="G28" s="2"/>
      <c r="H28" s="2">
        <f>--92.07</f>
        <v>92.07</v>
      </c>
      <c r="I28" s="2"/>
      <c r="J28" s="19"/>
      <c r="K28" s="2"/>
      <c r="L28" s="2">
        <f t="shared" si="0"/>
        <v>501.53000000000003</v>
      </c>
      <c r="M28" s="2"/>
      <c r="N28" s="19">
        <f t="shared" si="1"/>
        <v>5.4472683827522541</v>
      </c>
      <c r="O28" s="11"/>
      <c r="P28" s="2">
        <f>--3180.84</f>
        <v>3180.84</v>
      </c>
      <c r="Q28" s="2"/>
      <c r="R28" s="19"/>
      <c r="S28" s="2"/>
      <c r="T28" s="2">
        <f>--442.04</f>
        <v>442.04</v>
      </c>
      <c r="U28" s="2"/>
      <c r="V28" s="19"/>
      <c r="W28" s="2"/>
      <c r="X28" s="2">
        <f t="shared" si="2"/>
        <v>2738.8</v>
      </c>
      <c r="Y28" s="2"/>
      <c r="Z28" s="19">
        <f t="shared" si="3"/>
        <v>6.1958193828612798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ref="D29:D33" si="7">0</f>
        <v>0</v>
      </c>
      <c r="E29" s="2"/>
      <c r="F29" s="19"/>
      <c r="G29" s="2"/>
      <c r="H29" s="2">
        <f>--45955.75</f>
        <v>45955.75</v>
      </c>
      <c r="I29" s="2"/>
      <c r="J29" s="19"/>
      <c r="K29" s="2"/>
      <c r="L29" s="2">
        <f t="shared" si="0"/>
        <v>-45955.75</v>
      </c>
      <c r="M29" s="2"/>
      <c r="N29" s="19">
        <f t="shared" si="1"/>
        <v>-1</v>
      </c>
      <c r="O29" s="11"/>
      <c r="P29" s="2">
        <f>--444.59</f>
        <v>444.59</v>
      </c>
      <c r="Q29" s="2"/>
      <c r="R29" s="19"/>
      <c r="S29" s="2"/>
      <c r="T29" s="2">
        <f>--258470.62</f>
        <v>258470.62</v>
      </c>
      <c r="U29" s="2"/>
      <c r="V29" s="19"/>
      <c r="W29" s="2"/>
      <c r="X29" s="2">
        <f t="shared" si="2"/>
        <v>-258026.03</v>
      </c>
      <c r="Y29" s="2"/>
      <c r="Z29" s="19">
        <f t="shared" si="3"/>
        <v>-0.99827992055731518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7"/>
        <v>0</v>
      </c>
      <c r="E30" s="2"/>
      <c r="F30" s="19"/>
      <c r="G30" s="2"/>
      <c r="H30" s="2">
        <f>--33.83</f>
        <v>33.83</v>
      </c>
      <c r="I30" s="2"/>
      <c r="J30" s="19"/>
      <c r="K30" s="2"/>
      <c r="L30" s="2">
        <f t="shared" si="0"/>
        <v>-33.83</v>
      </c>
      <c r="M30" s="2"/>
      <c r="N30" s="19">
        <f t="shared" si="1"/>
        <v>-1</v>
      </c>
      <c r="O30" s="11"/>
      <c r="P30" s="2">
        <f>0</f>
        <v>0</v>
      </c>
      <c r="Q30" s="2"/>
      <c r="R30" s="19"/>
      <c r="S30" s="2"/>
      <c r="T30" s="2">
        <f>--179.98</f>
        <v>179.98</v>
      </c>
      <c r="U30" s="2"/>
      <c r="V30" s="19"/>
      <c r="W30" s="2"/>
      <c r="X30" s="2">
        <f t="shared" si="2"/>
        <v>-179.98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7"/>
        <v>0</v>
      </c>
      <c r="E31" s="2"/>
      <c r="F31" s="19"/>
      <c r="G31" s="2"/>
      <c r="H31" s="2">
        <f>--1908.2</f>
        <v>1908.2</v>
      </c>
      <c r="I31" s="2"/>
      <c r="J31" s="19"/>
      <c r="K31" s="2"/>
      <c r="L31" s="2">
        <f t="shared" si="0"/>
        <v>-1908.2</v>
      </c>
      <c r="M31" s="2"/>
      <c r="N31" s="19">
        <f t="shared" si="1"/>
        <v>-1</v>
      </c>
      <c r="O31" s="11"/>
      <c r="P31" s="2">
        <f>--6.78</f>
        <v>6.78</v>
      </c>
      <c r="Q31" s="2"/>
      <c r="R31" s="19"/>
      <c r="S31" s="2"/>
      <c r="T31" s="2">
        <f>--10163.45</f>
        <v>10163.450000000001</v>
      </c>
      <c r="U31" s="2"/>
      <c r="V31" s="19"/>
      <c r="W31" s="2"/>
      <c r="X31" s="2">
        <f t="shared" si="2"/>
        <v>-10156.67</v>
      </c>
      <c r="Y31" s="2"/>
      <c r="Z31" s="19">
        <f t="shared" si="3"/>
        <v>-0.99933290368919991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7"/>
        <v>0</v>
      </c>
      <c r="E32" s="2"/>
      <c r="F32" s="19"/>
      <c r="G32" s="2"/>
      <c r="H32" s="2">
        <f>--442.03</f>
        <v>442.03</v>
      </c>
      <c r="I32" s="2"/>
      <c r="J32" s="19"/>
      <c r="K32" s="2"/>
      <c r="L32" s="2">
        <f t="shared" si="0"/>
        <v>-442.03</v>
      </c>
      <c r="M32" s="2"/>
      <c r="N32" s="19">
        <f t="shared" si="1"/>
        <v>-1</v>
      </c>
      <c r="O32" s="11"/>
      <c r="P32" s="2">
        <f t="shared" ref="P32:P33" si="8">0</f>
        <v>0</v>
      </c>
      <c r="Q32" s="2"/>
      <c r="R32" s="19"/>
      <c r="S32" s="2"/>
      <c r="T32" s="2">
        <f>--1880.52</f>
        <v>1880.52</v>
      </c>
      <c r="U32" s="2"/>
      <c r="V32" s="19"/>
      <c r="W32" s="2"/>
      <c r="X32" s="2">
        <f t="shared" si="2"/>
        <v>-1880.52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7"/>
        <v>0</v>
      </c>
      <c r="E33" s="2"/>
      <c r="F33" s="19"/>
      <c r="G33" s="2"/>
      <c r="H33" s="2">
        <f>--74.61</f>
        <v>74.61</v>
      </c>
      <c r="I33" s="2"/>
      <c r="J33" s="19"/>
      <c r="K33" s="2"/>
      <c r="L33" s="2">
        <f t="shared" si="0"/>
        <v>-74.61</v>
      </c>
      <c r="M33" s="2"/>
      <c r="N33" s="19">
        <f t="shared" si="1"/>
        <v>-1</v>
      </c>
      <c r="O33" s="11"/>
      <c r="P33" s="2">
        <f t="shared" si="8"/>
        <v>0</v>
      </c>
      <c r="Q33" s="2"/>
      <c r="R33" s="19"/>
      <c r="S33" s="2"/>
      <c r="T33" s="2">
        <f>--488.71</f>
        <v>488.71</v>
      </c>
      <c r="U33" s="2"/>
      <c r="V33" s="19"/>
      <c r="W33" s="2"/>
      <c r="X33" s="2">
        <f t="shared" si="2"/>
        <v>-488.71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--73245.08</f>
        <v>73245.08</v>
      </c>
      <c r="E34" s="2"/>
      <c r="F34" s="19"/>
      <c r="G34" s="2"/>
      <c r="H34" s="2">
        <f>--197676.23</f>
        <v>197676.23</v>
      </c>
      <c r="I34" s="2"/>
      <c r="J34" s="19"/>
      <c r="K34" s="2"/>
      <c r="L34" s="2">
        <f t="shared" si="0"/>
        <v>-124431.15000000001</v>
      </c>
      <c r="M34" s="2"/>
      <c r="N34" s="19">
        <f t="shared" si="1"/>
        <v>-0.62946946124984271</v>
      </c>
      <c r="O34" s="11"/>
      <c r="P34" s="2">
        <f>--671347.98</f>
        <v>671347.98</v>
      </c>
      <c r="Q34" s="2"/>
      <c r="R34" s="19"/>
      <c r="S34" s="2"/>
      <c r="T34" s="2">
        <f>--1682295.22</f>
        <v>1682295.22</v>
      </c>
      <c r="U34" s="2"/>
      <c r="V34" s="19"/>
      <c r="W34" s="2"/>
      <c r="X34" s="2">
        <f t="shared" si="2"/>
        <v>-1010947.24</v>
      </c>
      <c r="Y34" s="2"/>
      <c r="Z34" s="19">
        <f t="shared" si="3"/>
        <v>-0.60093331300079422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--27100.04</f>
        <v>27100.04</v>
      </c>
      <c r="E35" s="2"/>
      <c r="F35" s="19"/>
      <c r="G35" s="2"/>
      <c r="H35" s="2">
        <f>--41252.71</f>
        <v>41252.71</v>
      </c>
      <c r="I35" s="2"/>
      <c r="J35" s="19"/>
      <c r="K35" s="2"/>
      <c r="L35" s="2">
        <f t="shared" si="0"/>
        <v>-14152.669999999998</v>
      </c>
      <c r="M35" s="2"/>
      <c r="N35" s="19">
        <f t="shared" si="1"/>
        <v>-0.34307249147995367</v>
      </c>
      <c r="O35" s="11"/>
      <c r="P35" s="2">
        <f>--276199.31</f>
        <v>276199.31</v>
      </c>
      <c r="Q35" s="2"/>
      <c r="R35" s="19"/>
      <c r="S35" s="2"/>
      <c r="T35" s="2">
        <f>--441821.19</f>
        <v>441821.19</v>
      </c>
      <c r="U35" s="2"/>
      <c r="V35" s="19"/>
      <c r="W35" s="2"/>
      <c r="X35" s="2">
        <f t="shared" si="2"/>
        <v>-165621.88</v>
      </c>
      <c r="Y35" s="2"/>
      <c r="Z35" s="19">
        <f t="shared" si="3"/>
        <v>-0.37486178514887436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--4794.04</f>
        <v>4794.04</v>
      </c>
      <c r="E36" s="2"/>
      <c r="F36" s="19"/>
      <c r="G36" s="2"/>
      <c r="H36" s="2">
        <f>--26570.92</f>
        <v>26570.92</v>
      </c>
      <c r="I36" s="2"/>
      <c r="J36" s="19"/>
      <c r="K36" s="2"/>
      <c r="L36" s="2">
        <f t="shared" si="0"/>
        <v>-21776.879999999997</v>
      </c>
      <c r="M36" s="2"/>
      <c r="N36" s="19">
        <f t="shared" si="1"/>
        <v>-0.81957568650238677</v>
      </c>
      <c r="O36" s="11"/>
      <c r="P36" s="2">
        <f>--78994.92</f>
        <v>78994.92</v>
      </c>
      <c r="Q36" s="2"/>
      <c r="R36" s="19"/>
      <c r="S36" s="2"/>
      <c r="T36" s="2">
        <f>--259566.14</f>
        <v>259566.14</v>
      </c>
      <c r="U36" s="2"/>
      <c r="V36" s="19"/>
      <c r="W36" s="2"/>
      <c r="X36" s="2">
        <f t="shared" si="2"/>
        <v>-180571.22000000003</v>
      </c>
      <c r="Y36" s="2"/>
      <c r="Z36" s="19">
        <f t="shared" si="3"/>
        <v>-0.69566554404977488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--6195.85</f>
        <v>6195.85</v>
      </c>
      <c r="E37" s="2"/>
      <c r="F37" s="19"/>
      <c r="G37" s="2"/>
      <c r="H37" s="2">
        <f>--53271</f>
        <v>53271</v>
      </c>
      <c r="I37" s="2"/>
      <c r="J37" s="19"/>
      <c r="K37" s="2"/>
      <c r="L37" s="2">
        <f t="shared" si="0"/>
        <v>-47075.15</v>
      </c>
      <c r="M37" s="2"/>
      <c r="N37" s="19">
        <f t="shared" si="1"/>
        <v>-0.88369187738168986</v>
      </c>
      <c r="O37" s="11"/>
      <c r="P37" s="2">
        <f>--124150.66</f>
        <v>124150.66</v>
      </c>
      <c r="Q37" s="2"/>
      <c r="R37" s="19"/>
      <c r="S37" s="2"/>
      <c r="T37" s="2">
        <f>--75901.71</f>
        <v>75901.710000000006</v>
      </c>
      <c r="U37" s="2"/>
      <c r="V37" s="19"/>
      <c r="W37" s="2"/>
      <c r="X37" s="2">
        <f t="shared" si="2"/>
        <v>48248.95</v>
      </c>
      <c r="Y37" s="2"/>
      <c r="Z37" s="19">
        <f t="shared" si="3"/>
        <v>0.63567671927285951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--2036.78</f>
        <v>2036.78</v>
      </c>
      <c r="E38" s="2"/>
      <c r="F38" s="19"/>
      <c r="G38" s="2"/>
      <c r="H38" s="2">
        <f>--9848.33</f>
        <v>9848.33</v>
      </c>
      <c r="I38" s="2"/>
      <c r="J38" s="19"/>
      <c r="K38" s="2"/>
      <c r="L38" s="2">
        <f t="shared" si="0"/>
        <v>-7811.55</v>
      </c>
      <c r="M38" s="2"/>
      <c r="N38" s="19">
        <f t="shared" si="1"/>
        <v>-0.79318524054332051</v>
      </c>
      <c r="O38" s="11"/>
      <c r="P38" s="2">
        <f>--29572.4</f>
        <v>29572.400000000001</v>
      </c>
      <c r="Q38" s="2"/>
      <c r="R38" s="19"/>
      <c r="S38" s="2"/>
      <c r="T38" s="2">
        <f>--62934.49</f>
        <v>62934.49</v>
      </c>
      <c r="U38" s="2"/>
      <c r="V38" s="19"/>
      <c r="W38" s="2"/>
      <c r="X38" s="2">
        <f t="shared" si="2"/>
        <v>-33362.089999999997</v>
      </c>
      <c r="Y38" s="2"/>
      <c r="Z38" s="19">
        <f t="shared" si="3"/>
        <v>-0.53010821252384821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--10039.9</f>
        <v>10039.9</v>
      </c>
      <c r="E39" s="2"/>
      <c r="F39" s="19"/>
      <c r="G39" s="2"/>
      <c r="H39" s="2">
        <f>--815.01</f>
        <v>815.01</v>
      </c>
      <c r="I39" s="2"/>
      <c r="J39" s="19"/>
      <c r="K39" s="2"/>
      <c r="L39" s="2">
        <f t="shared" si="0"/>
        <v>9224.89</v>
      </c>
      <c r="M39" s="2"/>
      <c r="N39" s="19">
        <f t="shared" si="1"/>
        <v>11.31874455528153</v>
      </c>
      <c r="O39" s="11"/>
      <c r="P39" s="2">
        <f>--135489.57</f>
        <v>135489.57</v>
      </c>
      <c r="Q39" s="2"/>
      <c r="R39" s="19"/>
      <c r="S39" s="2"/>
      <c r="T39" s="2">
        <f>--70553.04</f>
        <v>70553.039999999994</v>
      </c>
      <c r="U39" s="2"/>
      <c r="V39" s="19"/>
      <c r="W39" s="2"/>
      <c r="X39" s="2">
        <f t="shared" si="2"/>
        <v>64936.530000000013</v>
      </c>
      <c r="Y39" s="2"/>
      <c r="Z39" s="19">
        <f t="shared" si="3"/>
        <v>0.92039308299117972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6" si="9">0</f>
        <v>0</v>
      </c>
      <c r="E40" s="2"/>
      <c r="F40" s="19"/>
      <c r="G40" s="2"/>
      <c r="H40" s="2">
        <f>--208.95</f>
        <v>208.95</v>
      </c>
      <c r="I40" s="2"/>
      <c r="J40" s="19"/>
      <c r="K40" s="2"/>
      <c r="L40" s="2">
        <f t="shared" si="0"/>
        <v>-208.95</v>
      </c>
      <c r="M40" s="2"/>
      <c r="N40" s="19">
        <f t="shared" si="1"/>
        <v>-1</v>
      </c>
      <c r="O40" s="11"/>
      <c r="P40" s="2">
        <f t="shared" ref="P40:P41" si="10">0</f>
        <v>0</v>
      </c>
      <c r="Q40" s="2"/>
      <c r="R40" s="19"/>
      <c r="S40" s="2"/>
      <c r="T40" s="2">
        <f>--2185.99</f>
        <v>2185.9899999999998</v>
      </c>
      <c r="U40" s="2"/>
      <c r="V40" s="19"/>
      <c r="W40" s="2"/>
      <c r="X40" s="2">
        <f t="shared" si="2"/>
        <v>-2185.9899999999998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 t="shared" si="9"/>
        <v>0</v>
      </c>
      <c r="E41" s="2"/>
      <c r="F41" s="19"/>
      <c r="G41" s="2"/>
      <c r="H41" s="2">
        <f>--23977.64</f>
        <v>23977.64</v>
      </c>
      <c r="I41" s="2"/>
      <c r="J41" s="19"/>
      <c r="K41" s="2"/>
      <c r="L41" s="2">
        <f t="shared" si="0"/>
        <v>-23977.64</v>
      </c>
      <c r="M41" s="2"/>
      <c r="N41" s="19">
        <f t="shared" si="1"/>
        <v>-1</v>
      </c>
      <c r="O41" s="11"/>
      <c r="P41" s="2">
        <f t="shared" si="10"/>
        <v>0</v>
      </c>
      <c r="Q41" s="2"/>
      <c r="R41" s="19"/>
      <c r="S41" s="2"/>
      <c r="T41" s="2">
        <f>--140914.35</f>
        <v>140914.35</v>
      </c>
      <c r="U41" s="2"/>
      <c r="V41" s="19"/>
      <c r="W41" s="2"/>
      <c r="X41" s="2">
        <f t="shared" si="2"/>
        <v>-140914.35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"4081", " - ", "TAXABLE SALES-ELECTRONICS")</f>
        <v xml:space="preserve">          4081 - TAXABLE SALES-ELECTRONICS</v>
      </c>
      <c r="C42" s="11"/>
      <c r="D42" s="2">
        <f t="shared" si="9"/>
        <v>0</v>
      </c>
      <c r="E42" s="2"/>
      <c r="F42" s="19"/>
      <c r="G42" s="2"/>
      <c r="H42" s="2">
        <f>--308.7</f>
        <v>308.7</v>
      </c>
      <c r="I42" s="2"/>
      <c r="J42" s="19"/>
      <c r="K42" s="2"/>
      <c r="L42" s="2">
        <f t="shared" si="0"/>
        <v>-308.7</v>
      </c>
      <c r="M42" s="2"/>
      <c r="N42" s="19">
        <f t="shared" si="1"/>
        <v>-1</v>
      </c>
      <c r="O42" s="11"/>
      <c r="P42" s="2">
        <f>--71.95</f>
        <v>71.95</v>
      </c>
      <c r="Q42" s="2"/>
      <c r="R42" s="19"/>
      <c r="S42" s="2"/>
      <c r="T42" s="2">
        <f>--3109.98</f>
        <v>3109.98</v>
      </c>
      <c r="U42" s="2"/>
      <c r="V42" s="19"/>
      <c r="W42" s="2"/>
      <c r="X42" s="2">
        <f t="shared" si="2"/>
        <v>-3038.03</v>
      </c>
      <c r="Y42" s="2"/>
      <c r="Z42" s="19">
        <f t="shared" si="3"/>
        <v>-0.97686480298908684</v>
      </c>
    </row>
    <row r="43" spans="1:26" s="24" customFormat="1" hidden="1" outlineLevel="1" x14ac:dyDescent="0.25">
      <c r="A43" s="44"/>
      <c r="B43" s="11" t="str">
        <f>CONCATENATE("          ", "4082", " - ", "TAXABLE SALES-COMPUTER HARDWAR")</f>
        <v xml:space="preserve">          4082 - TAXABLE SALES-COMPUTER HARDWAR</v>
      </c>
      <c r="C43" s="11"/>
      <c r="D43" s="2">
        <f t="shared" si="9"/>
        <v>0</v>
      </c>
      <c r="E43" s="2"/>
      <c r="F43" s="19"/>
      <c r="G43" s="2"/>
      <c r="H43" s="2">
        <f>--76.98</f>
        <v>76.98</v>
      </c>
      <c r="I43" s="2"/>
      <c r="J43" s="19"/>
      <c r="K43" s="2"/>
      <c r="L43" s="2">
        <f t="shared" si="0"/>
        <v>-76.98</v>
      </c>
      <c r="M43" s="2"/>
      <c r="N43" s="19">
        <f t="shared" si="1"/>
        <v>-1</v>
      </c>
      <c r="O43" s="11"/>
      <c r="P43" s="2">
        <f>0</f>
        <v>0</v>
      </c>
      <c r="Q43" s="2"/>
      <c r="R43" s="19"/>
      <c r="S43" s="2"/>
      <c r="T43" s="2">
        <f>--295.98</f>
        <v>295.98</v>
      </c>
      <c r="U43" s="2"/>
      <c r="V43" s="19"/>
      <c r="W43" s="2"/>
      <c r="X43" s="2">
        <f t="shared" si="2"/>
        <v>-295.98</v>
      </c>
      <c r="Y43" s="2"/>
      <c r="Z43" s="19">
        <f t="shared" si="3"/>
        <v>-1</v>
      </c>
    </row>
    <row r="44" spans="1:26" s="24" customFormat="1" hidden="1" outlineLevel="1" x14ac:dyDescent="0.25">
      <c r="A44" s="44"/>
      <c r="B44" s="11" t="str">
        <f>CONCATENATE("          ", "4083", " - ", "TAXABLE SALES-COMPUTER EQUIPME")</f>
        <v xml:space="preserve">          4083 - TAXABLE SALES-COMPUTER EQUIPME</v>
      </c>
      <c r="C44" s="11"/>
      <c r="D44" s="2">
        <f t="shared" si="9"/>
        <v>0</v>
      </c>
      <c r="E44" s="2"/>
      <c r="F44" s="19"/>
      <c r="G44" s="2"/>
      <c r="H44" s="2">
        <f>--34.97</f>
        <v>34.97</v>
      </c>
      <c r="I44" s="2"/>
      <c r="J44" s="19"/>
      <c r="K44" s="2"/>
      <c r="L44" s="2">
        <f t="shared" si="0"/>
        <v>-34.97</v>
      </c>
      <c r="M44" s="2"/>
      <c r="N44" s="19">
        <f t="shared" si="1"/>
        <v>-1</v>
      </c>
      <c r="O44" s="11"/>
      <c r="P44" s="2">
        <f>--9.99</f>
        <v>9.99</v>
      </c>
      <c r="Q44" s="2"/>
      <c r="R44" s="19"/>
      <c r="S44" s="2"/>
      <c r="T44" s="2">
        <f>--884.36</f>
        <v>884.36</v>
      </c>
      <c r="U44" s="2"/>
      <c r="V44" s="19"/>
      <c r="W44" s="2"/>
      <c r="X44" s="2">
        <f t="shared" si="2"/>
        <v>-874.37</v>
      </c>
      <c r="Y44" s="2"/>
      <c r="Z44" s="19">
        <f t="shared" si="3"/>
        <v>-0.98870369532769464</v>
      </c>
    </row>
    <row r="45" spans="1:26" s="24" customFormat="1" hidden="1" outlineLevel="1" x14ac:dyDescent="0.25">
      <c r="A45" s="44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 t="shared" si="9"/>
        <v>0</v>
      </c>
      <c r="E45" s="2"/>
      <c r="F45" s="19"/>
      <c r="G45" s="2"/>
      <c r="H45" s="2">
        <f>--28.98</f>
        <v>28.98</v>
      </c>
      <c r="I45" s="2"/>
      <c r="J45" s="19"/>
      <c r="K45" s="2"/>
      <c r="L45" s="2">
        <f t="shared" si="0"/>
        <v>-28.98</v>
      </c>
      <c r="M45" s="2"/>
      <c r="N45" s="19">
        <f t="shared" si="1"/>
        <v>-1</v>
      </c>
      <c r="O45" s="11"/>
      <c r="P45" s="2">
        <f t="shared" ref="P45:P46" si="11">0</f>
        <v>0</v>
      </c>
      <c r="Q45" s="2"/>
      <c r="R45" s="19"/>
      <c r="S45" s="2"/>
      <c r="T45" s="2">
        <f>--804.74</f>
        <v>804.74</v>
      </c>
      <c r="U45" s="2"/>
      <c r="V45" s="19"/>
      <c r="W45" s="2"/>
      <c r="X45" s="2">
        <f t="shared" si="2"/>
        <v>-804.74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"4092", " - ", "TAXABLE SALES-GRAD MERCH")</f>
        <v xml:space="preserve">          4092 - TAXABLE SALES-GRAD MERCH</v>
      </c>
      <c r="C46" s="11"/>
      <c r="D46" s="2">
        <f t="shared" si="9"/>
        <v>0</v>
      </c>
      <c r="E46" s="2"/>
      <c r="F46" s="19"/>
      <c r="G46" s="2"/>
      <c r="H46" s="2">
        <f t="shared" ref="H46:H47" si="12">0</f>
        <v>0</v>
      </c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 t="shared" si="11"/>
        <v>0</v>
      </c>
      <c r="Q46" s="2"/>
      <c r="R46" s="19"/>
      <c r="S46" s="2"/>
      <c r="T46" s="2">
        <f>--7659.37</f>
        <v>7659.37</v>
      </c>
      <c r="U46" s="2"/>
      <c r="V46" s="19"/>
      <c r="W46" s="2"/>
      <c r="X46" s="2">
        <f t="shared" si="2"/>
        <v>-7659.37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"4095", " - ", "TAXABLE SALES-CUSTOMER SERVICE")</f>
        <v xml:space="preserve">          4095 - TAXABLE SALES-CUSTOMER SERVICE</v>
      </c>
      <c r="C47" s="11"/>
      <c r="D47" s="2">
        <f>--139.85</f>
        <v>139.85</v>
      </c>
      <c r="E47" s="2"/>
      <c r="F47" s="19"/>
      <c r="G47" s="2"/>
      <c r="H47" s="2">
        <f t="shared" si="12"/>
        <v>0</v>
      </c>
      <c r="I47" s="2"/>
      <c r="J47" s="19"/>
      <c r="K47" s="2"/>
      <c r="L47" s="2">
        <f t="shared" si="0"/>
        <v>139.85</v>
      </c>
      <c r="M47" s="2"/>
      <c r="N47" s="19">
        <f t="shared" si="1"/>
        <v>0</v>
      </c>
      <c r="O47" s="11"/>
      <c r="P47" s="2">
        <f>--139.85</f>
        <v>139.85</v>
      </c>
      <c r="Q47" s="2"/>
      <c r="R47" s="19"/>
      <c r="S47" s="2"/>
      <c r="T47" s="2">
        <f>--309.26</f>
        <v>309.26</v>
      </c>
      <c r="U47" s="2"/>
      <c r="V47" s="19"/>
      <c r="W47" s="2"/>
      <c r="X47" s="2">
        <f t="shared" si="2"/>
        <v>-169.41</v>
      </c>
      <c r="Y47" s="2"/>
      <c r="Z47" s="19">
        <f t="shared" si="3"/>
        <v>-0.54779150229580287</v>
      </c>
    </row>
    <row r="48" spans="1:26" s="24" customFormat="1" hidden="1" outlineLevel="1" x14ac:dyDescent="0.25">
      <c r="A48" s="44"/>
      <c r="B48" s="11" t="str">
        <f>CONCATENATE("          ", "4100", " - ", "NON-TAXABLE SALES")</f>
        <v xml:space="preserve">          4100 - NON-TAXABLE SALES</v>
      </c>
      <c r="C48" s="11"/>
      <c r="D48" s="2">
        <f>--5617.7</f>
        <v>5617.7</v>
      </c>
      <c r="E48" s="2"/>
      <c r="F48" s="19"/>
      <c r="G48" s="2"/>
      <c r="H48" s="2">
        <f>--22519.96</f>
        <v>22519.96</v>
      </c>
      <c r="I48" s="2"/>
      <c r="J48" s="19"/>
      <c r="K48" s="2"/>
      <c r="L48" s="2">
        <f t="shared" si="0"/>
        <v>-16902.259999999998</v>
      </c>
      <c r="M48" s="2"/>
      <c r="N48" s="19">
        <f t="shared" si="1"/>
        <v>-0.75054573809189706</v>
      </c>
      <c r="O48" s="11"/>
      <c r="P48" s="2">
        <f>--284173.56</f>
        <v>284173.56</v>
      </c>
      <c r="Q48" s="2"/>
      <c r="R48" s="19"/>
      <c r="S48" s="2"/>
      <c r="T48" s="2">
        <f>--572740.12</f>
        <v>572740.12</v>
      </c>
      <c r="U48" s="2"/>
      <c r="V48" s="19"/>
      <c r="W48" s="2"/>
      <c r="X48" s="2">
        <f t="shared" si="2"/>
        <v>-288566.56</v>
      </c>
      <c r="Y48" s="2"/>
      <c r="Z48" s="19">
        <f t="shared" si="3"/>
        <v>-0.50383507270278183</v>
      </c>
    </row>
    <row r="49" spans="1:26" s="24" customFormat="1" hidden="1" outlineLevel="1" x14ac:dyDescent="0.25">
      <c r="A49" s="44"/>
      <c r="B49" s="11" t="str">
        <f>CONCATENATE("          ", "4101", " - ", "NON-TAXABLE SALES-NEW TEXT")</f>
        <v xml:space="preserve">          4101 - NON-TAXABLE SALES-NEW TEXT</v>
      </c>
      <c r="C49" s="11"/>
      <c r="D49" s="2">
        <f>--6785.91</f>
        <v>6785.91</v>
      </c>
      <c r="E49" s="2"/>
      <c r="F49" s="19"/>
      <c r="G49" s="2"/>
      <c r="H49" s="2">
        <f>--7332.54</f>
        <v>7332.54</v>
      </c>
      <c r="I49" s="2"/>
      <c r="J49" s="19"/>
      <c r="K49" s="2"/>
      <c r="L49" s="2">
        <f t="shared" si="0"/>
        <v>-546.63000000000011</v>
      </c>
      <c r="M49" s="2"/>
      <c r="N49" s="19">
        <f t="shared" si="1"/>
        <v>-7.45485193398195E-2</v>
      </c>
      <c r="O49" s="11"/>
      <c r="P49" s="2">
        <f>--111011.54</f>
        <v>111011.54</v>
      </c>
      <c r="Q49" s="2"/>
      <c r="R49" s="19"/>
      <c r="S49" s="2"/>
      <c r="T49" s="2">
        <f>--139737.77</f>
        <v>139737.76999999999</v>
      </c>
      <c r="U49" s="2"/>
      <c r="V49" s="19"/>
      <c r="W49" s="2"/>
      <c r="X49" s="2">
        <f t="shared" si="2"/>
        <v>-28726.229999999996</v>
      </c>
      <c r="Y49" s="2"/>
      <c r="Z49" s="19">
        <f t="shared" si="3"/>
        <v>-0.20557240894856127</v>
      </c>
    </row>
    <row r="50" spans="1:26" s="24" customFormat="1" hidden="1" outlineLevel="1" x14ac:dyDescent="0.25">
      <c r="A50" s="44"/>
      <c r="B50" s="11" t="str">
        <f>CONCATENATE("          ", "4102", " - ", "NON-TAXABLE SALES-USED TEXT")</f>
        <v xml:space="preserve">          4102 - NON-TAXABLE SALES-USED TEXT</v>
      </c>
      <c r="C50" s="11"/>
      <c r="D50" s="2">
        <f>--3426.05</f>
        <v>3426.05</v>
      </c>
      <c r="E50" s="2"/>
      <c r="F50" s="19"/>
      <c r="G50" s="2"/>
      <c r="H50" s="2">
        <f>--1850.06</f>
        <v>1850.06</v>
      </c>
      <c r="I50" s="2"/>
      <c r="J50" s="19"/>
      <c r="K50" s="2"/>
      <c r="L50" s="2">
        <f t="shared" si="0"/>
        <v>1575.9900000000002</v>
      </c>
      <c r="M50" s="2"/>
      <c r="N50" s="19">
        <f t="shared" si="1"/>
        <v>0.85185885863161215</v>
      </c>
      <c r="O50" s="11"/>
      <c r="P50" s="2">
        <f>--46387.37</f>
        <v>46387.37</v>
      </c>
      <c r="Q50" s="2"/>
      <c r="R50" s="19"/>
      <c r="S50" s="2"/>
      <c r="T50" s="2">
        <f>--68466.86</f>
        <v>68466.86</v>
      </c>
      <c r="U50" s="2"/>
      <c r="V50" s="19"/>
      <c r="W50" s="2"/>
      <c r="X50" s="2">
        <f t="shared" si="2"/>
        <v>-22079.489999999998</v>
      </c>
      <c r="Y50" s="2"/>
      <c r="Z50" s="19">
        <f t="shared" si="3"/>
        <v>-0.32248433767811169</v>
      </c>
    </row>
    <row r="51" spans="1:26" s="24" customFormat="1" hidden="1" outlineLevel="1" x14ac:dyDescent="0.25">
      <c r="A51" s="44"/>
      <c r="B51" s="11" t="str">
        <f>CONCATENATE("          ", "4103", " - ", "NON-TAXABLE SALES-RENTAL TEXT")</f>
        <v xml:space="preserve">          4103 - NON-TAXABLE SALES-RENTAL TEXT</v>
      </c>
      <c r="C51" s="11"/>
      <c r="D51" s="2">
        <f>0</f>
        <v>0</v>
      </c>
      <c r="E51" s="2"/>
      <c r="F51" s="19"/>
      <c r="G51" s="2"/>
      <c r="H51" s="2">
        <f>0</f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--1138.95</f>
        <v>1138.95</v>
      </c>
      <c r="Q51" s="2"/>
      <c r="R51" s="19"/>
      <c r="S51" s="2"/>
      <c r="T51" s="2">
        <f>--664.97</f>
        <v>664.97</v>
      </c>
      <c r="U51" s="2"/>
      <c r="V51" s="19"/>
      <c r="W51" s="2"/>
      <c r="X51" s="2">
        <f t="shared" si="2"/>
        <v>473.98</v>
      </c>
      <c r="Y51" s="2"/>
      <c r="Z51" s="19">
        <f t="shared" si="3"/>
        <v>0.71278403537001667</v>
      </c>
    </row>
    <row r="52" spans="1:26" s="24" customFormat="1" hidden="1" outlineLevel="1" x14ac:dyDescent="0.25">
      <c r="A52" s="44"/>
      <c r="B52" s="11" t="str">
        <f>CONCATENATE("          ", "4104", " - ", "NON-TAXABLE SALES-DIGITAL TEXT")</f>
        <v xml:space="preserve">          4104 - NON-TAXABLE SALES-DIGITAL TEXT</v>
      </c>
      <c r="C52" s="11"/>
      <c r="D52" s="2">
        <f>--17705.92</f>
        <v>17705.919999999998</v>
      </c>
      <c r="E52" s="2"/>
      <c r="F52" s="19"/>
      <c r="G52" s="2"/>
      <c r="H52" s="2">
        <f>--21322.38</f>
        <v>21322.38</v>
      </c>
      <c r="I52" s="2"/>
      <c r="J52" s="19"/>
      <c r="K52" s="2"/>
      <c r="L52" s="2">
        <f t="shared" si="0"/>
        <v>-3616.4600000000028</v>
      </c>
      <c r="M52" s="2"/>
      <c r="N52" s="19">
        <f t="shared" si="1"/>
        <v>-0.16960864593914951</v>
      </c>
      <c r="O52" s="11"/>
      <c r="P52" s="2">
        <f>--475874.05</f>
        <v>475874.05</v>
      </c>
      <c r="Q52" s="2"/>
      <c r="R52" s="19"/>
      <c r="S52" s="2"/>
      <c r="T52" s="2">
        <f>--523390.34</f>
        <v>523390.34</v>
      </c>
      <c r="U52" s="2"/>
      <c r="V52" s="19"/>
      <c r="W52" s="2"/>
      <c r="X52" s="2">
        <f t="shared" si="2"/>
        <v>-47516.290000000037</v>
      </c>
      <c r="Y52" s="2"/>
      <c r="Z52" s="19">
        <f t="shared" si="3"/>
        <v>-9.0785569332441321E-2</v>
      </c>
    </row>
    <row r="53" spans="1:26" s="24" customFormat="1" hidden="1" outlineLevel="1" x14ac:dyDescent="0.25">
      <c r="A53" s="44"/>
      <c r="B53" s="11" t="str">
        <f>CONCATENATE("          ", "4111", " - ", "NON-TAXABLE SALES-NO VALUE TEX")</f>
        <v xml:space="preserve">          4111 - NON-TAXABLE SALES-NO VALUE TEX</v>
      </c>
      <c r="C53" s="11"/>
      <c r="D53" s="2">
        <f>0</f>
        <v>0</v>
      </c>
      <c r="E53" s="2"/>
      <c r="F53" s="19"/>
      <c r="G53" s="2"/>
      <c r="H53" s="2">
        <f>--1651.49</f>
        <v>1651.49</v>
      </c>
      <c r="I53" s="2"/>
      <c r="J53" s="19"/>
      <c r="K53" s="2"/>
      <c r="L53" s="2">
        <f t="shared" si="0"/>
        <v>-1651.49</v>
      </c>
      <c r="M53" s="2"/>
      <c r="N53" s="19">
        <f t="shared" si="1"/>
        <v>-1</v>
      </c>
      <c r="O53" s="11"/>
      <c r="P53" s="2">
        <f>0</f>
        <v>0</v>
      </c>
      <c r="Q53" s="2"/>
      <c r="R53" s="19"/>
      <c r="S53" s="2"/>
      <c r="T53" s="2">
        <f>--14359.99</f>
        <v>14359.99</v>
      </c>
      <c r="U53" s="2"/>
      <c r="V53" s="19"/>
      <c r="W53" s="2"/>
      <c r="X53" s="2">
        <f t="shared" si="2"/>
        <v>-14359.99</v>
      </c>
      <c r="Y53" s="2"/>
      <c r="Z53" s="19">
        <f t="shared" si="3"/>
        <v>-1</v>
      </c>
    </row>
    <row r="54" spans="1:26" s="24" customFormat="1" hidden="1" outlineLevel="1" x14ac:dyDescent="0.25">
      <c r="A54" s="44"/>
      <c r="B54" s="11" t="str">
        <f>CONCATENATE("          ", "4113", " - ", "NON-TAXABLE SALES-TRADE BOOKS")</f>
        <v xml:space="preserve">          4113 - NON-TAXABLE SALES-TRADE BOOKS</v>
      </c>
      <c r="C54" s="11"/>
      <c r="D54" s="2">
        <f>--3150</f>
        <v>3150</v>
      </c>
      <c r="E54" s="2"/>
      <c r="F54" s="19"/>
      <c r="G54" s="2"/>
      <c r="H54" s="2">
        <f>--2215.2</f>
        <v>2215.1999999999998</v>
      </c>
      <c r="I54" s="2"/>
      <c r="J54" s="19"/>
      <c r="K54" s="2"/>
      <c r="L54" s="2">
        <f t="shared" si="0"/>
        <v>934.80000000000018</v>
      </c>
      <c r="M54" s="2"/>
      <c r="N54" s="19">
        <f t="shared" si="1"/>
        <v>0.42199349945828829</v>
      </c>
      <c r="O54" s="11"/>
      <c r="P54" s="2">
        <f>--10139.25</f>
        <v>10139.25</v>
      </c>
      <c r="Q54" s="2"/>
      <c r="R54" s="19"/>
      <c r="S54" s="2"/>
      <c r="T54" s="2">
        <f>--3361.92</f>
        <v>3361.92</v>
      </c>
      <c r="U54" s="2"/>
      <c r="V54" s="19"/>
      <c r="W54" s="2"/>
      <c r="X54" s="2">
        <f t="shared" si="2"/>
        <v>6777.33</v>
      </c>
      <c r="Y54" s="2"/>
      <c r="Z54" s="19">
        <f t="shared" si="3"/>
        <v>2.0159105511136493</v>
      </c>
    </row>
    <row r="55" spans="1:26" s="24" customFormat="1" hidden="1" outlineLevel="1" x14ac:dyDescent="0.25">
      <c r="A55" s="44"/>
      <c r="B55" s="11" t="str">
        <f>CONCATENATE("          ", "4118", " - ", "NON-TAXABLE SALES-STUDY GUIDES")</f>
        <v xml:space="preserve">          4118 - NON-TAXABLE SALES-STUDY GUIDES</v>
      </c>
      <c r="C55" s="11"/>
      <c r="D55" s="2">
        <f t="shared" ref="D55:D57" si="13">0</f>
        <v>0</v>
      </c>
      <c r="E55" s="2"/>
      <c r="F55" s="19"/>
      <c r="G55" s="2"/>
      <c r="H55" s="2">
        <f>--19.99</f>
        <v>19.989999999999998</v>
      </c>
      <c r="I55" s="2"/>
      <c r="J55" s="19"/>
      <c r="K55" s="2"/>
      <c r="L55" s="2">
        <f t="shared" si="0"/>
        <v>-19.989999999999998</v>
      </c>
      <c r="M55" s="2"/>
      <c r="N55" s="19">
        <f t="shared" si="1"/>
        <v>-1</v>
      </c>
      <c r="O55" s="11"/>
      <c r="P55" s="2">
        <f>--771.73</f>
        <v>771.73</v>
      </c>
      <c r="Q55" s="2"/>
      <c r="R55" s="19"/>
      <c r="S55" s="2"/>
      <c r="T55" s="2">
        <f>--61.9</f>
        <v>61.9</v>
      </c>
      <c r="U55" s="2"/>
      <c r="V55" s="19"/>
      <c r="W55" s="2"/>
      <c r="X55" s="2">
        <f t="shared" si="2"/>
        <v>709.83</v>
      </c>
      <c r="Y55" s="2"/>
      <c r="Z55" s="19">
        <f t="shared" si="3"/>
        <v>11.467366720516964</v>
      </c>
    </row>
    <row r="56" spans="1:26" s="24" customFormat="1" hidden="1" outlineLevel="1" x14ac:dyDescent="0.25">
      <c r="A56" s="44"/>
      <c r="B56" s="11" t="str">
        <f>CONCATENATE("          ", "4125", " - ", "NON-TAXABLE SALES-TEST FORMS")</f>
        <v xml:space="preserve">          4125 - NON-TAXABLE SALES-TEST FORMS</v>
      </c>
      <c r="C56" s="11"/>
      <c r="D56" s="2">
        <f t="shared" si="13"/>
        <v>0</v>
      </c>
      <c r="E56" s="2"/>
      <c r="F56" s="19"/>
      <c r="G56" s="2"/>
      <c r="H56" s="2">
        <f>--40.39</f>
        <v>40.39</v>
      </c>
      <c r="I56" s="2"/>
      <c r="J56" s="19"/>
      <c r="K56" s="2"/>
      <c r="L56" s="2">
        <f t="shared" si="0"/>
        <v>-40.39</v>
      </c>
      <c r="M56" s="2"/>
      <c r="N56" s="19">
        <f t="shared" si="1"/>
        <v>-1</v>
      </c>
      <c r="O56" s="11"/>
      <c r="P56" s="2">
        <f>0</f>
        <v>0</v>
      </c>
      <c r="Q56" s="2"/>
      <c r="R56" s="19"/>
      <c r="S56" s="2"/>
      <c r="T56" s="2">
        <f>--263.07</f>
        <v>263.07</v>
      </c>
      <c r="U56" s="2"/>
      <c r="V56" s="19"/>
      <c r="W56" s="2"/>
      <c r="X56" s="2">
        <f t="shared" si="2"/>
        <v>-263.07</v>
      </c>
      <c r="Y56" s="2"/>
      <c r="Z56" s="19">
        <f t="shared" si="3"/>
        <v>-1</v>
      </c>
    </row>
    <row r="57" spans="1:26" s="24" customFormat="1" hidden="1" outlineLevel="1" x14ac:dyDescent="0.25">
      <c r="A57" s="44"/>
      <c r="B57" s="11" t="str">
        <f>CONCATENATE("          ", "4126", " - ", "NON-TAXABLE SALES-WRITING INST")</f>
        <v xml:space="preserve">          4126 - NON-TAXABLE SALES-WRITING INST</v>
      </c>
      <c r="C57" s="11"/>
      <c r="D57" s="2">
        <f t="shared" si="13"/>
        <v>0</v>
      </c>
      <c r="E57" s="2"/>
      <c r="F57" s="19"/>
      <c r="G57" s="2"/>
      <c r="H57" s="2">
        <f>--349.94</f>
        <v>349.94</v>
      </c>
      <c r="I57" s="2"/>
      <c r="J57" s="19"/>
      <c r="K57" s="2"/>
      <c r="L57" s="2">
        <f t="shared" si="0"/>
        <v>-349.94</v>
      </c>
      <c r="M57" s="2"/>
      <c r="N57" s="19">
        <f t="shared" si="1"/>
        <v>-1</v>
      </c>
      <c r="O57" s="11"/>
      <c r="P57" s="2">
        <f>--52.68</f>
        <v>52.68</v>
      </c>
      <c r="Q57" s="2"/>
      <c r="R57" s="19"/>
      <c r="S57" s="2"/>
      <c r="T57" s="2">
        <f>--2906.58</f>
        <v>2906.58</v>
      </c>
      <c r="U57" s="2"/>
      <c r="V57" s="19"/>
      <c r="W57" s="2"/>
      <c r="X57" s="2">
        <f t="shared" si="2"/>
        <v>-2853.9</v>
      </c>
      <c r="Y57" s="2"/>
      <c r="Z57" s="19">
        <f t="shared" si="3"/>
        <v>-0.98187560638275917</v>
      </c>
    </row>
    <row r="58" spans="1:26" s="24" customFormat="1" hidden="1" outlineLevel="1" x14ac:dyDescent="0.25">
      <c r="A58" s="44"/>
      <c r="B58" s="11" t="str">
        <f>CONCATENATE("          ", "4127", " - ", "NON-TAXABLE SALES-SCHOOL SUPPL")</f>
        <v xml:space="preserve">          4127 - NON-TAXABLE SALES-SCHOOL SUPPL</v>
      </c>
      <c r="C58" s="11"/>
      <c r="D58" s="2">
        <f>--472.19</f>
        <v>472.19</v>
      </c>
      <c r="E58" s="2"/>
      <c r="F58" s="19"/>
      <c r="G58" s="2"/>
      <c r="H58" s="2">
        <f>--527.81</f>
        <v>527.80999999999995</v>
      </c>
      <c r="I58" s="2"/>
      <c r="J58" s="19"/>
      <c r="K58" s="2"/>
      <c r="L58" s="2">
        <f t="shared" si="0"/>
        <v>-55.619999999999948</v>
      </c>
      <c r="M58" s="2"/>
      <c r="N58" s="19">
        <f t="shared" si="1"/>
        <v>-0.10537882950304078</v>
      </c>
      <c r="O58" s="11"/>
      <c r="P58" s="2">
        <f>--6217.36</f>
        <v>6217.36</v>
      </c>
      <c r="Q58" s="2"/>
      <c r="R58" s="19"/>
      <c r="S58" s="2"/>
      <c r="T58" s="2">
        <f>--4662.41</f>
        <v>4662.41</v>
      </c>
      <c r="U58" s="2"/>
      <c r="V58" s="19"/>
      <c r="W58" s="2"/>
      <c r="X58" s="2">
        <f t="shared" si="2"/>
        <v>1554.9499999999998</v>
      </c>
      <c r="Y58" s="2"/>
      <c r="Z58" s="19">
        <f t="shared" si="3"/>
        <v>0.33350777816622729</v>
      </c>
    </row>
    <row r="59" spans="1:26" s="24" customFormat="1" hidden="1" outlineLevel="1" x14ac:dyDescent="0.25">
      <c r="A59" s="44"/>
      <c r="B59" s="11" t="str">
        <f>CONCATENATE("          ", "4128", " - ", "NON-TAXABLE SALES-ART/TECH")</f>
        <v xml:space="preserve">          4128 - NON-TAXABLE SALES-ART/TECH</v>
      </c>
      <c r="C59" s="11"/>
      <c r="D59" s="2">
        <f>--9.08</f>
        <v>9.08</v>
      </c>
      <c r="E59" s="2"/>
      <c r="F59" s="19"/>
      <c r="G59" s="2"/>
      <c r="H59" s="2">
        <f>--147.48</f>
        <v>147.47999999999999</v>
      </c>
      <c r="I59" s="2"/>
      <c r="J59" s="19"/>
      <c r="K59" s="2"/>
      <c r="L59" s="2">
        <f t="shared" si="0"/>
        <v>-138.39999999999998</v>
      </c>
      <c r="M59" s="2"/>
      <c r="N59" s="19">
        <f t="shared" si="1"/>
        <v>-0.93843232980743141</v>
      </c>
      <c r="O59" s="11"/>
      <c r="P59" s="2">
        <f>--38.58</f>
        <v>38.58</v>
      </c>
      <c r="Q59" s="2"/>
      <c r="R59" s="19"/>
      <c r="S59" s="2"/>
      <c r="T59" s="2">
        <f>--678.5</f>
        <v>678.5</v>
      </c>
      <c r="U59" s="2"/>
      <c r="V59" s="19"/>
      <c r="W59" s="2"/>
      <c r="X59" s="2">
        <f t="shared" si="2"/>
        <v>-639.91999999999996</v>
      </c>
      <c r="Y59" s="2"/>
      <c r="Z59" s="19">
        <f t="shared" si="3"/>
        <v>-0.94313927781871765</v>
      </c>
    </row>
    <row r="60" spans="1:26" s="24" customFormat="1" hidden="1" outlineLevel="1" x14ac:dyDescent="0.25">
      <c r="A60" s="44"/>
      <c r="B60" s="11" t="str">
        <f>CONCATENATE("          ", "4131", " - ", "NON-TAXABLE SALES-FOOD")</f>
        <v xml:space="preserve">          4131 - NON-TAXABLE SALES-FOOD</v>
      </c>
      <c r="C60" s="11"/>
      <c r="D60" s="2">
        <f>--934.88</f>
        <v>934.88</v>
      </c>
      <c r="E60" s="2"/>
      <c r="F60" s="19"/>
      <c r="G60" s="2"/>
      <c r="H60" s="2">
        <f>--10371.21</f>
        <v>10371.209999999999</v>
      </c>
      <c r="I60" s="2"/>
      <c r="J60" s="19"/>
      <c r="K60" s="2"/>
      <c r="L60" s="2">
        <f t="shared" si="0"/>
        <v>-9436.33</v>
      </c>
      <c r="M60" s="2"/>
      <c r="N60" s="19">
        <f t="shared" si="1"/>
        <v>-0.90985815541291715</v>
      </c>
      <c r="O60" s="11"/>
      <c r="P60" s="2">
        <f>--9575.15</f>
        <v>9575.15</v>
      </c>
      <c r="Q60" s="2"/>
      <c r="R60" s="19"/>
      <c r="S60" s="2"/>
      <c r="T60" s="2">
        <f>--53401.55</f>
        <v>53401.55</v>
      </c>
      <c r="U60" s="2"/>
      <c r="V60" s="19"/>
      <c r="W60" s="2"/>
      <c r="X60" s="2">
        <f t="shared" si="2"/>
        <v>-43826.400000000001</v>
      </c>
      <c r="Y60" s="2"/>
      <c r="Z60" s="19">
        <f t="shared" si="3"/>
        <v>-0.82069527944413601</v>
      </c>
    </row>
    <row r="61" spans="1:26" s="24" customFormat="1" hidden="1" outlineLevel="1" x14ac:dyDescent="0.25">
      <c r="A61" s="44"/>
      <c r="B61" s="11" t="str">
        <f>CONCATENATE("          ", "4132", " - ", "NON-TAXABLE SALES-JUICE")</f>
        <v xml:space="preserve">          4132 - NON-TAXABLE SALES-JUICE</v>
      </c>
      <c r="C61" s="11"/>
      <c r="D61" s="2">
        <f t="shared" ref="D61:D65" si="14">0</f>
        <v>0</v>
      </c>
      <c r="E61" s="2"/>
      <c r="F61" s="19"/>
      <c r="G61" s="2"/>
      <c r="H61" s="2">
        <f>--187926.1</f>
        <v>187926.1</v>
      </c>
      <c r="I61" s="2"/>
      <c r="J61" s="19"/>
      <c r="K61" s="2"/>
      <c r="L61" s="2">
        <f t="shared" si="0"/>
        <v>-187926.1</v>
      </c>
      <c r="M61" s="2"/>
      <c r="N61" s="19">
        <f t="shared" si="1"/>
        <v>-1</v>
      </c>
      <c r="O61" s="11"/>
      <c r="P61" s="2">
        <f>--2054.37</f>
        <v>2054.37</v>
      </c>
      <c r="Q61" s="2"/>
      <c r="R61" s="19"/>
      <c r="S61" s="2"/>
      <c r="T61" s="2">
        <f>--1030657.83</f>
        <v>1030657.83</v>
      </c>
      <c r="U61" s="2"/>
      <c r="V61" s="19"/>
      <c r="W61" s="2"/>
      <c r="X61" s="2">
        <f t="shared" si="2"/>
        <v>-1028603.46</v>
      </c>
      <c r="Y61" s="2"/>
      <c r="Z61" s="19">
        <f t="shared" si="3"/>
        <v>-0.99800673905519155</v>
      </c>
    </row>
    <row r="62" spans="1:26" s="24" customFormat="1" hidden="1" outlineLevel="1" x14ac:dyDescent="0.25">
      <c r="A62" s="44"/>
      <c r="B62" s="11" t="str">
        <f>CONCATENATE("          ", "4133", " - ", "NON-TAXABLE SALES-CANDY")</f>
        <v xml:space="preserve">          4133 - NON-TAXABLE SALES-CANDY</v>
      </c>
      <c r="C62" s="11"/>
      <c r="D62" s="2">
        <f t="shared" si="14"/>
        <v>0</v>
      </c>
      <c r="E62" s="2"/>
      <c r="F62" s="19"/>
      <c r="G62" s="2"/>
      <c r="H62" s="2">
        <f>--3264.8</f>
        <v>3264.8</v>
      </c>
      <c r="I62" s="2"/>
      <c r="J62" s="19"/>
      <c r="K62" s="2"/>
      <c r="L62" s="2">
        <f t="shared" si="0"/>
        <v>-3264.8</v>
      </c>
      <c r="M62" s="2"/>
      <c r="N62" s="19">
        <f t="shared" si="1"/>
        <v>-1</v>
      </c>
      <c r="O62" s="11"/>
      <c r="P62" s="2">
        <f>--80.71</f>
        <v>80.709999999999994</v>
      </c>
      <c r="Q62" s="2"/>
      <c r="R62" s="19"/>
      <c r="S62" s="2"/>
      <c r="T62" s="2">
        <f>--16824.57</f>
        <v>16824.57</v>
      </c>
      <c r="U62" s="2"/>
      <c r="V62" s="19"/>
      <c r="W62" s="2"/>
      <c r="X62" s="2">
        <f t="shared" si="2"/>
        <v>-16743.86</v>
      </c>
      <c r="Y62" s="2"/>
      <c r="Z62" s="19">
        <f t="shared" si="3"/>
        <v>-0.99520284916642754</v>
      </c>
    </row>
    <row r="63" spans="1:26" s="24" customFormat="1" hidden="1" outlineLevel="1" x14ac:dyDescent="0.25">
      <c r="A63" s="44"/>
      <c r="B63" s="11" t="str">
        <f>CONCATENATE("          ", "4134", " - ", "NON-TAXABLE SALES-SODA")</f>
        <v xml:space="preserve">          4134 - NON-TAXABLE SALES-SODA</v>
      </c>
      <c r="C63" s="11"/>
      <c r="D63" s="2">
        <f t="shared" si="14"/>
        <v>0</v>
      </c>
      <c r="E63" s="2"/>
      <c r="F63" s="19"/>
      <c r="G63" s="2"/>
      <c r="H63" s="2">
        <f>--1.89</f>
        <v>1.89</v>
      </c>
      <c r="I63" s="2"/>
      <c r="J63" s="19"/>
      <c r="K63" s="2"/>
      <c r="L63" s="2">
        <f t="shared" si="0"/>
        <v>-1.89</v>
      </c>
      <c r="M63" s="2"/>
      <c r="N63" s="19">
        <f t="shared" si="1"/>
        <v>-1</v>
      </c>
      <c r="O63" s="11"/>
      <c r="P63" s="2">
        <f>--45.53</f>
        <v>45.53</v>
      </c>
      <c r="Q63" s="2"/>
      <c r="R63" s="19"/>
      <c r="S63" s="2"/>
      <c r="T63" s="2">
        <f>--10.3</f>
        <v>10.3</v>
      </c>
      <c r="U63" s="2"/>
      <c r="V63" s="19"/>
      <c r="W63" s="2"/>
      <c r="X63" s="2">
        <f t="shared" si="2"/>
        <v>35.230000000000004</v>
      </c>
      <c r="Y63" s="2"/>
      <c r="Z63" s="19">
        <f t="shared" si="3"/>
        <v>3.4203883495145631</v>
      </c>
    </row>
    <row r="64" spans="1:26" s="24" customFormat="1" hidden="1" outlineLevel="1" x14ac:dyDescent="0.25">
      <c r="A64" s="44"/>
      <c r="B64" s="11" t="str">
        <f>CONCATENATE("          ", "4135", " - ", "NON-TAXABLE SALES")</f>
        <v xml:space="preserve">          4135 - NON-TAXABLE SALES</v>
      </c>
      <c r="C64" s="11"/>
      <c r="D64" s="2">
        <f t="shared" si="14"/>
        <v>0</v>
      </c>
      <c r="E64" s="2"/>
      <c r="F64" s="19"/>
      <c r="G64" s="2"/>
      <c r="H64" s="2">
        <f>--21.54</f>
        <v>21.54</v>
      </c>
      <c r="I64" s="2"/>
      <c r="J64" s="19"/>
      <c r="K64" s="2"/>
      <c r="L64" s="2">
        <f t="shared" si="0"/>
        <v>-21.54</v>
      </c>
      <c r="M64" s="2"/>
      <c r="N64" s="19">
        <f t="shared" si="1"/>
        <v>-1</v>
      </c>
      <c r="O64" s="11"/>
      <c r="P64" s="2">
        <f>0</f>
        <v>0</v>
      </c>
      <c r="Q64" s="2"/>
      <c r="R64" s="19"/>
      <c r="S64" s="2"/>
      <c r="T64" s="2">
        <f>--161.4</f>
        <v>161.4</v>
      </c>
      <c r="U64" s="2"/>
      <c r="V64" s="19"/>
      <c r="W64" s="2"/>
      <c r="X64" s="2">
        <f t="shared" si="2"/>
        <v>-161.4</v>
      </c>
      <c r="Y64" s="2"/>
      <c r="Z64" s="19">
        <f t="shared" si="3"/>
        <v>-1</v>
      </c>
    </row>
    <row r="65" spans="1:26" s="24" customFormat="1" hidden="1" outlineLevel="1" x14ac:dyDescent="0.25">
      <c r="A65" s="44"/>
      <c r="B65" s="11" t="str">
        <f>CONCATENATE("          ", "4137", " - ", "NON-TAXABLE SALES-WATER")</f>
        <v xml:space="preserve">          4137 - NON-TAXABLE SALES-WATER</v>
      </c>
      <c r="C65" s="11"/>
      <c r="D65" s="2">
        <f t="shared" si="14"/>
        <v>0</v>
      </c>
      <c r="E65" s="2"/>
      <c r="F65" s="19"/>
      <c r="G65" s="2"/>
      <c r="H65" s="2">
        <f>--1528.71</f>
        <v>1528.71</v>
      </c>
      <c r="I65" s="2"/>
      <c r="J65" s="19"/>
      <c r="K65" s="2"/>
      <c r="L65" s="2">
        <f t="shared" si="0"/>
        <v>-1528.71</v>
      </c>
      <c r="M65" s="2"/>
      <c r="N65" s="19">
        <f t="shared" si="1"/>
        <v>-1</v>
      </c>
      <c r="O65" s="11"/>
      <c r="P65" s="2">
        <f>--68.25</f>
        <v>68.25</v>
      </c>
      <c r="Q65" s="2"/>
      <c r="R65" s="19"/>
      <c r="S65" s="2"/>
      <c r="T65" s="2">
        <f>--9360.45</f>
        <v>9360.4500000000007</v>
      </c>
      <c r="U65" s="2"/>
      <c r="V65" s="19"/>
      <c r="W65" s="2"/>
      <c r="X65" s="2">
        <f t="shared" si="2"/>
        <v>-9292.2000000000007</v>
      </c>
      <c r="Y65" s="2"/>
      <c r="Z65" s="19">
        <f t="shared" si="3"/>
        <v>-0.99270868387737765</v>
      </c>
    </row>
    <row r="66" spans="1:26" s="24" customFormat="1" hidden="1" outlineLevel="1" x14ac:dyDescent="0.25">
      <c r="A66" s="44"/>
      <c r="B66" s="11" t="str">
        <f>CONCATENATE("          ", "4140", " - ", "NON-TAXABLE SALES-LOGO CLOTHIN")</f>
        <v xml:space="preserve">          4140 - NON-TAXABLE SALES-LOGO CLOTHIN</v>
      </c>
      <c r="C66" s="11"/>
      <c r="D66" s="2">
        <f>--1947.86</f>
        <v>1947.86</v>
      </c>
      <c r="E66" s="2"/>
      <c r="F66" s="19"/>
      <c r="G66" s="2"/>
      <c r="H66" s="2">
        <f>0</f>
        <v>0</v>
      </c>
      <c r="I66" s="2"/>
      <c r="J66" s="19"/>
      <c r="K66" s="2"/>
      <c r="L66" s="2">
        <f t="shared" si="0"/>
        <v>1947.86</v>
      </c>
      <c r="M66" s="2"/>
      <c r="N66" s="19">
        <f t="shared" si="1"/>
        <v>0</v>
      </c>
      <c r="O66" s="11"/>
      <c r="P66" s="2">
        <f>--115125.28</f>
        <v>115125.28</v>
      </c>
      <c r="Q66" s="2"/>
      <c r="R66" s="19"/>
      <c r="S66" s="2"/>
      <c r="T66" s="2">
        <f>--42582.67</f>
        <v>42582.67</v>
      </c>
      <c r="U66" s="2"/>
      <c r="V66" s="19"/>
      <c r="W66" s="2"/>
      <c r="X66" s="2">
        <f t="shared" si="2"/>
        <v>72542.61</v>
      </c>
      <c r="Y66" s="2"/>
      <c r="Z66" s="19">
        <f t="shared" si="3"/>
        <v>1.7035711945728158</v>
      </c>
    </row>
    <row r="67" spans="1:26" s="24" customFormat="1" hidden="1" outlineLevel="1" x14ac:dyDescent="0.25">
      <c r="A67" s="44"/>
      <c r="B67" s="11" t="str">
        <f>CONCATENATE("          ", "4141", " - ", "NON-TAXABLE SALES-LOGO GIFTS")</f>
        <v xml:space="preserve">          4141 - NON-TAXABLE SALES-LOGO GIFTS</v>
      </c>
      <c r="C67" s="11"/>
      <c r="D67" s="2">
        <f>--671.25</f>
        <v>671.25</v>
      </c>
      <c r="E67" s="2"/>
      <c r="F67" s="19"/>
      <c r="G67" s="2"/>
      <c r="H67" s="2">
        <f>--6423.17</f>
        <v>6423.17</v>
      </c>
      <c r="I67" s="2"/>
      <c r="J67" s="19"/>
      <c r="K67" s="2"/>
      <c r="L67" s="2">
        <f t="shared" si="0"/>
        <v>-5751.92</v>
      </c>
      <c r="M67" s="2"/>
      <c r="N67" s="19">
        <f t="shared" si="1"/>
        <v>-0.89549552635225282</v>
      </c>
      <c r="O67" s="11"/>
      <c r="P67" s="2">
        <f>--8513.02</f>
        <v>8513.02</v>
      </c>
      <c r="Q67" s="2"/>
      <c r="R67" s="19"/>
      <c r="S67" s="2"/>
      <c r="T67" s="2">
        <f>--10672.17</f>
        <v>10672.17</v>
      </c>
      <c r="U67" s="2"/>
      <c r="V67" s="19"/>
      <c r="W67" s="2"/>
      <c r="X67" s="2">
        <f t="shared" si="2"/>
        <v>-2159.1499999999996</v>
      </c>
      <c r="Y67" s="2"/>
      <c r="Z67" s="19">
        <f t="shared" si="3"/>
        <v>-0.2023159301248012</v>
      </c>
    </row>
    <row r="68" spans="1:26" s="24" customFormat="1" hidden="1" outlineLevel="1" x14ac:dyDescent="0.25">
      <c r="A68" s="44"/>
      <c r="B68" s="11" t="str">
        <f>CONCATENATE("          ", "4142", " - ", "NON-TAXABLE SALES-EVERYDAY GIF")</f>
        <v xml:space="preserve">          4142 - NON-TAXABLE SALES-EVERYDAY GIF</v>
      </c>
      <c r="C68" s="11"/>
      <c r="D68" s="2">
        <f>--4.58</f>
        <v>4.58</v>
      </c>
      <c r="E68" s="2"/>
      <c r="F68" s="19"/>
      <c r="G68" s="2"/>
      <c r="H68" s="2">
        <f>--1257.56</f>
        <v>1257.56</v>
      </c>
      <c r="I68" s="2"/>
      <c r="J68" s="19"/>
      <c r="K68" s="2"/>
      <c r="L68" s="2">
        <f t="shared" si="0"/>
        <v>-1252.98</v>
      </c>
      <c r="M68" s="2"/>
      <c r="N68" s="19">
        <f t="shared" si="1"/>
        <v>-0.9963580266547919</v>
      </c>
      <c r="O68" s="11"/>
      <c r="P68" s="2">
        <f>--2264.47</f>
        <v>2264.4699999999998</v>
      </c>
      <c r="Q68" s="2"/>
      <c r="R68" s="19"/>
      <c r="S68" s="2"/>
      <c r="T68" s="2">
        <f>--13692.85</f>
        <v>13692.85</v>
      </c>
      <c r="U68" s="2"/>
      <c r="V68" s="19"/>
      <c r="W68" s="2"/>
      <c r="X68" s="2">
        <f t="shared" si="2"/>
        <v>-11428.380000000001</v>
      </c>
      <c r="Y68" s="2"/>
      <c r="Z68" s="19">
        <f t="shared" si="3"/>
        <v>-0.8346239095586383</v>
      </c>
    </row>
    <row r="69" spans="1:26" s="24" customFormat="1" hidden="1" outlineLevel="1" x14ac:dyDescent="0.25">
      <c r="A69" s="44"/>
      <c r="B69" s="11" t="str">
        <f>CONCATENATE("          ", "4143", " - ", "NON-TAXABLE SALES-CARDS")</f>
        <v xml:space="preserve">          4143 - NON-TAXABLE SALES-CARDS</v>
      </c>
      <c r="C69" s="11"/>
      <c r="D69" s="2">
        <f>--149.92</f>
        <v>149.91999999999999</v>
      </c>
      <c r="E69" s="2"/>
      <c r="F69" s="19"/>
      <c r="G69" s="2"/>
      <c r="H69" s="2">
        <f>--9.99</f>
        <v>9.99</v>
      </c>
      <c r="I69" s="2"/>
      <c r="J69" s="19"/>
      <c r="K69" s="2"/>
      <c r="L69" s="2">
        <f t="shared" si="0"/>
        <v>139.92999999999998</v>
      </c>
      <c r="M69" s="2"/>
      <c r="N69" s="19">
        <f t="shared" si="1"/>
        <v>14.007007007007005</v>
      </c>
      <c r="O69" s="11"/>
      <c r="P69" s="2">
        <f>--2119.66</f>
        <v>2119.66</v>
      </c>
      <c r="Q69" s="2"/>
      <c r="R69" s="19"/>
      <c r="S69" s="2"/>
      <c r="T69" s="2">
        <f>--9.99</f>
        <v>9.99</v>
      </c>
      <c r="U69" s="2"/>
      <c r="V69" s="19"/>
      <c r="W69" s="2"/>
      <c r="X69" s="2">
        <f t="shared" si="2"/>
        <v>2109.67</v>
      </c>
      <c r="Y69" s="2"/>
      <c r="Z69" s="19">
        <f t="shared" si="3"/>
        <v>211.17817817817817</v>
      </c>
    </row>
    <row r="70" spans="1:26" s="24" customFormat="1" hidden="1" outlineLevel="1" x14ac:dyDescent="0.25">
      <c r="A70" s="44"/>
      <c r="B70" s="11" t="str">
        <f>CONCATENATE("          ", "4144", " - ", "NON-TAXABLE SALES-ACCESSORIES")</f>
        <v xml:space="preserve">          4144 - NON-TAXABLE SALES-ACCESSORIES</v>
      </c>
      <c r="C70" s="11"/>
      <c r="D70" s="2">
        <f>--39.95</f>
        <v>39.950000000000003</v>
      </c>
      <c r="E70" s="2"/>
      <c r="F70" s="19"/>
      <c r="G70" s="2"/>
      <c r="H70" s="2">
        <f>--922.94</f>
        <v>922.94</v>
      </c>
      <c r="I70" s="2"/>
      <c r="J70" s="19"/>
      <c r="K70" s="2"/>
      <c r="L70" s="2">
        <f t="shared" si="0"/>
        <v>-882.99</v>
      </c>
      <c r="M70" s="2"/>
      <c r="N70" s="19">
        <f t="shared" si="1"/>
        <v>-0.9567144126378746</v>
      </c>
      <c r="O70" s="11"/>
      <c r="P70" s="2">
        <f>--649.35</f>
        <v>649.35</v>
      </c>
      <c r="Q70" s="2"/>
      <c r="R70" s="19"/>
      <c r="S70" s="2"/>
      <c r="T70" s="2">
        <f>--1890.27</f>
        <v>1890.27</v>
      </c>
      <c r="U70" s="2"/>
      <c r="V70" s="19"/>
      <c r="W70" s="2"/>
      <c r="X70" s="2">
        <f t="shared" si="2"/>
        <v>-1240.92</v>
      </c>
      <c r="Y70" s="2"/>
      <c r="Z70" s="19">
        <f t="shared" si="3"/>
        <v>-0.65647764605056425</v>
      </c>
    </row>
    <row r="71" spans="1:26" s="24" customFormat="1" hidden="1" outlineLevel="1" x14ac:dyDescent="0.25">
      <c r="A71" s="44"/>
      <c r="B71" s="11" t="str">
        <f>CONCATENATE("          ", "4145", " - ", "NON-TAXABLE SALES-SPECIAL ORDE")</f>
        <v xml:space="preserve">          4145 - NON-TAXABLE SALES-SPECIAL ORDE</v>
      </c>
      <c r="C71" s="11"/>
      <c r="D71" s="2">
        <f>0</f>
        <v>0</v>
      </c>
      <c r="E71" s="2"/>
      <c r="F71" s="19"/>
      <c r="G71" s="2"/>
      <c r="H71" s="2">
        <f>0</f>
        <v>0</v>
      </c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1"/>
      <c r="P71" s="2">
        <f>--53716.09</f>
        <v>53716.09</v>
      </c>
      <c r="Q71" s="2"/>
      <c r="R71" s="19"/>
      <c r="S71" s="2"/>
      <c r="T71" s="2">
        <f>--140</f>
        <v>140</v>
      </c>
      <c r="U71" s="2"/>
      <c r="V71" s="19"/>
      <c r="W71" s="2"/>
      <c r="X71" s="2">
        <f t="shared" si="2"/>
        <v>53576.09</v>
      </c>
      <c r="Y71" s="2"/>
      <c r="Z71" s="19">
        <f t="shared" si="3"/>
        <v>382.6863571428571</v>
      </c>
    </row>
    <row r="72" spans="1:26" s="24" customFormat="1" hidden="1" outlineLevel="1" x14ac:dyDescent="0.25">
      <c r="A72" s="44"/>
      <c r="B72" s="11" t="str">
        <f>CONCATENATE("          ", "4146", " - ", "NON-TAXABLE SALES-COIN OP MACH")</f>
        <v xml:space="preserve">          4146 - NON-TAXABLE SALES-COIN OP MACH</v>
      </c>
      <c r="C72" s="11"/>
      <c r="D72" s="2">
        <f>--67.8</f>
        <v>67.8</v>
      </c>
      <c r="E72" s="2"/>
      <c r="F72" s="19"/>
      <c r="G72" s="2"/>
      <c r="H72" s="2">
        <f>--28849.25</f>
        <v>28849.25</v>
      </c>
      <c r="I72" s="2"/>
      <c r="J72" s="19"/>
      <c r="K72" s="2"/>
      <c r="L72" s="2">
        <f t="shared" si="0"/>
        <v>-28781.45</v>
      </c>
      <c r="M72" s="2"/>
      <c r="N72" s="19">
        <f t="shared" si="1"/>
        <v>-0.99764985224919189</v>
      </c>
      <c r="O72" s="11"/>
      <c r="P72" s="2">
        <f>--208.4</f>
        <v>208.4</v>
      </c>
      <c r="Q72" s="2"/>
      <c r="R72" s="19"/>
      <c r="S72" s="2"/>
      <c r="T72" s="2">
        <f>--192403.75</f>
        <v>192403.75</v>
      </c>
      <c r="U72" s="2"/>
      <c r="V72" s="19"/>
      <c r="W72" s="2"/>
      <c r="X72" s="2">
        <f t="shared" si="2"/>
        <v>-192195.35</v>
      </c>
      <c r="Y72" s="2"/>
      <c r="Z72" s="19">
        <f t="shared" si="3"/>
        <v>-0.99891686102791655</v>
      </c>
    </row>
    <row r="73" spans="1:26" s="24" customFormat="1" hidden="1" outlineLevel="1" x14ac:dyDescent="0.25">
      <c r="A73" s="44"/>
      <c r="B73" s="11" t="str">
        <f>CONCATENATE("          ", "4147", " - ", "NON-TAXABLE SALES-MISC")</f>
        <v xml:space="preserve">          4147 - NON-TAXABLE SALES-MISC</v>
      </c>
      <c r="C73" s="11"/>
      <c r="D73" s="2">
        <f>--17</f>
        <v>17</v>
      </c>
      <c r="E73" s="2"/>
      <c r="F73" s="19"/>
      <c r="G73" s="2"/>
      <c r="H73" s="2">
        <f>--2183.94</f>
        <v>2183.94</v>
      </c>
      <c r="I73" s="2"/>
      <c r="J73" s="19"/>
      <c r="K73" s="2"/>
      <c r="L73" s="2">
        <f t="shared" si="0"/>
        <v>-2166.94</v>
      </c>
      <c r="M73" s="2"/>
      <c r="N73" s="19">
        <f t="shared" si="1"/>
        <v>-0.99221590336730858</v>
      </c>
      <c r="O73" s="11"/>
      <c r="P73" s="2">
        <f>--132.5</f>
        <v>132.5</v>
      </c>
      <c r="Q73" s="2"/>
      <c r="R73" s="19"/>
      <c r="S73" s="2"/>
      <c r="T73" s="2">
        <f>--2502.84</f>
        <v>2502.84</v>
      </c>
      <c r="U73" s="2"/>
      <c r="V73" s="19"/>
      <c r="W73" s="2"/>
      <c r="X73" s="2">
        <f t="shared" si="2"/>
        <v>-2370.34</v>
      </c>
      <c r="Y73" s="2"/>
      <c r="Z73" s="19">
        <f t="shared" si="3"/>
        <v>-0.94706013968132197</v>
      </c>
    </row>
    <row r="74" spans="1:26" s="24" customFormat="1" hidden="1" outlineLevel="1" x14ac:dyDescent="0.25">
      <c r="A74" s="44"/>
      <c r="B74" s="11" t="str">
        <f>CONCATENATE("          ", "4151", " - ", "NON-TAXABLE SALES-FOOD")</f>
        <v xml:space="preserve">          4151 - NON-TAXABLE SALES-FOOD</v>
      </c>
      <c r="C74" s="11"/>
      <c r="D74" s="2">
        <f>0</f>
        <v>0</v>
      </c>
      <c r="E74" s="2"/>
      <c r="F74" s="19"/>
      <c r="G74" s="2"/>
      <c r="H74" s="2">
        <f>--136091.59</f>
        <v>136091.59</v>
      </c>
      <c r="I74" s="2"/>
      <c r="J74" s="19"/>
      <c r="K74" s="2"/>
      <c r="L74" s="2">
        <f t="shared" si="0"/>
        <v>-136091.59</v>
      </c>
      <c r="M74" s="2"/>
      <c r="N74" s="19">
        <f t="shared" si="1"/>
        <v>-1</v>
      </c>
      <c r="O74" s="11"/>
      <c r="P74" s="2">
        <f>0</f>
        <v>0</v>
      </c>
      <c r="Q74" s="2"/>
      <c r="R74" s="19"/>
      <c r="S74" s="2"/>
      <c r="T74" s="2">
        <f>--771476.22</f>
        <v>771476.22</v>
      </c>
      <c r="U74" s="2"/>
      <c r="V74" s="19"/>
      <c r="W74" s="2"/>
      <c r="X74" s="2">
        <f t="shared" si="2"/>
        <v>-771476.22</v>
      </c>
      <c r="Y74" s="2"/>
      <c r="Z74" s="19">
        <f t="shared" si="3"/>
        <v>-1</v>
      </c>
    </row>
    <row r="75" spans="1:26" s="24" customFormat="1" hidden="1" outlineLevel="1" x14ac:dyDescent="0.25">
      <c r="A75" s="44"/>
      <c r="B75" s="11" t="str">
        <f>CONCATENATE("          ", "4153", " - ", "NON-TAXABLE SALES-FOOD")</f>
        <v xml:space="preserve">          4153 - NON-TAXABLE SALES-FOOD</v>
      </c>
      <c r="C75" s="11"/>
      <c r="D75" s="2">
        <f>--134</f>
        <v>134</v>
      </c>
      <c r="E75" s="2"/>
      <c r="F75" s="19"/>
      <c r="G75" s="2"/>
      <c r="H75" s="2">
        <f>--2537.5</f>
        <v>2537.5</v>
      </c>
      <c r="I75" s="2"/>
      <c r="J75" s="19"/>
      <c r="K75" s="2"/>
      <c r="L75" s="2">
        <f t="shared" si="0"/>
        <v>-2403.5</v>
      </c>
      <c r="M75" s="2"/>
      <c r="N75" s="19">
        <f t="shared" si="1"/>
        <v>-0.94719211822660099</v>
      </c>
      <c r="O75" s="11"/>
      <c r="P75" s="2">
        <f>--244</f>
        <v>244</v>
      </c>
      <c r="Q75" s="2"/>
      <c r="R75" s="19"/>
      <c r="S75" s="2"/>
      <c r="T75" s="2">
        <f>--12812.5</f>
        <v>12812.5</v>
      </c>
      <c r="U75" s="2"/>
      <c r="V75" s="19"/>
      <c r="W75" s="2"/>
      <c r="X75" s="2">
        <f t="shared" si="2"/>
        <v>-12568.5</v>
      </c>
      <c r="Y75" s="2"/>
      <c r="Z75" s="19">
        <f t="shared" si="3"/>
        <v>-0.98095609756097557</v>
      </c>
    </row>
    <row r="76" spans="1:26" s="24" customFormat="1" hidden="1" outlineLevel="1" x14ac:dyDescent="0.25">
      <c r="A76" s="44"/>
      <c r="B76" s="11" t="str">
        <f>CONCATENATE("          ", "4186", " - ", "NON-TAXABLE SALES-COMPUTER SUP")</f>
        <v xml:space="preserve">          4186 - NON-TAXABLE SALES-COMPUTER SUP</v>
      </c>
      <c r="C76" s="11"/>
      <c r="D76" s="2">
        <f>0</f>
        <v>0</v>
      </c>
      <c r="E76" s="2"/>
      <c r="F76" s="19"/>
      <c r="G76" s="2"/>
      <c r="H76" s="2">
        <f>0</f>
        <v>0</v>
      </c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0</f>
        <v>0</v>
      </c>
      <c r="Q76" s="2"/>
      <c r="R76" s="19"/>
      <c r="S76" s="2"/>
      <c r="T76" s="2">
        <f>-30.97</f>
        <v>-30.97</v>
      </c>
      <c r="U76" s="2"/>
      <c r="V76" s="19"/>
      <c r="W76" s="2"/>
      <c r="X76" s="2">
        <f t="shared" si="2"/>
        <v>30.97</v>
      </c>
      <c r="Y76" s="2"/>
      <c r="Z76" s="19">
        <f t="shared" si="3"/>
        <v>-1</v>
      </c>
    </row>
    <row r="77" spans="1:26" s="24" customFormat="1" hidden="1" outlineLevel="1" x14ac:dyDescent="0.25">
      <c r="A77" s="44"/>
      <c r="B77" s="11" t="str">
        <f>CONCATENATE("          ", "4201", " - ", "SALES RETURN TAXABLE-NEW TEXT")</f>
        <v xml:space="preserve">          4201 - SALES RETURN TAXABLE-NEW TEXT</v>
      </c>
      <c r="C77" s="11"/>
      <c r="D77" s="2">
        <f>-2146.49</f>
        <v>-2146.4899999999998</v>
      </c>
      <c r="E77" s="2"/>
      <c r="F77" s="19"/>
      <c r="G77" s="2"/>
      <c r="H77" s="2">
        <f>-4114.56</f>
        <v>-4114.5600000000004</v>
      </c>
      <c r="I77" s="2"/>
      <c r="J77" s="19"/>
      <c r="K77" s="2"/>
      <c r="L77" s="2">
        <f t="shared" si="0"/>
        <v>1968.0700000000006</v>
      </c>
      <c r="M77" s="2"/>
      <c r="N77" s="19">
        <f t="shared" si="1"/>
        <v>-0.478318459324934</v>
      </c>
      <c r="O77" s="11"/>
      <c r="P77" s="2">
        <f>-50664.23</f>
        <v>-50664.23</v>
      </c>
      <c r="Q77" s="2"/>
      <c r="R77" s="19"/>
      <c r="S77" s="2"/>
      <c r="T77" s="2">
        <f>-120740.41</f>
        <v>-120740.41</v>
      </c>
      <c r="U77" s="2"/>
      <c r="V77" s="19"/>
      <c r="W77" s="2"/>
      <c r="X77" s="2">
        <f t="shared" si="2"/>
        <v>70076.179999999993</v>
      </c>
      <c r="Y77" s="2"/>
      <c r="Z77" s="19">
        <f t="shared" si="3"/>
        <v>-0.58038712971075712</v>
      </c>
    </row>
    <row r="78" spans="1:26" s="24" customFormat="1" hidden="1" outlineLevel="1" x14ac:dyDescent="0.25">
      <c r="A78" s="44"/>
      <c r="B78" s="11" t="str">
        <f>CONCATENATE("          ", "4202", " - ", "SALES RETURN TAXABLE-USED TEXT")</f>
        <v xml:space="preserve">          4202 - SALES RETURN TAXABLE-USED TEXT</v>
      </c>
      <c r="C78" s="11"/>
      <c r="D78" s="2">
        <f>-1199.21</f>
        <v>-1199.21</v>
      </c>
      <c r="E78" s="2"/>
      <c r="F78" s="19"/>
      <c r="G78" s="2"/>
      <c r="H78" s="2">
        <f>-2008.16</f>
        <v>-2008.16</v>
      </c>
      <c r="I78" s="2"/>
      <c r="J78" s="19"/>
      <c r="K78" s="2"/>
      <c r="L78" s="2">
        <f t="shared" si="0"/>
        <v>808.95</v>
      </c>
      <c r="M78" s="2"/>
      <c r="N78" s="19">
        <f t="shared" si="1"/>
        <v>-0.40283144769341089</v>
      </c>
      <c r="O78" s="11"/>
      <c r="P78" s="2">
        <f>-19735.51</f>
        <v>-19735.509999999998</v>
      </c>
      <c r="Q78" s="2"/>
      <c r="R78" s="19"/>
      <c r="S78" s="2"/>
      <c r="T78" s="2">
        <f>-45387.31</f>
        <v>-45387.31</v>
      </c>
      <c r="U78" s="2"/>
      <c r="V78" s="19"/>
      <c r="W78" s="2"/>
      <c r="X78" s="2">
        <f t="shared" si="2"/>
        <v>25651.8</v>
      </c>
      <c r="Y78" s="2"/>
      <c r="Z78" s="19">
        <f t="shared" si="3"/>
        <v>-0.56517559643874027</v>
      </c>
    </row>
    <row r="79" spans="1:26" s="24" customFormat="1" hidden="1" outlineLevel="1" x14ac:dyDescent="0.25">
      <c r="A79" s="44"/>
      <c r="B79" s="11" t="str">
        <f>CONCATENATE("          ", "4203", " - ", "SALES RETURN TAXABLE-RENTAL TE")</f>
        <v xml:space="preserve">          4203 - SALES RETURN TAXABLE-RENTAL TE</v>
      </c>
      <c r="C79" s="11"/>
      <c r="D79" s="2">
        <f>0</f>
        <v>0</v>
      </c>
      <c r="E79" s="2"/>
      <c r="F79" s="19"/>
      <c r="G79" s="2"/>
      <c r="H79" s="2">
        <f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0</f>
        <v>0</v>
      </c>
      <c r="Q79" s="2"/>
      <c r="R79" s="19"/>
      <c r="S79" s="2"/>
      <c r="T79" s="2">
        <f>-144.99</f>
        <v>-144.99</v>
      </c>
      <c r="U79" s="2"/>
      <c r="V79" s="19"/>
      <c r="W79" s="2"/>
      <c r="X79" s="2">
        <f t="shared" si="2"/>
        <v>144.99</v>
      </c>
      <c r="Y79" s="2"/>
      <c r="Z79" s="19">
        <f t="shared" si="3"/>
        <v>-1</v>
      </c>
    </row>
    <row r="80" spans="1:26" s="24" customFormat="1" hidden="1" outlineLevel="1" x14ac:dyDescent="0.25">
      <c r="A80" s="44"/>
      <c r="B80" s="11" t="str">
        <f>CONCATENATE("          ", "4204", " - ", "SALES RETURN TAXABLE-DIGITAL T")</f>
        <v xml:space="preserve">          4204 - SALES RETURN TAXABLE-DIGITAL T</v>
      </c>
      <c r="C80" s="11"/>
      <c r="D80" s="2">
        <f>-132.25</f>
        <v>-132.25</v>
      </c>
      <c r="E80" s="2"/>
      <c r="F80" s="19"/>
      <c r="G80" s="2"/>
      <c r="H80" s="2">
        <f>-993.89</f>
        <v>-993.89</v>
      </c>
      <c r="I80" s="2"/>
      <c r="J80" s="19"/>
      <c r="K80" s="2"/>
      <c r="L80" s="2">
        <f t="shared" si="0"/>
        <v>861.64</v>
      </c>
      <c r="M80" s="2"/>
      <c r="N80" s="19">
        <f t="shared" si="1"/>
        <v>-0.86693698497821692</v>
      </c>
      <c r="O80" s="11"/>
      <c r="P80" s="2">
        <f>-1763.1</f>
        <v>-1763.1</v>
      </c>
      <c r="Q80" s="2"/>
      <c r="R80" s="19"/>
      <c r="S80" s="2"/>
      <c r="T80" s="2">
        <f>-17255.33</f>
        <v>-17255.330000000002</v>
      </c>
      <c r="U80" s="2"/>
      <c r="V80" s="19"/>
      <c r="W80" s="2"/>
      <c r="X80" s="2">
        <f t="shared" si="2"/>
        <v>15492.230000000001</v>
      </c>
      <c r="Y80" s="2"/>
      <c r="Z80" s="19">
        <f t="shared" si="3"/>
        <v>-0.89782287559843832</v>
      </c>
    </row>
    <row r="81" spans="1:26" s="24" customFormat="1" hidden="1" outlineLevel="1" x14ac:dyDescent="0.25">
      <c r="A81" s="44"/>
      <c r="B81" s="11" t="str">
        <f>CONCATENATE("          ", "4213", " - ", "NON-TAXABLE SALES-TRADE BOOKS")</f>
        <v xml:space="preserve">          4213 - NON-TAXABLE SALES-TRADE BOOKS</v>
      </c>
      <c r="C81" s="11"/>
      <c r="D81" s="2">
        <f>-69.93</f>
        <v>-69.930000000000007</v>
      </c>
      <c r="E81" s="2"/>
      <c r="F81" s="19"/>
      <c r="G81" s="2"/>
      <c r="H81" s="2">
        <f>-103.4</f>
        <v>-103.4</v>
      </c>
      <c r="I81" s="2"/>
      <c r="J81" s="19"/>
      <c r="K81" s="2"/>
      <c r="L81" s="2">
        <f t="shared" si="0"/>
        <v>33.47</v>
      </c>
      <c r="M81" s="2"/>
      <c r="N81" s="19">
        <f t="shared" si="1"/>
        <v>-0.3236943907156673</v>
      </c>
      <c r="O81" s="11"/>
      <c r="P81" s="2">
        <f>-69.93</f>
        <v>-69.930000000000007</v>
      </c>
      <c r="Q81" s="2"/>
      <c r="R81" s="19"/>
      <c r="S81" s="2"/>
      <c r="T81" s="2">
        <f>-220.06</f>
        <v>-220.06</v>
      </c>
      <c r="U81" s="2"/>
      <c r="V81" s="19"/>
      <c r="W81" s="2"/>
      <c r="X81" s="2">
        <f t="shared" si="2"/>
        <v>150.13</v>
      </c>
      <c r="Y81" s="2"/>
      <c r="Z81" s="19">
        <f t="shared" si="3"/>
        <v>-0.68222303008270468</v>
      </c>
    </row>
    <row r="82" spans="1:26" s="24" customFormat="1" hidden="1" outlineLevel="1" x14ac:dyDescent="0.25">
      <c r="A82" s="44"/>
      <c r="B82" s="11" t="str">
        <f>CONCATENATE("          ", "4214", " - ", "SALES RETURN TAXABLE-REMAINDER")</f>
        <v xml:space="preserve">          4214 - SALES RETURN TAXABLE-REMAINDER</v>
      </c>
      <c r="C82" s="11"/>
      <c r="D82" s="2">
        <f t="shared" ref="D82:D86" si="15">0</f>
        <v>0</v>
      </c>
      <c r="E82" s="2"/>
      <c r="F82" s="19"/>
      <c r="G82" s="2"/>
      <c r="H82" s="2">
        <f t="shared" ref="H82:H84" si="16">0</f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 t="shared" ref="P82:P85" si="17">0</f>
        <v>0</v>
      </c>
      <c r="Q82" s="2"/>
      <c r="R82" s="19"/>
      <c r="S82" s="2"/>
      <c r="T82" s="2">
        <f>-11.94</f>
        <v>-11.94</v>
      </c>
      <c r="U82" s="2"/>
      <c r="V82" s="19"/>
      <c r="W82" s="2"/>
      <c r="X82" s="2">
        <f t="shared" si="2"/>
        <v>11.94</v>
      </c>
      <c r="Y82" s="2"/>
      <c r="Z82" s="19">
        <f t="shared" si="3"/>
        <v>-1</v>
      </c>
    </row>
    <row r="83" spans="1:26" s="24" customFormat="1" hidden="1" outlineLevel="1" x14ac:dyDescent="0.25">
      <c r="A83" s="44"/>
      <c r="B83" s="11" t="str">
        <f>CONCATENATE("          ", "4217", " - ", "NON-TAXABLE SALES-DORM/HOUSEWA")</f>
        <v xml:space="preserve">          4217 - NON-TAXABLE SALES-DORM/HOUSEWA</v>
      </c>
      <c r="C83" s="11"/>
      <c r="D83" s="2">
        <f t="shared" si="15"/>
        <v>0</v>
      </c>
      <c r="E83" s="2"/>
      <c r="F83" s="19"/>
      <c r="G83" s="2"/>
      <c r="H83" s="2">
        <f t="shared" si="16"/>
        <v>0</v>
      </c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 t="shared" si="17"/>
        <v>0</v>
      </c>
      <c r="Q83" s="2"/>
      <c r="R83" s="19"/>
      <c r="S83" s="2"/>
      <c r="T83" s="2">
        <f>-2.98</f>
        <v>-2.98</v>
      </c>
      <c r="U83" s="2"/>
      <c r="V83" s="19"/>
      <c r="W83" s="2"/>
      <c r="X83" s="2">
        <f t="shared" si="2"/>
        <v>2.98</v>
      </c>
      <c r="Y83" s="2"/>
      <c r="Z83" s="19">
        <f t="shared" si="3"/>
        <v>-1</v>
      </c>
    </row>
    <row r="84" spans="1:26" s="24" customFormat="1" hidden="1" outlineLevel="1" x14ac:dyDescent="0.25">
      <c r="A84" s="44"/>
      <c r="B84" s="11" t="str">
        <f>CONCATENATE("          ", "4218", " - ", "SALES RETURN TAXABLE-STUDY GUI")</f>
        <v xml:space="preserve">          4218 - SALES RETURN TAXABLE-STUDY GUI</v>
      </c>
      <c r="C84" s="11"/>
      <c r="D84" s="2">
        <f t="shared" si="15"/>
        <v>0</v>
      </c>
      <c r="E84" s="2"/>
      <c r="F84" s="19"/>
      <c r="G84" s="2"/>
      <c r="H84" s="2">
        <f t="shared" si="16"/>
        <v>0</v>
      </c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1"/>
      <c r="P84" s="2">
        <f t="shared" si="17"/>
        <v>0</v>
      </c>
      <c r="Q84" s="2"/>
      <c r="R84" s="19"/>
      <c r="S84" s="2"/>
      <c r="T84" s="2">
        <f>-39.25</f>
        <v>-39.25</v>
      </c>
      <c r="U84" s="2"/>
      <c r="V84" s="19"/>
      <c r="W84" s="2"/>
      <c r="X84" s="2">
        <f t="shared" si="2"/>
        <v>39.25</v>
      </c>
      <c r="Y84" s="2"/>
      <c r="Z84" s="19">
        <f t="shared" si="3"/>
        <v>-1</v>
      </c>
    </row>
    <row r="85" spans="1:26" s="24" customFormat="1" hidden="1" outlineLevel="1" x14ac:dyDescent="0.25">
      <c r="A85" s="44"/>
      <c r="B85" s="11" t="str">
        <f>CONCATENATE("          ", "4225", " - ", "SALES RETURN TAXABLE-TEST FORM")</f>
        <v xml:space="preserve">          4225 - SALES RETURN TAXABLE-TEST FORM</v>
      </c>
      <c r="C85" s="11"/>
      <c r="D85" s="2">
        <f t="shared" si="15"/>
        <v>0</v>
      </c>
      <c r="E85" s="2"/>
      <c r="F85" s="19"/>
      <c r="G85" s="2"/>
      <c r="H85" s="2">
        <f>-72.54</f>
        <v>-72.540000000000006</v>
      </c>
      <c r="I85" s="2"/>
      <c r="J85" s="19"/>
      <c r="K85" s="2"/>
      <c r="L85" s="2">
        <f t="shared" si="0"/>
        <v>72.540000000000006</v>
      </c>
      <c r="M85" s="2"/>
      <c r="N85" s="19">
        <f t="shared" si="1"/>
        <v>-1</v>
      </c>
      <c r="O85" s="11"/>
      <c r="P85" s="2">
        <f t="shared" si="17"/>
        <v>0</v>
      </c>
      <c r="Q85" s="2"/>
      <c r="R85" s="19"/>
      <c r="S85" s="2"/>
      <c r="T85" s="2">
        <f>-168.25</f>
        <v>-168.25</v>
      </c>
      <c r="U85" s="2"/>
      <c r="V85" s="19"/>
      <c r="W85" s="2"/>
      <c r="X85" s="2">
        <f t="shared" si="2"/>
        <v>168.25</v>
      </c>
      <c r="Y85" s="2"/>
      <c r="Z85" s="19">
        <f t="shared" si="3"/>
        <v>-1</v>
      </c>
    </row>
    <row r="86" spans="1:26" s="24" customFormat="1" hidden="1" outlineLevel="1" x14ac:dyDescent="0.25">
      <c r="A86" s="44"/>
      <c r="B86" s="11" t="str">
        <f>CONCATENATE("          ", "4226", " - ", "SALES RETURN TAXABLE-WRITING I")</f>
        <v xml:space="preserve">          4226 - SALES RETURN TAXABLE-WRITING I</v>
      </c>
      <c r="C86" s="11"/>
      <c r="D86" s="2">
        <f t="shared" si="15"/>
        <v>0</v>
      </c>
      <c r="E86" s="2"/>
      <c r="F86" s="19"/>
      <c r="G86" s="2"/>
      <c r="H86" s="2">
        <f>-72.88</f>
        <v>-72.88</v>
      </c>
      <c r="I86" s="2"/>
      <c r="J86" s="19"/>
      <c r="K86" s="2"/>
      <c r="L86" s="2">
        <f t="shared" si="0"/>
        <v>72.88</v>
      </c>
      <c r="M86" s="2"/>
      <c r="N86" s="19">
        <f t="shared" si="1"/>
        <v>-1</v>
      </c>
      <c r="O86" s="11"/>
      <c r="P86" s="2">
        <f>-34.23</f>
        <v>-34.229999999999997</v>
      </c>
      <c r="Q86" s="2"/>
      <c r="R86" s="19"/>
      <c r="S86" s="2"/>
      <c r="T86" s="2">
        <f>-753.79</f>
        <v>-753.79</v>
      </c>
      <c r="U86" s="2"/>
      <c r="V86" s="19"/>
      <c r="W86" s="2"/>
      <c r="X86" s="2">
        <f t="shared" si="2"/>
        <v>719.56</v>
      </c>
      <c r="Y86" s="2"/>
      <c r="Z86" s="19">
        <f t="shared" si="3"/>
        <v>-0.95458947452208176</v>
      </c>
    </row>
    <row r="87" spans="1:26" s="24" customFormat="1" hidden="1" outlineLevel="1" x14ac:dyDescent="0.25">
      <c r="A87" s="44"/>
      <c r="B87" s="11" t="str">
        <f>CONCATENATE("          ", "4227", " - ", "SALES RETURN TAXABLE-SCHOOL SU")</f>
        <v xml:space="preserve">          4227 - SALES RETURN TAXABLE-SCHOOL SU</v>
      </c>
      <c r="C87" s="11"/>
      <c r="D87" s="2">
        <f>-19.05</f>
        <v>-19.05</v>
      </c>
      <c r="E87" s="2"/>
      <c r="F87" s="19"/>
      <c r="G87" s="2"/>
      <c r="H87" s="2">
        <f>-703.56</f>
        <v>-703.56</v>
      </c>
      <c r="I87" s="2"/>
      <c r="J87" s="19"/>
      <c r="K87" s="2"/>
      <c r="L87" s="2">
        <f t="shared" si="0"/>
        <v>684.51</v>
      </c>
      <c r="M87" s="2"/>
      <c r="N87" s="19">
        <f t="shared" si="1"/>
        <v>-0.9729234180453693</v>
      </c>
      <c r="O87" s="11"/>
      <c r="P87" s="2">
        <f>-781.73</f>
        <v>-781.73</v>
      </c>
      <c r="Q87" s="2"/>
      <c r="R87" s="19"/>
      <c r="S87" s="2"/>
      <c r="T87" s="2">
        <f>-7614.42</f>
        <v>-7614.42</v>
      </c>
      <c r="U87" s="2"/>
      <c r="V87" s="19"/>
      <c r="W87" s="2"/>
      <c r="X87" s="2">
        <f t="shared" si="2"/>
        <v>6832.6900000000005</v>
      </c>
      <c r="Y87" s="2"/>
      <c r="Z87" s="19">
        <f t="shared" si="3"/>
        <v>-0.89733558169893446</v>
      </c>
    </row>
    <row r="88" spans="1:26" s="24" customFormat="1" hidden="1" outlineLevel="1" x14ac:dyDescent="0.25">
      <c r="A88" s="44"/>
      <c r="B88" s="11" t="str">
        <f>CONCATENATE("          ", "4228", " - ", "SALES RETURN TAXABLE-ART/TECH")</f>
        <v xml:space="preserve">          4228 - SALES RETURN TAXABLE-ART/TECH</v>
      </c>
      <c r="C88" s="11"/>
      <c r="D88" s="2">
        <f>-10.71</f>
        <v>-10.71</v>
      </c>
      <c r="E88" s="2"/>
      <c r="F88" s="19"/>
      <c r="G88" s="2"/>
      <c r="H88" s="2">
        <f>-685.23</f>
        <v>-685.23</v>
      </c>
      <c r="I88" s="2"/>
      <c r="J88" s="19"/>
      <c r="K88" s="2"/>
      <c r="L88" s="2">
        <f t="shared" si="0"/>
        <v>674.52</v>
      </c>
      <c r="M88" s="2"/>
      <c r="N88" s="19">
        <f t="shared" si="1"/>
        <v>-0.98437021146184489</v>
      </c>
      <c r="O88" s="11"/>
      <c r="P88" s="2">
        <f>-12739.24</f>
        <v>-12739.24</v>
      </c>
      <c r="Q88" s="2"/>
      <c r="R88" s="19"/>
      <c r="S88" s="2"/>
      <c r="T88" s="2">
        <f>-4599.92</f>
        <v>-4599.92</v>
      </c>
      <c r="U88" s="2"/>
      <c r="V88" s="19"/>
      <c r="W88" s="2"/>
      <c r="X88" s="2">
        <f t="shared" si="2"/>
        <v>-8139.32</v>
      </c>
      <c r="Y88" s="2"/>
      <c r="Z88" s="19">
        <f t="shared" si="3"/>
        <v>1.769448164315901</v>
      </c>
    </row>
    <row r="89" spans="1:26" s="24" customFormat="1" hidden="1" outlineLevel="1" x14ac:dyDescent="0.25">
      <c r="A89" s="44"/>
      <c r="B89" s="11" t="str">
        <f>CONCATENATE("          ", "4233", " - ", "SALES RETURN TAXABLE-CANDY")</f>
        <v xml:space="preserve">          4233 - SALES RETURN TAXABLE-CANDY</v>
      </c>
      <c r="C89" s="11"/>
      <c r="D89" s="2">
        <f>0</f>
        <v>0</v>
      </c>
      <c r="E89" s="2"/>
      <c r="F89" s="19"/>
      <c r="G89" s="2"/>
      <c r="H89" s="2">
        <f>0</f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0</f>
        <v>0</v>
      </c>
      <c r="Q89" s="2"/>
      <c r="R89" s="19"/>
      <c r="S89" s="2"/>
      <c r="T89" s="2">
        <f>-1.29</f>
        <v>-1.29</v>
      </c>
      <c r="U89" s="2"/>
      <c r="V89" s="19"/>
      <c r="W89" s="2"/>
      <c r="X89" s="2">
        <f t="shared" si="2"/>
        <v>1.29</v>
      </c>
      <c r="Y89" s="2"/>
      <c r="Z89" s="19">
        <f t="shared" si="3"/>
        <v>-1</v>
      </c>
    </row>
    <row r="90" spans="1:26" s="24" customFormat="1" hidden="1" outlineLevel="1" x14ac:dyDescent="0.25">
      <c r="A90" s="44"/>
      <c r="B90" s="11" t="str">
        <f>CONCATENATE("          ", "4240", " - ", "SALES RETURN TAXABLE-LOGO CLOT")</f>
        <v xml:space="preserve">          4240 - SALES RETURN TAXABLE-LOGO CLOT</v>
      </c>
      <c r="C90" s="11"/>
      <c r="D90" s="2">
        <f>-3542.64</f>
        <v>-3542.64</v>
      </c>
      <c r="E90" s="2"/>
      <c r="F90" s="19"/>
      <c r="G90" s="2"/>
      <c r="H90" s="2">
        <f>-8202.92</f>
        <v>-8202.92</v>
      </c>
      <c r="I90" s="2"/>
      <c r="J90" s="19"/>
      <c r="K90" s="2"/>
      <c r="L90" s="2">
        <f t="shared" si="0"/>
        <v>4660.2800000000007</v>
      </c>
      <c r="M90" s="2"/>
      <c r="N90" s="19">
        <f t="shared" si="1"/>
        <v>-0.568124521511852</v>
      </c>
      <c r="O90" s="11"/>
      <c r="P90" s="2">
        <f>-31129.51</f>
        <v>-31129.51</v>
      </c>
      <c r="Q90" s="2"/>
      <c r="R90" s="19"/>
      <c r="S90" s="2"/>
      <c r="T90" s="2">
        <f>-69811.67</f>
        <v>-69811.67</v>
      </c>
      <c r="U90" s="2"/>
      <c r="V90" s="19"/>
      <c r="W90" s="2"/>
      <c r="X90" s="2">
        <f t="shared" si="2"/>
        <v>38682.160000000003</v>
      </c>
      <c r="Y90" s="2"/>
      <c r="Z90" s="19">
        <f t="shared" si="3"/>
        <v>-0.55409303344268956</v>
      </c>
    </row>
    <row r="91" spans="1:26" s="24" customFormat="1" hidden="1" outlineLevel="1" x14ac:dyDescent="0.25">
      <c r="A91" s="44"/>
      <c r="B91" s="11" t="str">
        <f>CONCATENATE("          ", "4241", " - ", "SALES RETURN TAXABLE-LOGO GIFT")</f>
        <v xml:space="preserve">          4241 - SALES RETURN TAXABLE-LOGO GIFT</v>
      </c>
      <c r="C91" s="11"/>
      <c r="D91" s="2">
        <f>-338.05</f>
        <v>-338.05</v>
      </c>
      <c r="E91" s="2"/>
      <c r="F91" s="19"/>
      <c r="G91" s="2"/>
      <c r="H91" s="2">
        <f>-972.77</f>
        <v>-972.77</v>
      </c>
      <c r="I91" s="2"/>
      <c r="J91" s="19"/>
      <c r="K91" s="2"/>
      <c r="L91" s="2">
        <f t="shared" si="0"/>
        <v>634.72</v>
      </c>
      <c r="M91" s="2"/>
      <c r="N91" s="19">
        <f t="shared" si="1"/>
        <v>-0.65248722719656238</v>
      </c>
      <c r="O91" s="11"/>
      <c r="P91" s="2">
        <f>-5295.52</f>
        <v>-5295.52</v>
      </c>
      <c r="Q91" s="2"/>
      <c r="R91" s="19"/>
      <c r="S91" s="2"/>
      <c r="T91" s="2">
        <f>-5926.98</f>
        <v>-5926.98</v>
      </c>
      <c r="U91" s="2"/>
      <c r="V91" s="19"/>
      <c r="W91" s="2"/>
      <c r="X91" s="2">
        <f t="shared" si="2"/>
        <v>631.45999999999913</v>
      </c>
      <c r="Y91" s="2"/>
      <c r="Z91" s="19">
        <f t="shared" si="3"/>
        <v>-0.10653992421098084</v>
      </c>
    </row>
    <row r="92" spans="1:26" s="24" customFormat="1" hidden="1" outlineLevel="1" x14ac:dyDescent="0.25">
      <c r="A92" s="44"/>
      <c r="B92" s="11" t="str">
        <f>CONCATENATE("          ", "4242", " - ", "SALES RETURN TAXABLE-EVERYDAY")</f>
        <v xml:space="preserve">          4242 - SALES RETURN TAXABLE-EVERYDAY</v>
      </c>
      <c r="C92" s="11"/>
      <c r="D92" s="2">
        <f>-44.96</f>
        <v>-44.96</v>
      </c>
      <c r="E92" s="2"/>
      <c r="F92" s="19"/>
      <c r="G92" s="2"/>
      <c r="H92" s="2">
        <f>-349.75</f>
        <v>-349.75</v>
      </c>
      <c r="I92" s="2"/>
      <c r="J92" s="19"/>
      <c r="K92" s="2"/>
      <c r="L92" s="2">
        <f t="shared" si="0"/>
        <v>304.79000000000002</v>
      </c>
      <c r="M92" s="2"/>
      <c r="N92" s="19">
        <f t="shared" si="1"/>
        <v>-0.87145103645461053</v>
      </c>
      <c r="O92" s="11"/>
      <c r="P92" s="2">
        <f>-1738.74</f>
        <v>-1738.74</v>
      </c>
      <c r="Q92" s="2"/>
      <c r="R92" s="19"/>
      <c r="S92" s="2"/>
      <c r="T92" s="2">
        <f>-3894.08</f>
        <v>-3894.08</v>
      </c>
      <c r="U92" s="2"/>
      <c r="V92" s="19"/>
      <c r="W92" s="2"/>
      <c r="X92" s="2">
        <f t="shared" si="2"/>
        <v>2155.34</v>
      </c>
      <c r="Y92" s="2"/>
      <c r="Z92" s="19">
        <f t="shared" si="3"/>
        <v>-0.55349145369381214</v>
      </c>
    </row>
    <row r="93" spans="1:26" s="24" customFormat="1" hidden="1" outlineLevel="1" x14ac:dyDescent="0.25">
      <c r="A93" s="44"/>
      <c r="B93" s="11" t="str">
        <f>CONCATENATE("          ", "4243", " - ", "SALES RETURN TAXABLE-CARDS")</f>
        <v xml:space="preserve">          4243 - SALES RETURN TAXABLE-CARDS</v>
      </c>
      <c r="C93" s="11"/>
      <c r="D93" s="2">
        <f>-369.81</f>
        <v>-369.81</v>
      </c>
      <c r="E93" s="2"/>
      <c r="F93" s="19"/>
      <c r="G93" s="2"/>
      <c r="H93" s="2">
        <f>-1609.18</f>
        <v>-1609.18</v>
      </c>
      <c r="I93" s="2"/>
      <c r="J93" s="19"/>
      <c r="K93" s="2"/>
      <c r="L93" s="2">
        <f t="shared" si="0"/>
        <v>1239.3700000000001</v>
      </c>
      <c r="M93" s="2"/>
      <c r="N93" s="19">
        <f t="shared" si="1"/>
        <v>-0.77018730036416072</v>
      </c>
      <c r="O93" s="11"/>
      <c r="P93" s="2">
        <f>-5369.6</f>
        <v>-5369.6</v>
      </c>
      <c r="Q93" s="2"/>
      <c r="R93" s="19"/>
      <c r="S93" s="2"/>
      <c r="T93" s="2">
        <f>-2833.39</f>
        <v>-2833.39</v>
      </c>
      <c r="U93" s="2"/>
      <c r="V93" s="19"/>
      <c r="W93" s="2"/>
      <c r="X93" s="2">
        <f t="shared" si="2"/>
        <v>-2536.2100000000005</v>
      </c>
      <c r="Y93" s="2"/>
      <c r="Z93" s="19">
        <f t="shared" si="3"/>
        <v>0.89511503887569333</v>
      </c>
    </row>
    <row r="94" spans="1:26" s="24" customFormat="1" hidden="1" outlineLevel="1" x14ac:dyDescent="0.25">
      <c r="A94" s="44"/>
      <c r="B94" s="11" t="str">
        <f>CONCATENATE("          ", "4244", " - ", "SALES RETURN TAXABLE-ACCESSORI")</f>
        <v xml:space="preserve">          4244 - SALES RETURN TAXABLE-ACCESSORI</v>
      </c>
      <c r="C94" s="11"/>
      <c r="D94" s="2">
        <f>-9.99</f>
        <v>-9.99</v>
      </c>
      <c r="E94" s="2"/>
      <c r="F94" s="19"/>
      <c r="G94" s="2"/>
      <c r="H94" s="2">
        <f>-328.75</f>
        <v>-328.75</v>
      </c>
      <c r="I94" s="2"/>
      <c r="J94" s="19"/>
      <c r="K94" s="2"/>
      <c r="L94" s="2">
        <f t="shared" si="0"/>
        <v>318.76</v>
      </c>
      <c r="M94" s="2"/>
      <c r="N94" s="19">
        <f t="shared" si="1"/>
        <v>-0.96961216730038025</v>
      </c>
      <c r="O94" s="11"/>
      <c r="P94" s="2">
        <f>-994.84</f>
        <v>-994.84</v>
      </c>
      <c r="Q94" s="2"/>
      <c r="R94" s="19"/>
      <c r="S94" s="2"/>
      <c r="T94" s="2">
        <f>-2430.8</f>
        <v>-2430.8000000000002</v>
      </c>
      <c r="U94" s="2"/>
      <c r="V94" s="19"/>
      <c r="W94" s="2"/>
      <c r="X94" s="2">
        <f t="shared" si="2"/>
        <v>1435.96</v>
      </c>
      <c r="Y94" s="2"/>
      <c r="Z94" s="19">
        <f t="shared" si="3"/>
        <v>-0.59073556030936314</v>
      </c>
    </row>
    <row r="95" spans="1:26" s="24" customFormat="1" hidden="1" outlineLevel="1" x14ac:dyDescent="0.25">
      <c r="A95" s="44"/>
      <c r="B95" s="11" t="str">
        <f>CONCATENATE("          ", "4245", " - ", "SALES RETURN TAXABLE-SPECIAL O")</f>
        <v xml:space="preserve">          4245 - SALES RETURN TAXABLE-SPECIAL O</v>
      </c>
      <c r="C95" s="11"/>
      <c r="D95" s="2">
        <f>-7.98</f>
        <v>-7.98</v>
      </c>
      <c r="E95" s="2"/>
      <c r="F95" s="19"/>
      <c r="G95" s="2"/>
      <c r="H95" s="2">
        <f t="shared" ref="H95:H101" si="18">0</f>
        <v>0</v>
      </c>
      <c r="I95" s="2"/>
      <c r="J95" s="19"/>
      <c r="K95" s="2"/>
      <c r="L95" s="2">
        <f t="shared" si="0"/>
        <v>-7.98</v>
      </c>
      <c r="M95" s="2"/>
      <c r="N95" s="19">
        <f t="shared" si="1"/>
        <v>0</v>
      </c>
      <c r="O95" s="11"/>
      <c r="P95" s="2">
        <f>-11353.59</f>
        <v>-11353.59</v>
      </c>
      <c r="Q95" s="2"/>
      <c r="R95" s="19"/>
      <c r="S95" s="2"/>
      <c r="T95" s="2">
        <f>-1715.05</f>
        <v>-1715.05</v>
      </c>
      <c r="U95" s="2"/>
      <c r="V95" s="19"/>
      <c r="W95" s="2"/>
      <c r="X95" s="2">
        <f t="shared" si="2"/>
        <v>-9638.5400000000009</v>
      </c>
      <c r="Y95" s="2"/>
      <c r="Z95" s="19">
        <f t="shared" si="3"/>
        <v>5.6199760939914292</v>
      </c>
    </row>
    <row r="96" spans="1:26" s="24" customFormat="1" hidden="1" outlineLevel="1" x14ac:dyDescent="0.25">
      <c r="A96" s="44"/>
      <c r="B96" s="11" t="str">
        <f>CONCATENATE("          ", "4281", " - ", "SALES RETURN TAXABLE-ELECTRONI")</f>
        <v xml:space="preserve">          4281 - SALES RETURN TAXABLE-ELECTRONI</v>
      </c>
      <c r="C96" s="11"/>
      <c r="D96" s="2">
        <f t="shared" ref="D96:D98" si="19">0</f>
        <v>0</v>
      </c>
      <c r="E96" s="2"/>
      <c r="F96" s="19"/>
      <c r="G96" s="2"/>
      <c r="H96" s="2">
        <f t="shared" si="18"/>
        <v>0</v>
      </c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 t="shared" ref="P96:P98" si="20">0</f>
        <v>0</v>
      </c>
      <c r="Q96" s="2"/>
      <c r="R96" s="19"/>
      <c r="S96" s="2"/>
      <c r="T96" s="2">
        <f>-54.97</f>
        <v>-54.97</v>
      </c>
      <c r="U96" s="2"/>
      <c r="V96" s="19"/>
      <c r="W96" s="2"/>
      <c r="X96" s="2">
        <f t="shared" si="2"/>
        <v>54.97</v>
      </c>
      <c r="Y96" s="2"/>
      <c r="Z96" s="19">
        <f t="shared" si="3"/>
        <v>-1</v>
      </c>
    </row>
    <row r="97" spans="1:26" s="24" customFormat="1" hidden="1" outlineLevel="1" x14ac:dyDescent="0.25">
      <c r="A97" s="44"/>
      <c r="B97" s="11" t="str">
        <f>CONCATENATE("          ", "4292", " - ", "SALES RETURN TAXABLE-GRAD MERC")</f>
        <v xml:space="preserve">          4292 - SALES RETURN TAXABLE-GRAD MERC</v>
      </c>
      <c r="C97" s="11"/>
      <c r="D97" s="2">
        <f t="shared" si="19"/>
        <v>0</v>
      </c>
      <c r="E97" s="2"/>
      <c r="F97" s="19"/>
      <c r="G97" s="2"/>
      <c r="H97" s="2">
        <f t="shared" si="18"/>
        <v>0</v>
      </c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 t="shared" si="20"/>
        <v>0</v>
      </c>
      <c r="Q97" s="2"/>
      <c r="R97" s="19"/>
      <c r="S97" s="2"/>
      <c r="T97" s="2">
        <f>-419.05</f>
        <v>-419.05</v>
      </c>
      <c r="U97" s="2"/>
      <c r="V97" s="19"/>
      <c r="W97" s="2"/>
      <c r="X97" s="2">
        <f t="shared" si="2"/>
        <v>419.05</v>
      </c>
      <c r="Y97" s="2"/>
      <c r="Z97" s="19">
        <f t="shared" si="3"/>
        <v>-1</v>
      </c>
    </row>
    <row r="98" spans="1:26" s="24" customFormat="1" hidden="1" outlineLevel="1" x14ac:dyDescent="0.25">
      <c r="A98" s="44"/>
      <c r="B98" s="11" t="str">
        <f>CONCATENATE("          ", "4295", " - ", "SALES RETURN TAXABLE-CUSTOMER")</f>
        <v xml:space="preserve">          4295 - SALES RETURN TAXABLE-CUSTOMER</v>
      </c>
      <c r="C98" s="11"/>
      <c r="D98" s="2">
        <f t="shared" si="19"/>
        <v>0</v>
      </c>
      <c r="E98" s="2"/>
      <c r="F98" s="19"/>
      <c r="G98" s="2"/>
      <c r="H98" s="2">
        <f t="shared" si="18"/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 t="shared" si="20"/>
        <v>0</v>
      </c>
      <c r="Q98" s="2"/>
      <c r="R98" s="19"/>
      <c r="S98" s="2"/>
      <c r="T98" s="2">
        <f>--0.99</f>
        <v>0.99</v>
      </c>
      <c r="U98" s="2"/>
      <c r="V98" s="19"/>
      <c r="W98" s="2"/>
      <c r="X98" s="2">
        <f t="shared" si="2"/>
        <v>-0.99</v>
      </c>
      <c r="Y98" s="2"/>
      <c r="Z98" s="19">
        <f t="shared" si="3"/>
        <v>-1</v>
      </c>
    </row>
    <row r="99" spans="1:26" s="24" customFormat="1" hidden="1" outlineLevel="1" x14ac:dyDescent="0.25">
      <c r="A99" s="44"/>
      <c r="B99" s="11" t="str">
        <f>CONCATENATE("          ", "4301", " - ", "SALES RETURN NON TAXABLE-NEW T")</f>
        <v xml:space="preserve">          4301 - SALES RETURN NON TAXABLE-NEW T</v>
      </c>
      <c r="C99" s="11"/>
      <c r="D99" s="2">
        <f>-231.5</f>
        <v>-231.5</v>
      </c>
      <c r="E99" s="2"/>
      <c r="F99" s="19"/>
      <c r="G99" s="2"/>
      <c r="H99" s="2">
        <f t="shared" si="18"/>
        <v>0</v>
      </c>
      <c r="I99" s="2"/>
      <c r="J99" s="19"/>
      <c r="K99" s="2"/>
      <c r="L99" s="2">
        <f t="shared" si="0"/>
        <v>-231.5</v>
      </c>
      <c r="M99" s="2"/>
      <c r="N99" s="19">
        <f t="shared" si="1"/>
        <v>0</v>
      </c>
      <c r="O99" s="11"/>
      <c r="P99" s="2">
        <f>-3237.29</f>
        <v>-3237.29</v>
      </c>
      <c r="Q99" s="2"/>
      <c r="R99" s="19"/>
      <c r="S99" s="2"/>
      <c r="T99" s="2">
        <f>-15221.62</f>
        <v>-15221.62</v>
      </c>
      <c r="U99" s="2"/>
      <c r="V99" s="19"/>
      <c r="W99" s="2"/>
      <c r="X99" s="2">
        <f t="shared" si="2"/>
        <v>11984.330000000002</v>
      </c>
      <c r="Y99" s="2"/>
      <c r="Z99" s="19">
        <f t="shared" si="3"/>
        <v>-0.78732289992786586</v>
      </c>
    </row>
    <row r="100" spans="1:26" s="24" customFormat="1" hidden="1" outlineLevel="1" x14ac:dyDescent="0.25">
      <c r="A100" s="44"/>
      <c r="B100" s="11" t="str">
        <f>CONCATENATE("          ", "4302", " - ", "SALES RETURN NON TAXABLE-TEXT")</f>
        <v xml:space="preserve">          4302 - SALES RETURN NON TAXABLE-TEXT</v>
      </c>
      <c r="C100" s="11"/>
      <c r="D100" s="2">
        <f>-70.32</f>
        <v>-70.319999999999993</v>
      </c>
      <c r="E100" s="2"/>
      <c r="F100" s="19"/>
      <c r="G100" s="2"/>
      <c r="H100" s="2">
        <f t="shared" si="18"/>
        <v>0</v>
      </c>
      <c r="I100" s="2"/>
      <c r="J100" s="19"/>
      <c r="K100" s="2"/>
      <c r="L100" s="2">
        <f t="shared" si="0"/>
        <v>-70.319999999999993</v>
      </c>
      <c r="M100" s="2"/>
      <c r="N100" s="19">
        <f t="shared" si="1"/>
        <v>0</v>
      </c>
      <c r="O100" s="11"/>
      <c r="P100" s="2">
        <f>-2073.48</f>
        <v>-2073.48</v>
      </c>
      <c r="Q100" s="2"/>
      <c r="R100" s="19"/>
      <c r="S100" s="2"/>
      <c r="T100" s="2">
        <f>-1312.37</f>
        <v>-1312.37</v>
      </c>
      <c r="U100" s="2"/>
      <c r="V100" s="19"/>
      <c r="W100" s="2"/>
      <c r="X100" s="2">
        <f t="shared" si="2"/>
        <v>-761.11000000000013</v>
      </c>
      <c r="Y100" s="2"/>
      <c r="Z100" s="19">
        <f t="shared" si="3"/>
        <v>0.57995077607686873</v>
      </c>
    </row>
    <row r="101" spans="1:26" s="24" customFormat="1" hidden="1" outlineLevel="1" x14ac:dyDescent="0.25">
      <c r="A101" s="44"/>
      <c r="B101" s="11" t="str">
        <f>CONCATENATE("          ", "4303", " - ", "SALES RETURN NON-TAXABLE-RENTA")</f>
        <v xml:space="preserve">          4303 - SALES RETURN NON-TAXABLE-RENTA</v>
      </c>
      <c r="C101" s="11"/>
      <c r="D101" s="2">
        <f>0</f>
        <v>0</v>
      </c>
      <c r="E101" s="2"/>
      <c r="F101" s="19"/>
      <c r="G101" s="2"/>
      <c r="H101" s="2">
        <f t="shared" si="18"/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0</f>
        <v>0</v>
      </c>
      <c r="Q101" s="2"/>
      <c r="R101" s="19"/>
      <c r="S101" s="2"/>
      <c r="T101" s="2">
        <f>-184.99</f>
        <v>-184.99</v>
      </c>
      <c r="U101" s="2"/>
      <c r="V101" s="19"/>
      <c r="W101" s="2"/>
      <c r="X101" s="2">
        <f t="shared" si="2"/>
        <v>184.99</v>
      </c>
      <c r="Y101" s="2"/>
      <c r="Z101" s="19">
        <f t="shared" si="3"/>
        <v>-1</v>
      </c>
    </row>
    <row r="102" spans="1:26" s="24" customFormat="1" hidden="1" outlineLevel="1" x14ac:dyDescent="0.25">
      <c r="A102" s="44"/>
      <c r="B102" s="11" t="str">
        <f>CONCATENATE("          ", "4304", " - ", "SALES RETURN NON TAXABLE-DIGIT")</f>
        <v xml:space="preserve">          4304 - SALES RETURN NON TAXABLE-DIGIT</v>
      </c>
      <c r="C102" s="11"/>
      <c r="D102" s="2">
        <f>-2172.95</f>
        <v>-2172.9499999999998</v>
      </c>
      <c r="E102" s="2"/>
      <c r="F102" s="19"/>
      <c r="G102" s="2"/>
      <c r="H102" s="2">
        <f>-1249.23</f>
        <v>-1249.23</v>
      </c>
      <c r="I102" s="2"/>
      <c r="J102" s="19"/>
      <c r="K102" s="2"/>
      <c r="L102" s="2">
        <f t="shared" si="0"/>
        <v>-923.7199999999998</v>
      </c>
      <c r="M102" s="2"/>
      <c r="N102" s="19">
        <f t="shared" si="1"/>
        <v>0.73943148979771522</v>
      </c>
      <c r="O102" s="11"/>
      <c r="P102" s="2">
        <f>-27268.72</f>
        <v>-27268.720000000001</v>
      </c>
      <c r="Q102" s="2"/>
      <c r="R102" s="19"/>
      <c r="S102" s="2"/>
      <c r="T102" s="2">
        <f>-18991.98</f>
        <v>-18991.98</v>
      </c>
      <c r="U102" s="2"/>
      <c r="V102" s="19"/>
      <c r="W102" s="2"/>
      <c r="X102" s="2">
        <f t="shared" si="2"/>
        <v>-8276.7400000000016</v>
      </c>
      <c r="Y102" s="2"/>
      <c r="Z102" s="19">
        <f t="shared" si="3"/>
        <v>0.43580184899099522</v>
      </c>
    </row>
    <row r="103" spans="1:26" s="24" customFormat="1" hidden="1" outlineLevel="1" x14ac:dyDescent="0.25">
      <c r="A103" s="44"/>
      <c r="B103" s="11" t="str">
        <f>CONCATENATE("          ", "4311", " - ", "SALES RETURN NON TAXABLE-NO VA")</f>
        <v xml:space="preserve">          4311 - SALES RETURN NON TAXABLE-NO VA</v>
      </c>
      <c r="C103" s="11"/>
      <c r="D103" s="2">
        <f t="shared" ref="D103:D106" si="21">0</f>
        <v>0</v>
      </c>
      <c r="E103" s="2"/>
      <c r="F103" s="19"/>
      <c r="G103" s="2"/>
      <c r="H103" s="2">
        <f>-169.45</f>
        <v>-169.45</v>
      </c>
      <c r="I103" s="2"/>
      <c r="J103" s="19"/>
      <c r="K103" s="2"/>
      <c r="L103" s="2">
        <f t="shared" si="0"/>
        <v>169.45</v>
      </c>
      <c r="M103" s="2"/>
      <c r="N103" s="19">
        <f t="shared" si="1"/>
        <v>-1</v>
      </c>
      <c r="O103" s="11"/>
      <c r="P103" s="2">
        <f t="shared" ref="P103:P106" si="22">0</f>
        <v>0</v>
      </c>
      <c r="Q103" s="2"/>
      <c r="R103" s="19"/>
      <c r="S103" s="2"/>
      <c r="T103" s="2">
        <f>-794.76</f>
        <v>-794.76</v>
      </c>
      <c r="U103" s="2"/>
      <c r="V103" s="19"/>
      <c r="W103" s="2"/>
      <c r="X103" s="2">
        <f t="shared" si="2"/>
        <v>794.76</v>
      </c>
      <c r="Y103" s="2"/>
      <c r="Z103" s="19">
        <f t="shared" si="3"/>
        <v>-1</v>
      </c>
    </row>
    <row r="104" spans="1:26" s="24" customFormat="1" hidden="1" outlineLevel="1" x14ac:dyDescent="0.25">
      <c r="A104" s="44"/>
      <c r="B104" s="11" t="str">
        <f>CONCATENATE("          ", "4327", " - ", "SALES RETURN NON TAXABLE-SCHOO")</f>
        <v xml:space="preserve">          4327 - SALES RETURN NON TAXABLE-SCHOO</v>
      </c>
      <c r="C104" s="11"/>
      <c r="D104" s="2">
        <f t="shared" si="21"/>
        <v>0</v>
      </c>
      <c r="E104" s="2"/>
      <c r="F104" s="19"/>
      <c r="G104" s="2"/>
      <c r="H104" s="2">
        <f>0</f>
        <v>0</v>
      </c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 t="shared" si="22"/>
        <v>0</v>
      </c>
      <c r="Q104" s="2"/>
      <c r="R104" s="19"/>
      <c r="S104" s="2"/>
      <c r="T104" s="2">
        <f>-21.87</f>
        <v>-21.87</v>
      </c>
      <c r="U104" s="2"/>
      <c r="V104" s="19"/>
      <c r="W104" s="2"/>
      <c r="X104" s="2">
        <f t="shared" si="2"/>
        <v>21.87</v>
      </c>
      <c r="Y104" s="2"/>
      <c r="Z104" s="19">
        <f t="shared" si="3"/>
        <v>-1</v>
      </c>
    </row>
    <row r="105" spans="1:26" s="24" customFormat="1" hidden="1" outlineLevel="1" x14ac:dyDescent="0.25">
      <c r="A105" s="44"/>
      <c r="B105" s="11" t="str">
        <f>CONCATENATE("          ", "4331", " - ", "SALES RETURN NON TAXABLE-FOOD")</f>
        <v xml:space="preserve">          4331 - SALES RETURN NON TAXABLE-FOOD</v>
      </c>
      <c r="C105" s="11"/>
      <c r="D105" s="2">
        <f t="shared" si="21"/>
        <v>0</v>
      </c>
      <c r="E105" s="2"/>
      <c r="F105" s="19"/>
      <c r="G105" s="2"/>
      <c r="H105" s="2">
        <f>-7.58</f>
        <v>-7.58</v>
      </c>
      <c r="I105" s="2"/>
      <c r="J105" s="19"/>
      <c r="K105" s="2"/>
      <c r="L105" s="2">
        <f t="shared" si="0"/>
        <v>7.58</v>
      </c>
      <c r="M105" s="2"/>
      <c r="N105" s="19">
        <f t="shared" si="1"/>
        <v>-1</v>
      </c>
      <c r="O105" s="11"/>
      <c r="P105" s="2">
        <f t="shared" si="22"/>
        <v>0</v>
      </c>
      <c r="Q105" s="2"/>
      <c r="R105" s="19"/>
      <c r="S105" s="2"/>
      <c r="T105" s="2">
        <f>-7.58</f>
        <v>-7.58</v>
      </c>
      <c r="U105" s="2"/>
      <c r="V105" s="19"/>
      <c r="W105" s="2"/>
      <c r="X105" s="2">
        <f t="shared" si="2"/>
        <v>7.58</v>
      </c>
      <c r="Y105" s="2"/>
      <c r="Z105" s="19">
        <f t="shared" si="3"/>
        <v>-1</v>
      </c>
    </row>
    <row r="106" spans="1:26" s="24" customFormat="1" hidden="1" outlineLevel="1" x14ac:dyDescent="0.25">
      <c r="A106" s="44"/>
      <c r="B106" s="11" t="str">
        <f>CONCATENATE("          ", "4332", " - ", "SALES RETURN NON TAXABLE-JUICE")</f>
        <v xml:space="preserve">          4332 - SALES RETURN NON TAXABLE-JUICE</v>
      </c>
      <c r="C106" s="11"/>
      <c r="D106" s="2">
        <f t="shared" si="21"/>
        <v>0</v>
      </c>
      <c r="E106" s="2"/>
      <c r="F106" s="19"/>
      <c r="G106" s="2"/>
      <c r="H106" s="2">
        <f>-2.79</f>
        <v>-2.79</v>
      </c>
      <c r="I106" s="2"/>
      <c r="J106" s="19"/>
      <c r="K106" s="2"/>
      <c r="L106" s="2">
        <f t="shared" si="0"/>
        <v>2.79</v>
      </c>
      <c r="M106" s="2"/>
      <c r="N106" s="19">
        <f t="shared" si="1"/>
        <v>-1</v>
      </c>
      <c r="O106" s="11"/>
      <c r="P106" s="2">
        <f t="shared" si="22"/>
        <v>0</v>
      </c>
      <c r="Q106" s="2"/>
      <c r="R106" s="19"/>
      <c r="S106" s="2"/>
      <c r="T106" s="2">
        <f>-2.79</f>
        <v>-2.79</v>
      </c>
      <c r="U106" s="2"/>
      <c r="V106" s="19"/>
      <c r="W106" s="2"/>
      <c r="X106" s="2">
        <f t="shared" si="2"/>
        <v>2.79</v>
      </c>
      <c r="Y106" s="2"/>
      <c r="Z106" s="19">
        <f t="shared" si="3"/>
        <v>-1</v>
      </c>
    </row>
    <row r="107" spans="1:26" s="24" customFormat="1" hidden="1" outlineLevel="1" x14ac:dyDescent="0.25">
      <c r="A107" s="44"/>
      <c r="B107" s="11" t="str">
        <f>CONCATENATE("          ", "4340", " - ", "SALES RETURN NON TAXABLE-LOGO")</f>
        <v xml:space="preserve">          4340 - SALES RETURN NON TAXABLE-LOGO</v>
      </c>
      <c r="C107" s="11"/>
      <c r="D107" s="2">
        <f>-76.9</f>
        <v>-76.900000000000006</v>
      </c>
      <c r="E107" s="2"/>
      <c r="F107" s="19"/>
      <c r="G107" s="2"/>
      <c r="H107" s="2">
        <f>0</f>
        <v>0</v>
      </c>
      <c r="I107" s="2"/>
      <c r="J107" s="19"/>
      <c r="K107" s="2"/>
      <c r="L107" s="2">
        <f t="shared" si="0"/>
        <v>-76.900000000000006</v>
      </c>
      <c r="M107" s="2"/>
      <c r="N107" s="19">
        <f t="shared" si="1"/>
        <v>0</v>
      </c>
      <c r="O107" s="11"/>
      <c r="P107" s="2">
        <f>-2292.84</f>
        <v>-2292.84</v>
      </c>
      <c r="Q107" s="2"/>
      <c r="R107" s="19"/>
      <c r="S107" s="2"/>
      <c r="T107" s="2">
        <f>-931.65</f>
        <v>-931.65</v>
      </c>
      <c r="U107" s="2"/>
      <c r="V107" s="19"/>
      <c r="W107" s="2"/>
      <c r="X107" s="2">
        <f t="shared" si="2"/>
        <v>-1361.19</v>
      </c>
      <c r="Y107" s="2"/>
      <c r="Z107" s="19">
        <f t="shared" si="3"/>
        <v>1.4610529705361457</v>
      </c>
    </row>
    <row r="108" spans="1:26" s="24" customFormat="1" hidden="1" outlineLevel="1" x14ac:dyDescent="0.25">
      <c r="A108" s="44"/>
      <c r="B108" s="11" t="str">
        <f>CONCATENATE("          ", "4341", " - ", "SALES RETURN NON TAXABLE-LOGO")</f>
        <v xml:space="preserve">          4341 - SALES RETURN NON TAXABLE-LOGO</v>
      </c>
      <c r="C108" s="11"/>
      <c r="D108" s="2">
        <f t="shared" ref="D108:D110" si="23">0</f>
        <v>0</v>
      </c>
      <c r="E108" s="2"/>
      <c r="F108" s="19"/>
      <c r="G108" s="2"/>
      <c r="H108" s="2">
        <f>-214.7</f>
        <v>-214.7</v>
      </c>
      <c r="I108" s="2"/>
      <c r="J108" s="19"/>
      <c r="K108" s="2"/>
      <c r="L108" s="2">
        <f t="shared" si="0"/>
        <v>214.7</v>
      </c>
      <c r="M108" s="2"/>
      <c r="N108" s="19">
        <f t="shared" si="1"/>
        <v>-1</v>
      </c>
      <c r="O108" s="11"/>
      <c r="P108" s="2">
        <f>-362.64</f>
        <v>-362.64</v>
      </c>
      <c r="Q108" s="2"/>
      <c r="R108" s="19"/>
      <c r="S108" s="2"/>
      <c r="T108" s="2">
        <f>-245.5</f>
        <v>-245.5</v>
      </c>
      <c r="U108" s="2"/>
      <c r="V108" s="19"/>
      <c r="W108" s="2"/>
      <c r="X108" s="2">
        <f t="shared" si="2"/>
        <v>-117.13999999999999</v>
      </c>
      <c r="Y108" s="2"/>
      <c r="Z108" s="19">
        <f t="shared" si="3"/>
        <v>0.47714867617107937</v>
      </c>
    </row>
    <row r="109" spans="1:26" s="24" customFormat="1" hidden="1" outlineLevel="1" x14ac:dyDescent="0.25">
      <c r="A109" s="44"/>
      <c r="B109" s="11" t="str">
        <f>CONCATENATE("          ", "4342", " - ", "SALES RETURN NON TAXABLE-EVERY")</f>
        <v xml:space="preserve">          4342 - SALES RETURN NON TAXABLE-EVERY</v>
      </c>
      <c r="C109" s="11"/>
      <c r="D109" s="2">
        <f t="shared" si="23"/>
        <v>0</v>
      </c>
      <c r="E109" s="2"/>
      <c r="F109" s="19"/>
      <c r="G109" s="2"/>
      <c r="H109" s="2">
        <f t="shared" ref="H109:H110" si="24">0</f>
        <v>0</v>
      </c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>-118.7</f>
        <v>-118.7</v>
      </c>
      <c r="Q109" s="2"/>
      <c r="R109" s="19"/>
      <c r="S109" s="2"/>
      <c r="T109" s="2">
        <f>-149.22</f>
        <v>-149.22</v>
      </c>
      <c r="U109" s="2"/>
      <c r="V109" s="19"/>
      <c r="W109" s="2"/>
      <c r="X109" s="2">
        <f t="shared" si="2"/>
        <v>30.519999999999996</v>
      </c>
      <c r="Y109" s="2"/>
      <c r="Z109" s="19">
        <f t="shared" si="3"/>
        <v>-0.20453022383058569</v>
      </c>
    </row>
    <row r="110" spans="1:26" s="24" customFormat="1" hidden="1" outlineLevel="1" x14ac:dyDescent="0.25">
      <c r="A110" s="44"/>
      <c r="B110" s="11" t="str">
        <f>CONCATENATE("          ", "4346", " - ", "SALES RETURN NON TAXABLE-COIN-")</f>
        <v xml:space="preserve">          4346 - SALES RETURN NON TAXABLE-COIN-</v>
      </c>
      <c r="C110" s="11"/>
      <c r="D110" s="2">
        <f t="shared" si="23"/>
        <v>0</v>
      </c>
      <c r="E110" s="2"/>
      <c r="F110" s="19"/>
      <c r="G110" s="2"/>
      <c r="H110" s="2">
        <f t="shared" si="24"/>
        <v>0</v>
      </c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>0</f>
        <v>0</v>
      </c>
      <c r="Q110" s="2"/>
      <c r="R110" s="19"/>
      <c r="S110" s="2"/>
      <c r="T110" s="2">
        <f>-8.15</f>
        <v>-8.15</v>
      </c>
      <c r="U110" s="2"/>
      <c r="V110" s="19"/>
      <c r="W110" s="2"/>
      <c r="X110" s="2">
        <f t="shared" si="2"/>
        <v>8.15</v>
      </c>
      <c r="Y110" s="2"/>
      <c r="Z110" s="19">
        <f t="shared" si="3"/>
        <v>-1</v>
      </c>
    </row>
    <row r="111" spans="1:26" x14ac:dyDescent="0.25">
      <c r="A111" s="9"/>
      <c r="B111" s="10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collapsed="1" x14ac:dyDescent="0.25">
      <c r="A112" s="10"/>
      <c r="B112" s="28" t="s">
        <v>8</v>
      </c>
      <c r="C112" s="10"/>
      <c r="D112" s="4">
        <f>SUM(OSRRefD16x_0)</f>
        <v>135459.13999999998</v>
      </c>
      <c r="E112" s="4"/>
      <c r="F112" s="12">
        <f t="shared" ref="F112:F164" si="25">IF(D$12=0,0,D112/D$12)</f>
        <v>0.66737138694754961</v>
      </c>
      <c r="G112" s="4"/>
      <c r="H112" s="4">
        <f>SUM(OSRRefH16x_0)</f>
        <v>692137.67</v>
      </c>
      <c r="I112" s="4"/>
      <c r="J112" s="12">
        <f t="shared" ref="J112:J164" si="26">IF(H$12=0,0,H112/H$12)</f>
        <v>0.64582675116082922</v>
      </c>
      <c r="K112" s="4"/>
      <c r="L112" s="4">
        <f t="shared" ref="L112:L164" si="27">+D112-H112</f>
        <v>-556678.53</v>
      </c>
      <c r="M112" s="4"/>
      <c r="N112" s="12">
        <f t="shared" ref="N112:N164" si="28">IF(H112=0,0,L112/H112)</f>
        <v>-0.80428873348274776</v>
      </c>
      <c r="O112" s="10"/>
      <c r="P112" s="4">
        <f>SUM(OSRRefP16x_0)</f>
        <v>2650550.8700000006</v>
      </c>
      <c r="Q112" s="4"/>
      <c r="R112" s="12">
        <f t="shared" ref="R112:R164" si="29">IF(P$12=0,0,P112/P$12)</f>
        <v>0.64916764944305017</v>
      </c>
      <c r="S112" s="4"/>
      <c r="T112" s="4">
        <f>SUM(OSRRefT16x_0)</f>
        <v>5964308.1199999992</v>
      </c>
      <c r="U112" s="4"/>
      <c r="V112" s="12">
        <f t="shared" ref="V112:V164" si="30">IF(T$12=0,0,T112/T$12)</f>
        <v>0.56435799124751129</v>
      </c>
      <c r="W112" s="4"/>
      <c r="X112" s="4">
        <f t="shared" ref="X112:X164" si="31">+P112-T112</f>
        <v>-3313757.2499999986</v>
      </c>
      <c r="Y112" s="4"/>
      <c r="Z112" s="12">
        <f t="shared" ref="Z112:Z164" si="32">IF(T112=0,0,X112/T112)</f>
        <v>-0.55559793077893482</v>
      </c>
    </row>
    <row r="113" spans="1:26" s="24" customFormat="1" hidden="1" outlineLevel="1" x14ac:dyDescent="0.25">
      <c r="A113" s="44"/>
      <c r="B113" s="11" t="str">
        <f>CONCATENATE("          ", "5001", " - ", "PURCHASES @ COST-NEW TEXT")</f>
        <v xml:space="preserve">          5001 - PURCHASES @ COST-NEW TEXT</v>
      </c>
      <c r="C113" s="11"/>
      <c r="D113" s="2">
        <v>-332593.57</v>
      </c>
      <c r="E113" s="2"/>
      <c r="F113" s="19">
        <f t="shared" si="25"/>
        <v>-1.6386006296860953</v>
      </c>
      <c r="G113" s="2"/>
      <c r="H113" s="2">
        <v>-110695.19</v>
      </c>
      <c r="I113" s="2"/>
      <c r="J113" s="19">
        <f t="shared" si="26"/>
        <v>-0.10328857686192792</v>
      </c>
      <c r="K113" s="2"/>
      <c r="L113" s="2">
        <f t="shared" si="27"/>
        <v>-221898.38</v>
      </c>
      <c r="M113" s="2"/>
      <c r="N113" s="19">
        <f t="shared" si="28"/>
        <v>2.0045891786264605</v>
      </c>
      <c r="O113" s="11"/>
      <c r="P113" s="2">
        <v>1326415.6399999999</v>
      </c>
      <c r="Q113" s="2"/>
      <c r="R113" s="19">
        <f t="shared" si="29"/>
        <v>0.32486308146325027</v>
      </c>
      <c r="S113" s="2"/>
      <c r="T113" s="2">
        <v>2516599.4700000002</v>
      </c>
      <c r="U113" s="2"/>
      <c r="V113" s="19">
        <f t="shared" si="30"/>
        <v>0.23812703721680831</v>
      </c>
      <c r="W113" s="2"/>
      <c r="X113" s="2">
        <f t="shared" si="31"/>
        <v>-1190183.8300000003</v>
      </c>
      <c r="Y113" s="2"/>
      <c r="Z113" s="19">
        <f t="shared" si="32"/>
        <v>-0.47293335478609166</v>
      </c>
    </row>
    <row r="114" spans="1:26" s="24" customFormat="1" hidden="1" outlineLevel="1" x14ac:dyDescent="0.25">
      <c r="A114" s="44"/>
      <c r="B114" s="11" t="str">
        <f>CONCATENATE("          ", "5002", " - ", "PURCHASES @ COST-USED TEXT")</f>
        <v xml:space="preserve">          5002 - PURCHASES @ COST-USED TEXT</v>
      </c>
      <c r="C114" s="11"/>
      <c r="D114" s="2">
        <v>121987.94000000002</v>
      </c>
      <c r="E114" s="2"/>
      <c r="F114" s="19">
        <f t="shared" si="25"/>
        <v>0.60100234438720401</v>
      </c>
      <c r="G114" s="2"/>
      <c r="H114" s="2">
        <v>11947.84</v>
      </c>
      <c r="I114" s="2"/>
      <c r="J114" s="19">
        <f t="shared" si="26"/>
        <v>1.1148410244148973E-2</v>
      </c>
      <c r="K114" s="2"/>
      <c r="L114" s="2">
        <f t="shared" si="27"/>
        <v>110040.10000000002</v>
      </c>
      <c r="M114" s="2"/>
      <c r="N114" s="19">
        <f t="shared" si="28"/>
        <v>9.2100413129067693</v>
      </c>
      <c r="O114" s="11"/>
      <c r="P114" s="2">
        <v>382324.22000000003</v>
      </c>
      <c r="Q114" s="2"/>
      <c r="R114" s="19">
        <f t="shared" si="29"/>
        <v>9.3638087852487645E-2</v>
      </c>
      <c r="S114" s="2"/>
      <c r="T114" s="2">
        <v>524555.37</v>
      </c>
      <c r="U114" s="2"/>
      <c r="V114" s="19">
        <f t="shared" si="30"/>
        <v>4.9634762147616064E-2</v>
      </c>
      <c r="W114" s="2"/>
      <c r="X114" s="2">
        <f t="shared" si="31"/>
        <v>-142231.14999999997</v>
      </c>
      <c r="Y114" s="2"/>
      <c r="Z114" s="19">
        <f t="shared" si="32"/>
        <v>-0.27114611370769109</v>
      </c>
    </row>
    <row r="115" spans="1:26" s="24" customFormat="1" hidden="1" outlineLevel="1" x14ac:dyDescent="0.25">
      <c r="A115" s="44"/>
      <c r="B115" s="11" t="str">
        <f>CONCATENATE("          ", "5003", " - ", "PURCHASES @ COST-RENTAL TEXT")</f>
        <v xml:space="preserve">          5003 - PURCHASES @ COST-RENTAL TEXT</v>
      </c>
      <c r="C115" s="11"/>
      <c r="D115" s="2"/>
      <c r="E115" s="2"/>
      <c r="F115" s="19">
        <f t="shared" si="25"/>
        <v>0</v>
      </c>
      <c r="G115" s="2"/>
      <c r="H115" s="2"/>
      <c r="I115" s="2"/>
      <c r="J115" s="19">
        <f t="shared" si="26"/>
        <v>0</v>
      </c>
      <c r="K115" s="2"/>
      <c r="L115" s="2">
        <f t="shared" si="27"/>
        <v>0</v>
      </c>
      <c r="M115" s="2"/>
      <c r="N115" s="19">
        <f t="shared" si="28"/>
        <v>0</v>
      </c>
      <c r="O115" s="11"/>
      <c r="P115" s="2">
        <v>32.520000000000003</v>
      </c>
      <c r="Q115" s="2"/>
      <c r="R115" s="19">
        <f t="shared" si="29"/>
        <v>7.9647337460412484E-6</v>
      </c>
      <c r="S115" s="2"/>
      <c r="T115" s="2">
        <v>-78.400000000000006</v>
      </c>
      <c r="U115" s="2"/>
      <c r="V115" s="19">
        <f t="shared" si="30"/>
        <v>-7.4184072357758907E-6</v>
      </c>
      <c r="W115" s="2"/>
      <c r="X115" s="2">
        <f t="shared" si="31"/>
        <v>110.92000000000002</v>
      </c>
      <c r="Y115" s="2"/>
      <c r="Z115" s="19">
        <f t="shared" si="32"/>
        <v>-1.4147959183673471</v>
      </c>
    </row>
    <row r="116" spans="1:26" s="24" customFormat="1" hidden="1" outlineLevel="1" x14ac:dyDescent="0.25">
      <c r="A116" s="44"/>
      <c r="B116" s="11" t="str">
        <f>CONCATENATE("          ", "5004", " - ", "PURCHASES @ COST-DIGITAL TEXT")</f>
        <v xml:space="preserve">          5004 - PURCHASES @ COST-DIGITAL TEXT</v>
      </c>
      <c r="C116" s="11"/>
      <c r="D116" s="2">
        <v>3282.02</v>
      </c>
      <c r="E116" s="2"/>
      <c r="F116" s="19">
        <f t="shared" si="25"/>
        <v>1.6169645247929354E-2</v>
      </c>
      <c r="G116" s="2"/>
      <c r="H116" s="2">
        <v>61264.060000000005</v>
      </c>
      <c r="I116" s="2"/>
      <c r="J116" s="19">
        <f t="shared" si="26"/>
        <v>5.7164882866037492E-2</v>
      </c>
      <c r="K116" s="2"/>
      <c r="L116" s="2">
        <f t="shared" si="27"/>
        <v>-57982.040000000008</v>
      </c>
      <c r="M116" s="2"/>
      <c r="N116" s="19">
        <f t="shared" si="28"/>
        <v>-0.94642829743898793</v>
      </c>
      <c r="O116" s="11"/>
      <c r="P116" s="2">
        <v>220008.58000000002</v>
      </c>
      <c r="Q116" s="2"/>
      <c r="R116" s="19">
        <f t="shared" si="29"/>
        <v>5.3884064008137014E-2</v>
      </c>
      <c r="S116" s="2"/>
      <c r="T116" s="2">
        <v>535157.82999999996</v>
      </c>
      <c r="U116" s="2"/>
      <c r="V116" s="19">
        <f t="shared" si="30"/>
        <v>5.0637993856557699E-2</v>
      </c>
      <c r="W116" s="2"/>
      <c r="X116" s="2">
        <f t="shared" si="31"/>
        <v>-315149.24999999994</v>
      </c>
      <c r="Y116" s="2"/>
      <c r="Z116" s="19">
        <f t="shared" si="32"/>
        <v>-0.58889029055222819</v>
      </c>
    </row>
    <row r="117" spans="1:26" s="24" customFormat="1" hidden="1" outlineLevel="1" x14ac:dyDescent="0.25">
      <c r="A117" s="44"/>
      <c r="B117" s="11" t="str">
        <f>CONCATENATE("          ", "5011", " - ", "PURCHASES @ COST-NO VALUE TEXT")</f>
        <v xml:space="preserve">          5011 - PURCHASES @ COST-NO VALUE TEXT</v>
      </c>
      <c r="C117" s="11"/>
      <c r="D117" s="2"/>
      <c r="E117" s="2"/>
      <c r="F117" s="19">
        <f t="shared" si="25"/>
        <v>0</v>
      </c>
      <c r="G117" s="2"/>
      <c r="H117" s="2">
        <v>258</v>
      </c>
      <c r="I117" s="2"/>
      <c r="J117" s="19">
        <f t="shared" si="26"/>
        <v>2.4073722471931622E-4</v>
      </c>
      <c r="K117" s="2"/>
      <c r="L117" s="2">
        <f t="shared" si="27"/>
        <v>-258</v>
      </c>
      <c r="M117" s="2"/>
      <c r="N117" s="19">
        <f t="shared" si="28"/>
        <v>-1</v>
      </c>
      <c r="O117" s="11"/>
      <c r="P117" s="2">
        <v>67.17</v>
      </c>
      <c r="Q117" s="2"/>
      <c r="R117" s="19">
        <f t="shared" si="29"/>
        <v>1.6451142857367485E-5</v>
      </c>
      <c r="S117" s="2"/>
      <c r="T117" s="2">
        <v>5733</v>
      </c>
      <c r="U117" s="2"/>
      <c r="V117" s="19">
        <f t="shared" si="30"/>
        <v>5.4247102911611196E-4</v>
      </c>
      <c r="W117" s="2"/>
      <c r="X117" s="2">
        <f t="shared" si="31"/>
        <v>-5665.83</v>
      </c>
      <c r="Y117" s="2"/>
      <c r="Z117" s="19">
        <f t="shared" si="32"/>
        <v>-0.98828362114076396</v>
      </c>
    </row>
    <row r="118" spans="1:26" s="24" customFormat="1" hidden="1" outlineLevel="1" x14ac:dyDescent="0.25">
      <c r="A118" s="44"/>
      <c r="B118" s="11" t="str">
        <f>CONCATENATE("          ", "5013", " - ", "PURCHASES @ COST-TRADE BOOKS")</f>
        <v xml:space="preserve">          5013 - PURCHASES @ COST-TRADE BOOKS</v>
      </c>
      <c r="C118" s="11"/>
      <c r="D118" s="2">
        <v>305.11</v>
      </c>
      <c r="E118" s="2"/>
      <c r="F118" s="19">
        <f t="shared" si="25"/>
        <v>1.5031963429825916E-3</v>
      </c>
      <c r="G118" s="2"/>
      <c r="H118" s="2">
        <v>2592.2600000000002</v>
      </c>
      <c r="I118" s="2"/>
      <c r="J118" s="19">
        <f t="shared" si="26"/>
        <v>2.4188119308174213E-3</v>
      </c>
      <c r="K118" s="2"/>
      <c r="L118" s="2">
        <f t="shared" si="27"/>
        <v>-2287.15</v>
      </c>
      <c r="M118" s="2"/>
      <c r="N118" s="19">
        <f t="shared" si="28"/>
        <v>-0.88229961500775378</v>
      </c>
      <c r="O118" s="11"/>
      <c r="P118" s="2">
        <v>5962.09</v>
      </c>
      <c r="Q118" s="2"/>
      <c r="R118" s="19">
        <f t="shared" si="29"/>
        <v>1.4602232293952971E-3</v>
      </c>
      <c r="S118" s="2"/>
      <c r="T118" s="2">
        <v>3050.72</v>
      </c>
      <c r="U118" s="2"/>
      <c r="V118" s="19">
        <f t="shared" si="30"/>
        <v>2.8866687911130386E-4</v>
      </c>
      <c r="W118" s="2"/>
      <c r="X118" s="2">
        <f t="shared" si="31"/>
        <v>2911.3700000000003</v>
      </c>
      <c r="Y118" s="2"/>
      <c r="Z118" s="19">
        <f t="shared" si="32"/>
        <v>0.95432225835212692</v>
      </c>
    </row>
    <row r="119" spans="1:26" s="24" customFormat="1" hidden="1" outlineLevel="1" x14ac:dyDescent="0.25">
      <c r="A119" s="44"/>
      <c r="B119" s="11" t="str">
        <f>CONCATENATE("          ", "5014", " - ", "PURCHASES @ COST-REMAINDERS")</f>
        <v xml:space="preserve">          5014 - PURCHASES @ COST-REMAINDERS</v>
      </c>
      <c r="C119" s="11"/>
      <c r="D119" s="2">
        <v>21.16</v>
      </c>
      <c r="E119" s="2"/>
      <c r="F119" s="19">
        <f t="shared" si="25"/>
        <v>1.0424972835210789E-4</v>
      </c>
      <c r="G119" s="2"/>
      <c r="H119" s="2">
        <v>17.78</v>
      </c>
      <c r="I119" s="2"/>
      <c r="J119" s="19">
        <f t="shared" si="26"/>
        <v>1.6590340525230398E-5</v>
      </c>
      <c r="K119" s="2"/>
      <c r="L119" s="2">
        <f t="shared" si="27"/>
        <v>3.379999999999999</v>
      </c>
      <c r="M119" s="2"/>
      <c r="N119" s="19">
        <f t="shared" si="28"/>
        <v>0.19010123734533177</v>
      </c>
      <c r="O119" s="11"/>
      <c r="P119" s="2">
        <v>111.57</v>
      </c>
      <c r="Q119" s="2"/>
      <c r="R119" s="19">
        <f t="shared" si="29"/>
        <v>2.7325502584434868E-5</v>
      </c>
      <c r="S119" s="2"/>
      <c r="T119" s="2">
        <v>601.16999999999996</v>
      </c>
      <c r="U119" s="2"/>
      <c r="V119" s="19">
        <f t="shared" si="30"/>
        <v>5.6884233136879993E-5</v>
      </c>
      <c r="W119" s="2"/>
      <c r="X119" s="2">
        <f t="shared" si="31"/>
        <v>-489.59999999999997</v>
      </c>
      <c r="Y119" s="2"/>
      <c r="Z119" s="19">
        <f t="shared" si="32"/>
        <v>-0.8144118968012376</v>
      </c>
    </row>
    <row r="120" spans="1:26" s="24" customFormat="1" hidden="1" outlineLevel="1" x14ac:dyDescent="0.25">
      <c r="A120" s="44"/>
      <c r="B120" s="11" t="str">
        <f>CONCATENATE("          ", "5017", " - ", "PURCHASES @ COST-DORM/HOUSEWAR")</f>
        <v xml:space="preserve">          5017 - PURCHASES @ COST-DORM/HOUSEWAR</v>
      </c>
      <c r="C120" s="11"/>
      <c r="D120" s="2"/>
      <c r="E120" s="2"/>
      <c r="F120" s="19">
        <f t="shared" si="25"/>
        <v>0</v>
      </c>
      <c r="G120" s="2"/>
      <c r="H120" s="2"/>
      <c r="I120" s="2"/>
      <c r="J120" s="19">
        <f t="shared" si="26"/>
        <v>0</v>
      </c>
      <c r="K120" s="2"/>
      <c r="L120" s="2">
        <f t="shared" si="27"/>
        <v>0</v>
      </c>
      <c r="M120" s="2"/>
      <c r="N120" s="19">
        <f t="shared" si="28"/>
        <v>0</v>
      </c>
      <c r="O120" s="11"/>
      <c r="P120" s="2"/>
      <c r="Q120" s="2"/>
      <c r="R120" s="19">
        <f t="shared" si="29"/>
        <v>0</v>
      </c>
      <c r="S120" s="2"/>
      <c r="T120" s="2">
        <v>0</v>
      </c>
      <c r="U120" s="2"/>
      <c r="V120" s="19">
        <f t="shared" si="30"/>
        <v>0</v>
      </c>
      <c r="W120" s="2"/>
      <c r="X120" s="2">
        <f t="shared" si="31"/>
        <v>0</v>
      </c>
      <c r="Y120" s="2"/>
      <c r="Z120" s="19">
        <f t="shared" si="32"/>
        <v>0</v>
      </c>
    </row>
    <row r="121" spans="1:26" s="24" customFormat="1" hidden="1" outlineLevel="1" x14ac:dyDescent="0.25">
      <c r="A121" s="44"/>
      <c r="B121" s="11" t="str">
        <f>CONCATENATE("          ", "5018", " - ", "PURCHASES @ COST-STUDY GUIDES")</f>
        <v xml:space="preserve">          5018 - PURCHASES @ COST-STUDY GUIDES</v>
      </c>
      <c r="C121" s="11"/>
      <c r="D121" s="2"/>
      <c r="E121" s="2"/>
      <c r="F121" s="19">
        <f t="shared" si="25"/>
        <v>0</v>
      </c>
      <c r="G121" s="2"/>
      <c r="H121" s="2">
        <v>237.28</v>
      </c>
      <c r="I121" s="2"/>
      <c r="J121" s="19">
        <f t="shared" si="26"/>
        <v>2.2140359954030757E-4</v>
      </c>
      <c r="K121" s="2"/>
      <c r="L121" s="2">
        <f t="shared" si="27"/>
        <v>-237.28</v>
      </c>
      <c r="M121" s="2"/>
      <c r="N121" s="19">
        <f t="shared" si="28"/>
        <v>-1</v>
      </c>
      <c r="O121" s="11"/>
      <c r="P121" s="2">
        <v>522.34</v>
      </c>
      <c r="Q121" s="2"/>
      <c r="R121" s="19">
        <f t="shared" si="29"/>
        <v>1.2793047432063917E-4</v>
      </c>
      <c r="S121" s="2"/>
      <c r="T121" s="2">
        <v>2268.4299999999998</v>
      </c>
      <c r="U121" s="2"/>
      <c r="V121" s="19">
        <f t="shared" si="30"/>
        <v>2.1464461129912119E-4</v>
      </c>
      <c r="W121" s="2"/>
      <c r="X121" s="2">
        <f t="shared" si="31"/>
        <v>-1746.0899999999997</v>
      </c>
      <c r="Y121" s="2"/>
      <c r="Z121" s="19">
        <f t="shared" si="32"/>
        <v>-0.76973501496629815</v>
      </c>
    </row>
    <row r="122" spans="1:26" s="24" customFormat="1" hidden="1" outlineLevel="1" x14ac:dyDescent="0.25">
      <c r="A122" s="44"/>
      <c r="B122" s="11" t="str">
        <f>CONCATENATE("          ", "5025", " - ", "PURCHASES @ COST-TEST FORMS")</f>
        <v xml:space="preserve">          5025 - PURCHASES @ COST-TEST FORMS</v>
      </c>
      <c r="C122" s="11"/>
      <c r="D122" s="2"/>
      <c r="E122" s="2"/>
      <c r="F122" s="19">
        <f t="shared" si="25"/>
        <v>0</v>
      </c>
      <c r="G122" s="2"/>
      <c r="H122" s="2">
        <v>3423</v>
      </c>
      <c r="I122" s="2"/>
      <c r="J122" s="19">
        <f t="shared" si="26"/>
        <v>3.1939671326132535E-3</v>
      </c>
      <c r="K122" s="2"/>
      <c r="L122" s="2">
        <f t="shared" si="27"/>
        <v>-3423</v>
      </c>
      <c r="M122" s="2"/>
      <c r="N122" s="19">
        <f t="shared" si="28"/>
        <v>-1</v>
      </c>
      <c r="O122" s="11"/>
      <c r="P122" s="2">
        <v>599.29</v>
      </c>
      <c r="Q122" s="2"/>
      <c r="R122" s="19">
        <f t="shared" si="29"/>
        <v>1.4677691533410391E-4</v>
      </c>
      <c r="S122" s="2"/>
      <c r="T122" s="2">
        <v>26401.390000000003</v>
      </c>
      <c r="U122" s="2"/>
      <c r="V122" s="19">
        <f t="shared" si="30"/>
        <v>2.4981666149303731E-3</v>
      </c>
      <c r="W122" s="2"/>
      <c r="X122" s="2">
        <f t="shared" si="31"/>
        <v>-25802.100000000002</v>
      </c>
      <c r="Y122" s="2"/>
      <c r="Z122" s="19">
        <f t="shared" si="32"/>
        <v>-0.97730081635853261</v>
      </c>
    </row>
    <row r="123" spans="1:26" s="24" customFormat="1" hidden="1" outlineLevel="1" x14ac:dyDescent="0.25">
      <c r="A123" s="44"/>
      <c r="B123" s="11" t="str">
        <f>CONCATENATE("          ", "5026", " - ", "PURCHASES @ COST-WRITING INSTR")</f>
        <v xml:space="preserve">          5026 - PURCHASES @ COST-WRITING INSTR</v>
      </c>
      <c r="C123" s="11"/>
      <c r="D123" s="2"/>
      <c r="E123" s="2"/>
      <c r="F123" s="19">
        <f t="shared" si="25"/>
        <v>0</v>
      </c>
      <c r="G123" s="2"/>
      <c r="H123" s="2">
        <v>2265.86</v>
      </c>
      <c r="I123" s="2"/>
      <c r="J123" s="19">
        <f t="shared" si="26"/>
        <v>2.1142513488469376E-3</v>
      </c>
      <c r="K123" s="2"/>
      <c r="L123" s="2">
        <f t="shared" si="27"/>
        <v>-2265.86</v>
      </c>
      <c r="M123" s="2"/>
      <c r="N123" s="19">
        <f t="shared" si="28"/>
        <v>-1</v>
      </c>
      <c r="O123" s="11"/>
      <c r="P123" s="2">
        <v>374.91</v>
      </c>
      <c r="Q123" s="2"/>
      <c r="R123" s="19">
        <f t="shared" si="29"/>
        <v>9.1822211830514273E-5</v>
      </c>
      <c r="S123" s="2"/>
      <c r="T123" s="2">
        <v>45762.009999999995</v>
      </c>
      <c r="U123" s="2"/>
      <c r="V123" s="19">
        <f t="shared" si="30"/>
        <v>4.3301176799444971E-3</v>
      </c>
      <c r="W123" s="2"/>
      <c r="X123" s="2">
        <f t="shared" si="31"/>
        <v>-45387.099999999991</v>
      </c>
      <c r="Y123" s="2"/>
      <c r="Z123" s="19">
        <f t="shared" si="32"/>
        <v>-0.99180739657195993</v>
      </c>
    </row>
    <row r="124" spans="1:26" s="24" customFormat="1" hidden="1" outlineLevel="1" x14ac:dyDescent="0.25">
      <c r="A124" s="44"/>
      <c r="B124" s="11" t="str">
        <f>CONCATENATE("          ", "5027", " - ", "PURCHASES @ COST-SCHOOL SUPPLI")</f>
        <v xml:space="preserve">          5027 - PURCHASES @ COST-SCHOOL SUPPLI</v>
      </c>
      <c r="C124" s="11"/>
      <c r="D124" s="2"/>
      <c r="E124" s="2"/>
      <c r="F124" s="19">
        <f t="shared" si="25"/>
        <v>0</v>
      </c>
      <c r="G124" s="2"/>
      <c r="H124" s="2">
        <v>-2462.8200000000002</v>
      </c>
      <c r="I124" s="2"/>
      <c r="J124" s="19">
        <f t="shared" si="26"/>
        <v>-2.2980327588497146E-3</v>
      </c>
      <c r="K124" s="2"/>
      <c r="L124" s="2">
        <f t="shared" si="27"/>
        <v>2462.8200000000002</v>
      </c>
      <c r="M124" s="2"/>
      <c r="N124" s="19">
        <f t="shared" si="28"/>
        <v>-1</v>
      </c>
      <c r="O124" s="11"/>
      <c r="P124" s="2">
        <v>19071.350000000002</v>
      </c>
      <c r="Q124" s="2"/>
      <c r="R124" s="19">
        <f t="shared" si="29"/>
        <v>4.6709171256938426E-3</v>
      </c>
      <c r="S124" s="2"/>
      <c r="T124" s="2">
        <v>118351.2</v>
      </c>
      <c r="U124" s="2"/>
      <c r="V124" s="19">
        <f t="shared" si="30"/>
        <v>1.1198691306667851E-2</v>
      </c>
      <c r="W124" s="2"/>
      <c r="X124" s="2">
        <f t="shared" si="31"/>
        <v>-99279.849999999991</v>
      </c>
      <c r="Y124" s="2"/>
      <c r="Z124" s="19">
        <f t="shared" si="32"/>
        <v>-0.83885799214541124</v>
      </c>
    </row>
    <row r="125" spans="1:26" s="24" customFormat="1" hidden="1" outlineLevel="1" x14ac:dyDescent="0.25">
      <c r="A125" s="44"/>
      <c r="B125" s="11" t="str">
        <f>CONCATENATE("          ", "5028", " - ", "PURCHASES @ COST-ART/TECH")</f>
        <v xml:space="preserve">          5028 - PURCHASES @ COST-ART/TECH</v>
      </c>
      <c r="C125" s="11"/>
      <c r="D125" s="2">
        <v>833.13</v>
      </c>
      <c r="E125" s="2"/>
      <c r="F125" s="19">
        <f t="shared" si="25"/>
        <v>4.1046113507557484E-3</v>
      </c>
      <c r="G125" s="2"/>
      <c r="H125" s="2">
        <v>11525.28</v>
      </c>
      <c r="I125" s="2"/>
      <c r="J125" s="19">
        <f t="shared" si="26"/>
        <v>1.0754123726019539E-2</v>
      </c>
      <c r="K125" s="2"/>
      <c r="L125" s="2">
        <f t="shared" si="27"/>
        <v>-10692.150000000001</v>
      </c>
      <c r="M125" s="2"/>
      <c r="N125" s="19">
        <f t="shared" si="28"/>
        <v>-0.92771281912456793</v>
      </c>
      <c r="O125" s="11"/>
      <c r="P125" s="2">
        <v>42191.58</v>
      </c>
      <c r="Q125" s="2"/>
      <c r="R125" s="19">
        <f t="shared" si="29"/>
        <v>1.0333477891291482E-2</v>
      </c>
      <c r="S125" s="2"/>
      <c r="T125" s="2">
        <v>146652.78</v>
      </c>
      <c r="U125" s="2"/>
      <c r="V125" s="19">
        <f t="shared" si="30"/>
        <v>1.3876658728299103E-2</v>
      </c>
      <c r="W125" s="2"/>
      <c r="X125" s="2">
        <f t="shared" si="31"/>
        <v>-104461.2</v>
      </c>
      <c r="Y125" s="2"/>
      <c r="Z125" s="19">
        <f t="shared" si="32"/>
        <v>-0.71230289667880831</v>
      </c>
    </row>
    <row r="126" spans="1:26" s="24" customFormat="1" hidden="1" outlineLevel="1" x14ac:dyDescent="0.25">
      <c r="A126" s="44"/>
      <c r="B126" s="11" t="str">
        <f>CONCATENATE("          ", "5031", " - ", "PURCHASES @ COST-FOOD")</f>
        <v xml:space="preserve">          5031 - PURCHASES @ COST-FOOD</v>
      </c>
      <c r="C126" s="11"/>
      <c r="D126" s="2">
        <v>271.45999999999998</v>
      </c>
      <c r="E126" s="2"/>
      <c r="F126" s="19">
        <f t="shared" si="25"/>
        <v>1.337411685182571E-3</v>
      </c>
      <c r="G126" s="2"/>
      <c r="H126" s="2">
        <v>5225.67</v>
      </c>
      <c r="I126" s="2"/>
      <c r="J126" s="19">
        <f t="shared" si="26"/>
        <v>4.8760205158875549E-3</v>
      </c>
      <c r="K126" s="2"/>
      <c r="L126" s="2">
        <f t="shared" si="27"/>
        <v>-4954.21</v>
      </c>
      <c r="M126" s="2"/>
      <c r="N126" s="19">
        <f t="shared" si="28"/>
        <v>-0.94805259421279953</v>
      </c>
      <c r="O126" s="11"/>
      <c r="P126" s="2">
        <v>7785.72</v>
      </c>
      <c r="Q126" s="2"/>
      <c r="R126" s="19">
        <f t="shared" si="29"/>
        <v>1.9068630633834029E-3</v>
      </c>
      <c r="S126" s="2"/>
      <c r="T126" s="2">
        <v>30126.060000000005</v>
      </c>
      <c r="U126" s="2"/>
      <c r="V126" s="19">
        <f t="shared" si="30"/>
        <v>2.8506043557323807E-3</v>
      </c>
      <c r="W126" s="2"/>
      <c r="X126" s="2">
        <f t="shared" si="31"/>
        <v>-22340.340000000004</v>
      </c>
      <c r="Y126" s="2"/>
      <c r="Z126" s="19">
        <f t="shared" si="32"/>
        <v>-0.74156195665812252</v>
      </c>
    </row>
    <row r="127" spans="1:26" s="24" customFormat="1" hidden="1" outlineLevel="1" x14ac:dyDescent="0.25">
      <c r="A127" s="44"/>
      <c r="B127" s="11" t="str">
        <f>CONCATENATE("          ", "5032", " - ", "PURCHASES @ COST-JUICE")</f>
        <v xml:space="preserve">          5032 - PURCHASES @ COST-JUICE</v>
      </c>
      <c r="C127" s="11"/>
      <c r="D127" s="2"/>
      <c r="E127" s="2"/>
      <c r="F127" s="19">
        <f t="shared" si="25"/>
        <v>0</v>
      </c>
      <c r="G127" s="2"/>
      <c r="H127" s="2">
        <v>1720.97</v>
      </c>
      <c r="I127" s="2"/>
      <c r="J127" s="19">
        <f t="shared" si="26"/>
        <v>1.6058199287798513E-3</v>
      </c>
      <c r="K127" s="2"/>
      <c r="L127" s="2">
        <f t="shared" si="27"/>
        <v>-1720.97</v>
      </c>
      <c r="M127" s="2"/>
      <c r="N127" s="19">
        <f t="shared" si="28"/>
        <v>-1</v>
      </c>
      <c r="O127" s="11"/>
      <c r="P127" s="2"/>
      <c r="Q127" s="2"/>
      <c r="R127" s="19">
        <f t="shared" si="29"/>
        <v>0</v>
      </c>
      <c r="S127" s="2"/>
      <c r="T127" s="2">
        <v>7113.48</v>
      </c>
      <c r="U127" s="2"/>
      <c r="V127" s="19">
        <f t="shared" si="30"/>
        <v>6.7309555489218208E-4</v>
      </c>
      <c r="W127" s="2"/>
      <c r="X127" s="2">
        <f t="shared" si="31"/>
        <v>-7113.48</v>
      </c>
      <c r="Y127" s="2"/>
      <c r="Z127" s="19">
        <f t="shared" si="32"/>
        <v>-1</v>
      </c>
    </row>
    <row r="128" spans="1:26" s="24" customFormat="1" hidden="1" outlineLevel="1" x14ac:dyDescent="0.25">
      <c r="A128" s="44"/>
      <c r="B128" s="11" t="str">
        <f>CONCATENATE("          ", "5033", " - ", "PURCHASES @ COST-CANDY")</f>
        <v xml:space="preserve">          5033 - PURCHASES @ COST-CANDY</v>
      </c>
      <c r="C128" s="11"/>
      <c r="D128" s="2"/>
      <c r="E128" s="2"/>
      <c r="F128" s="19">
        <f t="shared" si="25"/>
        <v>0</v>
      </c>
      <c r="G128" s="2"/>
      <c r="H128" s="2">
        <v>1821.44</v>
      </c>
      <c r="I128" s="2"/>
      <c r="J128" s="19">
        <f t="shared" si="26"/>
        <v>1.6995674829176409E-3</v>
      </c>
      <c r="K128" s="2"/>
      <c r="L128" s="2">
        <f t="shared" si="27"/>
        <v>-1821.44</v>
      </c>
      <c r="M128" s="2"/>
      <c r="N128" s="19">
        <f t="shared" si="28"/>
        <v>-1</v>
      </c>
      <c r="O128" s="11"/>
      <c r="P128" s="2"/>
      <c r="Q128" s="2"/>
      <c r="R128" s="19">
        <f t="shared" si="29"/>
        <v>0</v>
      </c>
      <c r="S128" s="2"/>
      <c r="T128" s="2">
        <v>8825.06</v>
      </c>
      <c r="U128" s="2"/>
      <c r="V128" s="19">
        <f t="shared" si="30"/>
        <v>8.3504960408362723E-4</v>
      </c>
      <c r="W128" s="2"/>
      <c r="X128" s="2">
        <f t="shared" si="31"/>
        <v>-8825.06</v>
      </c>
      <c r="Y128" s="2"/>
      <c r="Z128" s="19">
        <f t="shared" si="32"/>
        <v>-1</v>
      </c>
    </row>
    <row r="129" spans="1:26" s="24" customFormat="1" hidden="1" outlineLevel="1" x14ac:dyDescent="0.25">
      <c r="A129" s="44"/>
      <c r="B129" s="11" t="str">
        <f>CONCATENATE("          ", "5034", " - ", "PURCHASES @ COST-SODA")</f>
        <v xml:space="preserve">          5034 - PURCHASES @ COST-SODA</v>
      </c>
      <c r="C129" s="11"/>
      <c r="D129" s="2"/>
      <c r="E129" s="2"/>
      <c r="F129" s="19">
        <f t="shared" si="25"/>
        <v>0</v>
      </c>
      <c r="G129" s="2"/>
      <c r="H129" s="2">
        <v>1637.93</v>
      </c>
      <c r="I129" s="2"/>
      <c r="J129" s="19">
        <f t="shared" si="26"/>
        <v>1.52833613366089E-3</v>
      </c>
      <c r="K129" s="2"/>
      <c r="L129" s="2">
        <f t="shared" si="27"/>
        <v>-1637.93</v>
      </c>
      <c r="M129" s="2"/>
      <c r="N129" s="19">
        <f t="shared" si="28"/>
        <v>-1</v>
      </c>
      <c r="O129" s="11"/>
      <c r="P129" s="2"/>
      <c r="Q129" s="2"/>
      <c r="R129" s="19">
        <f t="shared" si="29"/>
        <v>0</v>
      </c>
      <c r="S129" s="2"/>
      <c r="T129" s="2">
        <v>3762.09</v>
      </c>
      <c r="U129" s="2"/>
      <c r="V129" s="19">
        <f t="shared" si="30"/>
        <v>3.559785162964301E-4</v>
      </c>
      <c r="W129" s="2"/>
      <c r="X129" s="2">
        <f t="shared" si="31"/>
        <v>-3762.09</v>
      </c>
      <c r="Y129" s="2"/>
      <c r="Z129" s="19">
        <f t="shared" si="32"/>
        <v>-1</v>
      </c>
    </row>
    <row r="130" spans="1:26" s="24" customFormat="1" hidden="1" outlineLevel="1" x14ac:dyDescent="0.25">
      <c r="A130" s="44"/>
      <c r="B130" s="11" t="str">
        <f>CONCATENATE("          ", "5035", " - ", "PURCHASES @ COST-HEALTH &amp; BEAU")</f>
        <v xml:space="preserve">          5035 - PURCHASES @ COST-HEALTH &amp; BEAU</v>
      </c>
      <c r="C130" s="11"/>
      <c r="D130" s="2"/>
      <c r="E130" s="2"/>
      <c r="F130" s="19">
        <f t="shared" si="25"/>
        <v>0</v>
      </c>
      <c r="G130" s="2"/>
      <c r="H130" s="2">
        <v>198.47</v>
      </c>
      <c r="I130" s="2"/>
      <c r="J130" s="19">
        <f t="shared" si="26"/>
        <v>1.8519037593039801E-4</v>
      </c>
      <c r="K130" s="2"/>
      <c r="L130" s="2">
        <f t="shared" si="27"/>
        <v>-198.47</v>
      </c>
      <c r="M130" s="2"/>
      <c r="N130" s="19">
        <f t="shared" si="28"/>
        <v>-1</v>
      </c>
      <c r="O130" s="11"/>
      <c r="P130" s="2"/>
      <c r="Q130" s="2"/>
      <c r="R130" s="19">
        <f t="shared" si="29"/>
        <v>0</v>
      </c>
      <c r="S130" s="2"/>
      <c r="T130" s="2">
        <v>1055.67</v>
      </c>
      <c r="U130" s="2"/>
      <c r="V130" s="19">
        <f t="shared" si="30"/>
        <v>9.9890178145300182E-5</v>
      </c>
      <c r="W130" s="2"/>
      <c r="X130" s="2">
        <f t="shared" si="31"/>
        <v>-1055.67</v>
      </c>
      <c r="Y130" s="2"/>
      <c r="Z130" s="19">
        <f t="shared" si="32"/>
        <v>-1</v>
      </c>
    </row>
    <row r="131" spans="1:26" s="24" customFormat="1" hidden="1" outlineLevel="1" x14ac:dyDescent="0.25">
      <c r="A131" s="44"/>
      <c r="B131" s="11" t="str">
        <f>CONCATENATE("          ", "5037", " - ", "PURCHASES @ COST-WATER")</f>
        <v xml:space="preserve">          5037 - PURCHASES @ COST-WATER</v>
      </c>
      <c r="C131" s="11"/>
      <c r="D131" s="2"/>
      <c r="E131" s="2"/>
      <c r="F131" s="19">
        <f t="shared" si="25"/>
        <v>0</v>
      </c>
      <c r="G131" s="2"/>
      <c r="H131" s="2">
        <v>1540.46</v>
      </c>
      <c r="I131" s="2"/>
      <c r="J131" s="19">
        <f t="shared" si="26"/>
        <v>1.4373878495779762E-3</v>
      </c>
      <c r="K131" s="2"/>
      <c r="L131" s="2">
        <f t="shared" si="27"/>
        <v>-1540.46</v>
      </c>
      <c r="M131" s="2"/>
      <c r="N131" s="19">
        <f t="shared" si="28"/>
        <v>-1</v>
      </c>
      <c r="O131" s="11"/>
      <c r="P131" s="2"/>
      <c r="Q131" s="2"/>
      <c r="R131" s="19">
        <f t="shared" si="29"/>
        <v>0</v>
      </c>
      <c r="S131" s="2"/>
      <c r="T131" s="2">
        <v>5299.73</v>
      </c>
      <c r="U131" s="2"/>
      <c r="V131" s="19">
        <f t="shared" si="30"/>
        <v>5.0147392065891011E-4</v>
      </c>
      <c r="W131" s="2"/>
      <c r="X131" s="2">
        <f t="shared" si="31"/>
        <v>-5299.73</v>
      </c>
      <c r="Y131" s="2"/>
      <c r="Z131" s="19">
        <f t="shared" si="32"/>
        <v>-1</v>
      </c>
    </row>
    <row r="132" spans="1:26" s="24" customFormat="1" hidden="1" outlineLevel="1" x14ac:dyDescent="0.25">
      <c r="A132" s="44"/>
      <c r="B132" s="11" t="str">
        <f>CONCATENATE("          ", "5040", " - ", "PURCHASES @ COST-LOGO CLOTHING")</f>
        <v xml:space="preserve">          5040 - PURCHASES @ COST-LOGO CLOTHING</v>
      </c>
      <c r="C132" s="11"/>
      <c r="D132" s="2">
        <v>26599.9</v>
      </c>
      <c r="E132" s="2"/>
      <c r="F132" s="19">
        <f t="shared" si="25"/>
        <v>0.13105067812822468</v>
      </c>
      <c r="G132" s="2"/>
      <c r="H132" s="2">
        <v>90806.55</v>
      </c>
      <c r="I132" s="2"/>
      <c r="J132" s="19">
        <f t="shared" si="26"/>
        <v>8.4730685400526445E-2</v>
      </c>
      <c r="K132" s="2"/>
      <c r="L132" s="2">
        <f t="shared" si="27"/>
        <v>-64206.65</v>
      </c>
      <c r="M132" s="2"/>
      <c r="N132" s="19">
        <f t="shared" si="28"/>
        <v>-0.70707069038521997</v>
      </c>
      <c r="O132" s="11"/>
      <c r="P132" s="2">
        <v>193971.09</v>
      </c>
      <c r="Q132" s="2"/>
      <c r="R132" s="19">
        <f t="shared" si="29"/>
        <v>4.7507013723228901E-2</v>
      </c>
      <c r="S132" s="2"/>
      <c r="T132" s="2">
        <v>901545.55999999994</v>
      </c>
      <c r="U132" s="2"/>
      <c r="V132" s="19">
        <f t="shared" si="30"/>
        <v>8.530653196027585E-2</v>
      </c>
      <c r="W132" s="2"/>
      <c r="X132" s="2">
        <f t="shared" si="31"/>
        <v>-707574.47</v>
      </c>
      <c r="Y132" s="2"/>
      <c r="Z132" s="19">
        <f t="shared" si="32"/>
        <v>-0.7848460481575662</v>
      </c>
    </row>
    <row r="133" spans="1:26" s="24" customFormat="1" hidden="1" outlineLevel="1" x14ac:dyDescent="0.25">
      <c r="A133" s="44"/>
      <c r="B133" s="11" t="str">
        <f>CONCATENATE("          ", "5041", " - ", "PURCHASES @ COST-LOGO GIFTS")</f>
        <v xml:space="preserve">          5041 - PURCHASES @ COST-LOGO GIFTS</v>
      </c>
      <c r="C133" s="11"/>
      <c r="D133" s="2">
        <v>26592.809999999998</v>
      </c>
      <c r="E133" s="2"/>
      <c r="F133" s="19">
        <f t="shared" si="25"/>
        <v>0.13101574757179668</v>
      </c>
      <c r="G133" s="2"/>
      <c r="H133" s="2">
        <v>10366.19</v>
      </c>
      <c r="I133" s="2"/>
      <c r="J133" s="19">
        <f t="shared" si="26"/>
        <v>9.6725884167175522E-3</v>
      </c>
      <c r="K133" s="2"/>
      <c r="L133" s="2">
        <f t="shared" si="27"/>
        <v>16226.619999999997</v>
      </c>
      <c r="M133" s="2"/>
      <c r="N133" s="19">
        <f t="shared" si="28"/>
        <v>1.5653407857660333</v>
      </c>
      <c r="O133" s="11"/>
      <c r="P133" s="2">
        <v>67563.81</v>
      </c>
      <c r="Q133" s="2"/>
      <c r="R133" s="19">
        <f t="shared" si="29"/>
        <v>1.6547594019622358E-2</v>
      </c>
      <c r="S133" s="2"/>
      <c r="T133" s="2">
        <v>134382.06</v>
      </c>
      <c r="U133" s="2"/>
      <c r="V133" s="19">
        <f t="shared" si="30"/>
        <v>1.2715572018653951E-2</v>
      </c>
      <c r="W133" s="2"/>
      <c r="X133" s="2">
        <f t="shared" si="31"/>
        <v>-66818.25</v>
      </c>
      <c r="Y133" s="2"/>
      <c r="Z133" s="19">
        <f t="shared" si="32"/>
        <v>-0.49722596900211236</v>
      </c>
    </row>
    <row r="134" spans="1:26" s="24" customFormat="1" hidden="1" outlineLevel="1" x14ac:dyDescent="0.25">
      <c r="A134" s="44"/>
      <c r="B134" s="11" t="str">
        <f>CONCATENATE("          ", "5042", " - ", "PURCHASES @ COST-EVERYDAY GIFT")</f>
        <v xml:space="preserve">          5042 - PURCHASES @ COST-EVERYDAY GIFT</v>
      </c>
      <c r="C134" s="11"/>
      <c r="D134" s="2">
        <v>1196.2</v>
      </c>
      <c r="E134" s="2"/>
      <c r="F134" s="19">
        <f t="shared" si="25"/>
        <v>5.893361297485418E-3</v>
      </c>
      <c r="G134" s="2"/>
      <c r="H134" s="2">
        <v>8647</v>
      </c>
      <c r="I134" s="2"/>
      <c r="J134" s="19">
        <f t="shared" si="26"/>
        <v>8.06842938817026E-3</v>
      </c>
      <c r="K134" s="2"/>
      <c r="L134" s="2">
        <f t="shared" si="27"/>
        <v>-7450.8</v>
      </c>
      <c r="M134" s="2"/>
      <c r="N134" s="19">
        <f t="shared" si="28"/>
        <v>-0.86166300451023481</v>
      </c>
      <c r="O134" s="11"/>
      <c r="P134" s="2">
        <v>19018.18</v>
      </c>
      <c r="Q134" s="2"/>
      <c r="R134" s="19">
        <f t="shared" si="29"/>
        <v>4.6578948350026669E-3</v>
      </c>
      <c r="S134" s="2"/>
      <c r="T134" s="2">
        <v>100007.97</v>
      </c>
      <c r="U134" s="2"/>
      <c r="V134" s="19">
        <f t="shared" si="30"/>
        <v>9.4630082689191094E-3</v>
      </c>
      <c r="W134" s="2"/>
      <c r="X134" s="2">
        <f t="shared" si="31"/>
        <v>-80989.790000000008</v>
      </c>
      <c r="Y134" s="2"/>
      <c r="Z134" s="19">
        <f t="shared" si="32"/>
        <v>-0.80983335628150444</v>
      </c>
    </row>
    <row r="135" spans="1:26" s="24" customFormat="1" hidden="1" outlineLevel="1" x14ac:dyDescent="0.25">
      <c r="A135" s="44"/>
      <c r="B135" s="11" t="str">
        <f>CONCATENATE("          ", "5043", " - ", "PURCHASES @ COST-CARDS")</f>
        <v xml:space="preserve">          5043 - PURCHASES @ COST-CARDS</v>
      </c>
      <c r="C135" s="11"/>
      <c r="D135" s="2"/>
      <c r="E135" s="2"/>
      <c r="F135" s="19">
        <f t="shared" si="25"/>
        <v>0</v>
      </c>
      <c r="G135" s="2"/>
      <c r="H135" s="2">
        <v>18340.75</v>
      </c>
      <c r="I135" s="2"/>
      <c r="J135" s="19">
        <f t="shared" si="26"/>
        <v>1.7113570752987594E-2</v>
      </c>
      <c r="K135" s="2"/>
      <c r="L135" s="2">
        <f t="shared" si="27"/>
        <v>-18340.75</v>
      </c>
      <c r="M135" s="2"/>
      <c r="N135" s="19">
        <f t="shared" si="28"/>
        <v>-1</v>
      </c>
      <c r="O135" s="11"/>
      <c r="P135" s="2">
        <v>55364.33</v>
      </c>
      <c r="Q135" s="2"/>
      <c r="R135" s="19">
        <f t="shared" si="29"/>
        <v>1.3559721632163711E-2</v>
      </c>
      <c r="S135" s="2"/>
      <c r="T135" s="2">
        <v>29035.16</v>
      </c>
      <c r="U135" s="2"/>
      <c r="V135" s="19">
        <f t="shared" si="30"/>
        <v>2.7473806254580445E-3</v>
      </c>
      <c r="W135" s="2"/>
      <c r="X135" s="2">
        <f t="shared" si="31"/>
        <v>26329.170000000002</v>
      </c>
      <c r="Y135" s="2"/>
      <c r="Z135" s="19">
        <f t="shared" si="32"/>
        <v>0.90680299333635506</v>
      </c>
    </row>
    <row r="136" spans="1:26" s="24" customFormat="1" hidden="1" outlineLevel="1" x14ac:dyDescent="0.25">
      <c r="A136" s="44"/>
      <c r="B136" s="11" t="str">
        <f>CONCATENATE("          ", "5044", " - ", "PURCHASES @ COST-ACCESSORIES")</f>
        <v xml:space="preserve">          5044 - PURCHASES @ COST-ACCESSORIES</v>
      </c>
      <c r="C136" s="11"/>
      <c r="D136" s="2"/>
      <c r="E136" s="2"/>
      <c r="F136" s="19">
        <f t="shared" si="25"/>
        <v>0</v>
      </c>
      <c r="G136" s="2"/>
      <c r="H136" s="2">
        <v>12532.23</v>
      </c>
      <c r="I136" s="2"/>
      <c r="J136" s="19">
        <f t="shared" si="26"/>
        <v>1.169369871993859E-2</v>
      </c>
      <c r="K136" s="2"/>
      <c r="L136" s="2">
        <f t="shared" si="27"/>
        <v>-12532.23</v>
      </c>
      <c r="M136" s="2"/>
      <c r="N136" s="19">
        <f t="shared" si="28"/>
        <v>-1</v>
      </c>
      <c r="O136" s="11"/>
      <c r="P136" s="2">
        <v>1064.83</v>
      </c>
      <c r="Q136" s="2"/>
      <c r="R136" s="19">
        <f t="shared" si="29"/>
        <v>2.6079604658047666E-4</v>
      </c>
      <c r="S136" s="2"/>
      <c r="T136" s="2">
        <v>33399.440000000002</v>
      </c>
      <c r="U136" s="2"/>
      <c r="V136" s="19">
        <f t="shared" si="30"/>
        <v>3.1603398898834528E-3</v>
      </c>
      <c r="W136" s="2"/>
      <c r="X136" s="2">
        <f t="shared" si="31"/>
        <v>-32334.61</v>
      </c>
      <c r="Y136" s="2"/>
      <c r="Z136" s="19">
        <f t="shared" si="32"/>
        <v>-0.968118327732441</v>
      </c>
    </row>
    <row r="137" spans="1:26" s="24" customFormat="1" hidden="1" outlineLevel="1" x14ac:dyDescent="0.25">
      <c r="A137" s="44"/>
      <c r="B137" s="11" t="str">
        <f>CONCATENATE("          ", "5045", " - ", "PURCHASES @ COST-SPECIAL ORDER")</f>
        <v xml:space="preserve">          5045 - PURCHASES @ COST-SPECIAL ORDER</v>
      </c>
      <c r="C137" s="11"/>
      <c r="D137" s="2">
        <v>1909.13</v>
      </c>
      <c r="E137" s="2"/>
      <c r="F137" s="19">
        <f t="shared" si="25"/>
        <v>9.4057790117608574E-3</v>
      </c>
      <c r="G137" s="2"/>
      <c r="H137" s="2">
        <v>2948.55</v>
      </c>
      <c r="I137" s="2"/>
      <c r="J137" s="19">
        <f t="shared" si="26"/>
        <v>2.7512625734346504E-3</v>
      </c>
      <c r="K137" s="2"/>
      <c r="L137" s="2">
        <f t="shared" si="27"/>
        <v>-1039.42</v>
      </c>
      <c r="M137" s="2"/>
      <c r="N137" s="19">
        <f t="shared" si="28"/>
        <v>-0.35251903477980701</v>
      </c>
      <c r="O137" s="11"/>
      <c r="P137" s="2">
        <v>95373.51</v>
      </c>
      <c r="Q137" s="2"/>
      <c r="R137" s="19">
        <f t="shared" si="29"/>
        <v>2.3358690454348165E-2</v>
      </c>
      <c r="S137" s="2"/>
      <c r="T137" s="2">
        <v>50964.780000000006</v>
      </c>
      <c r="U137" s="2"/>
      <c r="V137" s="19">
        <f t="shared" si="30"/>
        <v>4.8224169990016127E-3</v>
      </c>
      <c r="W137" s="2"/>
      <c r="X137" s="2">
        <f t="shared" si="31"/>
        <v>44408.729999999989</v>
      </c>
      <c r="Y137" s="2"/>
      <c r="Z137" s="19">
        <f t="shared" si="32"/>
        <v>0.87136116353293358</v>
      </c>
    </row>
    <row r="138" spans="1:26" s="24" customFormat="1" hidden="1" outlineLevel="1" x14ac:dyDescent="0.25">
      <c r="A138" s="44"/>
      <c r="B138" s="11" t="str">
        <f>CONCATENATE("          ", "5053", " - ", "PURCHASES @ COST-FOOD")</f>
        <v xml:space="preserve">          5053 - PURCHASES @ COST-FOOD</v>
      </c>
      <c r="C138" s="11"/>
      <c r="D138" s="2"/>
      <c r="E138" s="2"/>
      <c r="F138" s="19">
        <f t="shared" si="25"/>
        <v>0</v>
      </c>
      <c r="G138" s="2"/>
      <c r="H138" s="2">
        <v>185803.39</v>
      </c>
      <c r="I138" s="2"/>
      <c r="J138" s="19">
        <f t="shared" si="26"/>
        <v>0.17337128857380138</v>
      </c>
      <c r="K138" s="2"/>
      <c r="L138" s="2">
        <f t="shared" si="27"/>
        <v>-185803.39</v>
      </c>
      <c r="M138" s="2"/>
      <c r="N138" s="19">
        <f t="shared" si="28"/>
        <v>-1</v>
      </c>
      <c r="O138" s="11"/>
      <c r="P138" s="2">
        <v>-2822.95</v>
      </c>
      <c r="Q138" s="2"/>
      <c r="R138" s="19">
        <f t="shared" si="29"/>
        <v>-6.9139130161092067E-4</v>
      </c>
      <c r="S138" s="2"/>
      <c r="T138" s="2">
        <v>1085529.97</v>
      </c>
      <c r="U138" s="2"/>
      <c r="V138" s="19">
        <f t="shared" si="30"/>
        <v>0.10271560438902531</v>
      </c>
      <c r="W138" s="2"/>
      <c r="X138" s="2">
        <f t="shared" si="31"/>
        <v>-1088352.92</v>
      </c>
      <c r="Y138" s="2"/>
      <c r="Z138" s="19">
        <f t="shared" si="32"/>
        <v>-1.0026005270034137</v>
      </c>
    </row>
    <row r="139" spans="1:26" s="24" customFormat="1" hidden="1" outlineLevel="1" x14ac:dyDescent="0.25">
      <c r="A139" s="44"/>
      <c r="B139" s="11" t="str">
        <f>CONCATENATE("          ", "5059", " - ", "PURCHASES @ COST-FOOD")</f>
        <v xml:space="preserve">          5059 - PURCHASES @ COST-FOOD</v>
      </c>
      <c r="C139" s="11"/>
      <c r="D139" s="2">
        <v>19149</v>
      </c>
      <c r="E139" s="2"/>
      <c r="F139" s="19">
        <f t="shared" si="25"/>
        <v>9.4342062770062088E-2</v>
      </c>
      <c r="G139" s="2"/>
      <c r="H139" s="2">
        <v>4047.59</v>
      </c>
      <c r="I139" s="2"/>
      <c r="J139" s="19">
        <f t="shared" si="26"/>
        <v>3.7767658271382061E-3</v>
      </c>
      <c r="K139" s="2"/>
      <c r="L139" s="2">
        <f t="shared" si="27"/>
        <v>15101.41</v>
      </c>
      <c r="M139" s="2"/>
      <c r="N139" s="19">
        <f t="shared" si="28"/>
        <v>3.730963363384137</v>
      </c>
      <c r="O139" s="11"/>
      <c r="P139" s="2">
        <v>30846.91</v>
      </c>
      <c r="Q139" s="2"/>
      <c r="R139" s="19">
        <f t="shared" si="29"/>
        <v>7.5549638695601848E-3</v>
      </c>
      <c r="S139" s="2"/>
      <c r="T139" s="2">
        <v>-33457.93</v>
      </c>
      <c r="U139" s="2"/>
      <c r="V139" s="19">
        <f t="shared" si="30"/>
        <v>-3.1658743623224901E-3</v>
      </c>
      <c r="W139" s="2"/>
      <c r="X139" s="2">
        <f t="shared" si="31"/>
        <v>64304.84</v>
      </c>
      <c r="Y139" s="2"/>
      <c r="Z139" s="19">
        <f t="shared" si="32"/>
        <v>-1.9219611015983356</v>
      </c>
    </row>
    <row r="140" spans="1:26" s="24" customFormat="1" hidden="1" outlineLevel="1" x14ac:dyDescent="0.25">
      <c r="A140" s="44"/>
      <c r="B140" s="11" t="str">
        <f>CONCATENATE("          ", "5081", " - ", "PURCHASES @ COST-ELECTRONICS")</f>
        <v xml:space="preserve">          5081 - PURCHASES @ COST-ELECTRONICS</v>
      </c>
      <c r="C140" s="11"/>
      <c r="D140" s="2"/>
      <c r="E140" s="2"/>
      <c r="F140" s="19">
        <f t="shared" si="25"/>
        <v>0</v>
      </c>
      <c r="G140" s="2"/>
      <c r="H140" s="2"/>
      <c r="I140" s="2"/>
      <c r="J140" s="19">
        <f t="shared" si="26"/>
        <v>0</v>
      </c>
      <c r="K140" s="2"/>
      <c r="L140" s="2">
        <f t="shared" si="27"/>
        <v>0</v>
      </c>
      <c r="M140" s="2"/>
      <c r="N140" s="19">
        <f t="shared" si="28"/>
        <v>0</v>
      </c>
      <c r="O140" s="11"/>
      <c r="P140" s="2"/>
      <c r="Q140" s="2"/>
      <c r="R140" s="19">
        <f t="shared" si="29"/>
        <v>0</v>
      </c>
      <c r="S140" s="2"/>
      <c r="T140" s="2">
        <v>1891.21</v>
      </c>
      <c r="U140" s="2"/>
      <c r="V140" s="19">
        <f t="shared" si="30"/>
        <v>1.7895109628025154E-4</v>
      </c>
      <c r="W140" s="2"/>
      <c r="X140" s="2">
        <f t="shared" si="31"/>
        <v>-1891.21</v>
      </c>
      <c r="Y140" s="2"/>
      <c r="Z140" s="19">
        <f t="shared" si="32"/>
        <v>-1</v>
      </c>
    </row>
    <row r="141" spans="1:26" s="24" customFormat="1" hidden="1" outlineLevel="1" x14ac:dyDescent="0.25">
      <c r="A141" s="44"/>
      <c r="B141" s="11" t="str">
        <f>CONCATENATE("          ", "5082", " - ", "PURCHASES @ COST-COMPUTER HARD")</f>
        <v xml:space="preserve">          5082 - PURCHASES @ COST-COMPUTER HARD</v>
      </c>
      <c r="C141" s="11"/>
      <c r="D141" s="2"/>
      <c r="E141" s="2"/>
      <c r="F141" s="19">
        <f t="shared" si="25"/>
        <v>0</v>
      </c>
      <c r="G141" s="2"/>
      <c r="H141" s="2"/>
      <c r="I141" s="2"/>
      <c r="J141" s="19">
        <f t="shared" si="26"/>
        <v>0</v>
      </c>
      <c r="K141" s="2"/>
      <c r="L141" s="2">
        <f t="shared" si="27"/>
        <v>0</v>
      </c>
      <c r="M141" s="2"/>
      <c r="N141" s="19">
        <f t="shared" si="28"/>
        <v>0</v>
      </c>
      <c r="O141" s="11"/>
      <c r="P141" s="2"/>
      <c r="Q141" s="2"/>
      <c r="R141" s="19">
        <f t="shared" si="29"/>
        <v>0</v>
      </c>
      <c r="S141" s="2"/>
      <c r="T141" s="2">
        <v>349.6</v>
      </c>
      <c r="U141" s="2"/>
      <c r="V141" s="19">
        <f t="shared" si="30"/>
        <v>3.3080040428919024E-5</v>
      </c>
      <c r="W141" s="2"/>
      <c r="X141" s="2">
        <f t="shared" si="31"/>
        <v>-349.6</v>
      </c>
      <c r="Y141" s="2"/>
      <c r="Z141" s="19">
        <f t="shared" si="32"/>
        <v>-1</v>
      </c>
    </row>
    <row r="142" spans="1:26" s="24" customFormat="1" hidden="1" outlineLevel="1" x14ac:dyDescent="0.25">
      <c r="A142" s="44"/>
      <c r="B142" s="11" t="str">
        <f>CONCATENATE("          ", "5083", " - ", "PURCHASES @ COST-COMPUTER EQUI")</f>
        <v xml:space="preserve">          5083 - PURCHASES @ COST-COMPUTER EQUI</v>
      </c>
      <c r="C142" s="11"/>
      <c r="D142" s="2"/>
      <c r="E142" s="2"/>
      <c r="F142" s="19">
        <f t="shared" si="25"/>
        <v>0</v>
      </c>
      <c r="G142" s="2"/>
      <c r="H142" s="2">
        <v>-67.650000000000006</v>
      </c>
      <c r="I142" s="2"/>
      <c r="J142" s="19">
        <f t="shared" si="26"/>
        <v>-6.3123539737448622E-5</v>
      </c>
      <c r="K142" s="2"/>
      <c r="L142" s="2">
        <f t="shared" si="27"/>
        <v>67.650000000000006</v>
      </c>
      <c r="M142" s="2"/>
      <c r="N142" s="19">
        <f t="shared" si="28"/>
        <v>-1</v>
      </c>
      <c r="O142" s="11"/>
      <c r="P142" s="2"/>
      <c r="Q142" s="2"/>
      <c r="R142" s="19">
        <f t="shared" si="29"/>
        <v>0</v>
      </c>
      <c r="S142" s="2"/>
      <c r="T142" s="2">
        <v>395.06</v>
      </c>
      <c r="U142" s="2"/>
      <c r="V142" s="19">
        <f t="shared" si="30"/>
        <v>3.7381581155173762E-5</v>
      </c>
      <c r="W142" s="2"/>
      <c r="X142" s="2">
        <f t="shared" si="31"/>
        <v>-395.06</v>
      </c>
      <c r="Y142" s="2"/>
      <c r="Z142" s="19">
        <f t="shared" si="32"/>
        <v>-1</v>
      </c>
    </row>
    <row r="143" spans="1:26" s="24" customFormat="1" hidden="1" outlineLevel="1" x14ac:dyDescent="0.25">
      <c r="A143" s="44"/>
      <c r="B143" s="11" t="str">
        <f>CONCATENATE("          ", "5086", " - ", "PURCHASES @ COST-COMPUTER SUPP")</f>
        <v xml:space="preserve">          5086 - PURCHASES @ COST-COMPUTER SUPP</v>
      </c>
      <c r="C143" s="11"/>
      <c r="D143" s="2">
        <v>13.21</v>
      </c>
      <c r="E143" s="2"/>
      <c r="F143" s="19">
        <f t="shared" si="25"/>
        <v>6.5082179183901005E-5</v>
      </c>
      <c r="G143" s="2"/>
      <c r="H143" s="2">
        <v>9.98</v>
      </c>
      <c r="I143" s="2"/>
      <c r="J143" s="19">
        <f t="shared" si="26"/>
        <v>9.3122383825533955E-6</v>
      </c>
      <c r="K143" s="2"/>
      <c r="L143" s="2">
        <f t="shared" si="27"/>
        <v>3.2300000000000004</v>
      </c>
      <c r="M143" s="2"/>
      <c r="N143" s="19">
        <f t="shared" si="28"/>
        <v>0.3236472945891784</v>
      </c>
      <c r="O143" s="11"/>
      <c r="P143" s="2">
        <v>13.21</v>
      </c>
      <c r="Q143" s="2"/>
      <c r="R143" s="19">
        <f t="shared" si="29"/>
        <v>3.2353669368144183E-6</v>
      </c>
      <c r="S143" s="2"/>
      <c r="T143" s="2">
        <v>426.22</v>
      </c>
      <c r="U143" s="2"/>
      <c r="V143" s="19">
        <f t="shared" si="30"/>
        <v>4.0330019541229591E-5</v>
      </c>
      <c r="W143" s="2"/>
      <c r="X143" s="2">
        <f t="shared" si="31"/>
        <v>-413.01000000000005</v>
      </c>
      <c r="Y143" s="2"/>
      <c r="Z143" s="19">
        <f t="shared" si="32"/>
        <v>-0.96900661630144058</v>
      </c>
    </row>
    <row r="144" spans="1:26" s="24" customFormat="1" hidden="1" outlineLevel="1" x14ac:dyDescent="0.25">
      <c r="A144" s="44"/>
      <c r="B144" s="11" t="str">
        <f>CONCATENATE("          ", "5092", " - ", "PURCHASES @ COST-GRAD MERCH")</f>
        <v xml:space="preserve">          5092 - PURCHASES @ COST-GRAD MERCH</v>
      </c>
      <c r="C144" s="11"/>
      <c r="D144" s="2"/>
      <c r="E144" s="2"/>
      <c r="F144" s="19">
        <f t="shared" si="25"/>
        <v>0</v>
      </c>
      <c r="G144" s="2"/>
      <c r="H144" s="2">
        <v>-137.06</v>
      </c>
      <c r="I144" s="2"/>
      <c r="J144" s="19">
        <f t="shared" si="26"/>
        <v>-1.2788931790709101E-4</v>
      </c>
      <c r="K144" s="2"/>
      <c r="L144" s="2">
        <f t="shared" si="27"/>
        <v>137.06</v>
      </c>
      <c r="M144" s="2"/>
      <c r="N144" s="19">
        <f t="shared" si="28"/>
        <v>-1</v>
      </c>
      <c r="O144" s="11"/>
      <c r="P144" s="2"/>
      <c r="Q144" s="2"/>
      <c r="R144" s="19">
        <f t="shared" si="29"/>
        <v>0</v>
      </c>
      <c r="S144" s="2"/>
      <c r="T144" s="2">
        <v>1909.8</v>
      </c>
      <c r="U144" s="2"/>
      <c r="V144" s="19">
        <f t="shared" si="30"/>
        <v>1.8071012932251013E-4</v>
      </c>
      <c r="W144" s="2"/>
      <c r="X144" s="2">
        <f t="shared" si="31"/>
        <v>-1909.8</v>
      </c>
      <c r="Y144" s="2"/>
      <c r="Z144" s="19">
        <f t="shared" si="32"/>
        <v>-1</v>
      </c>
    </row>
    <row r="145" spans="1:26" s="24" customFormat="1" hidden="1" outlineLevel="1" x14ac:dyDescent="0.25">
      <c r="A145" s="44"/>
      <c r="B145" s="11" t="str">
        <f>CONCATENATE("          ", "5095", " - ", "PURCHASES @ COST-CUSTOMER SERV")</f>
        <v xml:space="preserve">          5095 - PURCHASES @ COST-CUSTOMER SERV</v>
      </c>
      <c r="C145" s="11"/>
      <c r="D145" s="2"/>
      <c r="E145" s="2"/>
      <c r="F145" s="19">
        <f t="shared" si="25"/>
        <v>0</v>
      </c>
      <c r="G145" s="2"/>
      <c r="H145" s="2"/>
      <c r="I145" s="2"/>
      <c r="J145" s="19">
        <f t="shared" si="26"/>
        <v>0</v>
      </c>
      <c r="K145" s="2"/>
      <c r="L145" s="2">
        <f t="shared" si="27"/>
        <v>0</v>
      </c>
      <c r="M145" s="2"/>
      <c r="N145" s="19">
        <f t="shared" si="28"/>
        <v>0</v>
      </c>
      <c r="O145" s="11"/>
      <c r="P145" s="2"/>
      <c r="Q145" s="2"/>
      <c r="R145" s="19">
        <f t="shared" si="29"/>
        <v>0</v>
      </c>
      <c r="S145" s="2"/>
      <c r="T145" s="2">
        <v>0</v>
      </c>
      <c r="U145" s="2"/>
      <c r="V145" s="19">
        <f t="shared" si="30"/>
        <v>0</v>
      </c>
      <c r="W145" s="2"/>
      <c r="X145" s="2">
        <f t="shared" si="31"/>
        <v>0</v>
      </c>
      <c r="Y145" s="2"/>
      <c r="Z145" s="19">
        <f t="shared" si="32"/>
        <v>0</v>
      </c>
    </row>
    <row r="146" spans="1:26" s="24" customFormat="1" hidden="1" outlineLevel="1" x14ac:dyDescent="0.25">
      <c r="A146" s="44"/>
      <c r="B146" s="11" t="str">
        <f>CONCATENATE("          ", "5200", " - ", "PURCHASES OFFSET")</f>
        <v xml:space="preserve">          5200 - PURCHASES OFFSET</v>
      </c>
      <c r="C146" s="11"/>
      <c r="D146" s="2">
        <v>154765.96</v>
      </c>
      <c r="E146" s="2"/>
      <c r="F146" s="19">
        <f t="shared" si="25"/>
        <v>0.76249098715279739</v>
      </c>
      <c r="G146" s="2"/>
      <c r="H146" s="2">
        <v>-148774</v>
      </c>
      <c r="I146" s="2"/>
      <c r="J146" s="19">
        <f t="shared" si="26"/>
        <v>-0.1388195343813626</v>
      </c>
      <c r="K146" s="2"/>
      <c r="L146" s="2">
        <f t="shared" si="27"/>
        <v>303539.95999999996</v>
      </c>
      <c r="M146" s="2"/>
      <c r="N146" s="19">
        <f t="shared" si="28"/>
        <v>-2.040275585787839</v>
      </c>
      <c r="O146" s="11"/>
      <c r="P146" s="2">
        <v>-1981017.4399999997</v>
      </c>
      <c r="Q146" s="2"/>
      <c r="R146" s="19">
        <f t="shared" si="29"/>
        <v>-0.48518685288635427</v>
      </c>
      <c r="S146" s="2"/>
      <c r="T146" s="2">
        <v>-4174340</v>
      </c>
      <c r="U146" s="2"/>
      <c r="V146" s="19">
        <f t="shared" si="30"/>
        <v>-0.3949866589360807</v>
      </c>
      <c r="W146" s="2"/>
      <c r="X146" s="2">
        <f t="shared" si="31"/>
        <v>2193322.5600000005</v>
      </c>
      <c r="Y146" s="2"/>
      <c r="Z146" s="19">
        <f t="shared" si="32"/>
        <v>-0.52542978291178977</v>
      </c>
    </row>
    <row r="147" spans="1:26" s="24" customFormat="1" hidden="1" outlineLevel="1" x14ac:dyDescent="0.25">
      <c r="A147" s="44"/>
      <c r="B147" s="11" t="str">
        <f>CONCATENATE("          ", "5300", " - ", "COG$ OFFSET")</f>
        <v xml:space="preserve">          5300 - COG$ OFFSET</v>
      </c>
      <c r="C147" s="11"/>
      <c r="D147" s="2">
        <v>104323</v>
      </c>
      <c r="E147" s="2"/>
      <c r="F147" s="19">
        <f t="shared" si="25"/>
        <v>0.51397185306601845</v>
      </c>
      <c r="G147" s="2"/>
      <c r="H147" s="2">
        <v>480847</v>
      </c>
      <c r="I147" s="2"/>
      <c r="J147" s="19">
        <f t="shared" si="26"/>
        <v>0.44867353602561644</v>
      </c>
      <c r="K147" s="2"/>
      <c r="L147" s="2">
        <f t="shared" si="27"/>
        <v>-376524</v>
      </c>
      <c r="M147" s="2"/>
      <c r="N147" s="19">
        <f t="shared" si="28"/>
        <v>-0.78304325492308369</v>
      </c>
      <c r="O147" s="11"/>
      <c r="P147" s="2">
        <v>2079913.0000000002</v>
      </c>
      <c r="Q147" s="2"/>
      <c r="R147" s="19">
        <f t="shared" si="29"/>
        <v>0.50940815682441243</v>
      </c>
      <c r="S147" s="2"/>
      <c r="T147" s="2">
        <v>3726737.47</v>
      </c>
      <c r="U147" s="2"/>
      <c r="V147" s="19">
        <f t="shared" si="30"/>
        <v>0.35263337006741247</v>
      </c>
      <c r="W147" s="2"/>
      <c r="X147" s="2">
        <f t="shared" si="31"/>
        <v>-1646824.47</v>
      </c>
      <c r="Y147" s="2"/>
      <c r="Z147" s="19">
        <f t="shared" si="32"/>
        <v>-0.44189441388260703</v>
      </c>
    </row>
    <row r="148" spans="1:26" s="24" customFormat="1" hidden="1" outlineLevel="1" x14ac:dyDescent="0.25">
      <c r="A148" s="44"/>
      <c r="B148" s="11" t="str">
        <f>CONCATENATE("          ", "5500", " - ", "FREIGHT-IN")</f>
        <v xml:space="preserve">          5500 - FREIGHT-IN</v>
      </c>
      <c r="C148" s="11"/>
      <c r="D148" s="2"/>
      <c r="E148" s="2"/>
      <c r="F148" s="19">
        <f t="shared" si="25"/>
        <v>0</v>
      </c>
      <c r="G148" s="2"/>
      <c r="H148" s="2">
        <v>33.950000000000003</v>
      </c>
      <c r="I148" s="2"/>
      <c r="J148" s="19">
        <f t="shared" si="26"/>
        <v>3.1678406121010801E-5</v>
      </c>
      <c r="K148" s="2"/>
      <c r="L148" s="2">
        <f t="shared" si="27"/>
        <v>-33.950000000000003</v>
      </c>
      <c r="M148" s="2"/>
      <c r="N148" s="19">
        <f t="shared" si="28"/>
        <v>-1</v>
      </c>
      <c r="O148" s="11"/>
      <c r="P148" s="2"/>
      <c r="Q148" s="2"/>
      <c r="R148" s="19">
        <f t="shared" si="29"/>
        <v>0</v>
      </c>
      <c r="S148" s="2"/>
      <c r="T148" s="2">
        <v>156.47999999999999</v>
      </c>
      <c r="U148" s="2"/>
      <c r="V148" s="19">
        <f t="shared" si="30"/>
        <v>1.4806535258344531E-5</v>
      </c>
      <c r="W148" s="2"/>
      <c r="X148" s="2">
        <f t="shared" si="31"/>
        <v>-156.47999999999999</v>
      </c>
      <c r="Y148" s="2"/>
      <c r="Z148" s="19">
        <f t="shared" si="32"/>
        <v>-1</v>
      </c>
    </row>
    <row r="149" spans="1:26" s="24" customFormat="1" hidden="1" outlineLevel="1" x14ac:dyDescent="0.25">
      <c r="A149" s="44"/>
      <c r="B149" s="11" t="str">
        <f>CONCATENATE("          ", "5501", " - ", "FREIGHT-IN-NEW TEXT")</f>
        <v xml:space="preserve">          5501 - FREIGHT-IN-NEW TEXT</v>
      </c>
      <c r="C149" s="11"/>
      <c r="D149" s="2">
        <v>4638.13</v>
      </c>
      <c r="E149" s="2"/>
      <c r="F149" s="19">
        <f t="shared" si="25"/>
        <v>2.285084085830634E-2</v>
      </c>
      <c r="G149" s="2"/>
      <c r="H149" s="2">
        <v>23947.37</v>
      </c>
      <c r="I149" s="2"/>
      <c r="J149" s="19">
        <f t="shared" si="26"/>
        <v>2.2345051911343453E-2</v>
      </c>
      <c r="K149" s="2"/>
      <c r="L149" s="2">
        <f t="shared" si="27"/>
        <v>-19309.239999999998</v>
      </c>
      <c r="M149" s="2"/>
      <c r="N149" s="19">
        <f t="shared" si="28"/>
        <v>-0.80631985892396529</v>
      </c>
      <c r="O149" s="11"/>
      <c r="P149" s="2">
        <v>49256.92</v>
      </c>
      <c r="Q149" s="2"/>
      <c r="R149" s="19">
        <f t="shared" si="29"/>
        <v>1.2063906917283335E-2</v>
      </c>
      <c r="S149" s="2"/>
      <c r="T149" s="2">
        <v>66024.739999999991</v>
      </c>
      <c r="U149" s="2"/>
      <c r="V149" s="19">
        <f t="shared" si="30"/>
        <v>6.2474286856660944E-3</v>
      </c>
      <c r="W149" s="2"/>
      <c r="X149" s="2">
        <f t="shared" si="31"/>
        <v>-16767.819999999992</v>
      </c>
      <c r="Y149" s="2"/>
      <c r="Z149" s="19">
        <f t="shared" si="32"/>
        <v>-0.25396268126159977</v>
      </c>
    </row>
    <row r="150" spans="1:26" s="24" customFormat="1" hidden="1" outlineLevel="1" x14ac:dyDescent="0.25">
      <c r="A150" s="44"/>
      <c r="B150" s="11" t="str">
        <f>CONCATENATE("          ", "5502", " - ", "FREIGHT-IN-USED TEXT")</f>
        <v xml:space="preserve">          5502 - FREIGHT-IN-USED TEXT</v>
      </c>
      <c r="C150" s="11"/>
      <c r="D150" s="2">
        <v>1484.45</v>
      </c>
      <c r="E150" s="2"/>
      <c r="F150" s="19">
        <f t="shared" si="25"/>
        <v>7.3134928758169446E-3</v>
      </c>
      <c r="G150" s="2"/>
      <c r="H150" s="2">
        <v>2979.86</v>
      </c>
      <c r="I150" s="2"/>
      <c r="J150" s="19">
        <f t="shared" si="26"/>
        <v>2.7804776219073706E-3</v>
      </c>
      <c r="K150" s="2"/>
      <c r="L150" s="2">
        <f t="shared" si="27"/>
        <v>-1495.41</v>
      </c>
      <c r="M150" s="2"/>
      <c r="N150" s="19">
        <f t="shared" si="28"/>
        <v>-0.50183901257106034</v>
      </c>
      <c r="O150" s="11"/>
      <c r="P150" s="2">
        <v>17136.759999999998</v>
      </c>
      <c r="Q150" s="2"/>
      <c r="R150" s="19">
        <f t="shared" si="29"/>
        <v>4.1971011891085422E-3</v>
      </c>
      <c r="S150" s="2"/>
      <c r="T150" s="2">
        <v>14758.089999999998</v>
      </c>
      <c r="U150" s="2"/>
      <c r="V150" s="19">
        <f t="shared" si="30"/>
        <v>1.3964479801305075E-3</v>
      </c>
      <c r="W150" s="2"/>
      <c r="X150" s="2">
        <f t="shared" si="31"/>
        <v>2378.67</v>
      </c>
      <c r="Y150" s="2"/>
      <c r="Z150" s="19">
        <f t="shared" si="32"/>
        <v>0.16117736102707059</v>
      </c>
    </row>
    <row r="151" spans="1:26" s="24" customFormat="1" hidden="1" outlineLevel="1" x14ac:dyDescent="0.25">
      <c r="A151" s="44"/>
      <c r="B151" s="11" t="str">
        <f>CONCATENATE("          ", "5504", " - ", "FREIGHT-IN-DIGITAL TEXT")</f>
        <v xml:space="preserve">          5504 - FREIGHT-IN-DIGITAL TEXT</v>
      </c>
      <c r="C151" s="11"/>
      <c r="D151" s="2">
        <v>6.94</v>
      </c>
      <c r="E151" s="2"/>
      <c r="F151" s="19">
        <f t="shared" si="25"/>
        <v>3.4191546066334063E-5</v>
      </c>
      <c r="G151" s="2"/>
      <c r="H151" s="2"/>
      <c r="I151" s="2"/>
      <c r="J151" s="19">
        <f t="shared" si="26"/>
        <v>0</v>
      </c>
      <c r="K151" s="2"/>
      <c r="L151" s="2">
        <f t="shared" si="27"/>
        <v>6.94</v>
      </c>
      <c r="M151" s="2"/>
      <c r="N151" s="19">
        <f t="shared" si="28"/>
        <v>0</v>
      </c>
      <c r="O151" s="11"/>
      <c r="P151" s="2">
        <v>28.92</v>
      </c>
      <c r="Q151" s="2"/>
      <c r="R151" s="19">
        <f t="shared" si="29"/>
        <v>7.0830289033060543E-6</v>
      </c>
      <c r="S151" s="2"/>
      <c r="T151" s="2">
        <v>105.97</v>
      </c>
      <c r="U151" s="2"/>
      <c r="V151" s="19">
        <f t="shared" si="30"/>
        <v>1.0027150698662896E-5</v>
      </c>
      <c r="W151" s="2"/>
      <c r="X151" s="2">
        <f t="shared" si="31"/>
        <v>-77.05</v>
      </c>
      <c r="Y151" s="2"/>
      <c r="Z151" s="19">
        <f t="shared" si="32"/>
        <v>-0.72709257336982158</v>
      </c>
    </row>
    <row r="152" spans="1:26" s="24" customFormat="1" hidden="1" outlineLevel="1" x14ac:dyDescent="0.25">
      <c r="A152" s="44"/>
      <c r="B152" s="11" t="str">
        <f>CONCATENATE("          ", "5513", " - ", "FREIGHT-IN-TRADE BOOKS")</f>
        <v xml:space="preserve">          5513 - FREIGHT-IN-TRADE BOOKS</v>
      </c>
      <c r="C152" s="11"/>
      <c r="D152" s="2"/>
      <c r="E152" s="2"/>
      <c r="F152" s="19">
        <f t="shared" si="25"/>
        <v>0</v>
      </c>
      <c r="G152" s="2"/>
      <c r="H152" s="2"/>
      <c r="I152" s="2"/>
      <c r="J152" s="19">
        <f t="shared" si="26"/>
        <v>0</v>
      </c>
      <c r="K152" s="2"/>
      <c r="L152" s="2">
        <f t="shared" si="27"/>
        <v>0</v>
      </c>
      <c r="M152" s="2"/>
      <c r="N152" s="19">
        <f t="shared" si="28"/>
        <v>0</v>
      </c>
      <c r="O152" s="11"/>
      <c r="P152" s="2">
        <v>33.520000000000003</v>
      </c>
      <c r="Q152" s="2"/>
      <c r="R152" s="19">
        <f t="shared" si="29"/>
        <v>8.2096517579121348E-6</v>
      </c>
      <c r="S152" s="2"/>
      <c r="T152" s="2">
        <v>21.41</v>
      </c>
      <c r="U152" s="2"/>
      <c r="V152" s="19">
        <f t="shared" si="30"/>
        <v>2.025868608647472E-6</v>
      </c>
      <c r="W152" s="2"/>
      <c r="X152" s="2">
        <f t="shared" si="31"/>
        <v>12.110000000000003</v>
      </c>
      <c r="Y152" s="2"/>
      <c r="Z152" s="19">
        <f t="shared" si="32"/>
        <v>0.56562354040168161</v>
      </c>
    </row>
    <row r="153" spans="1:26" s="24" customFormat="1" hidden="1" outlineLevel="1" x14ac:dyDescent="0.25">
      <c r="A153" s="44"/>
      <c r="B153" s="11" t="str">
        <f>CONCATENATE("          ", "5518", " - ", "FREIGHT-IN-STUDY GUIDES")</f>
        <v xml:space="preserve">          5518 - FREIGHT-IN-STUDY GUIDES</v>
      </c>
      <c r="C153" s="11"/>
      <c r="D153" s="2"/>
      <c r="E153" s="2"/>
      <c r="F153" s="19">
        <f t="shared" si="25"/>
        <v>0</v>
      </c>
      <c r="G153" s="2"/>
      <c r="H153" s="2"/>
      <c r="I153" s="2"/>
      <c r="J153" s="19">
        <f t="shared" si="26"/>
        <v>0</v>
      </c>
      <c r="K153" s="2"/>
      <c r="L153" s="2">
        <f t="shared" si="27"/>
        <v>0</v>
      </c>
      <c r="M153" s="2"/>
      <c r="N153" s="19">
        <f t="shared" si="28"/>
        <v>0</v>
      </c>
      <c r="O153" s="11"/>
      <c r="P153" s="2"/>
      <c r="Q153" s="2"/>
      <c r="R153" s="19">
        <f t="shared" si="29"/>
        <v>0</v>
      </c>
      <c r="S153" s="2"/>
      <c r="T153" s="2">
        <v>21.13</v>
      </c>
      <c r="U153" s="2"/>
      <c r="V153" s="19">
        <f t="shared" si="30"/>
        <v>1.9993742970911294E-6</v>
      </c>
      <c r="W153" s="2"/>
      <c r="X153" s="2">
        <f t="shared" si="31"/>
        <v>-21.13</v>
      </c>
      <c r="Y153" s="2"/>
      <c r="Z153" s="19">
        <f t="shared" si="32"/>
        <v>-1</v>
      </c>
    </row>
    <row r="154" spans="1:26" s="24" customFormat="1" hidden="1" outlineLevel="1" x14ac:dyDescent="0.25">
      <c r="A154" s="44"/>
      <c r="B154" s="11" t="str">
        <f>CONCATENATE("          ", "5525", " - ", "FREIGHT-IN-TEST FORMS")</f>
        <v xml:space="preserve">          5525 - FREIGHT-IN-TEST FORMS</v>
      </c>
      <c r="C154" s="11"/>
      <c r="D154" s="2"/>
      <c r="E154" s="2"/>
      <c r="F154" s="19">
        <f t="shared" si="25"/>
        <v>0</v>
      </c>
      <c r="G154" s="2"/>
      <c r="H154" s="2">
        <v>532.61</v>
      </c>
      <c r="I154" s="2"/>
      <c r="J154" s="19">
        <f t="shared" si="26"/>
        <v>4.9697307464246132E-4</v>
      </c>
      <c r="K154" s="2"/>
      <c r="L154" s="2">
        <f t="shared" si="27"/>
        <v>-532.61</v>
      </c>
      <c r="M154" s="2"/>
      <c r="N154" s="19">
        <f t="shared" si="28"/>
        <v>-1</v>
      </c>
      <c r="O154" s="11"/>
      <c r="P154" s="2">
        <v>48.14</v>
      </c>
      <c r="Q154" s="2"/>
      <c r="R154" s="19">
        <f t="shared" si="29"/>
        <v>1.1790353091464504E-5</v>
      </c>
      <c r="S154" s="2"/>
      <c r="T154" s="2">
        <v>1155.02</v>
      </c>
      <c r="U154" s="2"/>
      <c r="V154" s="19">
        <f t="shared" si="30"/>
        <v>1.0929092762073812E-4</v>
      </c>
      <c r="W154" s="2"/>
      <c r="X154" s="2">
        <f t="shared" si="31"/>
        <v>-1106.8799999999999</v>
      </c>
      <c r="Y154" s="2"/>
      <c r="Z154" s="19">
        <f t="shared" si="32"/>
        <v>-0.95832106803345385</v>
      </c>
    </row>
    <row r="155" spans="1:26" s="24" customFormat="1" hidden="1" outlineLevel="1" x14ac:dyDescent="0.25">
      <c r="A155" s="44"/>
      <c r="B155" s="11" t="str">
        <f>CONCATENATE("          ", "5526", " - ", "FREIGHT-IN-WRITING INSTRUMENTS")</f>
        <v xml:space="preserve">          5526 - FREIGHT-IN-WRITING INSTRUMENTS</v>
      </c>
      <c r="C155" s="11"/>
      <c r="D155" s="2"/>
      <c r="E155" s="2"/>
      <c r="F155" s="19">
        <f t="shared" si="25"/>
        <v>0</v>
      </c>
      <c r="G155" s="2"/>
      <c r="H155" s="2"/>
      <c r="I155" s="2"/>
      <c r="J155" s="19">
        <f t="shared" si="26"/>
        <v>0</v>
      </c>
      <c r="K155" s="2"/>
      <c r="L155" s="2">
        <f t="shared" si="27"/>
        <v>0</v>
      </c>
      <c r="M155" s="2"/>
      <c r="N155" s="19">
        <f t="shared" si="28"/>
        <v>0</v>
      </c>
      <c r="O155" s="11"/>
      <c r="P155" s="2"/>
      <c r="Q155" s="2"/>
      <c r="R155" s="19">
        <f t="shared" si="29"/>
        <v>0</v>
      </c>
      <c r="S155" s="2"/>
      <c r="T155" s="2">
        <v>260.35000000000002</v>
      </c>
      <c r="U155" s="2"/>
      <c r="V155" s="19">
        <f t="shared" si="30"/>
        <v>2.4634978620334862E-5</v>
      </c>
      <c r="W155" s="2"/>
      <c r="X155" s="2">
        <f t="shared" si="31"/>
        <v>-260.35000000000002</v>
      </c>
      <c r="Y155" s="2"/>
      <c r="Z155" s="19">
        <f t="shared" si="32"/>
        <v>-1</v>
      </c>
    </row>
    <row r="156" spans="1:26" s="24" customFormat="1" hidden="1" outlineLevel="1" x14ac:dyDescent="0.25">
      <c r="A156" s="44"/>
      <c r="B156" s="11" t="str">
        <f>CONCATENATE("          ", "5527", " - ", "FREIGHT-IN-SCHOOL SUPPLIES")</f>
        <v xml:space="preserve">          5527 - FREIGHT-IN-SCHOOL SUPPLIES</v>
      </c>
      <c r="C156" s="11"/>
      <c r="D156" s="2"/>
      <c r="E156" s="2"/>
      <c r="F156" s="19">
        <f t="shared" si="25"/>
        <v>0</v>
      </c>
      <c r="G156" s="2"/>
      <c r="H156" s="2">
        <v>431.76</v>
      </c>
      <c r="I156" s="2"/>
      <c r="J156" s="19">
        <f t="shared" si="26"/>
        <v>4.0287094629772079E-4</v>
      </c>
      <c r="K156" s="2"/>
      <c r="L156" s="2">
        <f t="shared" si="27"/>
        <v>-431.76</v>
      </c>
      <c r="M156" s="2"/>
      <c r="N156" s="19">
        <f t="shared" si="28"/>
        <v>-1</v>
      </c>
      <c r="O156" s="11"/>
      <c r="P156" s="2">
        <v>177.5</v>
      </c>
      <c r="Q156" s="2"/>
      <c r="R156" s="19">
        <f t="shared" si="29"/>
        <v>4.3472947107082458E-5</v>
      </c>
      <c r="S156" s="2"/>
      <c r="T156" s="2">
        <v>1651.6</v>
      </c>
      <c r="U156" s="2"/>
      <c r="V156" s="19">
        <f t="shared" si="30"/>
        <v>1.5627858916591146E-4</v>
      </c>
      <c r="W156" s="2"/>
      <c r="X156" s="2">
        <f t="shared" si="31"/>
        <v>-1474.1</v>
      </c>
      <c r="Y156" s="2"/>
      <c r="Z156" s="19">
        <f t="shared" si="32"/>
        <v>-0.89252845725357233</v>
      </c>
    </row>
    <row r="157" spans="1:26" s="24" customFormat="1" hidden="1" outlineLevel="1" x14ac:dyDescent="0.25">
      <c r="A157" s="44"/>
      <c r="B157" s="11" t="str">
        <f>CONCATENATE("          ", "5528", " - ", "FREIGHT-IN-ART/TECH")</f>
        <v xml:space="preserve">          5528 - FREIGHT-IN-ART/TECH</v>
      </c>
      <c r="C157" s="11"/>
      <c r="D157" s="2">
        <v>12.76</v>
      </c>
      <c r="E157" s="2"/>
      <c r="F157" s="19">
        <f t="shared" si="25"/>
        <v>6.2865148098908153E-5</v>
      </c>
      <c r="G157" s="2"/>
      <c r="H157" s="2">
        <v>164.79</v>
      </c>
      <c r="I157" s="2"/>
      <c r="J157" s="19">
        <f t="shared" si="26"/>
        <v>1.5376390411432603E-4</v>
      </c>
      <c r="K157" s="2"/>
      <c r="L157" s="2">
        <f t="shared" si="27"/>
        <v>-152.03</v>
      </c>
      <c r="M157" s="2"/>
      <c r="N157" s="19">
        <f t="shared" si="28"/>
        <v>-0.92256811699739072</v>
      </c>
      <c r="O157" s="11"/>
      <c r="P157" s="2">
        <v>351.5</v>
      </c>
      <c r="Q157" s="2"/>
      <c r="R157" s="19">
        <f t="shared" si="29"/>
        <v>8.60886811726168E-5</v>
      </c>
      <c r="S157" s="2"/>
      <c r="T157" s="2">
        <v>1496.25</v>
      </c>
      <c r="U157" s="2"/>
      <c r="V157" s="19">
        <f t="shared" si="30"/>
        <v>1.4157897737920505E-4</v>
      </c>
      <c r="W157" s="2"/>
      <c r="X157" s="2">
        <f t="shared" si="31"/>
        <v>-1144.75</v>
      </c>
      <c r="Y157" s="2"/>
      <c r="Z157" s="19">
        <f t="shared" si="32"/>
        <v>-0.76507936507936503</v>
      </c>
    </row>
    <row r="158" spans="1:26" s="24" customFormat="1" hidden="1" outlineLevel="1" x14ac:dyDescent="0.25">
      <c r="A158" s="44"/>
      <c r="B158" s="11" t="str">
        <f>CONCATENATE("          ", "5540", " - ", "FREIGHT-IN-LOGO CLOTHING")</f>
        <v xml:space="preserve">          5540 - FREIGHT-IN-LOGO CLOTHING</v>
      </c>
      <c r="C158" s="11"/>
      <c r="D158" s="2">
        <v>150.6</v>
      </c>
      <c r="E158" s="2"/>
      <c r="F158" s="19">
        <f t="shared" si="25"/>
        <v>7.419664031109379E-4</v>
      </c>
      <c r="G158" s="2"/>
      <c r="H158" s="2">
        <v>2803.41</v>
      </c>
      <c r="I158" s="2"/>
      <c r="J158" s="19">
        <f t="shared" si="26"/>
        <v>2.6158338881797608E-3</v>
      </c>
      <c r="K158" s="2"/>
      <c r="L158" s="2">
        <f t="shared" si="27"/>
        <v>-2652.81</v>
      </c>
      <c r="M158" s="2"/>
      <c r="N158" s="19">
        <f t="shared" si="28"/>
        <v>-0.94627970935396533</v>
      </c>
      <c r="O158" s="11"/>
      <c r="P158" s="2">
        <v>5941.23</v>
      </c>
      <c r="Q158" s="2"/>
      <c r="R158" s="19">
        <f t="shared" si="29"/>
        <v>1.4551142396676702E-3</v>
      </c>
      <c r="S158" s="2"/>
      <c r="T158" s="2">
        <v>28481.3</v>
      </c>
      <c r="U158" s="2"/>
      <c r="V158" s="19">
        <f t="shared" si="30"/>
        <v>2.6949729847487737E-3</v>
      </c>
      <c r="W158" s="2"/>
      <c r="X158" s="2">
        <f t="shared" si="31"/>
        <v>-22540.07</v>
      </c>
      <c r="Y158" s="2"/>
      <c r="Z158" s="19">
        <f t="shared" si="32"/>
        <v>-0.79139891788647287</v>
      </c>
    </row>
    <row r="159" spans="1:26" s="24" customFormat="1" hidden="1" outlineLevel="1" x14ac:dyDescent="0.25">
      <c r="A159" s="44"/>
      <c r="B159" s="11" t="str">
        <f>CONCATENATE("          ", "5541", " - ", "FREIGHT-IN-LOGO GIFTS")</f>
        <v xml:space="preserve">          5541 - FREIGHT-IN-LOGO GIFTS</v>
      </c>
      <c r="C159" s="11"/>
      <c r="D159" s="2">
        <v>375.06</v>
      </c>
      <c r="E159" s="2"/>
      <c r="F159" s="19">
        <f t="shared" si="25"/>
        <v>1.8478215083053678E-3</v>
      </c>
      <c r="G159" s="2"/>
      <c r="H159" s="2">
        <v>486.35</v>
      </c>
      <c r="I159" s="2"/>
      <c r="J159" s="19">
        <f t="shared" si="26"/>
        <v>4.5380833039627695E-4</v>
      </c>
      <c r="K159" s="2"/>
      <c r="L159" s="2">
        <f t="shared" si="27"/>
        <v>-111.29000000000002</v>
      </c>
      <c r="M159" s="2"/>
      <c r="N159" s="19">
        <f t="shared" si="28"/>
        <v>-0.22882697645728389</v>
      </c>
      <c r="O159" s="11"/>
      <c r="P159" s="2">
        <v>2077.9299999999998</v>
      </c>
      <c r="Q159" s="2"/>
      <c r="R159" s="19">
        <f t="shared" si="29"/>
        <v>5.0892248440687234E-4</v>
      </c>
      <c r="S159" s="2"/>
      <c r="T159" s="2">
        <v>4073.92</v>
      </c>
      <c r="U159" s="2"/>
      <c r="V159" s="19">
        <f t="shared" si="30"/>
        <v>3.8548466334148104E-4</v>
      </c>
      <c r="W159" s="2"/>
      <c r="X159" s="2">
        <f t="shared" si="31"/>
        <v>-1995.9900000000002</v>
      </c>
      <c r="Y159" s="2"/>
      <c r="Z159" s="19">
        <f t="shared" si="32"/>
        <v>-0.48994334694839375</v>
      </c>
    </row>
    <row r="160" spans="1:26" s="24" customFormat="1" hidden="1" outlineLevel="1" x14ac:dyDescent="0.25">
      <c r="A160" s="44"/>
      <c r="B160" s="11" t="str">
        <f>CONCATENATE("          ", "5542", " - ", "FREIGHT-IN-EVERYDAY GIFTS")</f>
        <v xml:space="preserve">          5542 - FREIGHT-IN-EVERYDAY GIFTS</v>
      </c>
      <c r="C160" s="11"/>
      <c r="D160" s="2"/>
      <c r="E160" s="2"/>
      <c r="F160" s="19">
        <f t="shared" si="25"/>
        <v>0</v>
      </c>
      <c r="G160" s="2"/>
      <c r="H160" s="2">
        <v>43.37</v>
      </c>
      <c r="I160" s="2"/>
      <c r="J160" s="19">
        <f t="shared" si="26"/>
        <v>4.0468114093320715E-5</v>
      </c>
      <c r="K160" s="2"/>
      <c r="L160" s="2">
        <f t="shared" si="27"/>
        <v>-43.37</v>
      </c>
      <c r="M160" s="2"/>
      <c r="N160" s="19">
        <f t="shared" si="28"/>
        <v>-1</v>
      </c>
      <c r="O160" s="11"/>
      <c r="P160" s="2">
        <v>383.93</v>
      </c>
      <c r="Q160" s="2"/>
      <c r="R160" s="19">
        <f t="shared" si="29"/>
        <v>9.403137229758967E-5</v>
      </c>
      <c r="S160" s="2"/>
      <c r="T160" s="2">
        <v>1751.7</v>
      </c>
      <c r="U160" s="2"/>
      <c r="V160" s="19">
        <f t="shared" si="30"/>
        <v>1.6575030554730392E-4</v>
      </c>
      <c r="W160" s="2"/>
      <c r="X160" s="2">
        <f t="shared" si="31"/>
        <v>-1367.77</v>
      </c>
      <c r="Y160" s="2"/>
      <c r="Z160" s="19">
        <f t="shared" si="32"/>
        <v>-0.78082434206770568</v>
      </c>
    </row>
    <row r="161" spans="1:26" s="24" customFormat="1" hidden="1" outlineLevel="1" x14ac:dyDescent="0.25">
      <c r="A161" s="44"/>
      <c r="B161" s="11" t="str">
        <f>CONCATENATE("          ", "5543", " - ", "FREIGHT-IN-CARDS")</f>
        <v xml:space="preserve">          5543 - FREIGHT-IN-CARDS</v>
      </c>
      <c r="C161" s="11"/>
      <c r="D161" s="2"/>
      <c r="E161" s="2"/>
      <c r="F161" s="19">
        <f t="shared" si="25"/>
        <v>0</v>
      </c>
      <c r="G161" s="2"/>
      <c r="H161" s="2">
        <v>2779.77</v>
      </c>
      <c r="I161" s="2"/>
      <c r="J161" s="19">
        <f t="shared" si="26"/>
        <v>2.5937756401473396E-3</v>
      </c>
      <c r="K161" s="2"/>
      <c r="L161" s="2">
        <f t="shared" si="27"/>
        <v>-2779.77</v>
      </c>
      <c r="M161" s="2"/>
      <c r="N161" s="19">
        <f t="shared" si="28"/>
        <v>-1</v>
      </c>
      <c r="O161" s="11"/>
      <c r="P161" s="2">
        <v>9110.5300000000007</v>
      </c>
      <c r="Q161" s="2"/>
      <c r="R161" s="19">
        <f t="shared" si="29"/>
        <v>2.2313328946900728E-3</v>
      </c>
      <c r="S161" s="2"/>
      <c r="T161" s="2">
        <v>2901.12</v>
      </c>
      <c r="U161" s="2"/>
      <c r="V161" s="19">
        <f t="shared" si="30"/>
        <v>2.7451134693691519E-4</v>
      </c>
      <c r="W161" s="2"/>
      <c r="X161" s="2">
        <f t="shared" si="31"/>
        <v>6209.4100000000008</v>
      </c>
      <c r="Y161" s="2"/>
      <c r="Z161" s="19">
        <f t="shared" si="32"/>
        <v>2.1403492444297378</v>
      </c>
    </row>
    <row r="162" spans="1:26" s="24" customFormat="1" hidden="1" outlineLevel="1" x14ac:dyDescent="0.25">
      <c r="A162" s="44"/>
      <c r="B162" s="11" t="str">
        <f>CONCATENATE("          ", "5544", " - ", "FREIGHT-IN-ACCESSORIES")</f>
        <v xml:space="preserve">          5544 - FREIGHT-IN-ACCESSORIES</v>
      </c>
      <c r="C162" s="11"/>
      <c r="D162" s="2"/>
      <c r="E162" s="2"/>
      <c r="F162" s="19">
        <f t="shared" si="25"/>
        <v>0</v>
      </c>
      <c r="G162" s="2"/>
      <c r="H162" s="2">
        <v>41.13</v>
      </c>
      <c r="I162" s="2"/>
      <c r="J162" s="19">
        <f t="shared" si="26"/>
        <v>3.8377992452346808E-5</v>
      </c>
      <c r="K162" s="2"/>
      <c r="L162" s="2">
        <f t="shared" si="27"/>
        <v>-41.13</v>
      </c>
      <c r="M162" s="2"/>
      <c r="N162" s="19">
        <f t="shared" si="28"/>
        <v>-1</v>
      </c>
      <c r="O162" s="11"/>
      <c r="P162" s="2"/>
      <c r="Q162" s="2"/>
      <c r="R162" s="19">
        <f t="shared" si="29"/>
        <v>0</v>
      </c>
      <c r="S162" s="2"/>
      <c r="T162" s="2">
        <v>483.44</v>
      </c>
      <c r="U162" s="2"/>
      <c r="V162" s="19">
        <f t="shared" si="30"/>
        <v>4.5744321352850716E-5</v>
      </c>
      <c r="W162" s="2"/>
      <c r="X162" s="2">
        <f t="shared" si="31"/>
        <v>-483.44</v>
      </c>
      <c r="Y162" s="2"/>
      <c r="Z162" s="19">
        <f t="shared" si="32"/>
        <v>-1</v>
      </c>
    </row>
    <row r="163" spans="1:26" s="24" customFormat="1" hidden="1" outlineLevel="1" x14ac:dyDescent="0.25">
      <c r="A163" s="44"/>
      <c r="B163" s="11" t="str">
        <f>CONCATENATE("          ", "5545", " - ", "FREIGHT-IN-SPECIAL ORDERS")</f>
        <v xml:space="preserve">          5545 - FREIGHT-IN-SPECIAL ORDERS</v>
      </c>
      <c r="C163" s="11"/>
      <c r="D163" s="2">
        <v>134.74</v>
      </c>
      <c r="E163" s="2"/>
      <c r="F163" s="19">
        <f t="shared" si="25"/>
        <v>6.6382837420430132E-4</v>
      </c>
      <c r="G163" s="2"/>
      <c r="H163" s="2">
        <v>4.49</v>
      </c>
      <c r="I163" s="2"/>
      <c r="J163" s="19">
        <f t="shared" si="26"/>
        <v>4.1895741821307355E-6</v>
      </c>
      <c r="K163" s="2"/>
      <c r="L163" s="2">
        <f t="shared" si="27"/>
        <v>130.25</v>
      </c>
      <c r="M163" s="2"/>
      <c r="N163" s="19">
        <f t="shared" si="28"/>
        <v>29.008908685968819</v>
      </c>
      <c r="O163" s="11"/>
      <c r="P163" s="2">
        <v>1248.53</v>
      </c>
      <c r="Q163" s="2"/>
      <c r="R163" s="19">
        <f t="shared" si="29"/>
        <v>3.0578748536115862E-4</v>
      </c>
      <c r="S163" s="2"/>
      <c r="T163" s="2">
        <v>846.39</v>
      </c>
      <c r="U163" s="2"/>
      <c r="V163" s="19">
        <f t="shared" si="30"/>
        <v>8.0087572707759642E-5</v>
      </c>
      <c r="W163" s="2"/>
      <c r="X163" s="2">
        <f t="shared" si="31"/>
        <v>402.14</v>
      </c>
      <c r="Y163" s="2"/>
      <c r="Z163" s="19">
        <f t="shared" si="32"/>
        <v>0.47512376091399944</v>
      </c>
    </row>
    <row r="164" spans="1:26" s="24" customFormat="1" hidden="1" outlineLevel="1" x14ac:dyDescent="0.25">
      <c r="A164" s="44"/>
      <c r="B164" s="11" t="str">
        <f>CONCATENATE("          ", "5592", " - ", "FREIGHT-IN-GRAD MERCH")</f>
        <v xml:space="preserve">          5592 - FREIGHT-IN-GRAD MERCH</v>
      </c>
      <c r="C164" s="11"/>
      <c r="D164" s="2"/>
      <c r="E164" s="2"/>
      <c r="F164" s="19">
        <f t="shared" si="25"/>
        <v>0</v>
      </c>
      <c r="G164" s="2"/>
      <c r="H164" s="2"/>
      <c r="I164" s="2"/>
      <c r="J164" s="19">
        <f t="shared" si="26"/>
        <v>0</v>
      </c>
      <c r="K164" s="2"/>
      <c r="L164" s="2">
        <f t="shared" si="27"/>
        <v>0</v>
      </c>
      <c r="M164" s="2"/>
      <c r="N164" s="19">
        <f t="shared" si="28"/>
        <v>0</v>
      </c>
      <c r="O164" s="11"/>
      <c r="P164" s="2"/>
      <c r="Q164" s="2"/>
      <c r="R164" s="19">
        <f t="shared" si="29"/>
        <v>0</v>
      </c>
      <c r="S164" s="2"/>
      <c r="T164" s="2">
        <v>105.78</v>
      </c>
      <c r="U164" s="2"/>
      <c r="V164" s="19">
        <f t="shared" si="30"/>
        <v>1.0009172415821092E-5</v>
      </c>
      <c r="W164" s="2"/>
      <c r="X164" s="2">
        <f t="shared" si="31"/>
        <v>-105.78</v>
      </c>
      <c r="Y164" s="2"/>
      <c r="Z164" s="19">
        <f t="shared" si="32"/>
        <v>-1</v>
      </c>
    </row>
    <row r="165" spans="1:26" x14ac:dyDescent="0.25">
      <c r="A165" s="9"/>
      <c r="B165" s="10"/>
      <c r="C165" s="10"/>
      <c r="D165" s="3"/>
      <c r="E165" s="3"/>
      <c r="F165" s="8"/>
      <c r="G165" s="3"/>
      <c r="H165" s="3"/>
      <c r="I165" s="3"/>
      <c r="J165" s="8"/>
      <c r="K165" s="3"/>
      <c r="L165" s="3"/>
      <c r="M165" s="3"/>
      <c r="N165" s="8"/>
      <c r="O165" s="10"/>
      <c r="P165" s="3"/>
      <c r="Q165" s="3"/>
      <c r="R165" s="8"/>
      <c r="S165" s="3"/>
      <c r="T165" s="3"/>
      <c r="U165" s="3"/>
      <c r="V165" s="8"/>
      <c r="W165" s="3"/>
      <c r="X165" s="3"/>
      <c r="Y165" s="3"/>
      <c r="Z165" s="8"/>
    </row>
    <row r="166" spans="1:26" s="23" customFormat="1" x14ac:dyDescent="0.25">
      <c r="A166" s="10"/>
      <c r="B166" s="29" t="s">
        <v>6</v>
      </c>
      <c r="C166" s="29"/>
      <c r="D166" s="22">
        <f>D12-D112</f>
        <v>67515.010000000038</v>
      </c>
      <c r="E166" s="14"/>
      <c r="F166" s="20">
        <f>IF(D$12=0,0,D166/D$12)</f>
        <v>0.33262861305245045</v>
      </c>
      <c r="G166" s="14"/>
      <c r="H166" s="22">
        <f>H12-H112</f>
        <v>379570.29000000015</v>
      </c>
      <c r="I166" s="14"/>
      <c r="J166" s="20">
        <f>IF(H$12=0,0,H166/H$12)</f>
        <v>0.35417324883917078</v>
      </c>
      <c r="K166" s="16"/>
      <c r="L166" s="22">
        <f>+D166-H166</f>
        <v>-312055.28000000014</v>
      </c>
      <c r="M166" s="16"/>
      <c r="N166" s="20">
        <f>IF(H166=0,0,L166/H166)</f>
        <v>-0.82212778033812928</v>
      </c>
      <c r="O166" s="28"/>
      <c r="P166" s="22">
        <f>P12-P112</f>
        <v>1432448.1399999987</v>
      </c>
      <c r="Q166" s="14"/>
      <c r="R166" s="20">
        <f>IF(P$12=0,0,P166/P$12)</f>
        <v>0.35083235055694978</v>
      </c>
      <c r="S166" s="14"/>
      <c r="T166" s="22">
        <f>T12-T112</f>
        <v>4603998.1900000013</v>
      </c>
      <c r="U166" s="14"/>
      <c r="V166" s="20">
        <f>IF(T$12=0,0,T166/T$12)</f>
        <v>0.43564200875248865</v>
      </c>
      <c r="W166" s="16"/>
      <c r="X166" s="22">
        <f>+P166-T166</f>
        <v>-3171550.0500000026</v>
      </c>
      <c r="Y166" s="16"/>
      <c r="Z166" s="20">
        <f>IF(T166=0,0,X166/T166)</f>
        <v>-0.68886865700527167</v>
      </c>
    </row>
    <row r="167" spans="1:26" x14ac:dyDescent="0.25">
      <c r="A167" s="9"/>
      <c r="B167" s="10"/>
      <c r="C167" s="9"/>
      <c r="D167" s="1"/>
      <c r="E167" s="1"/>
      <c r="F167" s="5"/>
      <c r="G167" s="1"/>
      <c r="H167" s="1"/>
      <c r="I167" s="1"/>
      <c r="J167" s="5"/>
      <c r="K167" s="1"/>
      <c r="L167" s="1"/>
      <c r="M167" s="1"/>
      <c r="N167" s="5"/>
      <c r="O167" s="37"/>
      <c r="P167" s="1"/>
      <c r="Q167" s="1"/>
      <c r="R167" s="5"/>
      <c r="S167" s="1"/>
      <c r="T167" s="1"/>
      <c r="U167" s="1"/>
      <c r="V167" s="5"/>
      <c r="W167" s="1"/>
      <c r="X167" s="1"/>
      <c r="Y167" s="1"/>
      <c r="Z167" s="5"/>
    </row>
    <row r="168" spans="1:26" s="23" customFormat="1" x14ac:dyDescent="0.25">
      <c r="A168" s="10"/>
      <c r="B168" s="28" t="s">
        <v>9</v>
      </c>
      <c r="C168" s="10"/>
      <c r="D168" s="21">
        <f>SUM(OSRRefD22x_0)</f>
        <v>265311.36000000004</v>
      </c>
      <c r="E168" s="21"/>
      <c r="F168" s="32">
        <f t="shared" ref="F168:F179" si="33">IF(D$12=0,0,D168/D$12)</f>
        <v>1.3071189607149483</v>
      </c>
      <c r="G168" s="21"/>
      <c r="H168" s="21">
        <f>SUM(OSRRefH22x_0)</f>
        <v>485790.05000000005</v>
      </c>
      <c r="I168" s="21"/>
      <c r="J168" s="32">
        <f t="shared" ref="J168:J179" si="34">IF(H$12=0,0,H168/H$12)</f>
        <v>0.4532858466405344</v>
      </c>
      <c r="K168" s="4"/>
      <c r="L168" s="21">
        <f t="shared" ref="L168:L179" si="35">+D168-H168</f>
        <v>-220478.69</v>
      </c>
      <c r="M168" s="4"/>
      <c r="N168" s="32">
        <f t="shared" ref="N168:N179" si="36">IF(H168=0,0,L168/H168)</f>
        <v>-0.4538559198567364</v>
      </c>
      <c r="O168" s="10"/>
      <c r="P168" s="21">
        <f>SUM(OSRRefP22x_0)</f>
        <v>2359666.6900000009</v>
      </c>
      <c r="Q168" s="21"/>
      <c r="R168" s="32">
        <f t="shared" ref="R168:R179" si="37">IF(P$12=0,0,P168/P$12)</f>
        <v>0.57792487439275697</v>
      </c>
      <c r="S168" s="21"/>
      <c r="T168" s="21">
        <f>SUM(OSRRefT22x_0)</f>
        <v>3928892.790000001</v>
      </c>
      <c r="U168" s="21"/>
      <c r="V168" s="32">
        <f t="shared" ref="V168:V179" si="38">IF(T$12=0,0,T168/T$12)</f>
        <v>0.37176182017759862</v>
      </c>
      <c r="W168" s="4"/>
      <c r="X168" s="21">
        <f t="shared" ref="X168:X179" si="39">+P168-T168</f>
        <v>-1569226.1</v>
      </c>
      <c r="Y168" s="4"/>
      <c r="Z168" s="32">
        <f t="shared" ref="Z168:Z179" si="40">IF(T168=0,0,X168/T168)</f>
        <v>-0.39940669900539577</v>
      </c>
    </row>
    <row r="169" spans="1:26" s="25" customFormat="1" outlineLevel="1" collapsed="1" x14ac:dyDescent="0.25">
      <c r="A169" s="27"/>
      <c r="B169" s="13" t="str">
        <f>CONCATENATE("     ","*Benefits                                         ")</f>
        <v xml:space="preserve">     *Benefits                                         </v>
      </c>
      <c r="C169" s="13"/>
      <c r="D169" s="1">
        <f>SUM(OSRRefD22_0x_0)</f>
        <v>45174.219999999994</v>
      </c>
      <c r="E169" s="1"/>
      <c r="F169" s="5">
        <f t="shared" si="33"/>
        <v>0.22256144440067854</v>
      </c>
      <c r="G169" s="1"/>
      <c r="H169" s="1">
        <f>SUM(OSRRefH22_0x_0)</f>
        <v>55273.929999999993</v>
      </c>
      <c r="I169" s="1"/>
      <c r="J169" s="5">
        <f t="shared" si="34"/>
        <v>5.1575552354766484E-2</v>
      </c>
      <c r="K169" s="1"/>
      <c r="L169" s="1">
        <f t="shared" si="35"/>
        <v>-10099.709999999999</v>
      </c>
      <c r="M169" s="1"/>
      <c r="N169" s="5">
        <f t="shared" si="36"/>
        <v>-0.18272104046157023</v>
      </c>
      <c r="O169" s="13"/>
      <c r="P169" s="1">
        <f>SUM(OSRRefP22_0x_0)</f>
        <v>399654.95</v>
      </c>
      <c r="Q169" s="1"/>
      <c r="R169" s="5">
        <f t="shared" si="37"/>
        <v>9.7882695788358787E-2</v>
      </c>
      <c r="S169" s="1"/>
      <c r="T169" s="1">
        <f>SUM(OSRRefT22_0x_0)</f>
        <v>500262.93000000005</v>
      </c>
      <c r="U169" s="1"/>
      <c r="V169" s="5">
        <f t="shared" si="38"/>
        <v>4.7336149741102652E-2</v>
      </c>
      <c r="W169" s="1"/>
      <c r="X169" s="1">
        <f t="shared" si="39"/>
        <v>-100607.98000000004</v>
      </c>
      <c r="Y169" s="1"/>
      <c r="Z169" s="5">
        <f t="shared" si="40"/>
        <v>-0.20111020418802575</v>
      </c>
    </row>
    <row r="170" spans="1:26" s="24" customFormat="1" hidden="1" outlineLevel="2" x14ac:dyDescent="0.25">
      <c r="A170" s="26"/>
      <c r="B170" s="11" t="str">
        <f>CONCATENATE("          ", "6111", " - ", "F.I.C.A.")</f>
        <v xml:space="preserve">          6111 - F.I.C.A.</v>
      </c>
      <c r="C170" s="11"/>
      <c r="D170" s="6">
        <v>7541.13</v>
      </c>
      <c r="E170" s="2"/>
      <c r="F170" s="7">
        <f t="shared" si="33"/>
        <v>3.7153154724382388E-2</v>
      </c>
      <c r="G170" s="2"/>
      <c r="H170" s="6">
        <v>9533.93</v>
      </c>
      <c r="I170" s="2"/>
      <c r="J170" s="7">
        <f t="shared" si="34"/>
        <v>8.8960149180939176E-3</v>
      </c>
      <c r="K170" s="2"/>
      <c r="L170" s="6">
        <f t="shared" si="35"/>
        <v>-1992.8000000000002</v>
      </c>
      <c r="M170" s="2"/>
      <c r="N170" s="7">
        <f t="shared" si="36"/>
        <v>-0.20902188289614043</v>
      </c>
      <c r="O170" s="11"/>
      <c r="P170" s="6">
        <v>74899.520000000004</v>
      </c>
      <c r="Q170" s="2"/>
      <c r="R170" s="7">
        <f t="shared" si="37"/>
        <v>1.8344241528483744E-2</v>
      </c>
      <c r="S170" s="2"/>
      <c r="T170" s="6">
        <v>93176.95</v>
      </c>
      <c r="U170" s="2"/>
      <c r="V170" s="7">
        <f t="shared" si="38"/>
        <v>8.8166397970348004E-3</v>
      </c>
      <c r="W170" s="2"/>
      <c r="X170" s="6">
        <f t="shared" si="39"/>
        <v>-18277.429999999993</v>
      </c>
      <c r="Y170" s="2"/>
      <c r="Z170" s="7">
        <f t="shared" si="40"/>
        <v>-0.19615827734219668</v>
      </c>
    </row>
    <row r="171" spans="1:26" s="24" customFormat="1" hidden="1" outlineLevel="2" x14ac:dyDescent="0.25">
      <c r="A171" s="26"/>
      <c r="B171" s="11" t="str">
        <f>CONCATENATE("          ", "6112", " - ", "COMPENSATION INSURANCE")</f>
        <v xml:space="preserve">          6112 - COMPENSATION INSURANCE</v>
      </c>
      <c r="C171" s="11"/>
      <c r="D171" s="6">
        <v>1772.31</v>
      </c>
      <c r="E171" s="2"/>
      <c r="F171" s="7">
        <f t="shared" si="33"/>
        <v>8.7317030272081424E-3</v>
      </c>
      <c r="G171" s="2"/>
      <c r="H171" s="6">
        <v>4059.73</v>
      </c>
      <c r="I171" s="2"/>
      <c r="J171" s="7">
        <f t="shared" si="34"/>
        <v>3.7880935399602698E-3</v>
      </c>
      <c r="K171" s="2"/>
      <c r="L171" s="6">
        <f t="shared" si="35"/>
        <v>-2287.42</v>
      </c>
      <c r="M171" s="2"/>
      <c r="N171" s="7">
        <f t="shared" si="36"/>
        <v>-0.56344141112832624</v>
      </c>
      <c r="O171" s="11"/>
      <c r="P171" s="6">
        <v>19092.550000000003</v>
      </c>
      <c r="Q171" s="2"/>
      <c r="R171" s="7">
        <f t="shared" si="37"/>
        <v>4.6761093875455056E-3</v>
      </c>
      <c r="S171" s="2"/>
      <c r="T171" s="6">
        <v>27071.89</v>
      </c>
      <c r="U171" s="2"/>
      <c r="V171" s="7">
        <f t="shared" si="38"/>
        <v>2.5616110288536856E-3</v>
      </c>
      <c r="W171" s="2"/>
      <c r="X171" s="6">
        <f t="shared" si="39"/>
        <v>-7979.3399999999965</v>
      </c>
      <c r="Y171" s="2"/>
      <c r="Z171" s="7">
        <f t="shared" si="40"/>
        <v>-0.29474632173815707</v>
      </c>
    </row>
    <row r="172" spans="1:26" s="24" customFormat="1" hidden="1" outlineLevel="2" x14ac:dyDescent="0.25">
      <c r="A172" s="26"/>
      <c r="B172" s="11" t="str">
        <f>CONCATENATE("          ", "6113", " - ", "GROUP INSURANCE")</f>
        <v xml:space="preserve">          6113 - GROUP INSURANCE</v>
      </c>
      <c r="C172" s="11"/>
      <c r="D172" s="6">
        <v>18287.8</v>
      </c>
      <c r="E172" s="2"/>
      <c r="F172" s="7">
        <f t="shared" si="33"/>
        <v>9.0099157946960232E-2</v>
      </c>
      <c r="G172" s="2"/>
      <c r="H172" s="6">
        <v>22086.390000000003</v>
      </c>
      <c r="I172" s="2"/>
      <c r="J172" s="7">
        <f t="shared" si="34"/>
        <v>2.0608590049102555E-2</v>
      </c>
      <c r="K172" s="2"/>
      <c r="L172" s="6">
        <f t="shared" si="35"/>
        <v>-3798.5900000000038</v>
      </c>
      <c r="M172" s="2"/>
      <c r="N172" s="7">
        <f t="shared" si="36"/>
        <v>-0.17198781693160373</v>
      </c>
      <c r="O172" s="11"/>
      <c r="P172" s="6">
        <v>146373.51</v>
      </c>
      <c r="Q172" s="2"/>
      <c r="R172" s="7">
        <f t="shared" si="37"/>
        <v>3.5849509059763411E-2</v>
      </c>
      <c r="S172" s="2"/>
      <c r="T172" s="6">
        <v>191897.51</v>
      </c>
      <c r="U172" s="2"/>
      <c r="V172" s="7">
        <f t="shared" si="38"/>
        <v>1.8157830060094086E-2</v>
      </c>
      <c r="W172" s="2"/>
      <c r="X172" s="6">
        <f t="shared" si="39"/>
        <v>-45524</v>
      </c>
      <c r="Y172" s="2"/>
      <c r="Z172" s="7">
        <f t="shared" si="40"/>
        <v>-0.23723080096245125</v>
      </c>
    </row>
    <row r="173" spans="1:26" s="24" customFormat="1" hidden="1" outlineLevel="2" x14ac:dyDescent="0.25">
      <c r="A173" s="26"/>
      <c r="B173" s="11" t="str">
        <f>CONCATENATE("          ", "6114", " - ", "STATE UNEMPLOYMENT INSURANCE")</f>
        <v xml:space="preserve">          6114 - STATE UNEMPLOYMENT INSURANCE</v>
      </c>
      <c r="C173" s="11"/>
      <c r="D173" s="6">
        <v>314.29000000000002</v>
      </c>
      <c r="E173" s="2"/>
      <c r="F173" s="7">
        <f t="shared" si="33"/>
        <v>1.5484237771164456E-3</v>
      </c>
      <c r="G173" s="2"/>
      <c r="H173" s="6">
        <v>639.48</v>
      </c>
      <c r="I173" s="2"/>
      <c r="J173" s="7">
        <f t="shared" si="34"/>
        <v>5.9669240489731914E-4</v>
      </c>
      <c r="K173" s="2"/>
      <c r="L173" s="6">
        <f t="shared" si="35"/>
        <v>-325.19</v>
      </c>
      <c r="M173" s="2"/>
      <c r="N173" s="7">
        <f t="shared" si="36"/>
        <v>-0.50852254957152687</v>
      </c>
      <c r="O173" s="11"/>
      <c r="P173" s="6">
        <v>3062.7</v>
      </c>
      <c r="Q173" s="2"/>
      <c r="R173" s="7">
        <f t="shared" si="37"/>
        <v>7.501103949569658E-4</v>
      </c>
      <c r="S173" s="2"/>
      <c r="T173" s="6">
        <v>5114.7700000000004</v>
      </c>
      <c r="U173" s="2"/>
      <c r="V173" s="7">
        <f t="shared" si="38"/>
        <v>4.8397253542512058E-4</v>
      </c>
      <c r="W173" s="2"/>
      <c r="X173" s="6">
        <f t="shared" si="39"/>
        <v>-2052.0700000000006</v>
      </c>
      <c r="Y173" s="2"/>
      <c r="Z173" s="7">
        <f t="shared" si="40"/>
        <v>-0.40120474625447489</v>
      </c>
    </row>
    <row r="174" spans="1:26" s="24" customFormat="1" hidden="1" outlineLevel="2" x14ac:dyDescent="0.25">
      <c r="A174" s="26"/>
      <c r="B174" s="11" t="str">
        <f>CONCATENATE("          ", "6115", " - ", "P.E.R.S.")</f>
        <v xml:space="preserve">          6115 - P.E.R.S.</v>
      </c>
      <c r="C174" s="11"/>
      <c r="D174" s="6">
        <v>6291.44</v>
      </c>
      <c r="E174" s="2"/>
      <c r="F174" s="7">
        <f t="shared" si="33"/>
        <v>3.0996262331927482E-2</v>
      </c>
      <c r="G174" s="2"/>
      <c r="H174" s="6">
        <v>7242.35</v>
      </c>
      <c r="I174" s="2"/>
      <c r="J174" s="7">
        <f t="shared" si="34"/>
        <v>6.757764493976511E-3</v>
      </c>
      <c r="K174" s="2"/>
      <c r="L174" s="6">
        <f t="shared" si="35"/>
        <v>-950.91000000000076</v>
      </c>
      <c r="M174" s="2"/>
      <c r="N174" s="7">
        <f t="shared" si="36"/>
        <v>-0.131298542600123</v>
      </c>
      <c r="O174" s="11"/>
      <c r="P174" s="6">
        <v>61342.200000000004</v>
      </c>
      <c r="Q174" s="2"/>
      <c r="R174" s="7">
        <f t="shared" si="37"/>
        <v>1.5023809667786331E-2</v>
      </c>
      <c r="S174" s="2"/>
      <c r="T174" s="6">
        <v>69465.400000000009</v>
      </c>
      <c r="U174" s="2"/>
      <c r="V174" s="7">
        <f t="shared" si="38"/>
        <v>6.5729926785212571E-3</v>
      </c>
      <c r="W174" s="2"/>
      <c r="X174" s="6">
        <f t="shared" si="39"/>
        <v>-8123.2000000000044</v>
      </c>
      <c r="Y174" s="2"/>
      <c r="Z174" s="7">
        <f t="shared" si="40"/>
        <v>-0.11693879254996017</v>
      </c>
    </row>
    <row r="175" spans="1:26" s="24" customFormat="1" hidden="1" outlineLevel="2" x14ac:dyDescent="0.25">
      <c r="A175" s="26"/>
      <c r="B175" s="11" t="str">
        <f>CONCATENATE("          ", "6116", " - ", "EDUCATIONAL BENEFITS")</f>
        <v xml:space="preserve">          6116 - EDUCATIONAL BENEFITS</v>
      </c>
      <c r="C175" s="11"/>
      <c r="D175" s="6"/>
      <c r="E175" s="2"/>
      <c r="F175" s="7">
        <f t="shared" si="33"/>
        <v>0</v>
      </c>
      <c r="G175" s="2"/>
      <c r="H175" s="6"/>
      <c r="I175" s="2"/>
      <c r="J175" s="7">
        <f t="shared" si="34"/>
        <v>0</v>
      </c>
      <c r="K175" s="2"/>
      <c r="L175" s="6">
        <f t="shared" si="35"/>
        <v>0</v>
      </c>
      <c r="M175" s="2"/>
      <c r="N175" s="7">
        <f t="shared" si="36"/>
        <v>0</v>
      </c>
      <c r="O175" s="11"/>
      <c r="P175" s="6">
        <v>0</v>
      </c>
      <c r="Q175" s="2"/>
      <c r="R175" s="7">
        <f t="shared" si="37"/>
        <v>0</v>
      </c>
      <c r="S175" s="2"/>
      <c r="T175" s="6"/>
      <c r="U175" s="2"/>
      <c r="V175" s="7">
        <f t="shared" si="38"/>
        <v>0</v>
      </c>
      <c r="W175" s="2"/>
      <c r="X175" s="6">
        <f t="shared" si="39"/>
        <v>0</v>
      </c>
      <c r="Y175" s="2"/>
      <c r="Z175" s="7">
        <f t="shared" si="40"/>
        <v>0</v>
      </c>
    </row>
    <row r="176" spans="1:26" s="24" customFormat="1" hidden="1" outlineLevel="2" x14ac:dyDescent="0.25">
      <c r="A176" s="26"/>
      <c r="B176" s="11" t="str">
        <f>CONCATENATE("          ", "6117", " - ", "RETIREMENT STAFF HOURLY")</f>
        <v xml:space="preserve">          6117 - RETIREMENT STAFF HOURLY</v>
      </c>
      <c r="C176" s="11"/>
      <c r="D176" s="6">
        <v>509.38</v>
      </c>
      <c r="E176" s="2"/>
      <c r="F176" s="7">
        <f t="shared" si="33"/>
        <v>2.5095806534970091E-3</v>
      </c>
      <c r="G176" s="2"/>
      <c r="H176" s="6">
        <v>111.34</v>
      </c>
      <c r="I176" s="2"/>
      <c r="J176" s="7">
        <f t="shared" si="34"/>
        <v>1.0389024263662274E-4</v>
      </c>
      <c r="K176" s="2"/>
      <c r="L176" s="6">
        <f t="shared" si="35"/>
        <v>398.03999999999996</v>
      </c>
      <c r="M176" s="2"/>
      <c r="N176" s="7">
        <f t="shared" si="36"/>
        <v>3.5749955092509427</v>
      </c>
      <c r="O176" s="11"/>
      <c r="P176" s="6">
        <v>2750.42</v>
      </c>
      <c r="Q176" s="2"/>
      <c r="R176" s="7">
        <f t="shared" si="37"/>
        <v>6.7362739820992521E-4</v>
      </c>
      <c r="S176" s="2"/>
      <c r="T176" s="6">
        <v>1063.57</v>
      </c>
      <c r="U176" s="2"/>
      <c r="V176" s="7">
        <f t="shared" si="38"/>
        <v>1.0063769622135412E-4</v>
      </c>
      <c r="W176" s="2"/>
      <c r="X176" s="6">
        <f t="shared" si="39"/>
        <v>1686.8500000000001</v>
      </c>
      <c r="Y176" s="2"/>
      <c r="Z176" s="7">
        <f t="shared" si="40"/>
        <v>1.5860263076243222</v>
      </c>
    </row>
    <row r="177" spans="1:26" s="24" customFormat="1" hidden="1" outlineLevel="2" x14ac:dyDescent="0.25">
      <c r="A177" s="26"/>
      <c r="B177" s="11" t="str">
        <f>CONCATENATE("          ", "6118", " - ", "VACATION")</f>
        <v xml:space="preserve">          6118 - VACATION</v>
      </c>
      <c r="C177" s="11"/>
      <c r="D177" s="6">
        <v>5425.16</v>
      </c>
      <c r="E177" s="2"/>
      <c r="F177" s="7">
        <f t="shared" si="33"/>
        <v>2.6728329691243932E-2</v>
      </c>
      <c r="G177" s="2"/>
      <c r="H177" s="6">
        <v>4736.9799999999996</v>
      </c>
      <c r="I177" s="2"/>
      <c r="J177" s="7">
        <f t="shared" si="34"/>
        <v>4.4200287548484749E-3</v>
      </c>
      <c r="K177" s="2"/>
      <c r="L177" s="6">
        <f t="shared" si="35"/>
        <v>688.18000000000029</v>
      </c>
      <c r="M177" s="2"/>
      <c r="N177" s="7">
        <f t="shared" si="36"/>
        <v>0.1452782152341788</v>
      </c>
      <c r="O177" s="11"/>
      <c r="P177" s="6">
        <v>46876.47</v>
      </c>
      <c r="Q177" s="2"/>
      <c r="R177" s="7">
        <f t="shared" si="37"/>
        <v>1.1480891835925282E-2</v>
      </c>
      <c r="S177" s="2"/>
      <c r="T177" s="6">
        <v>51444.34</v>
      </c>
      <c r="U177" s="2"/>
      <c r="V177" s="7">
        <f t="shared" si="38"/>
        <v>4.8677941848943246E-3</v>
      </c>
      <c r="W177" s="2"/>
      <c r="X177" s="6">
        <f t="shared" si="39"/>
        <v>-4567.8699999999953</v>
      </c>
      <c r="Y177" s="2"/>
      <c r="Z177" s="7">
        <f t="shared" si="40"/>
        <v>-8.879246968665544E-2</v>
      </c>
    </row>
    <row r="178" spans="1:26" s="24" customFormat="1" hidden="1" outlineLevel="2" x14ac:dyDescent="0.25">
      <c r="A178" s="26"/>
      <c r="B178" s="11" t="str">
        <f>CONCATENATE("          ", "6119", " - ", "SICK LEAVE")</f>
        <v xml:space="preserve">          6119 - SICK LEAVE</v>
      </c>
      <c r="C178" s="11"/>
      <c r="D178" s="6">
        <v>3824.03</v>
      </c>
      <c r="E178" s="2"/>
      <c r="F178" s="7">
        <f t="shared" si="33"/>
        <v>1.8839985288767066E-2</v>
      </c>
      <c r="G178" s="2"/>
      <c r="H178" s="6">
        <v>4105.42</v>
      </c>
      <c r="I178" s="2"/>
      <c r="J178" s="7">
        <f t="shared" si="34"/>
        <v>3.8307264228960277E-3</v>
      </c>
      <c r="K178" s="2"/>
      <c r="L178" s="6">
        <f t="shared" si="35"/>
        <v>-281.38999999999987</v>
      </c>
      <c r="M178" s="2"/>
      <c r="N178" s="7">
        <f t="shared" si="36"/>
        <v>-6.8541099327230806E-2</v>
      </c>
      <c r="O178" s="11"/>
      <c r="P178" s="6">
        <v>33591.660000000003</v>
      </c>
      <c r="Q178" s="2"/>
      <c r="R178" s="7">
        <f t="shared" si="37"/>
        <v>8.2272025826428032E-3</v>
      </c>
      <c r="S178" s="2"/>
      <c r="T178" s="6">
        <v>39661.599999999999</v>
      </c>
      <c r="U178" s="2"/>
      <c r="V178" s="7">
        <f t="shared" si="38"/>
        <v>3.7528813829394007E-3</v>
      </c>
      <c r="W178" s="2"/>
      <c r="X178" s="6">
        <f t="shared" si="39"/>
        <v>-6069.9399999999951</v>
      </c>
      <c r="Y178" s="2"/>
      <c r="Z178" s="7">
        <f t="shared" si="40"/>
        <v>-0.15304324585997528</v>
      </c>
    </row>
    <row r="179" spans="1:26" s="24" customFormat="1" hidden="1" outlineLevel="2" x14ac:dyDescent="0.25">
      <c r="A179" s="26"/>
      <c r="B179" s="11" t="str">
        <f>CONCATENATE("          ", "6156", " - ", "EMPLOYEE MEALS")</f>
        <v xml:space="preserve">          6156 - EMPLOYEE MEALS</v>
      </c>
      <c r="C179" s="11"/>
      <c r="D179" s="6">
        <v>1208.68</v>
      </c>
      <c r="E179" s="2"/>
      <c r="F179" s="7">
        <f t="shared" si="33"/>
        <v>5.9548469595758864E-3</v>
      </c>
      <c r="G179" s="2"/>
      <c r="H179" s="6">
        <v>2758.31</v>
      </c>
      <c r="I179" s="2"/>
      <c r="J179" s="7">
        <f t="shared" si="34"/>
        <v>2.5737515283547948E-3</v>
      </c>
      <c r="K179" s="2"/>
      <c r="L179" s="6">
        <f t="shared" si="35"/>
        <v>-1549.6299999999999</v>
      </c>
      <c r="M179" s="2"/>
      <c r="N179" s="7">
        <f t="shared" si="36"/>
        <v>-0.56180414819219016</v>
      </c>
      <c r="O179" s="11"/>
      <c r="P179" s="6">
        <v>11665.92</v>
      </c>
      <c r="Q179" s="2"/>
      <c r="R179" s="7">
        <f t="shared" si="37"/>
        <v>2.857193933044819E-3</v>
      </c>
      <c r="S179" s="2"/>
      <c r="T179" s="6">
        <v>21366.9</v>
      </c>
      <c r="U179" s="2"/>
      <c r="V179" s="7">
        <f t="shared" si="38"/>
        <v>2.0217903771186209E-3</v>
      </c>
      <c r="W179" s="2"/>
      <c r="X179" s="6">
        <f t="shared" si="39"/>
        <v>-9700.9800000000014</v>
      </c>
      <c r="Y179" s="2"/>
      <c r="Z179" s="7">
        <f t="shared" si="40"/>
        <v>-0.45401906687446475</v>
      </c>
    </row>
    <row r="180" spans="1:26" s="25" customFormat="1" outlineLevel="1" collapsed="1" x14ac:dyDescent="0.25">
      <c r="A180" s="27"/>
      <c r="B180" s="13" t="str">
        <f>CONCATENATE("     ","*Payroll                                          ")</f>
        <v xml:space="preserve">     *Payroll                                          </v>
      </c>
      <c r="C180" s="13"/>
      <c r="D180" s="1">
        <f>SUM(OSRRefD22_1x_0)</f>
        <v>111617.56</v>
      </c>
      <c r="E180" s="1"/>
      <c r="F180" s="5">
        <f t="shared" ref="F180:F187" si="41">IF(D$12=0,0,D180/D$12)</f>
        <v>0.54991022255789712</v>
      </c>
      <c r="G180" s="1"/>
      <c r="H180" s="1">
        <f>SUM(OSRRefH22_1x_0)</f>
        <v>218236.24999999997</v>
      </c>
      <c r="I180" s="1"/>
      <c r="J180" s="5">
        <f t="shared" ref="J180:J187" si="42">IF(H$12=0,0,H180/H$12)</f>
        <v>0.20363406650446073</v>
      </c>
      <c r="K180" s="1"/>
      <c r="L180" s="1">
        <f t="shared" ref="L180:L187" si="43">+D180-H180</f>
        <v>-106618.68999999997</v>
      </c>
      <c r="M180" s="1"/>
      <c r="N180" s="5">
        <f t="shared" ref="N180:N187" si="44">IF(H180=0,0,L180/H180)</f>
        <v>-0.48854711350657826</v>
      </c>
      <c r="O180" s="13"/>
      <c r="P180" s="1">
        <f>SUM(OSRRefP22_1x_0)</f>
        <v>1048615.76</v>
      </c>
      <c r="Q180" s="1"/>
      <c r="R180" s="5">
        <f t="shared" ref="R180:R187" si="45">IF(P$12=0,0,P180/P$12)</f>
        <v>0.25682488715567925</v>
      </c>
      <c r="S180" s="1"/>
      <c r="T180" s="1">
        <f>SUM(OSRRefT22_1x_0)</f>
        <v>1887285.16</v>
      </c>
      <c r="U180" s="1"/>
      <c r="V180" s="5">
        <f t="shared" ref="V180:V187" si="46">IF(T$12=0,0,T180/T$12)</f>
        <v>0.17857971794536298</v>
      </c>
      <c r="W180" s="1"/>
      <c r="X180" s="1">
        <f t="shared" ref="X180:X187" si="47">+P180-T180</f>
        <v>-838669.39999999991</v>
      </c>
      <c r="Y180" s="1"/>
      <c r="Z180" s="5">
        <f t="shared" ref="Z180:Z187" si="48">IF(T180=0,0,X180/T180)</f>
        <v>-0.44437873924680249</v>
      </c>
    </row>
    <row r="181" spans="1:26" s="24" customFormat="1" hidden="1" outlineLevel="2" x14ac:dyDescent="0.25">
      <c r="A181" s="26"/>
      <c r="B181" s="11" t="str">
        <f>CONCATENATE("          ", "6001", " - ", "ADMINISTRATIVE SALARIES")</f>
        <v xml:space="preserve">          6001 - ADMINISTRATIVE SALARIES</v>
      </c>
      <c r="C181" s="11"/>
      <c r="D181" s="6">
        <v>4280.74</v>
      </c>
      <c r="E181" s="2"/>
      <c r="F181" s="7">
        <f t="shared" si="41"/>
        <v>2.1090074770605021E-2</v>
      </c>
      <c r="G181" s="2"/>
      <c r="H181" s="6">
        <v>9109.57</v>
      </c>
      <c r="I181" s="2"/>
      <c r="J181" s="7">
        <f t="shared" si="42"/>
        <v>8.5000488379315554E-3</v>
      </c>
      <c r="K181" s="2"/>
      <c r="L181" s="6">
        <f t="shared" si="43"/>
        <v>-4828.83</v>
      </c>
      <c r="M181" s="2"/>
      <c r="N181" s="7">
        <f t="shared" si="44"/>
        <v>-0.53008319821901584</v>
      </c>
      <c r="O181" s="11"/>
      <c r="P181" s="6">
        <v>34496.590000000004</v>
      </c>
      <c r="Q181" s="2"/>
      <c r="R181" s="7">
        <f t="shared" si="45"/>
        <v>8.4488362391251254E-3</v>
      </c>
      <c r="S181" s="2"/>
      <c r="T181" s="6">
        <v>88416.11</v>
      </c>
      <c r="U181" s="2"/>
      <c r="V181" s="7">
        <f t="shared" si="46"/>
        <v>8.3661570176423086E-3</v>
      </c>
      <c r="W181" s="2"/>
      <c r="X181" s="6">
        <f t="shared" si="47"/>
        <v>-53919.519999999997</v>
      </c>
      <c r="Y181" s="2"/>
      <c r="Z181" s="7">
        <f t="shared" si="48"/>
        <v>-0.60983818446660909</v>
      </c>
    </row>
    <row r="182" spans="1:26" s="24" customFormat="1" hidden="1" outlineLevel="2" x14ac:dyDescent="0.25">
      <c r="A182" s="26"/>
      <c r="B182" s="11" t="str">
        <f>CONCATENATE("          ", "6002", " - ", "STAFF SALARIES")</f>
        <v xml:space="preserve">          6002 - STAFF SALARIES</v>
      </c>
      <c r="C182" s="11"/>
      <c r="D182" s="6">
        <v>60271.590000000004</v>
      </c>
      <c r="E182" s="2"/>
      <c r="F182" s="7">
        <f t="shared" si="41"/>
        <v>0.29694219682654172</v>
      </c>
      <c r="G182" s="2"/>
      <c r="H182" s="6">
        <v>63413.63</v>
      </c>
      <c r="I182" s="2"/>
      <c r="J182" s="7">
        <f t="shared" si="42"/>
        <v>5.9170625176657256E-2</v>
      </c>
      <c r="K182" s="2"/>
      <c r="L182" s="6">
        <f t="shared" si="43"/>
        <v>-3142.0399999999936</v>
      </c>
      <c r="M182" s="2"/>
      <c r="N182" s="7">
        <f t="shared" si="44"/>
        <v>-4.9548338425035657E-2</v>
      </c>
      <c r="O182" s="11"/>
      <c r="P182" s="6">
        <v>514853.46</v>
      </c>
      <c r="Q182" s="2"/>
      <c r="R182" s="7">
        <f t="shared" si="45"/>
        <v>0.12609688582804729</v>
      </c>
      <c r="S182" s="2"/>
      <c r="T182" s="6">
        <v>594698.61</v>
      </c>
      <c r="U182" s="2"/>
      <c r="V182" s="7">
        <f t="shared" si="46"/>
        <v>5.6271893769513574E-2</v>
      </c>
      <c r="W182" s="2"/>
      <c r="X182" s="6">
        <f t="shared" si="47"/>
        <v>-79845.149999999965</v>
      </c>
      <c r="Y182" s="2"/>
      <c r="Z182" s="7">
        <f t="shared" si="48"/>
        <v>-0.13426153795785728</v>
      </c>
    </row>
    <row r="183" spans="1:26" s="24" customFormat="1" hidden="1" outlineLevel="2" x14ac:dyDescent="0.25">
      <c r="A183" s="26"/>
      <c r="B183" s="11" t="str">
        <f>CONCATENATE("          ", "6004", " - ", "STAFF HOURLY")</f>
        <v xml:space="preserve">          6004 - STAFF HOURLY</v>
      </c>
      <c r="C183" s="11"/>
      <c r="D183" s="6">
        <v>15570.79</v>
      </c>
      <c r="E183" s="2"/>
      <c r="F183" s="7">
        <f t="shared" si="41"/>
        <v>7.6713167661990447E-2</v>
      </c>
      <c r="G183" s="2"/>
      <c r="H183" s="6">
        <v>8324.66</v>
      </c>
      <c r="I183" s="2"/>
      <c r="J183" s="7">
        <f t="shared" si="42"/>
        <v>7.7676571516740421E-3</v>
      </c>
      <c r="K183" s="2"/>
      <c r="L183" s="6">
        <f t="shared" si="43"/>
        <v>7246.130000000001</v>
      </c>
      <c r="M183" s="2"/>
      <c r="N183" s="7">
        <f t="shared" si="44"/>
        <v>0.87044155557103853</v>
      </c>
      <c r="O183" s="11"/>
      <c r="P183" s="6">
        <v>125592.43</v>
      </c>
      <c r="Q183" s="2"/>
      <c r="R183" s="7">
        <f t="shared" si="45"/>
        <v>3.0759848261633551E-2</v>
      </c>
      <c r="S183" s="2"/>
      <c r="T183" s="6">
        <v>29424.57</v>
      </c>
      <c r="U183" s="2"/>
      <c r="V183" s="7">
        <f t="shared" si="46"/>
        <v>2.7842275892550278E-3</v>
      </c>
      <c r="W183" s="2"/>
      <c r="X183" s="6">
        <f t="shared" si="47"/>
        <v>96167.859999999986</v>
      </c>
      <c r="Y183" s="2"/>
      <c r="Z183" s="7">
        <f t="shared" si="48"/>
        <v>3.2682842943839105</v>
      </c>
    </row>
    <row r="184" spans="1:26" s="24" customFormat="1" hidden="1" outlineLevel="2" x14ac:dyDescent="0.25">
      <c r="A184" s="26"/>
      <c r="B184" s="11" t="str">
        <f>CONCATENATE("          ", "6005", " - ", "TEMPORARY WAGES-HOURLY")</f>
        <v xml:space="preserve">          6005 - TEMPORARY WAGES-HOURLY</v>
      </c>
      <c r="C184" s="11"/>
      <c r="D184" s="6">
        <v>12213.85</v>
      </c>
      <c r="E184" s="2"/>
      <c r="F184" s="7">
        <f t="shared" si="41"/>
        <v>6.017441137208851E-2</v>
      </c>
      <c r="G184" s="2"/>
      <c r="H184" s="6">
        <v>28979.41</v>
      </c>
      <c r="I184" s="2"/>
      <c r="J184" s="7">
        <f t="shared" si="42"/>
        <v>2.7040398206989145E-2</v>
      </c>
      <c r="K184" s="2"/>
      <c r="L184" s="6">
        <f t="shared" si="43"/>
        <v>-16765.559999999998</v>
      </c>
      <c r="M184" s="2"/>
      <c r="N184" s="7">
        <f t="shared" si="44"/>
        <v>-0.57853351741805636</v>
      </c>
      <c r="O184" s="11"/>
      <c r="P184" s="6">
        <v>124540.03000000001</v>
      </c>
      <c r="Q184" s="2"/>
      <c r="R184" s="7">
        <f t="shared" si="45"/>
        <v>3.0502096545940636E-2</v>
      </c>
      <c r="S184" s="2"/>
      <c r="T184" s="6">
        <v>203432.98</v>
      </c>
      <c r="U184" s="2"/>
      <c r="V184" s="7">
        <f t="shared" si="46"/>
        <v>1.9249345546268521E-2</v>
      </c>
      <c r="W184" s="2"/>
      <c r="X184" s="6">
        <f t="shared" si="47"/>
        <v>-78892.95</v>
      </c>
      <c r="Y184" s="2"/>
      <c r="Z184" s="7">
        <f t="shared" si="48"/>
        <v>-0.3878080633730086</v>
      </c>
    </row>
    <row r="185" spans="1:26" s="24" customFormat="1" hidden="1" outlineLevel="2" x14ac:dyDescent="0.25">
      <c r="A185" s="26"/>
      <c r="B185" s="11" t="str">
        <f>CONCATENATE("          ", "6006", " - ", "TEMPORARY PART TIME")</f>
        <v xml:space="preserve">          6006 - TEMPORARY PART TIME</v>
      </c>
      <c r="C185" s="11"/>
      <c r="D185" s="6">
        <v>2042.44</v>
      </c>
      <c r="E185" s="2"/>
      <c r="F185" s="7">
        <f t="shared" si="41"/>
        <v>1.0062562153850626E-2</v>
      </c>
      <c r="G185" s="2"/>
      <c r="H185" s="6">
        <v>7092.9</v>
      </c>
      <c r="I185" s="2"/>
      <c r="J185" s="7">
        <f t="shared" si="42"/>
        <v>6.6183141907427828E-3</v>
      </c>
      <c r="K185" s="2"/>
      <c r="L185" s="6">
        <f t="shared" si="43"/>
        <v>-5050.4599999999991</v>
      </c>
      <c r="M185" s="2"/>
      <c r="N185" s="7">
        <f t="shared" si="44"/>
        <v>-0.71204443880500212</v>
      </c>
      <c r="O185" s="11"/>
      <c r="P185" s="6">
        <v>12030.4</v>
      </c>
      <c r="Q185" s="2"/>
      <c r="R185" s="7">
        <f t="shared" si="45"/>
        <v>2.9464616500115199E-3</v>
      </c>
      <c r="S185" s="2"/>
      <c r="T185" s="6">
        <v>39248.76</v>
      </c>
      <c r="U185" s="2"/>
      <c r="V185" s="7">
        <f t="shared" si="46"/>
        <v>3.7138174130003998E-3</v>
      </c>
      <c r="W185" s="2"/>
      <c r="X185" s="6">
        <f t="shared" si="47"/>
        <v>-27218.36</v>
      </c>
      <c r="Y185" s="2"/>
      <c r="Z185" s="7">
        <f t="shared" si="48"/>
        <v>-0.69348331004597341</v>
      </c>
    </row>
    <row r="186" spans="1:26" s="24" customFormat="1" hidden="1" outlineLevel="2" x14ac:dyDescent="0.25">
      <c r="A186" s="26"/>
      <c r="B186" s="11" t="str">
        <f>CONCATENATE("          ", "6007", " - ", "STUDENT HOURLY")</f>
        <v xml:space="preserve">          6007 - STUDENT HOURLY</v>
      </c>
      <c r="C186" s="11"/>
      <c r="D186" s="6">
        <v>16114.230000000001</v>
      </c>
      <c r="E186" s="2"/>
      <c r="F186" s="7">
        <f t="shared" si="41"/>
        <v>7.9390552934942696E-2</v>
      </c>
      <c r="G186" s="2"/>
      <c r="H186" s="6">
        <v>97885.75</v>
      </c>
      <c r="I186" s="2"/>
      <c r="J186" s="7">
        <f t="shared" si="42"/>
        <v>9.1336216258018632E-2</v>
      </c>
      <c r="K186" s="2"/>
      <c r="L186" s="6">
        <f t="shared" si="43"/>
        <v>-81771.520000000004</v>
      </c>
      <c r="M186" s="2"/>
      <c r="N186" s="7">
        <f t="shared" si="44"/>
        <v>-0.83537716163997322</v>
      </c>
      <c r="O186" s="11"/>
      <c r="P186" s="6">
        <v>229803.59999999998</v>
      </c>
      <c r="Q186" s="2"/>
      <c r="R186" s="7">
        <f t="shared" si="45"/>
        <v>5.628304083277258E-2</v>
      </c>
      <c r="S186" s="2"/>
      <c r="T186" s="6">
        <v>908647.62</v>
      </c>
      <c r="U186" s="2"/>
      <c r="V186" s="7">
        <f t="shared" si="46"/>
        <v>8.5978546925746704E-2</v>
      </c>
      <c r="W186" s="2"/>
      <c r="X186" s="6">
        <f t="shared" si="47"/>
        <v>-678844.02</v>
      </c>
      <c r="Y186" s="2"/>
      <c r="Z186" s="7">
        <f t="shared" si="48"/>
        <v>-0.74709271785689602</v>
      </c>
    </row>
    <row r="187" spans="1:26" s="24" customFormat="1" hidden="1" outlineLevel="2" x14ac:dyDescent="0.25">
      <c r="A187" s="26"/>
      <c r="B187" s="11" t="str">
        <f>CONCATENATE("          ", "6008", " - ", "STUDENT HOURLY-FICA EXEMPT")</f>
        <v xml:space="preserve">          6008 - STUDENT HOURLY-FICA EXEMPT</v>
      </c>
      <c r="C187" s="11"/>
      <c r="D187" s="6">
        <v>1123.92</v>
      </c>
      <c r="E187" s="2"/>
      <c r="F187" s="7">
        <f t="shared" si="41"/>
        <v>5.5372568378781236E-3</v>
      </c>
      <c r="G187" s="2"/>
      <c r="H187" s="6">
        <v>3430.33</v>
      </c>
      <c r="I187" s="2"/>
      <c r="J187" s="7">
        <f t="shared" si="42"/>
        <v>3.2008066824473331E-3</v>
      </c>
      <c r="K187" s="2"/>
      <c r="L187" s="6">
        <f t="shared" si="43"/>
        <v>-2306.41</v>
      </c>
      <c r="M187" s="2"/>
      <c r="N187" s="7">
        <f t="shared" si="44"/>
        <v>-0.67235805301530749</v>
      </c>
      <c r="O187" s="11"/>
      <c r="P187" s="6">
        <v>7299.25</v>
      </c>
      <c r="Q187" s="2"/>
      <c r="R187" s="7">
        <f t="shared" si="45"/>
        <v>1.7877177981485725E-3</v>
      </c>
      <c r="S187" s="2"/>
      <c r="T187" s="6">
        <v>23416.510000000002</v>
      </c>
      <c r="U187" s="2"/>
      <c r="V187" s="7">
        <f t="shared" si="46"/>
        <v>2.2157296839364605E-3</v>
      </c>
      <c r="W187" s="2"/>
      <c r="X187" s="6">
        <f t="shared" si="47"/>
        <v>-16117.260000000002</v>
      </c>
      <c r="Y187" s="2"/>
      <c r="Z187" s="7">
        <f t="shared" si="48"/>
        <v>-0.68828617074021703</v>
      </c>
    </row>
    <row r="188" spans="1:26" s="25" customFormat="1" outlineLevel="1" collapsed="1" x14ac:dyDescent="0.25">
      <c r="A188" s="27"/>
      <c r="B188" s="13" t="str">
        <f>CONCATENATE("     ","Advertising/Promo                                 ")</f>
        <v xml:space="preserve">     Advertising/Promo                                 </v>
      </c>
      <c r="C188" s="13"/>
      <c r="D188" s="1">
        <f>SUM(OSRRefD22_2x_0)</f>
        <v>114.65</v>
      </c>
      <c r="E188" s="1"/>
      <c r="F188" s="5">
        <f t="shared" ref="F188:F192" si="49">IF(D$12=0,0,D188/D$12)</f>
        <v>5.6485025309873196E-4</v>
      </c>
      <c r="G188" s="1"/>
      <c r="H188" s="1">
        <f>SUM(OSRRefH22_2x_0)</f>
        <v>3328.15</v>
      </c>
      <c r="I188" s="1"/>
      <c r="J188" s="5">
        <f t="shared" ref="J188:J192" si="50">IF(H$12=0,0,H188/H$12)</f>
        <v>3.1054635443782648E-3</v>
      </c>
      <c r="K188" s="1"/>
      <c r="L188" s="1">
        <f t="shared" ref="L188:L192" si="51">+D188-H188</f>
        <v>-3213.5</v>
      </c>
      <c r="M188" s="1"/>
      <c r="N188" s="5">
        <f t="shared" ref="N188:N192" si="52">IF(H188=0,0,L188/H188)</f>
        <v>-0.96555143247750252</v>
      </c>
      <c r="O188" s="13"/>
      <c r="P188" s="1">
        <f>SUM(OSRRefP22_2x_0)</f>
        <v>16148.79</v>
      </c>
      <c r="Q188" s="1"/>
      <c r="R188" s="5">
        <f t="shared" ref="R188:R192" si="53">IF(P$12=0,0,P188/P$12)</f>
        <v>3.9551295409204629E-3</v>
      </c>
      <c r="S188" s="1"/>
      <c r="T188" s="1">
        <f>SUM(OSRRefT22_2x_0)</f>
        <v>46697.16</v>
      </c>
      <c r="U188" s="1"/>
      <c r="V188" s="5">
        <f t="shared" ref="V188:V192" si="54">IF(T$12=0,0,T188/T$12)</f>
        <v>4.4186039494156183E-3</v>
      </c>
      <c r="W188" s="1"/>
      <c r="X188" s="1">
        <f t="shared" ref="X188:X192" si="55">+P188-T188</f>
        <v>-30548.370000000003</v>
      </c>
      <c r="Y188" s="1"/>
      <c r="Z188" s="5">
        <f t="shared" ref="Z188:Z192" si="56">IF(T188=0,0,X188/T188)</f>
        <v>-0.65418046836252997</v>
      </c>
    </row>
    <row r="189" spans="1:26" s="24" customFormat="1" hidden="1" outlineLevel="2" x14ac:dyDescent="0.25">
      <c r="A189" s="26"/>
      <c r="B189" s="11" t="str">
        <f>CONCATENATE("          ", "6362", " - ", "ADVERTISING EXPENSE")</f>
        <v xml:space="preserve">          6362 - ADVERTISING EXPENSE</v>
      </c>
      <c r="C189" s="11"/>
      <c r="D189" s="6">
        <v>114.65</v>
      </c>
      <c r="E189" s="2"/>
      <c r="F189" s="7">
        <f t="shared" si="49"/>
        <v>5.6485025309873196E-4</v>
      </c>
      <c r="G189" s="2"/>
      <c r="H189" s="6">
        <v>3328.15</v>
      </c>
      <c r="I189" s="2"/>
      <c r="J189" s="7">
        <f t="shared" si="50"/>
        <v>3.1054635443782648E-3</v>
      </c>
      <c r="K189" s="2"/>
      <c r="L189" s="6">
        <f t="shared" si="51"/>
        <v>-3213.5</v>
      </c>
      <c r="M189" s="2"/>
      <c r="N189" s="7">
        <f t="shared" si="52"/>
        <v>-0.96555143247750252</v>
      </c>
      <c r="O189" s="11"/>
      <c r="P189" s="6">
        <v>16148.79</v>
      </c>
      <c r="Q189" s="2"/>
      <c r="R189" s="7">
        <f t="shared" si="53"/>
        <v>3.9551295409204629E-3</v>
      </c>
      <c r="S189" s="2"/>
      <c r="T189" s="6">
        <v>46697.16</v>
      </c>
      <c r="U189" s="2"/>
      <c r="V189" s="7">
        <f t="shared" si="54"/>
        <v>4.4186039494156183E-3</v>
      </c>
      <c r="W189" s="2"/>
      <c r="X189" s="6">
        <f t="shared" si="55"/>
        <v>-30548.370000000003</v>
      </c>
      <c r="Y189" s="2"/>
      <c r="Z189" s="7">
        <f t="shared" si="56"/>
        <v>-0.65418046836252997</v>
      </c>
    </row>
    <row r="190" spans="1:26" s="25" customFormat="1" outlineLevel="1" collapsed="1" x14ac:dyDescent="0.25">
      <c r="A190" s="27"/>
      <c r="B190" s="13" t="str">
        <f>CONCATENATE("     ","Bad Debts/Over/Short                              ")</f>
        <v xml:space="preserve">     Bad Debts/Over/Short                              </v>
      </c>
      <c r="C190" s="13"/>
      <c r="D190" s="1">
        <f>SUM(OSRRefD22_3x_0)</f>
        <v>3282.4</v>
      </c>
      <c r="E190" s="1"/>
      <c r="F190" s="5">
        <f t="shared" si="49"/>
        <v>1.6171517407512236E-2</v>
      </c>
      <c r="G190" s="1"/>
      <c r="H190" s="1">
        <f>SUM(OSRRefH22_3x_0)</f>
        <v>-104.23</v>
      </c>
      <c r="I190" s="1"/>
      <c r="J190" s="5">
        <f t="shared" si="50"/>
        <v>-9.7255972606567173E-5</v>
      </c>
      <c r="K190" s="1"/>
      <c r="L190" s="1">
        <f t="shared" si="51"/>
        <v>3386.63</v>
      </c>
      <c r="M190" s="1"/>
      <c r="N190" s="5">
        <f t="shared" si="52"/>
        <v>-32.491892929099109</v>
      </c>
      <c r="O190" s="13"/>
      <c r="P190" s="1">
        <f>SUM(OSRRefP22_3x_0)</f>
        <v>5203.7700000000004</v>
      </c>
      <c r="Q190" s="1"/>
      <c r="R190" s="5">
        <f t="shared" si="53"/>
        <v>1.2744970026333661E-3</v>
      </c>
      <c r="S190" s="1"/>
      <c r="T190" s="1">
        <f>SUM(OSRRefT22_3x_0)</f>
        <v>-367.53</v>
      </c>
      <c r="U190" s="1"/>
      <c r="V190" s="5">
        <f t="shared" si="54"/>
        <v>-3.4776622593937661E-5</v>
      </c>
      <c r="W190" s="1"/>
      <c r="X190" s="1">
        <f t="shared" si="55"/>
        <v>5571.3</v>
      </c>
      <c r="Y190" s="1"/>
      <c r="Z190" s="5">
        <f t="shared" si="56"/>
        <v>-15.15876254999592</v>
      </c>
    </row>
    <row r="191" spans="1:26" s="24" customFormat="1" hidden="1" outlineLevel="2" x14ac:dyDescent="0.25">
      <c r="A191" s="26"/>
      <c r="B191" s="11" t="str">
        <f>CONCATENATE("          ", "6272", " - ", "CASH (OVER/SHORT)")</f>
        <v xml:space="preserve">          6272 - CASH (OVER/SHORT)</v>
      </c>
      <c r="C191" s="11"/>
      <c r="D191" s="6">
        <v>-70.239999999999995</v>
      </c>
      <c r="E191" s="2"/>
      <c r="F191" s="7">
        <f t="shared" si="49"/>
        <v>-3.4605391868866055E-4</v>
      </c>
      <c r="G191" s="2"/>
      <c r="H191" s="6">
        <v>-104.23</v>
      </c>
      <c r="I191" s="2"/>
      <c r="J191" s="7">
        <f t="shared" si="50"/>
        <v>-9.7255972606567173E-5</v>
      </c>
      <c r="K191" s="2"/>
      <c r="L191" s="6">
        <f t="shared" si="51"/>
        <v>33.990000000000009</v>
      </c>
      <c r="M191" s="2"/>
      <c r="N191" s="7">
        <f t="shared" si="52"/>
        <v>-0.32610572771754781</v>
      </c>
      <c r="O191" s="11"/>
      <c r="P191" s="6">
        <v>-145.65</v>
      </c>
      <c r="Q191" s="2"/>
      <c r="R191" s="7">
        <f t="shared" si="53"/>
        <v>-3.5672308428994706E-5</v>
      </c>
      <c r="S191" s="2"/>
      <c r="T191" s="6">
        <v>-412.33</v>
      </c>
      <c r="U191" s="2"/>
      <c r="V191" s="7">
        <f t="shared" si="54"/>
        <v>-3.9015712442952457E-5</v>
      </c>
      <c r="W191" s="2"/>
      <c r="X191" s="6">
        <f t="shared" si="55"/>
        <v>266.67999999999995</v>
      </c>
      <c r="Y191" s="2"/>
      <c r="Z191" s="7">
        <f t="shared" si="56"/>
        <v>-0.64676351466058735</v>
      </c>
    </row>
    <row r="192" spans="1:26" s="24" customFormat="1" hidden="1" outlineLevel="2" x14ac:dyDescent="0.25">
      <c r="A192" s="26"/>
      <c r="B192" s="11" t="str">
        <f>CONCATENATE("          ", "6342", " - ", "BAD DEBT")</f>
        <v xml:space="preserve">          6342 - BAD DEBT</v>
      </c>
      <c r="C192" s="11"/>
      <c r="D192" s="6">
        <v>3352.64</v>
      </c>
      <c r="E192" s="2"/>
      <c r="F192" s="7">
        <f t="shared" si="49"/>
        <v>1.6517571326200894E-2</v>
      </c>
      <c r="G192" s="2"/>
      <c r="H192" s="6"/>
      <c r="I192" s="2"/>
      <c r="J192" s="7">
        <f t="shared" si="50"/>
        <v>0</v>
      </c>
      <c r="K192" s="2"/>
      <c r="L192" s="6">
        <f t="shared" si="51"/>
        <v>3352.64</v>
      </c>
      <c r="M192" s="2"/>
      <c r="N192" s="7">
        <f t="shared" si="52"/>
        <v>0</v>
      </c>
      <c r="O192" s="11"/>
      <c r="P192" s="6">
        <v>5349.42</v>
      </c>
      <c r="Q192" s="2"/>
      <c r="R192" s="7">
        <f t="shared" si="53"/>
        <v>1.3101693110623607E-3</v>
      </c>
      <c r="S192" s="2"/>
      <c r="T192" s="6">
        <v>44.8</v>
      </c>
      <c r="U192" s="2"/>
      <c r="V192" s="7">
        <f t="shared" si="54"/>
        <v>4.239089849014794E-6</v>
      </c>
      <c r="W192" s="2"/>
      <c r="X192" s="6">
        <f t="shared" si="55"/>
        <v>5304.62</v>
      </c>
      <c r="Y192" s="2"/>
      <c r="Z192" s="7">
        <f t="shared" si="56"/>
        <v>118.40669642857144</v>
      </c>
    </row>
    <row r="193" spans="1:26" s="25" customFormat="1" outlineLevel="1" collapsed="1" x14ac:dyDescent="0.25">
      <c r="A193" s="27"/>
      <c r="B193" s="13" t="str">
        <f>CONCATENATE("     ","Bank/card Fees                                    ")</f>
        <v xml:space="preserve">     Bank/card Fees                                    </v>
      </c>
      <c r="C193" s="13"/>
      <c r="D193" s="1">
        <f>SUM(OSRRefD22_4x_0)</f>
        <v>3981.37</v>
      </c>
      <c r="E193" s="1"/>
      <c r="F193" s="5">
        <f t="shared" ref="F193:F197" si="57">IF(D$12=0,0,D193/D$12)</f>
        <v>1.9615157890795452E-2</v>
      </c>
      <c r="G193" s="1"/>
      <c r="H193" s="1">
        <f>SUM(OSRRefH22_4x_0)</f>
        <v>30276.289999999997</v>
      </c>
      <c r="I193" s="1"/>
      <c r="J193" s="5">
        <f t="shared" ref="J193:J197" si="58">IF(H$12=0,0,H193/H$12)</f>
        <v>2.8250503989911573E-2</v>
      </c>
      <c r="K193" s="1"/>
      <c r="L193" s="1">
        <f t="shared" ref="L193:L197" si="59">+D193-H193</f>
        <v>-26294.92</v>
      </c>
      <c r="M193" s="1"/>
      <c r="N193" s="5">
        <f t="shared" ref="N193:N197" si="60">IF(H193=0,0,L193/H193)</f>
        <v>-0.86849874935139015</v>
      </c>
      <c r="O193" s="13"/>
      <c r="P193" s="1">
        <f>SUM(OSRRefP22_4x_0)</f>
        <v>66864.31</v>
      </c>
      <c r="Q193" s="1"/>
      <c r="R193" s="5">
        <f t="shared" ref="R193:R197" si="61">IF(P$12=0,0,P193/P$12)</f>
        <v>1.6376273870318672E-2</v>
      </c>
      <c r="S193" s="1"/>
      <c r="T193" s="1">
        <f>SUM(OSRRefT22_4x_0)</f>
        <v>211755.22</v>
      </c>
      <c r="U193" s="1"/>
      <c r="V193" s="5">
        <f t="shared" ref="V193:V197" si="62">IF(T$12=0,0,T193/T$12)</f>
        <v>2.0036817044149433E-2</v>
      </c>
      <c r="W193" s="1"/>
      <c r="X193" s="1">
        <f t="shared" ref="X193:X197" si="63">+P193-T193</f>
        <v>-144890.91</v>
      </c>
      <c r="Y193" s="1"/>
      <c r="Z193" s="5">
        <f t="shared" ref="Z193:Z197" si="64">IF(T193=0,0,X193/T193)</f>
        <v>-0.68423772504876146</v>
      </c>
    </row>
    <row r="194" spans="1:26" s="24" customFormat="1" hidden="1" outlineLevel="2" x14ac:dyDescent="0.25">
      <c r="A194" s="26"/>
      <c r="B194" s="11" t="str">
        <f>CONCATENATE("          ", "6381", " - ", "BANK/CREDIT CARD FEES")</f>
        <v xml:space="preserve">          6381 - BANK/CREDIT CARD FEES</v>
      </c>
      <c r="C194" s="11"/>
      <c r="D194" s="6">
        <v>3981.37</v>
      </c>
      <c r="E194" s="2"/>
      <c r="F194" s="7">
        <f t="shared" si="57"/>
        <v>1.9615157890795452E-2</v>
      </c>
      <c r="G194" s="2"/>
      <c r="H194" s="6">
        <v>30276.289999999997</v>
      </c>
      <c r="I194" s="2"/>
      <c r="J194" s="7">
        <f t="shared" si="58"/>
        <v>2.8250503989911573E-2</v>
      </c>
      <c r="K194" s="2"/>
      <c r="L194" s="6">
        <f t="shared" si="59"/>
        <v>-26294.92</v>
      </c>
      <c r="M194" s="2"/>
      <c r="N194" s="7">
        <f t="shared" si="60"/>
        <v>-0.86849874935139015</v>
      </c>
      <c r="O194" s="11"/>
      <c r="P194" s="6">
        <v>66864.31</v>
      </c>
      <c r="Q194" s="2"/>
      <c r="R194" s="7">
        <f t="shared" si="61"/>
        <v>1.6376273870318672E-2</v>
      </c>
      <c r="S194" s="2"/>
      <c r="T194" s="6">
        <v>211755.22</v>
      </c>
      <c r="U194" s="2"/>
      <c r="V194" s="7">
        <f t="shared" si="62"/>
        <v>2.0036817044149433E-2</v>
      </c>
      <c r="W194" s="2"/>
      <c r="X194" s="6">
        <f t="shared" si="63"/>
        <v>-144890.91</v>
      </c>
      <c r="Y194" s="2"/>
      <c r="Z194" s="7">
        <f t="shared" si="64"/>
        <v>-0.68423772504876146</v>
      </c>
    </row>
    <row r="195" spans="1:26" s="25" customFormat="1" outlineLevel="1" collapsed="1" x14ac:dyDescent="0.25">
      <c r="A195" s="27"/>
      <c r="B195" s="13" t="str">
        <f>CONCATENATE("     ","Depreciation                                      ")</f>
        <v xml:space="preserve">     Depreciation                                      </v>
      </c>
      <c r="C195" s="13"/>
      <c r="D195" s="1">
        <f>SUM(OSRRefD22_5x_0)</f>
        <v>39887.94</v>
      </c>
      <c r="E195" s="1"/>
      <c r="F195" s="5">
        <f t="shared" si="57"/>
        <v>0.19651733976962091</v>
      </c>
      <c r="G195" s="1"/>
      <c r="H195" s="1">
        <f>SUM(OSRRefH22_5x_0)</f>
        <v>38845.11</v>
      </c>
      <c r="I195" s="1"/>
      <c r="J195" s="5">
        <f t="shared" si="58"/>
        <v>3.6245984400451771E-2</v>
      </c>
      <c r="K195" s="1"/>
      <c r="L195" s="1">
        <f t="shared" si="59"/>
        <v>1042.8300000000017</v>
      </c>
      <c r="M195" s="1"/>
      <c r="N195" s="5">
        <f t="shared" si="60"/>
        <v>2.684585009541746E-2</v>
      </c>
      <c r="O195" s="13"/>
      <c r="P195" s="1">
        <f>SUM(OSRRefP22_5x_0)</f>
        <v>319580.29000000004</v>
      </c>
      <c r="Q195" s="1"/>
      <c r="R195" s="5">
        <f t="shared" si="61"/>
        <v>7.8270969259921538E-2</v>
      </c>
      <c r="S195" s="1"/>
      <c r="T195" s="1">
        <f>SUM(OSRRefT22_5x_0)</f>
        <v>305548.08</v>
      </c>
      <c r="U195" s="1"/>
      <c r="V195" s="5">
        <f t="shared" si="62"/>
        <v>2.8911735810579473E-2</v>
      </c>
      <c r="W195" s="1"/>
      <c r="X195" s="1">
        <f t="shared" si="63"/>
        <v>14032.210000000021</v>
      </c>
      <c r="Y195" s="1"/>
      <c r="Z195" s="5">
        <f t="shared" si="64"/>
        <v>4.5924719932784457E-2</v>
      </c>
    </row>
    <row r="196" spans="1:26" s="24" customFormat="1" hidden="1" outlineLevel="2" x14ac:dyDescent="0.25">
      <c r="A196" s="26"/>
      <c r="B196" s="11" t="str">
        <f>CONCATENATE("          ", "6321", " - ", "BUILDING DEPRECIATION")</f>
        <v xml:space="preserve">          6321 - BUILDING DEPRECIATION</v>
      </c>
      <c r="C196" s="11"/>
      <c r="D196" s="6">
        <v>21477.030000000002</v>
      </c>
      <c r="E196" s="2"/>
      <c r="F196" s="7">
        <f t="shared" si="57"/>
        <v>0.10581165138516407</v>
      </c>
      <c r="G196" s="2"/>
      <c r="H196" s="6">
        <v>21477.030000000002</v>
      </c>
      <c r="I196" s="2"/>
      <c r="J196" s="7">
        <f t="shared" si="58"/>
        <v>2.0040002315556187E-2</v>
      </c>
      <c r="K196" s="2"/>
      <c r="L196" s="6">
        <f t="shared" si="59"/>
        <v>0</v>
      </c>
      <c r="M196" s="2"/>
      <c r="N196" s="7">
        <f t="shared" si="60"/>
        <v>0</v>
      </c>
      <c r="O196" s="11"/>
      <c r="P196" s="6">
        <v>171816.24000000002</v>
      </c>
      <c r="Q196" s="2"/>
      <c r="R196" s="7">
        <f t="shared" si="61"/>
        <v>4.2080891907931184E-2</v>
      </c>
      <c r="S196" s="2"/>
      <c r="T196" s="6">
        <v>171816.24000000002</v>
      </c>
      <c r="U196" s="2"/>
      <c r="V196" s="7">
        <f t="shared" si="62"/>
        <v>1.6257689260711826E-2</v>
      </c>
      <c r="W196" s="2"/>
      <c r="X196" s="6">
        <f t="shared" si="63"/>
        <v>0</v>
      </c>
      <c r="Y196" s="2"/>
      <c r="Z196" s="7">
        <f t="shared" si="64"/>
        <v>0</v>
      </c>
    </row>
    <row r="197" spans="1:26" s="24" customFormat="1" hidden="1" outlineLevel="2" x14ac:dyDescent="0.25">
      <c r="A197" s="26"/>
      <c r="B197" s="11" t="str">
        <f>CONCATENATE("          ", "6322", " - ", "EQUIPMENT DEPRECIATION EXPENSE")</f>
        <v xml:space="preserve">          6322 - EQUIPMENT DEPRECIATION EXPENSE</v>
      </c>
      <c r="C197" s="11"/>
      <c r="D197" s="6">
        <v>18410.91</v>
      </c>
      <c r="E197" s="2"/>
      <c r="F197" s="7">
        <f t="shared" si="57"/>
        <v>9.0705688384456834E-2</v>
      </c>
      <c r="G197" s="2"/>
      <c r="H197" s="6">
        <v>17368.080000000002</v>
      </c>
      <c r="I197" s="2"/>
      <c r="J197" s="7">
        <f t="shared" si="58"/>
        <v>1.6205982084895588E-2</v>
      </c>
      <c r="K197" s="2"/>
      <c r="L197" s="6">
        <f t="shared" si="59"/>
        <v>1042.8299999999981</v>
      </c>
      <c r="M197" s="2"/>
      <c r="N197" s="7">
        <f t="shared" si="60"/>
        <v>6.0042906297068994E-2</v>
      </c>
      <c r="O197" s="11"/>
      <c r="P197" s="6">
        <v>147764.05000000002</v>
      </c>
      <c r="Q197" s="2"/>
      <c r="R197" s="7">
        <f t="shared" si="61"/>
        <v>3.6190077351990355E-2</v>
      </c>
      <c r="S197" s="2"/>
      <c r="T197" s="6">
        <v>133731.84</v>
      </c>
      <c r="U197" s="2"/>
      <c r="V197" s="7">
        <f t="shared" si="62"/>
        <v>1.2654046549867648E-2</v>
      </c>
      <c r="W197" s="2"/>
      <c r="X197" s="6">
        <f t="shared" si="63"/>
        <v>14032.210000000021</v>
      </c>
      <c r="Y197" s="2"/>
      <c r="Z197" s="7">
        <f t="shared" si="64"/>
        <v>0.10492796629433963</v>
      </c>
    </row>
    <row r="198" spans="1:26" s="25" customFormat="1" outlineLevel="1" collapsed="1" x14ac:dyDescent="0.25">
      <c r="A198" s="27"/>
      <c r="B198" s="13" t="str">
        <f>CONCATENATE("     ","Discounts and Markdowns                           ")</f>
        <v xml:space="preserve">     Discounts and Markdowns                           </v>
      </c>
      <c r="C198" s="13"/>
      <c r="D198" s="1">
        <f>SUM(OSRRefD22_6x_0)</f>
        <v>42.86</v>
      </c>
      <c r="E198" s="1"/>
      <c r="F198" s="5">
        <f t="shared" ref="F198:F200" si="65">IF(D$12=0,0,D198/D$12)</f>
        <v>2.1115989400620716E-4</v>
      </c>
      <c r="G198" s="1"/>
      <c r="H198" s="1">
        <f>SUM(OSRRefH22_6x_0)</f>
        <v>34218.160000000003</v>
      </c>
      <c r="I198" s="1"/>
      <c r="J198" s="5">
        <f t="shared" ref="J198:J200" si="66">IF(H$12=0,0,H198/H$12)</f>
        <v>3.1928623540315962E-2</v>
      </c>
      <c r="K198" s="1"/>
      <c r="L198" s="1">
        <f t="shared" ref="L198:L200" si="67">+D198-H198</f>
        <v>-34175.300000000003</v>
      </c>
      <c r="M198" s="1"/>
      <c r="N198" s="5">
        <f t="shared" ref="N198:N200" si="68">IF(H198=0,0,L198/H198)</f>
        <v>-0.99874744872313415</v>
      </c>
      <c r="O198" s="13"/>
      <c r="P198" s="1">
        <f>SUM(OSRRefP22_6x_0)</f>
        <v>0</v>
      </c>
      <c r="Q198" s="1"/>
      <c r="R198" s="5">
        <f t="shared" ref="R198:R200" si="69">IF(P$12=0,0,P198/P$12)</f>
        <v>0</v>
      </c>
      <c r="S198" s="1"/>
      <c r="T198" s="1">
        <f>SUM(OSRRefT22_6x_0)</f>
        <v>258987.00000000003</v>
      </c>
      <c r="U198" s="1"/>
      <c r="V198" s="5">
        <f t="shared" ref="V198:V200" si="70">IF(T$12=0,0,T198/T$12)</f>
        <v>2.4506008096580236E-2</v>
      </c>
      <c r="W198" s="1"/>
      <c r="X198" s="1">
        <f t="shared" ref="X198:X200" si="71">+P198-T198</f>
        <v>-258987.00000000003</v>
      </c>
      <c r="Y198" s="1"/>
      <c r="Z198" s="5">
        <f t="shared" ref="Z198:Z200" si="72">IF(T198=0,0,X198/T198)</f>
        <v>-1</v>
      </c>
    </row>
    <row r="199" spans="1:26" s="24" customFormat="1" hidden="1" outlineLevel="2" x14ac:dyDescent="0.25">
      <c r="A199" s="26"/>
      <c r="B199" s="11" t="str">
        <f>CONCATENATE("          ", "6382", " - ", "DISCOUNTS/MARK DOWNS")</f>
        <v xml:space="preserve">          6382 - DISCOUNTS/MARK DOWNS</v>
      </c>
      <c r="C199" s="11"/>
      <c r="D199" s="6"/>
      <c r="E199" s="2"/>
      <c r="F199" s="7">
        <f t="shared" si="65"/>
        <v>0</v>
      </c>
      <c r="G199" s="2"/>
      <c r="H199" s="6">
        <v>34406.93</v>
      </c>
      <c r="I199" s="2"/>
      <c r="J199" s="7">
        <f t="shared" si="66"/>
        <v>3.2104762943068924E-2</v>
      </c>
      <c r="K199" s="2"/>
      <c r="L199" s="6">
        <f t="shared" si="67"/>
        <v>-34406.93</v>
      </c>
      <c r="M199" s="2"/>
      <c r="N199" s="7">
        <f t="shared" si="68"/>
        <v>-1</v>
      </c>
      <c r="O199" s="11"/>
      <c r="P199" s="6">
        <v>0</v>
      </c>
      <c r="Q199" s="2"/>
      <c r="R199" s="7">
        <f t="shared" si="69"/>
        <v>0</v>
      </c>
      <c r="S199" s="2"/>
      <c r="T199" s="6">
        <v>262082.77000000002</v>
      </c>
      <c r="U199" s="2"/>
      <c r="V199" s="7">
        <f t="shared" si="70"/>
        <v>2.4798937721175873E-2</v>
      </c>
      <c r="W199" s="2"/>
      <c r="X199" s="6">
        <f t="shared" si="71"/>
        <v>-262082.77000000002</v>
      </c>
      <c r="Y199" s="2"/>
      <c r="Z199" s="7">
        <f t="shared" si="72"/>
        <v>-1</v>
      </c>
    </row>
    <row r="200" spans="1:26" s="24" customFormat="1" hidden="1" outlineLevel="2" x14ac:dyDescent="0.25">
      <c r="A200" s="26"/>
      <c r="B200" s="11" t="str">
        <f>CONCATENATE("          ", "9175", " - ", "EARNED DISCOUNTS")</f>
        <v xml:space="preserve">          9175 - EARNED DISCOUNTS</v>
      </c>
      <c r="C200" s="11"/>
      <c r="D200" s="6">
        <v>42.86</v>
      </c>
      <c r="E200" s="2"/>
      <c r="F200" s="7">
        <f t="shared" si="65"/>
        <v>2.1115989400620716E-4</v>
      </c>
      <c r="G200" s="2"/>
      <c r="H200" s="6">
        <v>-188.77</v>
      </c>
      <c r="I200" s="2"/>
      <c r="J200" s="7">
        <f t="shared" si="66"/>
        <v>-1.7613940275296638E-4</v>
      </c>
      <c r="K200" s="2"/>
      <c r="L200" s="6">
        <f t="shared" si="67"/>
        <v>231.63</v>
      </c>
      <c r="M200" s="2"/>
      <c r="N200" s="7">
        <f t="shared" si="68"/>
        <v>-1.2270487895322348</v>
      </c>
      <c r="O200" s="11"/>
      <c r="P200" s="6">
        <v>0</v>
      </c>
      <c r="Q200" s="2"/>
      <c r="R200" s="7">
        <f t="shared" si="69"/>
        <v>0</v>
      </c>
      <c r="S200" s="2"/>
      <c r="T200" s="6">
        <v>-3095.77</v>
      </c>
      <c r="U200" s="2"/>
      <c r="V200" s="7">
        <f t="shared" si="70"/>
        <v>-2.9292962459563681E-4</v>
      </c>
      <c r="W200" s="2"/>
      <c r="X200" s="6">
        <f t="shared" si="71"/>
        <v>3095.77</v>
      </c>
      <c r="Y200" s="2"/>
      <c r="Z200" s="7">
        <f t="shared" si="72"/>
        <v>-1</v>
      </c>
    </row>
    <row r="201" spans="1:26" s="25" customFormat="1" outlineLevel="1" collapsed="1" x14ac:dyDescent="0.25">
      <c r="A201" s="27"/>
      <c r="B201" s="13" t="str">
        <f>CONCATENATE("     ","Donations                                         ")</f>
        <v xml:space="preserve">     Donations                                         </v>
      </c>
      <c r="C201" s="13"/>
      <c r="D201" s="1">
        <f>SUM(OSRRefD22_7x_0)</f>
        <v>0</v>
      </c>
      <c r="E201" s="1"/>
      <c r="F201" s="5">
        <f t="shared" ref="F201:F209" si="73">IF(D$12=0,0,D201/D$12)</f>
        <v>0</v>
      </c>
      <c r="G201" s="1"/>
      <c r="H201" s="1">
        <f>SUM(OSRRefH22_7x_0)</f>
        <v>1804</v>
      </c>
      <c r="I201" s="1"/>
      <c r="J201" s="5">
        <f t="shared" ref="J201:J209" si="74">IF(H$12=0,0,H201/H$12)</f>
        <v>1.6832943929986296E-3</v>
      </c>
      <c r="K201" s="1"/>
      <c r="L201" s="1">
        <f t="shared" ref="L201:L209" si="75">+D201-H201</f>
        <v>-1804</v>
      </c>
      <c r="M201" s="1"/>
      <c r="N201" s="5">
        <f t="shared" ref="N201:N209" si="76">IF(H201=0,0,L201/H201)</f>
        <v>-1</v>
      </c>
      <c r="O201" s="13"/>
      <c r="P201" s="1">
        <f>SUM(OSRRefP22_7x_0)</f>
        <v>0</v>
      </c>
      <c r="Q201" s="1"/>
      <c r="R201" s="5">
        <f t="shared" ref="R201:R209" si="77">IF(P$12=0,0,P201/P$12)</f>
        <v>0</v>
      </c>
      <c r="S201" s="1"/>
      <c r="T201" s="1">
        <f>SUM(OSRRefT22_7x_0)</f>
        <v>11602.22</v>
      </c>
      <c r="U201" s="1"/>
      <c r="V201" s="5">
        <f t="shared" ref="V201:V209" si="78">IF(T$12=0,0,T201/T$12)</f>
        <v>1.0978315408043844E-3</v>
      </c>
      <c r="W201" s="1"/>
      <c r="X201" s="1">
        <f t="shared" ref="X201:X209" si="79">+P201-T201</f>
        <v>-11602.22</v>
      </c>
      <c r="Y201" s="1"/>
      <c r="Z201" s="5">
        <f t="shared" ref="Z201:Z209" si="80">IF(T201=0,0,X201/T201)</f>
        <v>-1</v>
      </c>
    </row>
    <row r="202" spans="1:26" s="24" customFormat="1" hidden="1" outlineLevel="2" x14ac:dyDescent="0.25">
      <c r="A202" s="26"/>
      <c r="B202" s="11" t="str">
        <f>CONCATENATE("          ", "6399", " - ", "DONATION-ON CAMPUS")</f>
        <v xml:space="preserve">          6399 - DONATION-ON CAMPUS</v>
      </c>
      <c r="C202" s="11"/>
      <c r="D202" s="6"/>
      <c r="E202" s="2"/>
      <c r="F202" s="7">
        <f t="shared" si="73"/>
        <v>0</v>
      </c>
      <c r="G202" s="2"/>
      <c r="H202" s="6">
        <v>1804</v>
      </c>
      <c r="I202" s="2"/>
      <c r="J202" s="7">
        <f t="shared" si="74"/>
        <v>1.6832943929986296E-3</v>
      </c>
      <c r="K202" s="2"/>
      <c r="L202" s="6">
        <f t="shared" si="75"/>
        <v>-1804</v>
      </c>
      <c r="M202" s="2"/>
      <c r="N202" s="7">
        <f t="shared" si="76"/>
        <v>-1</v>
      </c>
      <c r="O202" s="11"/>
      <c r="P202" s="6"/>
      <c r="Q202" s="2"/>
      <c r="R202" s="7">
        <f t="shared" si="77"/>
        <v>0</v>
      </c>
      <c r="S202" s="2"/>
      <c r="T202" s="6">
        <v>11602.22</v>
      </c>
      <c r="U202" s="2"/>
      <c r="V202" s="7">
        <f t="shared" si="78"/>
        <v>1.0978315408043844E-3</v>
      </c>
      <c r="W202" s="2"/>
      <c r="X202" s="6">
        <f t="shared" si="79"/>
        <v>-11602.22</v>
      </c>
      <c r="Y202" s="2"/>
      <c r="Z202" s="7">
        <f t="shared" si="80"/>
        <v>-1</v>
      </c>
    </row>
    <row r="203" spans="1:26" s="25" customFormat="1" outlineLevel="1" collapsed="1" x14ac:dyDescent="0.25">
      <c r="A203" s="27"/>
      <c r="B203" s="13" t="str">
        <f>CONCATENATE("     ","Employees' Appreciation                           ")</f>
        <v xml:space="preserve">     Employees' Appreciation                           </v>
      </c>
      <c r="C203" s="13"/>
      <c r="D203" s="1">
        <f>SUM(OSRRefD22_8x_0)</f>
        <v>0</v>
      </c>
      <c r="E203" s="1"/>
      <c r="F203" s="5">
        <f t="shared" si="73"/>
        <v>0</v>
      </c>
      <c r="G203" s="1"/>
      <c r="H203" s="1">
        <f>SUM(OSRRefH22_8x_0)</f>
        <v>90.54</v>
      </c>
      <c r="I203" s="1"/>
      <c r="J203" s="5">
        <f t="shared" si="74"/>
        <v>8.4481970256150739E-5</v>
      </c>
      <c r="K203" s="1"/>
      <c r="L203" s="1">
        <f t="shared" si="75"/>
        <v>-90.54</v>
      </c>
      <c r="M203" s="1"/>
      <c r="N203" s="5">
        <f t="shared" si="76"/>
        <v>-1</v>
      </c>
      <c r="O203" s="13"/>
      <c r="P203" s="1">
        <f>SUM(OSRRefP22_8x_0)</f>
        <v>186.03</v>
      </c>
      <c r="Q203" s="1"/>
      <c r="R203" s="5">
        <f t="shared" si="77"/>
        <v>4.5562097748341121E-5</v>
      </c>
      <c r="S203" s="1"/>
      <c r="T203" s="1">
        <f>SUM(OSRRefT22_8x_0)</f>
        <v>1421.41</v>
      </c>
      <c r="U203" s="1"/>
      <c r="V203" s="5">
        <f t="shared" si="78"/>
        <v>1.3449742639035981E-4</v>
      </c>
      <c r="W203" s="1"/>
      <c r="X203" s="1">
        <f t="shared" si="79"/>
        <v>-1235.3800000000001</v>
      </c>
      <c r="Y203" s="1"/>
      <c r="Z203" s="5">
        <f t="shared" si="80"/>
        <v>-0.86912291316368961</v>
      </c>
    </row>
    <row r="204" spans="1:26" s="24" customFormat="1" hidden="1" outlineLevel="2" x14ac:dyDescent="0.25">
      <c r="A204" s="26"/>
      <c r="B204" s="11" t="str">
        <f>CONCATENATE("          ", "6277", " - ", "EMPLOYEE APPRECIATION")</f>
        <v xml:space="preserve">          6277 - EMPLOYEE APPRECIATION</v>
      </c>
      <c r="C204" s="11"/>
      <c r="D204" s="6"/>
      <c r="E204" s="2"/>
      <c r="F204" s="7">
        <f t="shared" si="73"/>
        <v>0</v>
      </c>
      <c r="G204" s="2"/>
      <c r="H204" s="6">
        <v>90.54</v>
      </c>
      <c r="I204" s="2"/>
      <c r="J204" s="7">
        <f t="shared" si="74"/>
        <v>8.4481970256150739E-5</v>
      </c>
      <c r="K204" s="2"/>
      <c r="L204" s="6">
        <f t="shared" si="75"/>
        <v>-90.54</v>
      </c>
      <c r="M204" s="2"/>
      <c r="N204" s="7">
        <f t="shared" si="76"/>
        <v>-1</v>
      </c>
      <c r="O204" s="11"/>
      <c r="P204" s="6">
        <v>186.03</v>
      </c>
      <c r="Q204" s="2"/>
      <c r="R204" s="7">
        <f t="shared" si="77"/>
        <v>4.5562097748341121E-5</v>
      </c>
      <c r="S204" s="2"/>
      <c r="T204" s="6">
        <v>1421.41</v>
      </c>
      <c r="U204" s="2"/>
      <c r="V204" s="7">
        <f t="shared" si="78"/>
        <v>1.3449742639035981E-4</v>
      </c>
      <c r="W204" s="2"/>
      <c r="X204" s="6">
        <f t="shared" si="79"/>
        <v>-1235.3800000000001</v>
      </c>
      <c r="Y204" s="2"/>
      <c r="Z204" s="7">
        <f t="shared" si="80"/>
        <v>-0.86912291316368961</v>
      </c>
    </row>
    <row r="205" spans="1:26" s="25" customFormat="1" outlineLevel="1" collapsed="1" x14ac:dyDescent="0.25">
      <c r="A205" s="27"/>
      <c r="B205" s="13" t="str">
        <f>CONCATENATE("     ","Equipment Rental                                  ")</f>
        <v xml:space="preserve">     Equipment Rental                                  </v>
      </c>
      <c r="C205" s="13"/>
      <c r="D205" s="1">
        <f>SUM(OSRRefD22_9x_0)</f>
        <v>1960.61</v>
      </c>
      <c r="E205" s="1"/>
      <c r="F205" s="5">
        <f t="shared" si="73"/>
        <v>9.6594073678840375E-3</v>
      </c>
      <c r="G205" s="1"/>
      <c r="H205" s="1">
        <f>SUM(OSRRefH22_9x_0)</f>
        <v>1491.5</v>
      </c>
      <c r="I205" s="1"/>
      <c r="J205" s="5">
        <f t="shared" si="74"/>
        <v>1.3917037622824036E-3</v>
      </c>
      <c r="K205" s="1"/>
      <c r="L205" s="1">
        <f t="shared" si="75"/>
        <v>469.1099999999999</v>
      </c>
      <c r="M205" s="1"/>
      <c r="N205" s="5">
        <f t="shared" si="76"/>
        <v>0.31452229299363049</v>
      </c>
      <c r="O205" s="13"/>
      <c r="P205" s="1">
        <f>SUM(OSRRefP22_9x_0)</f>
        <v>12590.06</v>
      </c>
      <c r="Q205" s="1"/>
      <c r="R205" s="5">
        <f t="shared" si="77"/>
        <v>3.0835324645351802E-3</v>
      </c>
      <c r="S205" s="1"/>
      <c r="T205" s="1">
        <f>SUM(OSRRefT22_9x_0)</f>
        <v>14743.77</v>
      </c>
      <c r="U205" s="1"/>
      <c r="V205" s="5">
        <f t="shared" si="78"/>
        <v>1.3950929853394833E-3</v>
      </c>
      <c r="W205" s="1"/>
      <c r="X205" s="1">
        <f t="shared" si="79"/>
        <v>-2153.7100000000009</v>
      </c>
      <c r="Y205" s="1"/>
      <c r="Z205" s="5">
        <f t="shared" si="80"/>
        <v>-0.14607593580203712</v>
      </c>
    </row>
    <row r="206" spans="1:26" s="24" customFormat="1" hidden="1" outlineLevel="2" x14ac:dyDescent="0.25">
      <c r="A206" s="26"/>
      <c r="B206" s="11" t="str">
        <f>CONCATENATE("          ", "6351", " - ", "EQUIPMENT RENTAL")</f>
        <v xml:space="preserve">          6351 - EQUIPMENT RENTAL</v>
      </c>
      <c r="C206" s="11"/>
      <c r="D206" s="6">
        <v>1960.61</v>
      </c>
      <c r="E206" s="2"/>
      <c r="F206" s="7">
        <f t="shared" si="73"/>
        <v>9.6594073678840375E-3</v>
      </c>
      <c r="G206" s="2"/>
      <c r="H206" s="6">
        <v>1491.5</v>
      </c>
      <c r="I206" s="2"/>
      <c r="J206" s="7">
        <f t="shared" si="74"/>
        <v>1.3917037622824036E-3</v>
      </c>
      <c r="K206" s="2"/>
      <c r="L206" s="6">
        <f t="shared" si="75"/>
        <v>469.1099999999999</v>
      </c>
      <c r="M206" s="2"/>
      <c r="N206" s="7">
        <f t="shared" si="76"/>
        <v>0.31452229299363049</v>
      </c>
      <c r="O206" s="11"/>
      <c r="P206" s="6">
        <v>12590.06</v>
      </c>
      <c r="Q206" s="2"/>
      <c r="R206" s="7">
        <f t="shared" si="77"/>
        <v>3.0835324645351802E-3</v>
      </c>
      <c r="S206" s="2"/>
      <c r="T206" s="6">
        <v>14743.77</v>
      </c>
      <c r="U206" s="2"/>
      <c r="V206" s="7">
        <f t="shared" si="78"/>
        <v>1.3950929853394833E-3</v>
      </c>
      <c r="W206" s="2"/>
      <c r="X206" s="6">
        <f t="shared" si="79"/>
        <v>-2153.7100000000009</v>
      </c>
      <c r="Y206" s="2"/>
      <c r="Z206" s="7">
        <f t="shared" si="80"/>
        <v>-0.14607593580203712</v>
      </c>
    </row>
    <row r="207" spans="1:26" s="25" customFormat="1" outlineLevel="1" collapsed="1" x14ac:dyDescent="0.25">
      <c r="A207" s="27"/>
      <c r="B207" s="13" t="str">
        <f>CONCATENATE("     ","Freight out/Postage                               ")</f>
        <v xml:space="preserve">     Freight out/Postage                               </v>
      </c>
      <c r="C207" s="13"/>
      <c r="D207" s="1">
        <f>SUM(OSRRefD22_10x_0)</f>
        <v>4255.9500000000007</v>
      </c>
      <c r="E207" s="1"/>
      <c r="F207" s="5">
        <f t="shared" si="73"/>
        <v>2.0967940991500643E-2</v>
      </c>
      <c r="G207" s="1"/>
      <c r="H207" s="1">
        <f>SUM(OSRRefH22_10x_0)</f>
        <v>5440.7000000000007</v>
      </c>
      <c r="I207" s="1"/>
      <c r="J207" s="5">
        <f t="shared" si="74"/>
        <v>5.0766628625208681E-3</v>
      </c>
      <c r="K207" s="1"/>
      <c r="L207" s="1">
        <f t="shared" si="75"/>
        <v>-1184.75</v>
      </c>
      <c r="M207" s="1"/>
      <c r="N207" s="5">
        <f t="shared" si="76"/>
        <v>-0.21775690628044184</v>
      </c>
      <c r="O207" s="13"/>
      <c r="P207" s="1">
        <f>SUM(OSRRefP22_10x_0)</f>
        <v>-32446.00999999998</v>
      </c>
      <c r="Q207" s="1"/>
      <c r="R207" s="5">
        <f t="shared" si="77"/>
        <v>-7.9466122623429152E-3</v>
      </c>
      <c r="S207" s="1"/>
      <c r="T207" s="1">
        <f>SUM(OSRRefT22_10x_0)</f>
        <v>-983.37000000000262</v>
      </c>
      <c r="U207" s="1"/>
      <c r="V207" s="5">
        <f t="shared" si="78"/>
        <v>-9.3048968411287705E-5</v>
      </c>
      <c r="W207" s="1"/>
      <c r="X207" s="1">
        <f t="shared" si="79"/>
        <v>-31462.639999999978</v>
      </c>
      <c r="Y207" s="1"/>
      <c r="Z207" s="5">
        <f t="shared" si="80"/>
        <v>31.994712061584035</v>
      </c>
    </row>
    <row r="208" spans="1:26" s="24" customFormat="1" hidden="1" outlineLevel="2" x14ac:dyDescent="0.25">
      <c r="A208" s="26"/>
      <c r="B208" s="11" t="str">
        <f>CONCATENATE("          ", "6305", " - ", "FREIGHT OUT")</f>
        <v xml:space="preserve">          6305 - FREIGHT OUT</v>
      </c>
      <c r="C208" s="11"/>
      <c r="D208" s="6">
        <v>26268.48</v>
      </c>
      <c r="E208" s="2"/>
      <c r="F208" s="7">
        <f t="shared" si="73"/>
        <v>0.12941785936780617</v>
      </c>
      <c r="G208" s="2"/>
      <c r="H208" s="6">
        <v>8985.52</v>
      </c>
      <c r="I208" s="2"/>
      <c r="J208" s="7">
        <f t="shared" si="74"/>
        <v>8.3842990211624429E-3</v>
      </c>
      <c r="K208" s="2"/>
      <c r="L208" s="6">
        <f t="shared" si="75"/>
        <v>17282.96</v>
      </c>
      <c r="M208" s="2"/>
      <c r="N208" s="7">
        <f t="shared" si="76"/>
        <v>1.923423463527987</v>
      </c>
      <c r="O208" s="11"/>
      <c r="P208" s="6">
        <v>161875.11000000002</v>
      </c>
      <c r="Q208" s="2"/>
      <c r="R208" s="7">
        <f t="shared" si="77"/>
        <v>3.9646130112581154E-2</v>
      </c>
      <c r="S208" s="2"/>
      <c r="T208" s="6">
        <v>46239.26</v>
      </c>
      <c r="U208" s="2"/>
      <c r="V208" s="7">
        <f t="shared" si="78"/>
        <v>4.3752762877668711E-3</v>
      </c>
      <c r="W208" s="2"/>
      <c r="X208" s="6">
        <f t="shared" si="79"/>
        <v>115635.85</v>
      </c>
      <c r="Y208" s="2"/>
      <c r="Z208" s="7">
        <f t="shared" si="80"/>
        <v>2.5008153244666977</v>
      </c>
    </row>
    <row r="209" spans="1:26" s="24" customFormat="1" hidden="1" outlineLevel="2" x14ac:dyDescent="0.25">
      <c r="A209" s="26"/>
      <c r="B209" s="11" t="str">
        <f>CONCATENATE("          ", "6307", " - ", "POSTAGE")</f>
        <v xml:space="preserve">          6307 - POSTAGE</v>
      </c>
      <c r="C209" s="11"/>
      <c r="D209" s="6">
        <v>-22012.53</v>
      </c>
      <c r="E209" s="2"/>
      <c r="F209" s="7">
        <f t="shared" si="73"/>
        <v>-0.10844991837630553</v>
      </c>
      <c r="G209" s="2"/>
      <c r="H209" s="6">
        <v>-3544.82</v>
      </c>
      <c r="I209" s="2"/>
      <c r="J209" s="7">
        <f t="shared" si="74"/>
        <v>-3.3076361586415757E-3</v>
      </c>
      <c r="K209" s="2"/>
      <c r="L209" s="6">
        <f t="shared" si="75"/>
        <v>-18467.71</v>
      </c>
      <c r="M209" s="2"/>
      <c r="N209" s="7">
        <f t="shared" si="76"/>
        <v>5.2097736979592755</v>
      </c>
      <c r="O209" s="11"/>
      <c r="P209" s="6">
        <v>-194321.12</v>
      </c>
      <c r="Q209" s="2"/>
      <c r="R209" s="7">
        <f t="shared" si="77"/>
        <v>-4.7592742374924071E-2</v>
      </c>
      <c r="S209" s="2"/>
      <c r="T209" s="6">
        <v>-47222.630000000005</v>
      </c>
      <c r="U209" s="2"/>
      <c r="V209" s="7">
        <f t="shared" si="78"/>
        <v>-4.468325256178159E-3</v>
      </c>
      <c r="W209" s="2"/>
      <c r="X209" s="6">
        <f t="shared" si="79"/>
        <v>-147098.49</v>
      </c>
      <c r="Y209" s="2"/>
      <c r="Z209" s="7">
        <f t="shared" si="80"/>
        <v>3.1149999481180948</v>
      </c>
    </row>
    <row r="210" spans="1:26" s="25" customFormat="1" outlineLevel="1" collapsed="1" x14ac:dyDescent="0.25">
      <c r="A210" s="27"/>
      <c r="B210" s="13" t="str">
        <f>CONCATENATE("     ","General                                           ")</f>
        <v xml:space="preserve">     General                                           </v>
      </c>
      <c r="C210" s="13"/>
      <c r="D210" s="1">
        <f>SUM(OSRRefD22_11x_0)</f>
        <v>-4.21</v>
      </c>
      <c r="E210" s="1"/>
      <c r="F210" s="5">
        <f t="shared" ref="F210:F226" si="81">IF(D$12=0,0,D210/D$12)</f>
        <v>-2.0741557484044147E-5</v>
      </c>
      <c r="G210" s="1"/>
      <c r="H210" s="1">
        <f>SUM(OSRRefH22_11x_0)</f>
        <v>257.8</v>
      </c>
      <c r="I210" s="1"/>
      <c r="J210" s="5">
        <f t="shared" ref="J210:J226" si="82">IF(H$12=0,0,H210/H$12)</f>
        <v>2.4055060671565785E-4</v>
      </c>
      <c r="K210" s="1"/>
      <c r="L210" s="1">
        <f t="shared" ref="L210:L226" si="83">+D210-H210</f>
        <v>-262.01</v>
      </c>
      <c r="M210" s="1"/>
      <c r="N210" s="5">
        <f t="shared" ref="N210:N226" si="84">IF(H210=0,0,L210/H210)</f>
        <v>-1.0163304887509697</v>
      </c>
      <c r="O210" s="13"/>
      <c r="P210" s="1">
        <f>SUM(OSRRefP22_11x_0)</f>
        <v>5298.28</v>
      </c>
      <c r="Q210" s="1"/>
      <c r="R210" s="5">
        <f t="shared" ref="R210:R226" si="85">IF(P$12=0,0,P210/P$12)</f>
        <v>1.2976442039352835E-3</v>
      </c>
      <c r="S210" s="1"/>
      <c r="T210" s="1">
        <f>SUM(OSRRefT22_11x_0)</f>
        <v>9699.0499999999993</v>
      </c>
      <c r="U210" s="1"/>
      <c r="V210" s="5">
        <f t="shared" ref="V210:V226" si="86">IF(T$12=0,0,T210/T$12)</f>
        <v>9.1774875893051199E-4</v>
      </c>
      <c r="W210" s="1"/>
      <c r="X210" s="1">
        <f t="shared" ref="X210:X226" si="87">+P210-T210</f>
        <v>-4400.7699999999995</v>
      </c>
      <c r="Y210" s="1"/>
      <c r="Z210" s="5">
        <f t="shared" ref="Z210:Z226" si="88">IF(T210=0,0,X210/T210)</f>
        <v>-0.45373206654259951</v>
      </c>
    </row>
    <row r="211" spans="1:26" s="24" customFormat="1" hidden="1" outlineLevel="2" x14ac:dyDescent="0.25">
      <c r="A211" s="26"/>
      <c r="B211" s="11" t="str">
        <f>CONCATENATE("          ", "6279", " - ", "GENERAL EXPENSE")</f>
        <v xml:space="preserve">          6279 - GENERAL EXPENSE</v>
      </c>
      <c r="C211" s="11"/>
      <c r="D211" s="6">
        <v>-4.21</v>
      </c>
      <c r="E211" s="2"/>
      <c r="F211" s="7">
        <f t="shared" si="81"/>
        <v>-2.0741557484044147E-5</v>
      </c>
      <c r="G211" s="2"/>
      <c r="H211" s="6">
        <v>257.8</v>
      </c>
      <c r="I211" s="2"/>
      <c r="J211" s="7">
        <f t="shared" si="82"/>
        <v>2.4055060671565785E-4</v>
      </c>
      <c r="K211" s="2"/>
      <c r="L211" s="6">
        <f t="shared" si="83"/>
        <v>-262.01</v>
      </c>
      <c r="M211" s="2"/>
      <c r="N211" s="7">
        <f t="shared" si="84"/>
        <v>-1.0163304887509697</v>
      </c>
      <c r="O211" s="11"/>
      <c r="P211" s="6">
        <v>5298.28</v>
      </c>
      <c r="Q211" s="2"/>
      <c r="R211" s="7">
        <f t="shared" si="85"/>
        <v>1.2976442039352835E-3</v>
      </c>
      <c r="S211" s="2"/>
      <c r="T211" s="6">
        <v>9699.0499999999993</v>
      </c>
      <c r="U211" s="2"/>
      <c r="V211" s="7">
        <f t="shared" si="86"/>
        <v>9.1774875893051199E-4</v>
      </c>
      <c r="W211" s="2"/>
      <c r="X211" s="6">
        <f t="shared" si="87"/>
        <v>-4400.7699999999995</v>
      </c>
      <c r="Y211" s="2"/>
      <c r="Z211" s="7">
        <f t="shared" si="88"/>
        <v>-0.45373206654259951</v>
      </c>
    </row>
    <row r="212" spans="1:26" s="25" customFormat="1" outlineLevel="1" collapsed="1" x14ac:dyDescent="0.25">
      <c r="A212" s="27"/>
      <c r="B212" s="13" t="str">
        <f>CONCATENATE("     ","Insurance                                         ")</f>
        <v xml:space="preserve">     Insurance                                         </v>
      </c>
      <c r="C212" s="13"/>
      <c r="D212" s="1">
        <f>SUM(OSRRefD22_12x_0)</f>
        <v>4288.28</v>
      </c>
      <c r="E212" s="1"/>
      <c r="F212" s="5">
        <f t="shared" si="81"/>
        <v>2.1127222358118012E-2</v>
      </c>
      <c r="G212" s="1"/>
      <c r="H212" s="1">
        <f>SUM(OSRRefH22_12x_0)</f>
        <v>4288.28</v>
      </c>
      <c r="I212" s="1"/>
      <c r="J212" s="5">
        <f t="shared" si="82"/>
        <v>4.0013512636408888E-3</v>
      </c>
      <c r="K212" s="1"/>
      <c r="L212" s="1">
        <f t="shared" si="83"/>
        <v>0</v>
      </c>
      <c r="M212" s="1"/>
      <c r="N212" s="5">
        <f t="shared" si="84"/>
        <v>0</v>
      </c>
      <c r="O212" s="13"/>
      <c r="P212" s="1">
        <f>SUM(OSRRefP22_12x_0)</f>
        <v>34306.239999999998</v>
      </c>
      <c r="Q212" s="1"/>
      <c r="R212" s="5">
        <f t="shared" si="85"/>
        <v>8.4022160955655005E-3</v>
      </c>
      <c r="S212" s="1"/>
      <c r="T212" s="1">
        <f>SUM(OSRRefT22_12x_0)</f>
        <v>34306.239999999998</v>
      </c>
      <c r="U212" s="1"/>
      <c r="V212" s="5">
        <f t="shared" si="86"/>
        <v>3.246143610309493E-3</v>
      </c>
      <c r="W212" s="1"/>
      <c r="X212" s="1">
        <f t="shared" si="87"/>
        <v>0</v>
      </c>
      <c r="Y212" s="1"/>
      <c r="Z212" s="5">
        <f t="shared" si="88"/>
        <v>0</v>
      </c>
    </row>
    <row r="213" spans="1:26" s="24" customFormat="1" hidden="1" outlineLevel="2" x14ac:dyDescent="0.25">
      <c r="A213" s="26"/>
      <c r="B213" s="11" t="str">
        <f>CONCATENATE("          ", "6314", " - ", "LIABILITY INSURANCE")</f>
        <v xml:space="preserve">          6314 - LIABILITY INSURANCE</v>
      </c>
      <c r="C213" s="11"/>
      <c r="D213" s="6">
        <v>4288.28</v>
      </c>
      <c r="E213" s="2"/>
      <c r="F213" s="7">
        <f t="shared" si="81"/>
        <v>2.1127222358118012E-2</v>
      </c>
      <c r="G213" s="2"/>
      <c r="H213" s="6">
        <v>4288.28</v>
      </c>
      <c r="I213" s="2"/>
      <c r="J213" s="7">
        <f t="shared" si="82"/>
        <v>4.0013512636408888E-3</v>
      </c>
      <c r="K213" s="2"/>
      <c r="L213" s="6">
        <f t="shared" si="83"/>
        <v>0</v>
      </c>
      <c r="M213" s="2"/>
      <c r="N213" s="7">
        <f t="shared" si="84"/>
        <v>0</v>
      </c>
      <c r="O213" s="11"/>
      <c r="P213" s="6">
        <v>34306.239999999998</v>
      </c>
      <c r="Q213" s="2"/>
      <c r="R213" s="7">
        <f t="shared" si="85"/>
        <v>8.4022160955655005E-3</v>
      </c>
      <c r="S213" s="2"/>
      <c r="T213" s="6">
        <v>34306.239999999998</v>
      </c>
      <c r="U213" s="2"/>
      <c r="V213" s="7">
        <f t="shared" si="86"/>
        <v>3.246143610309493E-3</v>
      </c>
      <c r="W213" s="2"/>
      <c r="X213" s="6">
        <f t="shared" si="87"/>
        <v>0</v>
      </c>
      <c r="Y213" s="2"/>
      <c r="Z213" s="7">
        <f t="shared" si="88"/>
        <v>0</v>
      </c>
    </row>
    <row r="214" spans="1:26" s="25" customFormat="1" outlineLevel="1" collapsed="1" x14ac:dyDescent="0.25">
      <c r="A214" s="27"/>
      <c r="B214" s="13" t="str">
        <f>CONCATENATE("     ","Interest                                          ")</f>
        <v xml:space="preserve">     Interest                                          </v>
      </c>
      <c r="C214" s="13"/>
      <c r="D214" s="1">
        <f>SUM(OSRRefD22_13x_0)</f>
        <v>4044</v>
      </c>
      <c r="E214" s="1"/>
      <c r="F214" s="5">
        <f t="shared" si="81"/>
        <v>1.9923719350469011E-2</v>
      </c>
      <c r="G214" s="1"/>
      <c r="H214" s="1">
        <f>SUM(OSRRefH22_13x_0)</f>
        <v>4175</v>
      </c>
      <c r="I214" s="1"/>
      <c r="J214" s="5">
        <f t="shared" si="82"/>
        <v>3.8956508263687799E-3</v>
      </c>
      <c r="K214" s="1"/>
      <c r="L214" s="1">
        <f t="shared" si="83"/>
        <v>-131</v>
      </c>
      <c r="M214" s="1"/>
      <c r="N214" s="5">
        <f t="shared" si="84"/>
        <v>-3.1377245508982035E-2</v>
      </c>
      <c r="O214" s="13"/>
      <c r="P214" s="1">
        <f>SUM(OSRRefP22_13x_0)</f>
        <v>32089.85</v>
      </c>
      <c r="Q214" s="1"/>
      <c r="R214" s="5">
        <f t="shared" si="85"/>
        <v>7.8593822632349857E-3</v>
      </c>
      <c r="S214" s="1"/>
      <c r="T214" s="1">
        <f>SUM(OSRRefT22_13x_0)</f>
        <v>33193.950000000004</v>
      </c>
      <c r="U214" s="1"/>
      <c r="V214" s="5">
        <f t="shared" si="86"/>
        <v>3.1408959038773357E-3</v>
      </c>
      <c r="W214" s="1"/>
      <c r="X214" s="1">
        <f t="shared" si="87"/>
        <v>-1104.1000000000058</v>
      </c>
      <c r="Y214" s="1"/>
      <c r="Z214" s="5">
        <f t="shared" si="88"/>
        <v>-3.326208541014268E-2</v>
      </c>
    </row>
    <row r="215" spans="1:26" s="24" customFormat="1" hidden="1" outlineLevel="2" x14ac:dyDescent="0.25">
      <c r="A215" s="26"/>
      <c r="B215" s="11" t="str">
        <f>CONCATENATE("          ", "6401", " - ", "INTEREST EXPENSE")</f>
        <v xml:space="preserve">          6401 - INTEREST EXPENSE</v>
      </c>
      <c r="C215" s="11"/>
      <c r="D215" s="6">
        <v>4044</v>
      </c>
      <c r="E215" s="2"/>
      <c r="F215" s="7">
        <f t="shared" si="81"/>
        <v>1.9923719350469011E-2</v>
      </c>
      <c r="G215" s="2"/>
      <c r="H215" s="6">
        <v>4175</v>
      </c>
      <c r="I215" s="2"/>
      <c r="J215" s="7">
        <f t="shared" si="82"/>
        <v>3.8956508263687799E-3</v>
      </c>
      <c r="K215" s="2"/>
      <c r="L215" s="6">
        <f t="shared" si="83"/>
        <v>-131</v>
      </c>
      <c r="M215" s="2"/>
      <c r="N215" s="7">
        <f t="shared" si="84"/>
        <v>-3.1377245508982035E-2</v>
      </c>
      <c r="O215" s="11"/>
      <c r="P215" s="6">
        <v>32089.85</v>
      </c>
      <c r="Q215" s="2"/>
      <c r="R215" s="7">
        <f t="shared" si="85"/>
        <v>7.8593822632349857E-3</v>
      </c>
      <c r="S215" s="2"/>
      <c r="T215" s="6">
        <v>33193.950000000004</v>
      </c>
      <c r="U215" s="2"/>
      <c r="V215" s="7">
        <f t="shared" si="86"/>
        <v>3.1408959038773357E-3</v>
      </c>
      <c r="W215" s="2"/>
      <c r="X215" s="6">
        <f t="shared" si="87"/>
        <v>-1104.1000000000058</v>
      </c>
      <c r="Y215" s="2"/>
      <c r="Z215" s="7">
        <f t="shared" si="88"/>
        <v>-3.326208541014268E-2</v>
      </c>
    </row>
    <row r="216" spans="1:26" s="25" customFormat="1" outlineLevel="1" collapsed="1" x14ac:dyDescent="0.25">
      <c r="A216" s="27"/>
      <c r="B216" s="13" t="str">
        <f>CONCATENATE("     ","Inventory Adjustment                              ")</f>
        <v xml:space="preserve">     Inventory Adjustment                              </v>
      </c>
      <c r="C216" s="13"/>
      <c r="D216" s="1">
        <f>SUM(OSRRefD22_14x_0)</f>
        <v>2100</v>
      </c>
      <c r="E216" s="1"/>
      <c r="F216" s="5">
        <f t="shared" si="81"/>
        <v>1.0346145063299931E-2</v>
      </c>
      <c r="G216" s="1"/>
      <c r="H216" s="1">
        <f>SUM(OSRRefH22_14x_0)</f>
        <v>4250</v>
      </c>
      <c r="I216" s="1"/>
      <c r="J216" s="5">
        <f t="shared" si="82"/>
        <v>3.9656325777406741E-3</v>
      </c>
      <c r="K216" s="1"/>
      <c r="L216" s="1">
        <f t="shared" si="83"/>
        <v>-2150</v>
      </c>
      <c r="M216" s="1"/>
      <c r="N216" s="5">
        <f t="shared" si="84"/>
        <v>-0.50588235294117645</v>
      </c>
      <c r="O216" s="13"/>
      <c r="P216" s="1">
        <f>SUM(OSRRefP22_14x_0)</f>
        <v>21800</v>
      </c>
      <c r="Q216" s="1"/>
      <c r="R216" s="5">
        <f t="shared" si="85"/>
        <v>5.3392126587853382E-3</v>
      </c>
      <c r="S216" s="1"/>
      <c r="T216" s="1">
        <f>SUM(OSRRefT22_14x_0)</f>
        <v>39700</v>
      </c>
      <c r="U216" s="1"/>
      <c r="V216" s="5">
        <f t="shared" si="86"/>
        <v>3.7565148885242709E-3</v>
      </c>
      <c r="W216" s="1"/>
      <c r="X216" s="1">
        <f t="shared" si="87"/>
        <v>-17900</v>
      </c>
      <c r="Y216" s="1"/>
      <c r="Z216" s="5">
        <f t="shared" si="88"/>
        <v>-0.45088161209068012</v>
      </c>
    </row>
    <row r="217" spans="1:26" s="24" customFormat="1" hidden="1" outlineLevel="2" x14ac:dyDescent="0.25">
      <c r="A217" s="26"/>
      <c r="B217" s="11" t="str">
        <f>CONCATENATE("          ", "6408", " - ", "INVENTORY ADJUSTMENT")</f>
        <v xml:space="preserve">          6408 - INVENTORY ADJUSTMENT</v>
      </c>
      <c r="C217" s="11"/>
      <c r="D217" s="6">
        <v>2100</v>
      </c>
      <c r="E217" s="2"/>
      <c r="F217" s="7">
        <f t="shared" si="81"/>
        <v>1.0346145063299931E-2</v>
      </c>
      <c r="G217" s="2"/>
      <c r="H217" s="6">
        <v>4250</v>
      </c>
      <c r="I217" s="2"/>
      <c r="J217" s="7">
        <f t="shared" si="82"/>
        <v>3.9656325777406741E-3</v>
      </c>
      <c r="K217" s="2"/>
      <c r="L217" s="6">
        <f t="shared" si="83"/>
        <v>-2150</v>
      </c>
      <c r="M217" s="2"/>
      <c r="N217" s="7">
        <f t="shared" si="84"/>
        <v>-0.50588235294117645</v>
      </c>
      <c r="O217" s="11"/>
      <c r="P217" s="6">
        <v>21800</v>
      </c>
      <c r="Q217" s="2"/>
      <c r="R217" s="7">
        <f t="shared" si="85"/>
        <v>5.3392126587853382E-3</v>
      </c>
      <c r="S217" s="2"/>
      <c r="T217" s="6">
        <v>39700</v>
      </c>
      <c r="U217" s="2"/>
      <c r="V217" s="7">
        <f t="shared" si="86"/>
        <v>3.7565148885242709E-3</v>
      </c>
      <c r="W217" s="2"/>
      <c r="X217" s="6">
        <f t="shared" si="87"/>
        <v>-17900</v>
      </c>
      <c r="Y217" s="2"/>
      <c r="Z217" s="7">
        <f t="shared" si="88"/>
        <v>-0.45088161209068012</v>
      </c>
    </row>
    <row r="218" spans="1:26" s="25" customFormat="1" outlineLevel="1" collapsed="1" x14ac:dyDescent="0.25">
      <c r="A218" s="27"/>
      <c r="B218" s="13" t="str">
        <f>CONCATENATE("     ","Professional Services                             ")</f>
        <v xml:space="preserve">     Professional Services                             </v>
      </c>
      <c r="C218" s="13"/>
      <c r="D218" s="1">
        <f>SUM(OSRRefD22_15x_0)</f>
        <v>0</v>
      </c>
      <c r="E218" s="1"/>
      <c r="F218" s="5">
        <f t="shared" si="81"/>
        <v>0</v>
      </c>
      <c r="G218" s="1"/>
      <c r="H218" s="1">
        <f>SUM(OSRRefH22_15x_0)</f>
        <v>0</v>
      </c>
      <c r="I218" s="1"/>
      <c r="J218" s="5">
        <f t="shared" si="82"/>
        <v>0</v>
      </c>
      <c r="K218" s="1"/>
      <c r="L218" s="1">
        <f t="shared" si="83"/>
        <v>0</v>
      </c>
      <c r="M218" s="1"/>
      <c r="N218" s="5">
        <f t="shared" si="84"/>
        <v>0</v>
      </c>
      <c r="O218" s="13"/>
      <c r="P218" s="1">
        <f>SUM(OSRRefP22_15x_0)</f>
        <v>0</v>
      </c>
      <c r="Q218" s="1"/>
      <c r="R218" s="5">
        <f t="shared" si="85"/>
        <v>0</v>
      </c>
      <c r="S218" s="1"/>
      <c r="T218" s="1">
        <f>SUM(OSRRefT22_15x_0)</f>
        <v>6199.56</v>
      </c>
      <c r="U218" s="1"/>
      <c r="V218" s="5">
        <f t="shared" si="86"/>
        <v>5.8661812197228038E-4</v>
      </c>
      <c r="W218" s="1"/>
      <c r="X218" s="1">
        <f t="shared" si="87"/>
        <v>-6199.56</v>
      </c>
      <c r="Y218" s="1"/>
      <c r="Z218" s="5">
        <f t="shared" si="88"/>
        <v>-1</v>
      </c>
    </row>
    <row r="219" spans="1:26" s="24" customFormat="1" hidden="1" outlineLevel="2" x14ac:dyDescent="0.25">
      <c r="A219" s="26"/>
      <c r="B219" s="11" t="str">
        <f>CONCATENATE("          ", "6336", " - ", "PROFESSIONAL SERVICES")</f>
        <v xml:space="preserve">          6336 - PROFESSIONAL SERVICES</v>
      </c>
      <c r="C219" s="11"/>
      <c r="D219" s="6"/>
      <c r="E219" s="2"/>
      <c r="F219" s="7">
        <f t="shared" si="81"/>
        <v>0</v>
      </c>
      <c r="G219" s="2"/>
      <c r="H219" s="6"/>
      <c r="I219" s="2"/>
      <c r="J219" s="7">
        <f t="shared" si="82"/>
        <v>0</v>
      </c>
      <c r="K219" s="2"/>
      <c r="L219" s="6">
        <f t="shared" si="83"/>
        <v>0</v>
      </c>
      <c r="M219" s="2"/>
      <c r="N219" s="7">
        <f t="shared" si="84"/>
        <v>0</v>
      </c>
      <c r="O219" s="11"/>
      <c r="P219" s="6"/>
      <c r="Q219" s="2"/>
      <c r="R219" s="7">
        <f t="shared" si="85"/>
        <v>0</v>
      </c>
      <c r="S219" s="2"/>
      <c r="T219" s="6">
        <v>6199.56</v>
      </c>
      <c r="U219" s="2"/>
      <c r="V219" s="7">
        <f t="shared" si="86"/>
        <v>5.8661812197228038E-4</v>
      </c>
      <c r="W219" s="2"/>
      <c r="X219" s="6">
        <f t="shared" si="87"/>
        <v>-6199.56</v>
      </c>
      <c r="Y219" s="2"/>
      <c r="Z219" s="7">
        <f t="shared" si="88"/>
        <v>-1</v>
      </c>
    </row>
    <row r="220" spans="1:26" s="25" customFormat="1" outlineLevel="1" collapsed="1" x14ac:dyDescent="0.25">
      <c r="A220" s="27"/>
      <c r="B220" s="13" t="str">
        <f>CONCATENATE("     ","Rent                                              ")</f>
        <v xml:space="preserve">     Rent                                              </v>
      </c>
      <c r="C220" s="13"/>
      <c r="D220" s="1">
        <f>SUM(OSRRefD22_16x_0)</f>
        <v>6100</v>
      </c>
      <c r="E220" s="1"/>
      <c r="F220" s="5">
        <f t="shared" si="81"/>
        <v>3.0053088041014087E-2</v>
      </c>
      <c r="G220" s="1"/>
      <c r="H220" s="1">
        <f>SUM(OSRRefH22_16x_0)</f>
        <v>7250</v>
      </c>
      <c r="I220" s="1"/>
      <c r="J220" s="5">
        <f t="shared" si="82"/>
        <v>6.7649026326164442E-3</v>
      </c>
      <c r="K220" s="1"/>
      <c r="L220" s="1">
        <f t="shared" si="83"/>
        <v>-1150</v>
      </c>
      <c r="M220" s="1"/>
      <c r="N220" s="5">
        <f t="shared" si="84"/>
        <v>-0.15862068965517243</v>
      </c>
      <c r="O220" s="13"/>
      <c r="P220" s="1">
        <f>SUM(OSRRefP22_16x_0)</f>
        <v>48800</v>
      </c>
      <c r="Q220" s="1"/>
      <c r="R220" s="5">
        <f t="shared" si="85"/>
        <v>1.1951998979299289E-2</v>
      </c>
      <c r="S220" s="1"/>
      <c r="T220" s="1">
        <f>SUM(OSRRefT22_16x_0)</f>
        <v>59600</v>
      </c>
      <c r="U220" s="1"/>
      <c r="V220" s="5">
        <f t="shared" si="86"/>
        <v>5.6395034598500388E-3</v>
      </c>
      <c r="W220" s="1"/>
      <c r="X220" s="1">
        <f t="shared" si="87"/>
        <v>-10800</v>
      </c>
      <c r="Y220" s="1"/>
      <c r="Z220" s="5">
        <f t="shared" si="88"/>
        <v>-0.18120805369127516</v>
      </c>
    </row>
    <row r="221" spans="1:26" s="24" customFormat="1" hidden="1" outlineLevel="2" x14ac:dyDescent="0.25">
      <c r="A221" s="26"/>
      <c r="B221" s="11" t="str">
        <f>CONCATENATE("          ", "6273", " - ", "RENT")</f>
        <v xml:space="preserve">          6273 - RENT</v>
      </c>
      <c r="C221" s="11"/>
      <c r="D221" s="6">
        <v>6100</v>
      </c>
      <c r="E221" s="2"/>
      <c r="F221" s="7">
        <f t="shared" si="81"/>
        <v>3.0053088041014087E-2</v>
      </c>
      <c r="G221" s="2"/>
      <c r="H221" s="6">
        <v>7250</v>
      </c>
      <c r="I221" s="2"/>
      <c r="J221" s="7">
        <f t="shared" si="82"/>
        <v>6.7649026326164442E-3</v>
      </c>
      <c r="K221" s="2"/>
      <c r="L221" s="6">
        <f t="shared" si="83"/>
        <v>-1150</v>
      </c>
      <c r="M221" s="2"/>
      <c r="N221" s="7">
        <f t="shared" si="84"/>
        <v>-0.15862068965517243</v>
      </c>
      <c r="O221" s="11"/>
      <c r="P221" s="6">
        <v>48800</v>
      </c>
      <c r="Q221" s="2"/>
      <c r="R221" s="7">
        <f t="shared" si="85"/>
        <v>1.1951998979299289E-2</v>
      </c>
      <c r="S221" s="2"/>
      <c r="T221" s="6">
        <v>59600</v>
      </c>
      <c r="U221" s="2"/>
      <c r="V221" s="7">
        <f t="shared" si="86"/>
        <v>5.6395034598500388E-3</v>
      </c>
      <c r="W221" s="2"/>
      <c r="X221" s="6">
        <f t="shared" si="87"/>
        <v>-10800</v>
      </c>
      <c r="Y221" s="2"/>
      <c r="Z221" s="7">
        <f t="shared" si="88"/>
        <v>-0.18120805369127516</v>
      </c>
    </row>
    <row r="222" spans="1:26" s="25" customFormat="1" outlineLevel="1" collapsed="1" x14ac:dyDescent="0.25">
      <c r="A222" s="27"/>
      <c r="B222" s="13" t="str">
        <f>CONCATENATE("     ","Repair and Maintenance                            ")</f>
        <v xml:space="preserve">     Repair and Maintenance                            </v>
      </c>
      <c r="C222" s="13"/>
      <c r="D222" s="1">
        <f>SUM(OSRRefD22_17x_0)</f>
        <v>16237.08</v>
      </c>
      <c r="E222" s="1"/>
      <c r="F222" s="5">
        <f t="shared" si="81"/>
        <v>7.9995802421145734E-2</v>
      </c>
      <c r="G222" s="1"/>
      <c r="H222" s="1">
        <f>SUM(OSRRefH22_17x_0)</f>
        <v>7464.75</v>
      </c>
      <c r="I222" s="1"/>
      <c r="J222" s="5">
        <f t="shared" si="82"/>
        <v>6.9652837140446342E-3</v>
      </c>
      <c r="K222" s="1"/>
      <c r="L222" s="1">
        <f t="shared" si="83"/>
        <v>8772.33</v>
      </c>
      <c r="M222" s="1"/>
      <c r="N222" s="5">
        <f t="shared" si="84"/>
        <v>1.175167286245353</v>
      </c>
      <c r="O222" s="13"/>
      <c r="P222" s="1">
        <f>SUM(OSRRefP22_17x_0)</f>
        <v>131356.25</v>
      </c>
      <c r="Q222" s="1"/>
      <c r="R222" s="5">
        <f t="shared" si="85"/>
        <v>3.2171511596815208E-2</v>
      </c>
      <c r="S222" s="1"/>
      <c r="T222" s="1">
        <f>SUM(OSRRefT22_17x_0)</f>
        <v>123893.56</v>
      </c>
      <c r="U222" s="1"/>
      <c r="V222" s="5">
        <f t="shared" si="86"/>
        <v>1.1723123494515745E-2</v>
      </c>
      <c r="W222" s="1"/>
      <c r="X222" s="1">
        <f t="shared" si="87"/>
        <v>7462.6900000000023</v>
      </c>
      <c r="Y222" s="1"/>
      <c r="Z222" s="5">
        <f t="shared" si="88"/>
        <v>6.0234688550397639E-2</v>
      </c>
    </row>
    <row r="223" spans="1:26" s="24" customFormat="1" hidden="1" outlineLevel="2" x14ac:dyDescent="0.25">
      <c r="A223" s="26"/>
      <c r="B223" s="11" t="str">
        <f>CONCATENATE("          ", "6371", " - ", "COMPUTER SOFTWARE MAINTENANCE")</f>
        <v xml:space="preserve">          6371 - COMPUTER SOFTWARE MAINTENANCE</v>
      </c>
      <c r="C223" s="11"/>
      <c r="D223" s="6">
        <v>1331.25</v>
      </c>
      <c r="E223" s="2"/>
      <c r="F223" s="7">
        <f t="shared" si="81"/>
        <v>6.5587169597704923E-3</v>
      </c>
      <c r="G223" s="2"/>
      <c r="H223" s="6">
        <v>601</v>
      </c>
      <c r="I223" s="2"/>
      <c r="J223" s="7">
        <f t="shared" si="82"/>
        <v>5.607871009934459E-4</v>
      </c>
      <c r="K223" s="2"/>
      <c r="L223" s="6">
        <f t="shared" si="83"/>
        <v>730.25</v>
      </c>
      <c r="M223" s="2"/>
      <c r="N223" s="7">
        <f t="shared" si="84"/>
        <v>1.2150582362728786</v>
      </c>
      <c r="O223" s="11"/>
      <c r="P223" s="6">
        <v>59767.719999999994</v>
      </c>
      <c r="Q223" s="2"/>
      <c r="R223" s="7">
        <f t="shared" si="85"/>
        <v>1.4638191156455854E-2</v>
      </c>
      <c r="S223" s="2"/>
      <c r="T223" s="6">
        <v>16467.329999999998</v>
      </c>
      <c r="U223" s="2"/>
      <c r="V223" s="7">
        <f t="shared" si="86"/>
        <v>1.5581806125753747E-3</v>
      </c>
      <c r="W223" s="2"/>
      <c r="X223" s="6">
        <f t="shared" si="87"/>
        <v>43300.39</v>
      </c>
      <c r="Y223" s="2"/>
      <c r="Z223" s="7">
        <f t="shared" si="88"/>
        <v>2.6294724159897207</v>
      </c>
    </row>
    <row r="224" spans="1:26" s="24" customFormat="1" hidden="1" outlineLevel="2" x14ac:dyDescent="0.25">
      <c r="A224" s="26"/>
      <c r="B224" s="11" t="str">
        <f>CONCATENATE("          ", "6372", " - ", "COMPUTER HARDWARE MAINTENANCE")</f>
        <v xml:space="preserve">          6372 - COMPUTER HARDWARE MAINTENANCE</v>
      </c>
      <c r="C224" s="11"/>
      <c r="D224" s="6">
        <v>-1.1499999999999999</v>
      </c>
      <c r="E224" s="2"/>
      <c r="F224" s="7">
        <f t="shared" si="81"/>
        <v>-5.6657461060928187E-6</v>
      </c>
      <c r="G224" s="2"/>
      <c r="H224" s="6"/>
      <c r="I224" s="2"/>
      <c r="J224" s="7">
        <f t="shared" si="82"/>
        <v>0</v>
      </c>
      <c r="K224" s="2"/>
      <c r="L224" s="6">
        <f t="shared" si="83"/>
        <v>-1.1499999999999999</v>
      </c>
      <c r="M224" s="2"/>
      <c r="N224" s="7">
        <f t="shared" si="84"/>
        <v>0</v>
      </c>
      <c r="O224" s="11"/>
      <c r="P224" s="6">
        <v>-1.1499999999999999</v>
      </c>
      <c r="Q224" s="2"/>
      <c r="R224" s="7">
        <f t="shared" si="85"/>
        <v>-2.8165571365152012E-7</v>
      </c>
      <c r="S224" s="2"/>
      <c r="T224" s="6">
        <v>52.32</v>
      </c>
      <c r="U224" s="2"/>
      <c r="V224" s="7">
        <f t="shared" si="86"/>
        <v>4.950651359385135E-6</v>
      </c>
      <c r="W224" s="2"/>
      <c r="X224" s="6">
        <f t="shared" si="87"/>
        <v>-53.47</v>
      </c>
      <c r="Y224" s="2"/>
      <c r="Z224" s="7">
        <f t="shared" si="88"/>
        <v>-1.0219801223241589</v>
      </c>
    </row>
    <row r="225" spans="1:26" s="24" customFormat="1" hidden="1" outlineLevel="2" x14ac:dyDescent="0.25">
      <c r="A225" s="26"/>
      <c r="B225" s="11" t="str">
        <f>CONCATENATE("          ", "6373", " - ", "MAINTENANCE CONTRACTS")</f>
        <v xml:space="preserve">          6373 - MAINTENANCE CONTRACTS</v>
      </c>
      <c r="C225" s="11"/>
      <c r="D225" s="6">
        <v>3372.5</v>
      </c>
      <c r="E225" s="2"/>
      <c r="F225" s="7">
        <f t="shared" si="81"/>
        <v>1.6615416298085248E-2</v>
      </c>
      <c r="G225" s="2"/>
      <c r="H225" s="6">
        <v>4914.58</v>
      </c>
      <c r="I225" s="2"/>
      <c r="J225" s="7">
        <f t="shared" si="82"/>
        <v>4.5857455420971202E-3</v>
      </c>
      <c r="K225" s="2"/>
      <c r="L225" s="6">
        <f t="shared" si="83"/>
        <v>-1542.08</v>
      </c>
      <c r="M225" s="2"/>
      <c r="N225" s="7">
        <f t="shared" si="84"/>
        <v>-0.31377655872933191</v>
      </c>
      <c r="O225" s="11"/>
      <c r="P225" s="6">
        <v>44383.28</v>
      </c>
      <c r="Q225" s="2"/>
      <c r="R225" s="7">
        <f t="shared" si="85"/>
        <v>1.0870264697908905E-2</v>
      </c>
      <c r="S225" s="2"/>
      <c r="T225" s="6">
        <v>58036.700000000004</v>
      </c>
      <c r="U225" s="2"/>
      <c r="V225" s="7">
        <f t="shared" si="86"/>
        <v>5.4915800410785028E-3</v>
      </c>
      <c r="W225" s="2"/>
      <c r="X225" s="6">
        <f t="shared" si="87"/>
        <v>-13653.420000000006</v>
      </c>
      <c r="Y225" s="2"/>
      <c r="Z225" s="7">
        <f t="shared" si="88"/>
        <v>-0.23525493351620622</v>
      </c>
    </row>
    <row r="226" spans="1:26" s="24" customFormat="1" hidden="1" outlineLevel="2" x14ac:dyDescent="0.25">
      <c r="A226" s="26"/>
      <c r="B226" s="11" t="str">
        <f>CONCATENATE("          ", "6375", " - ", "OUTSIDE REPAIRS &amp; MAINTENANCE")</f>
        <v xml:space="preserve">          6375 - OUTSIDE REPAIRS &amp; MAINTENANCE</v>
      </c>
      <c r="C226" s="11"/>
      <c r="D226" s="6">
        <v>11534.48</v>
      </c>
      <c r="E226" s="2"/>
      <c r="F226" s="7">
        <f t="shared" si="81"/>
        <v>5.6827334909396086E-2</v>
      </c>
      <c r="G226" s="2"/>
      <c r="H226" s="6">
        <v>1949.17</v>
      </c>
      <c r="I226" s="2"/>
      <c r="J226" s="7">
        <f t="shared" si="82"/>
        <v>1.8187510709540683E-3</v>
      </c>
      <c r="K226" s="2"/>
      <c r="L226" s="6">
        <f t="shared" si="83"/>
        <v>9585.31</v>
      </c>
      <c r="M226" s="2"/>
      <c r="N226" s="7">
        <f t="shared" si="84"/>
        <v>4.9176367376883485</v>
      </c>
      <c r="O226" s="11"/>
      <c r="P226" s="6">
        <v>27206.400000000001</v>
      </c>
      <c r="Q226" s="2"/>
      <c r="R226" s="7">
        <f t="shared" si="85"/>
        <v>6.6633373981641025E-3</v>
      </c>
      <c r="S226" s="2"/>
      <c r="T226" s="6">
        <v>49337.21</v>
      </c>
      <c r="U226" s="2"/>
      <c r="V226" s="7">
        <f t="shared" si="86"/>
        <v>4.6684121895024817E-3</v>
      </c>
      <c r="W226" s="2"/>
      <c r="X226" s="6">
        <f t="shared" si="87"/>
        <v>-22130.809999999998</v>
      </c>
      <c r="Y226" s="2"/>
      <c r="Z226" s="7">
        <f t="shared" si="88"/>
        <v>-0.44856225149334544</v>
      </c>
    </row>
    <row r="227" spans="1:26" s="25" customFormat="1" outlineLevel="1" collapsed="1" x14ac:dyDescent="0.25">
      <c r="A227" s="27"/>
      <c r="B227" s="13" t="str">
        <f>CONCATENATE("     ","Royalty &amp; Commissions                             ")</f>
        <v xml:space="preserve">     Royalty &amp; Commissions                             </v>
      </c>
      <c r="C227" s="13"/>
      <c r="D227" s="1">
        <f>SUM(OSRRefD22_18x_0)</f>
        <v>468.34</v>
      </c>
      <c r="E227" s="1"/>
      <c r="F227" s="5">
        <f t="shared" ref="F227:F230" si="89">IF(D$12=0,0,D227/D$12)</f>
        <v>2.3073874185456618E-3</v>
      </c>
      <c r="G227" s="1"/>
      <c r="H227" s="1">
        <f>SUM(OSRRefH22_18x_0)</f>
        <v>24310.91</v>
      </c>
      <c r="I227" s="1"/>
      <c r="J227" s="5">
        <f t="shared" ref="J227:J230" si="90">IF(H$12=0,0,H227/H$12)</f>
        <v>2.2684267456593302E-2</v>
      </c>
      <c r="K227" s="1"/>
      <c r="L227" s="1">
        <f t="shared" ref="L227:L230" si="91">+D227-H227</f>
        <v>-23842.57</v>
      </c>
      <c r="M227" s="1"/>
      <c r="N227" s="5">
        <f t="shared" ref="N227:N230" si="92">IF(H227=0,0,L227/H227)</f>
        <v>-0.98073539822244415</v>
      </c>
      <c r="O227" s="13"/>
      <c r="P227" s="1">
        <f>SUM(OSRRefP22_18x_0)</f>
        <v>37019.69</v>
      </c>
      <c r="Q227" s="1"/>
      <c r="R227" s="5">
        <f t="shared" ref="R227:R230" si="93">IF(P$12=0,0,P227/P$12)</f>
        <v>9.0667888748765593E-3</v>
      </c>
      <c r="S227" s="1"/>
      <c r="T227" s="1">
        <f>SUM(OSRRefT22_18x_0)</f>
        <v>111737.86</v>
      </c>
      <c r="U227" s="1"/>
      <c r="V227" s="5">
        <f t="shared" ref="V227:V230" si="94">IF(T$12=0,0,T227/T$12)</f>
        <v>1.0572920269567772E-2</v>
      </c>
      <c r="W227" s="1"/>
      <c r="X227" s="1">
        <f t="shared" ref="X227:X230" si="95">+P227-T227</f>
        <v>-74718.17</v>
      </c>
      <c r="Y227" s="1"/>
      <c r="Z227" s="5">
        <f t="shared" ref="Z227:Z230" si="96">IF(T227=0,0,X227/T227)</f>
        <v>-0.66869161446263603</v>
      </c>
    </row>
    <row r="228" spans="1:26" s="24" customFormat="1" hidden="1" outlineLevel="2" x14ac:dyDescent="0.25">
      <c r="A228" s="26"/>
      <c r="B228" s="11" t="str">
        <f>CONCATENATE("          ", "6253", " - ", "ROYALTY DUE ATHLETICS-LRG")</f>
        <v xml:space="preserve">          6253 - ROYALTY DUE ATHLETICS-LRG</v>
      </c>
      <c r="C228" s="11"/>
      <c r="D228" s="6"/>
      <c r="E228" s="2"/>
      <c r="F228" s="7">
        <f t="shared" si="89"/>
        <v>0</v>
      </c>
      <c r="G228" s="2"/>
      <c r="H228" s="6">
        <v>12278.49</v>
      </c>
      <c r="I228" s="2"/>
      <c r="J228" s="7">
        <f t="shared" si="90"/>
        <v>1.1456936458697197E-2</v>
      </c>
      <c r="K228" s="2"/>
      <c r="L228" s="6">
        <f t="shared" si="91"/>
        <v>-12278.49</v>
      </c>
      <c r="M228" s="2"/>
      <c r="N228" s="7">
        <f t="shared" si="92"/>
        <v>-1</v>
      </c>
      <c r="O228" s="11"/>
      <c r="P228" s="6">
        <v>26197.58</v>
      </c>
      <c r="Q228" s="2"/>
      <c r="R228" s="7">
        <f t="shared" si="93"/>
        <v>6.4162592094285141E-3</v>
      </c>
      <c r="S228" s="2"/>
      <c r="T228" s="6">
        <v>16645.439999999999</v>
      </c>
      <c r="U228" s="2"/>
      <c r="V228" s="7">
        <f t="shared" si="94"/>
        <v>1.5750338334014468E-3</v>
      </c>
      <c r="W228" s="2"/>
      <c r="X228" s="6">
        <f t="shared" si="95"/>
        <v>9552.1400000000031</v>
      </c>
      <c r="Y228" s="2"/>
      <c r="Z228" s="7">
        <f t="shared" si="96"/>
        <v>0.57385926716265856</v>
      </c>
    </row>
    <row r="229" spans="1:26" s="24" customFormat="1" hidden="1" outlineLevel="2" x14ac:dyDescent="0.25">
      <c r="A229" s="26"/>
      <c r="B229" s="11" t="str">
        <f>CONCATENATE("          ", "6254", " - ", "ROYALTY &amp; COMMISSIONS")</f>
        <v xml:space="preserve">          6254 - ROYALTY &amp; COMMISSIONS</v>
      </c>
      <c r="C229" s="11"/>
      <c r="D229" s="6"/>
      <c r="E229" s="2"/>
      <c r="F229" s="7">
        <f t="shared" si="89"/>
        <v>0</v>
      </c>
      <c r="G229" s="2"/>
      <c r="H229" s="6">
        <v>3471.1</v>
      </c>
      <c r="I229" s="2"/>
      <c r="J229" s="7">
        <f t="shared" si="90"/>
        <v>3.238848762493095E-3</v>
      </c>
      <c r="K229" s="2"/>
      <c r="L229" s="6">
        <f t="shared" si="91"/>
        <v>-3471.1</v>
      </c>
      <c r="M229" s="2"/>
      <c r="N229" s="7">
        <f t="shared" si="92"/>
        <v>-1</v>
      </c>
      <c r="O229" s="11"/>
      <c r="P229" s="6">
        <v>185.7</v>
      </c>
      <c r="Q229" s="2"/>
      <c r="R229" s="7">
        <f t="shared" si="93"/>
        <v>4.5481274804423724E-5</v>
      </c>
      <c r="S229" s="2"/>
      <c r="T229" s="6">
        <v>22130.54</v>
      </c>
      <c r="U229" s="2"/>
      <c r="V229" s="7">
        <f t="shared" si="94"/>
        <v>2.0940479345360687E-3</v>
      </c>
      <c r="W229" s="2"/>
      <c r="X229" s="6">
        <f t="shared" si="95"/>
        <v>-21944.84</v>
      </c>
      <c r="Y229" s="2"/>
      <c r="Z229" s="7">
        <f t="shared" si="96"/>
        <v>-0.99160888075934883</v>
      </c>
    </row>
    <row r="230" spans="1:26" s="24" customFormat="1" hidden="1" outlineLevel="2" x14ac:dyDescent="0.25">
      <c r="A230" s="26"/>
      <c r="B230" s="11" t="str">
        <f>CONCATENATE("          ", "6259", " - ", "ROYALTY &amp; COMMISSIONS")</f>
        <v xml:space="preserve">          6259 - ROYALTY &amp; COMMISSIONS</v>
      </c>
      <c r="C230" s="11"/>
      <c r="D230" s="6">
        <v>468.34</v>
      </c>
      <c r="E230" s="2"/>
      <c r="F230" s="7">
        <f t="shared" si="89"/>
        <v>2.3073874185456618E-3</v>
      </c>
      <c r="G230" s="2"/>
      <c r="H230" s="6">
        <v>8561.32</v>
      </c>
      <c r="I230" s="2"/>
      <c r="J230" s="7">
        <f t="shared" si="90"/>
        <v>7.9884822354030095E-3</v>
      </c>
      <c r="K230" s="2"/>
      <c r="L230" s="6">
        <f t="shared" si="91"/>
        <v>-8092.98</v>
      </c>
      <c r="M230" s="2"/>
      <c r="N230" s="7">
        <f t="shared" si="92"/>
        <v>-0.9452958188690529</v>
      </c>
      <c r="O230" s="11"/>
      <c r="P230" s="6">
        <v>10636.41</v>
      </c>
      <c r="Q230" s="2"/>
      <c r="R230" s="7">
        <f t="shared" si="93"/>
        <v>2.605048390643622E-3</v>
      </c>
      <c r="S230" s="2"/>
      <c r="T230" s="6">
        <v>72961.88</v>
      </c>
      <c r="U230" s="2"/>
      <c r="V230" s="7">
        <f t="shared" si="94"/>
        <v>6.903838501630258E-3</v>
      </c>
      <c r="W230" s="2"/>
      <c r="X230" s="6">
        <f t="shared" si="95"/>
        <v>-62325.47</v>
      </c>
      <c r="Y230" s="2"/>
      <c r="Z230" s="7">
        <f t="shared" si="96"/>
        <v>-0.85421962811265273</v>
      </c>
    </row>
    <row r="231" spans="1:26" s="25" customFormat="1" outlineLevel="1" collapsed="1" x14ac:dyDescent="0.25">
      <c r="A231" s="27"/>
      <c r="B231" s="13" t="str">
        <f>CONCATENATE("     ","Services                                          ")</f>
        <v xml:space="preserve">     Services                                          </v>
      </c>
      <c r="C231" s="13"/>
      <c r="D231" s="1">
        <f>SUM(OSRRefD22_19x_0)</f>
        <v>4363.5</v>
      </c>
      <c r="E231" s="1"/>
      <c r="F231" s="5">
        <f t="shared" ref="F231:F236" si="97">IF(D$12=0,0,D231/D$12)</f>
        <v>2.1497811420813927E-2</v>
      </c>
      <c r="G231" s="1"/>
      <c r="H231" s="1">
        <f>SUM(OSRRefH22_19x_0)</f>
        <v>6719.49</v>
      </c>
      <c r="I231" s="1"/>
      <c r="J231" s="5">
        <f t="shared" ref="J231:J236" si="98">IF(H$12=0,0,H231/H$12)</f>
        <v>6.2698890470123956E-3</v>
      </c>
      <c r="K231" s="1"/>
      <c r="L231" s="1">
        <f t="shared" ref="L231:L236" si="99">+D231-H231</f>
        <v>-2355.9899999999998</v>
      </c>
      <c r="M231" s="1"/>
      <c r="N231" s="5">
        <f t="shared" ref="N231:N236" si="100">IF(H231=0,0,L231/H231)</f>
        <v>-0.35062035958086102</v>
      </c>
      <c r="O231" s="13"/>
      <c r="P231" s="1">
        <f>SUM(OSRRefP22_19x_0)</f>
        <v>30507.040000000001</v>
      </c>
      <c r="Q231" s="1"/>
      <c r="R231" s="5">
        <f t="shared" ref="R231:R236" si="101">IF(P$12=0,0,P231/P$12)</f>
        <v>7.4717235848656268E-3</v>
      </c>
      <c r="S231" s="1"/>
      <c r="T231" s="1">
        <f>SUM(OSRRefT22_19x_0)</f>
        <v>51558.53</v>
      </c>
      <c r="U231" s="1"/>
      <c r="V231" s="5">
        <f t="shared" ref="V231:V236" si="102">IF(T$12=0,0,T231/T$12)</f>
        <v>4.8785991328822486E-3</v>
      </c>
      <c r="W231" s="1"/>
      <c r="X231" s="1">
        <f t="shared" ref="X231:X236" si="103">+P231-T231</f>
        <v>-21051.489999999998</v>
      </c>
      <c r="Y231" s="1"/>
      <c r="Z231" s="5">
        <f t="shared" ref="Z231:Z236" si="104">IF(T231=0,0,X231/T231)</f>
        <v>-0.40830275804992888</v>
      </c>
    </row>
    <row r="232" spans="1:26" s="24" customFormat="1" hidden="1" outlineLevel="2" x14ac:dyDescent="0.25">
      <c r="A232" s="26"/>
      <c r="B232" s="11" t="str">
        <f>CONCATENATE("          ", "6282", " - ", "JANITORIAL/EXTERMINATOR EXPENS")</f>
        <v xml:space="preserve">          6282 - JANITORIAL/EXTERMINATOR EXPENS</v>
      </c>
      <c r="C232" s="11"/>
      <c r="D232" s="6">
        <v>141.93</v>
      </c>
      <c r="E232" s="2"/>
      <c r="F232" s="7">
        <f t="shared" si="97"/>
        <v>6.9925160420674249E-4</v>
      </c>
      <c r="G232" s="2"/>
      <c r="H232" s="6">
        <v>1066.94</v>
      </c>
      <c r="I232" s="2"/>
      <c r="J232" s="7">
        <f t="shared" si="98"/>
        <v>9.9555106411638463E-4</v>
      </c>
      <c r="K232" s="2"/>
      <c r="L232" s="6">
        <f t="shared" si="99"/>
        <v>-925.01</v>
      </c>
      <c r="M232" s="2"/>
      <c r="N232" s="7">
        <f t="shared" si="100"/>
        <v>-0.86697471272986293</v>
      </c>
      <c r="O232" s="11"/>
      <c r="P232" s="6">
        <v>8446.8700000000008</v>
      </c>
      <c r="Q232" s="2"/>
      <c r="R232" s="7">
        <f t="shared" si="101"/>
        <v>2.0687906069318399E-3</v>
      </c>
      <c r="S232" s="2"/>
      <c r="T232" s="6">
        <v>7590.83</v>
      </c>
      <c r="U232" s="2"/>
      <c r="V232" s="7">
        <f t="shared" si="102"/>
        <v>7.182636249686824E-4</v>
      </c>
      <c r="W232" s="2"/>
      <c r="X232" s="6">
        <f t="shared" si="103"/>
        <v>856.04000000000087</v>
      </c>
      <c r="Y232" s="2"/>
      <c r="Z232" s="7">
        <f t="shared" si="104"/>
        <v>0.11277291152614416</v>
      </c>
    </row>
    <row r="233" spans="1:26" s="24" customFormat="1" hidden="1" outlineLevel="2" x14ac:dyDescent="0.25">
      <c r="A233" s="26"/>
      <c r="B233" s="11" t="str">
        <f>CONCATENATE("          ", "6283", " - ", "PLANT SERVICE")</f>
        <v xml:space="preserve">          6283 - PLANT SERVICE</v>
      </c>
      <c r="C233" s="11"/>
      <c r="D233" s="6"/>
      <c r="E233" s="2"/>
      <c r="F233" s="7">
        <f t="shared" si="97"/>
        <v>0</v>
      </c>
      <c r="G233" s="2"/>
      <c r="H233" s="6"/>
      <c r="I233" s="2"/>
      <c r="J233" s="7">
        <f t="shared" si="98"/>
        <v>0</v>
      </c>
      <c r="K233" s="2"/>
      <c r="L233" s="6">
        <f t="shared" si="99"/>
        <v>0</v>
      </c>
      <c r="M233" s="2"/>
      <c r="N233" s="7">
        <f t="shared" si="100"/>
        <v>0</v>
      </c>
      <c r="O233" s="11"/>
      <c r="P233" s="6">
        <v>171.31</v>
      </c>
      <c r="Q233" s="2"/>
      <c r="R233" s="7">
        <f t="shared" si="101"/>
        <v>4.1956904613601667E-5</v>
      </c>
      <c r="S233" s="2"/>
      <c r="T233" s="6">
        <v>541.98</v>
      </c>
      <c r="U233" s="2"/>
      <c r="V233" s="7">
        <f t="shared" si="102"/>
        <v>5.1283524918951747E-5</v>
      </c>
      <c r="W233" s="2"/>
      <c r="X233" s="6">
        <f t="shared" si="103"/>
        <v>-370.67</v>
      </c>
      <c r="Y233" s="2"/>
      <c r="Z233" s="7">
        <f t="shared" si="104"/>
        <v>-0.68391822576478833</v>
      </c>
    </row>
    <row r="234" spans="1:26" s="24" customFormat="1" hidden="1" outlineLevel="2" x14ac:dyDescent="0.25">
      <c r="A234" s="26"/>
      <c r="B234" s="11" t="str">
        <f>CONCATENATE("          ", "6284", " - ", "TRASH REMOVAL EXPENSE")</f>
        <v xml:space="preserve">          6284 - TRASH REMOVAL EXPENSE</v>
      </c>
      <c r="C234" s="11"/>
      <c r="D234" s="6">
        <v>431.57</v>
      </c>
      <c r="E234" s="2"/>
      <c r="F234" s="7">
        <f t="shared" si="97"/>
        <v>2.1262313452230243E-3</v>
      </c>
      <c r="G234" s="2"/>
      <c r="H234" s="6">
        <v>423.82</v>
      </c>
      <c r="I234" s="2"/>
      <c r="J234" s="7">
        <f t="shared" si="98"/>
        <v>3.9546221155248296E-4</v>
      </c>
      <c r="K234" s="2"/>
      <c r="L234" s="6">
        <f t="shared" si="99"/>
        <v>7.75</v>
      </c>
      <c r="M234" s="2"/>
      <c r="N234" s="7">
        <f t="shared" si="100"/>
        <v>1.8286064838846681E-2</v>
      </c>
      <c r="O234" s="11"/>
      <c r="P234" s="6">
        <v>2311.58</v>
      </c>
      <c r="Q234" s="2"/>
      <c r="R234" s="7">
        <f t="shared" si="101"/>
        <v>5.6614757788050508E-4</v>
      </c>
      <c r="S234" s="2"/>
      <c r="T234" s="6">
        <v>3389.56</v>
      </c>
      <c r="U234" s="2"/>
      <c r="V234" s="7">
        <f t="shared" si="102"/>
        <v>3.2072878099612915E-4</v>
      </c>
      <c r="W234" s="2"/>
      <c r="X234" s="6">
        <f t="shared" si="103"/>
        <v>-1077.98</v>
      </c>
      <c r="Y234" s="2"/>
      <c r="Z234" s="7">
        <f t="shared" si="104"/>
        <v>-0.31802947875240445</v>
      </c>
    </row>
    <row r="235" spans="1:26" s="24" customFormat="1" hidden="1" outlineLevel="2" x14ac:dyDescent="0.25">
      <c r="A235" s="26"/>
      <c r="B235" s="11" t="str">
        <f>CONCATENATE("          ", "6285", " - ", "JANITORIAL SERVICES")</f>
        <v xml:space="preserve">          6285 - JANITORIAL SERVICES</v>
      </c>
      <c r="C235" s="11"/>
      <c r="D235" s="6">
        <v>3790</v>
      </c>
      <c r="E235" s="2"/>
      <c r="F235" s="7">
        <f t="shared" si="97"/>
        <v>1.8672328471384163E-2</v>
      </c>
      <c r="G235" s="2"/>
      <c r="H235" s="6">
        <v>4502.66</v>
      </c>
      <c r="I235" s="2"/>
      <c r="J235" s="7">
        <f t="shared" si="98"/>
        <v>4.2013871017623113E-3</v>
      </c>
      <c r="K235" s="2"/>
      <c r="L235" s="6">
        <f t="shared" si="99"/>
        <v>-712.65999999999985</v>
      </c>
      <c r="M235" s="2"/>
      <c r="N235" s="7">
        <f t="shared" si="100"/>
        <v>-0.15827533058236684</v>
      </c>
      <c r="O235" s="11"/>
      <c r="P235" s="6">
        <v>19577.28</v>
      </c>
      <c r="Q235" s="2"/>
      <c r="R235" s="7">
        <f t="shared" si="101"/>
        <v>4.7948284954396798E-3</v>
      </c>
      <c r="S235" s="2"/>
      <c r="T235" s="6">
        <v>34166.080000000002</v>
      </c>
      <c r="U235" s="2"/>
      <c r="V235" s="7">
        <f t="shared" si="102"/>
        <v>3.2328813149247186E-3</v>
      </c>
      <c r="W235" s="2"/>
      <c r="X235" s="6">
        <f t="shared" si="103"/>
        <v>-14588.800000000003</v>
      </c>
      <c r="Y235" s="2"/>
      <c r="Z235" s="7">
        <f t="shared" si="104"/>
        <v>-0.4269966001367439</v>
      </c>
    </row>
    <row r="236" spans="1:26" s="24" customFormat="1" hidden="1" outlineLevel="2" x14ac:dyDescent="0.25">
      <c r="A236" s="26"/>
      <c r="B236" s="11" t="str">
        <f>CONCATENATE("          ", "6286", " - ", "LAUNDRY EXPENSE")</f>
        <v xml:space="preserve">          6286 - LAUNDRY EXPENSE</v>
      </c>
      <c r="C236" s="11"/>
      <c r="D236" s="6"/>
      <c r="E236" s="2"/>
      <c r="F236" s="7">
        <f t="shared" si="97"/>
        <v>0</v>
      </c>
      <c r="G236" s="2"/>
      <c r="H236" s="6">
        <v>726.07</v>
      </c>
      <c r="I236" s="2"/>
      <c r="J236" s="7">
        <f t="shared" si="98"/>
        <v>6.7748866958121682E-4</v>
      </c>
      <c r="K236" s="2"/>
      <c r="L236" s="6">
        <f t="shared" si="99"/>
        <v>-726.07</v>
      </c>
      <c r="M236" s="2"/>
      <c r="N236" s="7">
        <f t="shared" si="100"/>
        <v>-1</v>
      </c>
      <c r="O236" s="11"/>
      <c r="P236" s="6"/>
      <c r="Q236" s="2"/>
      <c r="R236" s="7">
        <f t="shared" si="101"/>
        <v>0</v>
      </c>
      <c r="S236" s="2"/>
      <c r="T236" s="6">
        <v>5870.08</v>
      </c>
      <c r="U236" s="2"/>
      <c r="V236" s="7">
        <f t="shared" si="102"/>
        <v>5.5544188707376703E-4</v>
      </c>
      <c r="W236" s="2"/>
      <c r="X236" s="6">
        <f t="shared" si="103"/>
        <v>-5870.08</v>
      </c>
      <c r="Y236" s="2"/>
      <c r="Z236" s="7">
        <f t="shared" si="104"/>
        <v>-1</v>
      </c>
    </row>
    <row r="237" spans="1:26" s="25" customFormat="1" outlineLevel="1" collapsed="1" x14ac:dyDescent="0.25">
      <c r="A237" s="27"/>
      <c r="B237" s="13" t="str">
        <f>CONCATENATE("     ","Subscriptions &amp; Dues                              ")</f>
        <v xml:space="preserve">     Subscriptions &amp; Dues                              </v>
      </c>
      <c r="C237" s="13"/>
      <c r="D237" s="1">
        <f>SUM(OSRRefD22_20x_0)</f>
        <v>181.41</v>
      </c>
      <c r="E237" s="1"/>
      <c r="F237" s="5">
        <f t="shared" ref="F237:F239" si="105">IF(D$12=0,0,D237/D$12)</f>
        <v>8.937591313967812E-4</v>
      </c>
      <c r="G237" s="1"/>
      <c r="H237" s="1">
        <f>SUM(OSRRefH22_20x_0)</f>
        <v>1680.77</v>
      </c>
      <c r="I237" s="1"/>
      <c r="J237" s="5">
        <f t="shared" ref="J237:J239" si="106">IF(H$12=0,0,H237/H$12)</f>
        <v>1.568309710044516E-3</v>
      </c>
      <c r="K237" s="1"/>
      <c r="L237" s="1">
        <f t="shared" ref="L237:L239" si="107">+D237-H237</f>
        <v>-1499.36</v>
      </c>
      <c r="M237" s="1"/>
      <c r="N237" s="5">
        <f t="shared" ref="N237:N239" si="108">IF(H237=0,0,L237/H237)</f>
        <v>-0.89206732628497643</v>
      </c>
      <c r="O237" s="13"/>
      <c r="P237" s="1">
        <f>SUM(OSRRefP22_20x_0)</f>
        <v>4026.54</v>
      </c>
      <c r="Q237" s="1"/>
      <c r="R237" s="5">
        <f t="shared" ref="R237:R239" si="109">IF(P$12=0,0,P237/P$12)</f>
        <v>9.8617217151860163E-4</v>
      </c>
      <c r="S237" s="1"/>
      <c r="T237" s="1">
        <f>SUM(OSRRefT22_20x_0)</f>
        <v>5716.43</v>
      </c>
      <c r="U237" s="1"/>
      <c r="V237" s="5">
        <f t="shared" ref="V237:V239" si="110">IF(T$12=0,0,T237/T$12)</f>
        <v>5.4090313360722416E-4</v>
      </c>
      <c r="W237" s="1"/>
      <c r="X237" s="1">
        <f t="shared" ref="X237:X239" si="111">+P237-T237</f>
        <v>-1689.8900000000003</v>
      </c>
      <c r="Y237" s="1"/>
      <c r="Z237" s="5">
        <f t="shared" ref="Z237:Z239" si="112">IF(T237=0,0,X237/T237)</f>
        <v>-0.29561981866304671</v>
      </c>
    </row>
    <row r="238" spans="1:26" s="24" customFormat="1" hidden="1" outlineLevel="2" x14ac:dyDescent="0.25">
      <c r="A238" s="26"/>
      <c r="B238" s="11" t="str">
        <f>CONCATENATE("          ", "6258", " - ", "MEMBERSHIP DUES")</f>
        <v xml:space="preserve">          6258 - MEMBERSHIP DUES</v>
      </c>
      <c r="C238" s="11"/>
      <c r="D238" s="6">
        <v>181.41</v>
      </c>
      <c r="E238" s="2"/>
      <c r="F238" s="7">
        <f t="shared" si="105"/>
        <v>8.937591313967812E-4</v>
      </c>
      <c r="G238" s="2"/>
      <c r="H238" s="6">
        <v>1504.37</v>
      </c>
      <c r="I238" s="2"/>
      <c r="J238" s="7">
        <f t="shared" si="106"/>
        <v>1.4037126308178206E-3</v>
      </c>
      <c r="K238" s="2"/>
      <c r="L238" s="6">
        <f t="shared" si="107"/>
        <v>-1322.9599999999998</v>
      </c>
      <c r="M238" s="2"/>
      <c r="N238" s="7">
        <f t="shared" si="108"/>
        <v>-0.87941131503552972</v>
      </c>
      <c r="O238" s="11"/>
      <c r="P238" s="6">
        <v>1873.73</v>
      </c>
      <c r="Q238" s="2"/>
      <c r="R238" s="7">
        <f t="shared" si="109"/>
        <v>4.5891022638283726E-4</v>
      </c>
      <c r="S238" s="2"/>
      <c r="T238" s="6">
        <v>3439.87</v>
      </c>
      <c r="U238" s="2"/>
      <c r="V238" s="7">
        <f t="shared" si="110"/>
        <v>3.2548924104755625E-4</v>
      </c>
      <c r="W238" s="2"/>
      <c r="X238" s="6">
        <f t="shared" si="111"/>
        <v>-1566.1399999999999</v>
      </c>
      <c r="Y238" s="2"/>
      <c r="Z238" s="7">
        <f t="shared" si="112"/>
        <v>-0.45529046155814024</v>
      </c>
    </row>
    <row r="239" spans="1:26" s="24" customFormat="1" hidden="1" outlineLevel="2" x14ac:dyDescent="0.25">
      <c r="A239" s="26"/>
      <c r="B239" s="11" t="str">
        <f>CONCATENATE("          ", "6275", " - ", "SUBSCRIPTIONS")</f>
        <v xml:space="preserve">          6275 - SUBSCRIPTIONS</v>
      </c>
      <c r="C239" s="11"/>
      <c r="D239" s="6"/>
      <c r="E239" s="2"/>
      <c r="F239" s="7">
        <f t="shared" si="105"/>
        <v>0</v>
      </c>
      <c r="G239" s="2"/>
      <c r="H239" s="6">
        <v>176.4</v>
      </c>
      <c r="I239" s="2"/>
      <c r="J239" s="7">
        <f t="shared" si="106"/>
        <v>1.6459707922669527E-4</v>
      </c>
      <c r="K239" s="2"/>
      <c r="L239" s="6">
        <f t="shared" si="107"/>
        <v>-176.4</v>
      </c>
      <c r="M239" s="2"/>
      <c r="N239" s="7">
        <f t="shared" si="108"/>
        <v>-1</v>
      </c>
      <c r="O239" s="11"/>
      <c r="P239" s="6">
        <v>2152.81</v>
      </c>
      <c r="Q239" s="2"/>
      <c r="R239" s="7">
        <f t="shared" si="109"/>
        <v>5.2726194513576436E-4</v>
      </c>
      <c r="S239" s="2"/>
      <c r="T239" s="6">
        <v>2276.56</v>
      </c>
      <c r="U239" s="2"/>
      <c r="V239" s="7">
        <f t="shared" si="110"/>
        <v>2.1541389255966785E-4</v>
      </c>
      <c r="W239" s="2"/>
      <c r="X239" s="6">
        <f t="shared" si="111"/>
        <v>-123.75</v>
      </c>
      <c r="Y239" s="2"/>
      <c r="Z239" s="7">
        <f t="shared" si="112"/>
        <v>-5.4358330112098958E-2</v>
      </c>
    </row>
    <row r="240" spans="1:26" s="25" customFormat="1" outlineLevel="1" collapsed="1" x14ac:dyDescent="0.25">
      <c r="A240" s="27"/>
      <c r="B240" s="13" t="str">
        <f>CONCATENATE("     ","Supplies                                          ")</f>
        <v xml:space="preserve">     Supplies                                          </v>
      </c>
      <c r="C240" s="13"/>
      <c r="D240" s="1">
        <f>SUM(OSRRefD22_21x_0)</f>
        <v>7904.01</v>
      </c>
      <c r="E240" s="1"/>
      <c r="F240" s="5">
        <f t="shared" ref="F240:F248" si="113">IF(D$12=0,0,D240/D$12)</f>
        <v>3.8940968591320617E-2</v>
      </c>
      <c r="G240" s="1"/>
      <c r="H240" s="1">
        <f>SUM(OSRRefH22_21x_0)</f>
        <v>17192.04</v>
      </c>
      <c r="I240" s="1"/>
      <c r="J240" s="5">
        <f t="shared" ref="J240:J248" si="114">IF(H$12=0,0,H240/H$12)</f>
        <v>1.6041720918075479E-2</v>
      </c>
      <c r="K240" s="1"/>
      <c r="L240" s="1">
        <f t="shared" ref="L240:L248" si="115">+D240-H240</f>
        <v>-9288.0300000000007</v>
      </c>
      <c r="M240" s="1"/>
      <c r="N240" s="5">
        <f t="shared" ref="N240:N248" si="116">IF(H240=0,0,L240/H240)</f>
        <v>-0.54025176767853034</v>
      </c>
      <c r="O240" s="13"/>
      <c r="P240" s="1">
        <f>SUM(OSRRefP22_21x_0)</f>
        <v>100000.70000000001</v>
      </c>
      <c r="Q240" s="1"/>
      <c r="R240" s="5">
        <f t="shared" ref="R240:R248" si="117">IF(P$12=0,0,P240/P$12)</f>
        <v>2.4491972629697021E-2</v>
      </c>
      <c r="S240" s="1"/>
      <c r="T240" s="1">
        <f>SUM(OSRRefT22_21x_0)</f>
        <v>120323.62</v>
      </c>
      <c r="U240" s="1"/>
      <c r="V240" s="5">
        <f t="shared" ref="V240:V248" si="118">IF(T$12=0,0,T240/T$12)</f>
        <v>1.1385326699524854E-2</v>
      </c>
      <c r="W240" s="1"/>
      <c r="X240" s="1">
        <f t="shared" ref="X240:X248" si="119">+P240-T240</f>
        <v>-20322.919999999984</v>
      </c>
      <c r="Y240" s="1"/>
      <c r="Z240" s="5">
        <f t="shared" ref="Z240:Z248" si="120">IF(T240=0,0,X240/T240)</f>
        <v>-0.16890216567619878</v>
      </c>
    </row>
    <row r="241" spans="1:26" s="24" customFormat="1" hidden="1" outlineLevel="2" x14ac:dyDescent="0.25">
      <c r="A241" s="26"/>
      <c r="B241" s="11" t="str">
        <f>CONCATENATE("          ", "6234", " - ", "EXPENDABLE SUPPLIES &amp; EQUIPMEN")</f>
        <v xml:space="preserve">          6234 - EXPENDABLE SUPPLIES &amp; EQUIPMEN</v>
      </c>
      <c r="C241" s="11"/>
      <c r="D241" s="6"/>
      <c r="E241" s="2"/>
      <c r="F241" s="7">
        <f t="shared" si="113"/>
        <v>0</v>
      </c>
      <c r="G241" s="2"/>
      <c r="H241" s="6"/>
      <c r="I241" s="2"/>
      <c r="J241" s="7">
        <f t="shared" si="114"/>
        <v>0</v>
      </c>
      <c r="K241" s="2"/>
      <c r="L241" s="6">
        <f t="shared" si="115"/>
        <v>0</v>
      </c>
      <c r="M241" s="2"/>
      <c r="N241" s="7">
        <f t="shared" si="116"/>
        <v>0</v>
      </c>
      <c r="O241" s="11"/>
      <c r="P241" s="6">
        <v>263.83</v>
      </c>
      <c r="Q241" s="2"/>
      <c r="R241" s="7">
        <f t="shared" si="117"/>
        <v>6.4616719071896136E-5</v>
      </c>
      <c r="S241" s="2"/>
      <c r="T241" s="6">
        <v>4253.41</v>
      </c>
      <c r="U241" s="2"/>
      <c r="V241" s="7">
        <f t="shared" si="118"/>
        <v>4.0246846327450926E-4</v>
      </c>
      <c r="W241" s="2"/>
      <c r="X241" s="6">
        <f t="shared" si="119"/>
        <v>-3989.58</v>
      </c>
      <c r="Y241" s="2"/>
      <c r="Z241" s="7">
        <f t="shared" si="120"/>
        <v>-0.93797212119217288</v>
      </c>
    </row>
    <row r="242" spans="1:26" s="24" customFormat="1" hidden="1" outlineLevel="2" x14ac:dyDescent="0.25">
      <c r="A242" s="26"/>
      <c r="B242" s="11" t="str">
        <f>CONCATENATE("          ", "6235", " - ", "COVID-19 EXPENSES")</f>
        <v xml:space="preserve">          6235 - COVID-19 EXPENSES</v>
      </c>
      <c r="C242" s="11"/>
      <c r="D242" s="6">
        <v>2992.14</v>
      </c>
      <c r="E242" s="2"/>
      <c r="F242" s="7">
        <f t="shared" si="113"/>
        <v>1.4741483090334408E-2</v>
      </c>
      <c r="G242" s="2"/>
      <c r="H242" s="6"/>
      <c r="I242" s="2"/>
      <c r="J242" s="7">
        <f t="shared" si="114"/>
        <v>0</v>
      </c>
      <c r="K242" s="2"/>
      <c r="L242" s="6">
        <f t="shared" si="115"/>
        <v>2992.14</v>
      </c>
      <c r="M242" s="2"/>
      <c r="N242" s="7">
        <f t="shared" si="116"/>
        <v>0</v>
      </c>
      <c r="O242" s="11"/>
      <c r="P242" s="6">
        <v>37498.44</v>
      </c>
      <c r="Q242" s="2"/>
      <c r="R242" s="7">
        <f t="shared" si="117"/>
        <v>9.1840433730597474E-3</v>
      </c>
      <c r="S242" s="2"/>
      <c r="T242" s="6"/>
      <c r="U242" s="2"/>
      <c r="V242" s="7">
        <f t="shared" si="118"/>
        <v>0</v>
      </c>
      <c r="W242" s="2"/>
      <c r="X242" s="6">
        <f t="shared" si="119"/>
        <v>37498.44</v>
      </c>
      <c r="Y242" s="2"/>
      <c r="Z242" s="7">
        <f t="shared" si="120"/>
        <v>0</v>
      </c>
    </row>
    <row r="243" spans="1:26" s="24" customFormat="1" hidden="1" outlineLevel="2" x14ac:dyDescent="0.25">
      <c r="A243" s="26"/>
      <c r="B243" s="11" t="str">
        <f>CONCATENATE("          ", "6237", " - ", "JANITORIAL SUPPLIES")</f>
        <v xml:space="preserve">          6237 - JANITORIAL SUPPLIES</v>
      </c>
      <c r="C243" s="11"/>
      <c r="D243" s="6"/>
      <c r="E243" s="2"/>
      <c r="F243" s="7">
        <f t="shared" si="113"/>
        <v>0</v>
      </c>
      <c r="G243" s="2"/>
      <c r="H243" s="6">
        <v>1623.23</v>
      </c>
      <c r="I243" s="2"/>
      <c r="J243" s="7">
        <f t="shared" si="114"/>
        <v>1.5146197103919987E-3</v>
      </c>
      <c r="K243" s="2"/>
      <c r="L243" s="6">
        <f t="shared" si="115"/>
        <v>-1623.23</v>
      </c>
      <c r="M243" s="2"/>
      <c r="N243" s="7">
        <f t="shared" si="116"/>
        <v>-1</v>
      </c>
      <c r="O243" s="11"/>
      <c r="P243" s="6">
        <v>2581.2199999999998</v>
      </c>
      <c r="Q243" s="2"/>
      <c r="R243" s="7">
        <f t="shared" si="117"/>
        <v>6.3218727060137105E-4</v>
      </c>
      <c r="S243" s="2"/>
      <c r="T243" s="6">
        <v>8771.1</v>
      </c>
      <c r="U243" s="2"/>
      <c r="V243" s="7">
        <f t="shared" si="118"/>
        <v>8.2994377175655502E-4</v>
      </c>
      <c r="W243" s="2"/>
      <c r="X243" s="6">
        <f t="shared" si="119"/>
        <v>-6189.880000000001</v>
      </c>
      <c r="Y243" s="2"/>
      <c r="Z243" s="7">
        <f t="shared" si="120"/>
        <v>-0.70571308045741132</v>
      </c>
    </row>
    <row r="244" spans="1:26" s="24" customFormat="1" hidden="1" outlineLevel="2" x14ac:dyDescent="0.25">
      <c r="A244" s="26"/>
      <c r="B244" s="11" t="str">
        <f>CONCATENATE("          ", "6239", " - ", "KITCHEN SUPPLIES")</f>
        <v xml:space="preserve">          6239 - KITCHEN SUPPLIES</v>
      </c>
      <c r="C244" s="11"/>
      <c r="D244" s="6"/>
      <c r="E244" s="2"/>
      <c r="F244" s="7">
        <f t="shared" si="113"/>
        <v>0</v>
      </c>
      <c r="G244" s="2"/>
      <c r="H244" s="6">
        <v>377.28</v>
      </c>
      <c r="I244" s="2"/>
      <c r="J244" s="7">
        <f t="shared" si="114"/>
        <v>3.5203620210117679E-4</v>
      </c>
      <c r="K244" s="2"/>
      <c r="L244" s="6">
        <f t="shared" si="115"/>
        <v>-377.28</v>
      </c>
      <c r="M244" s="2"/>
      <c r="N244" s="7">
        <f t="shared" si="116"/>
        <v>-1</v>
      </c>
      <c r="O244" s="11"/>
      <c r="P244" s="6"/>
      <c r="Q244" s="2"/>
      <c r="R244" s="7">
        <f t="shared" si="117"/>
        <v>0</v>
      </c>
      <c r="S244" s="2"/>
      <c r="T244" s="6">
        <v>441.2</v>
      </c>
      <c r="U244" s="2"/>
      <c r="V244" s="7">
        <f t="shared" si="118"/>
        <v>4.1747465209493912E-5</v>
      </c>
      <c r="W244" s="2"/>
      <c r="X244" s="6">
        <f t="shared" si="119"/>
        <v>-441.2</v>
      </c>
      <c r="Y244" s="2"/>
      <c r="Z244" s="7">
        <f t="shared" si="120"/>
        <v>-1</v>
      </c>
    </row>
    <row r="245" spans="1:26" s="24" customFormat="1" hidden="1" outlineLevel="2" x14ac:dyDescent="0.25">
      <c r="A245" s="26"/>
      <c r="B245" s="11" t="str">
        <f>CONCATENATE("          ", "6241", " - ", "OFFICE EXPENSE")</f>
        <v xml:space="preserve">          6241 - OFFICE EXPENSE</v>
      </c>
      <c r="C245" s="11"/>
      <c r="D245" s="6">
        <v>624.67999999999995</v>
      </c>
      <c r="E245" s="2"/>
      <c r="F245" s="7">
        <f t="shared" si="113"/>
        <v>3.0776332848296193E-3</v>
      </c>
      <c r="G245" s="2"/>
      <c r="H245" s="6">
        <v>404.3</v>
      </c>
      <c r="I245" s="2"/>
      <c r="J245" s="7">
        <f t="shared" si="114"/>
        <v>3.772482943954246E-4</v>
      </c>
      <c r="K245" s="2"/>
      <c r="L245" s="6">
        <f t="shared" si="115"/>
        <v>220.37999999999994</v>
      </c>
      <c r="M245" s="2"/>
      <c r="N245" s="7">
        <f t="shared" si="116"/>
        <v>0.54509027949542399</v>
      </c>
      <c r="O245" s="11"/>
      <c r="P245" s="6">
        <v>9987.85</v>
      </c>
      <c r="Q245" s="2"/>
      <c r="R245" s="7">
        <f t="shared" si="117"/>
        <v>2.4462043648646394E-3</v>
      </c>
      <c r="S245" s="2"/>
      <c r="T245" s="6">
        <v>24078</v>
      </c>
      <c r="U245" s="2"/>
      <c r="V245" s="7">
        <f t="shared" si="118"/>
        <v>2.2783215487629065E-3</v>
      </c>
      <c r="W245" s="2"/>
      <c r="X245" s="6">
        <f t="shared" si="119"/>
        <v>-14090.15</v>
      </c>
      <c r="Y245" s="2"/>
      <c r="Z245" s="7">
        <f t="shared" si="120"/>
        <v>-0.58518772323282664</v>
      </c>
    </row>
    <row r="246" spans="1:26" s="24" customFormat="1" hidden="1" outlineLevel="2" x14ac:dyDescent="0.25">
      <c r="A246" s="26"/>
      <c r="B246" s="11" t="str">
        <f>CONCATENATE("          ", "6243", " - ", "PAPER SUPPLIES")</f>
        <v xml:space="preserve">          6243 - PAPER SUPPLIES</v>
      </c>
      <c r="C246" s="11"/>
      <c r="D246" s="6"/>
      <c r="E246" s="2"/>
      <c r="F246" s="7">
        <f t="shared" si="113"/>
        <v>0</v>
      </c>
      <c r="G246" s="2"/>
      <c r="H246" s="6">
        <v>621.05999999999995</v>
      </c>
      <c r="I246" s="2"/>
      <c r="J246" s="7">
        <f t="shared" si="114"/>
        <v>5.7950488676038181E-4</v>
      </c>
      <c r="K246" s="2"/>
      <c r="L246" s="6">
        <f t="shared" si="115"/>
        <v>-621.05999999999995</v>
      </c>
      <c r="M246" s="2"/>
      <c r="N246" s="7">
        <f t="shared" si="116"/>
        <v>-1</v>
      </c>
      <c r="O246" s="11"/>
      <c r="P246" s="6">
        <v>6173.4</v>
      </c>
      <c r="Q246" s="2"/>
      <c r="R246" s="7">
        <f t="shared" si="117"/>
        <v>1.5119768544837341E-3</v>
      </c>
      <c r="S246" s="2"/>
      <c r="T246" s="6">
        <v>16405.030000000002</v>
      </c>
      <c r="U246" s="2"/>
      <c r="V246" s="7">
        <f t="shared" si="118"/>
        <v>1.5522856282540888E-3</v>
      </c>
      <c r="W246" s="2"/>
      <c r="X246" s="6">
        <f t="shared" si="119"/>
        <v>-10231.630000000003</v>
      </c>
      <c r="Y246" s="2"/>
      <c r="Z246" s="7">
        <f t="shared" si="120"/>
        <v>-0.62368858819520601</v>
      </c>
    </row>
    <row r="247" spans="1:26" s="24" customFormat="1" hidden="1" outlineLevel="2" x14ac:dyDescent="0.25">
      <c r="A247" s="26"/>
      <c r="B247" s="11" t="str">
        <f>CONCATENATE("          ", "6245", " - ", "PRINTING")</f>
        <v xml:space="preserve">          6245 - PRINTING</v>
      </c>
      <c r="C247" s="11"/>
      <c r="D247" s="6">
        <v>398.67</v>
      </c>
      <c r="E247" s="2"/>
      <c r="F247" s="7">
        <f t="shared" si="113"/>
        <v>1.9641417392313254E-3</v>
      </c>
      <c r="G247" s="2"/>
      <c r="H247" s="6">
        <v>3266.4</v>
      </c>
      <c r="I247" s="2"/>
      <c r="J247" s="7">
        <f t="shared" si="114"/>
        <v>3.0478452357487382E-3</v>
      </c>
      <c r="K247" s="2"/>
      <c r="L247" s="6">
        <f t="shared" si="115"/>
        <v>-2867.73</v>
      </c>
      <c r="M247" s="2"/>
      <c r="N247" s="7">
        <f t="shared" si="116"/>
        <v>-0.87794819985304917</v>
      </c>
      <c r="O247" s="11"/>
      <c r="P247" s="6">
        <v>906.94</v>
      </c>
      <c r="Q247" s="2"/>
      <c r="R247" s="7">
        <f t="shared" si="117"/>
        <v>2.2212594168618234E-4</v>
      </c>
      <c r="S247" s="2"/>
      <c r="T247" s="6">
        <v>9868.34</v>
      </c>
      <c r="U247" s="2"/>
      <c r="V247" s="7">
        <f t="shared" si="118"/>
        <v>9.3376740894255924E-4</v>
      </c>
      <c r="W247" s="2"/>
      <c r="X247" s="6">
        <f t="shared" si="119"/>
        <v>-8961.4</v>
      </c>
      <c r="Y247" s="2"/>
      <c r="Z247" s="7">
        <f t="shared" si="120"/>
        <v>-0.90809599182841283</v>
      </c>
    </row>
    <row r="248" spans="1:26" s="24" customFormat="1" hidden="1" outlineLevel="2" x14ac:dyDescent="0.25">
      <c r="A248" s="26"/>
      <c r="B248" s="11" t="str">
        <f>CONCATENATE("          ", "6247", " - ", "STORE SUPPLIES")</f>
        <v xml:space="preserve">          6247 - STORE SUPPLIES</v>
      </c>
      <c r="C248" s="11"/>
      <c r="D248" s="6">
        <v>3888.52</v>
      </c>
      <c r="E248" s="2"/>
      <c r="F248" s="7">
        <f t="shared" si="113"/>
        <v>1.9157710476925261E-2</v>
      </c>
      <c r="G248" s="2"/>
      <c r="H248" s="6">
        <v>10899.77</v>
      </c>
      <c r="I248" s="2"/>
      <c r="J248" s="7">
        <f t="shared" si="114"/>
        <v>1.0170466588677757E-2</v>
      </c>
      <c r="K248" s="2"/>
      <c r="L248" s="6">
        <f t="shared" si="115"/>
        <v>-7011.25</v>
      </c>
      <c r="M248" s="2"/>
      <c r="N248" s="7">
        <f t="shared" si="116"/>
        <v>-0.64324751806689495</v>
      </c>
      <c r="O248" s="11"/>
      <c r="P248" s="6">
        <v>42589.020000000004</v>
      </c>
      <c r="Q248" s="2"/>
      <c r="R248" s="7">
        <f t="shared" si="117"/>
        <v>1.0430818105929447E-2</v>
      </c>
      <c r="S248" s="2"/>
      <c r="T248" s="6">
        <v>56506.54</v>
      </c>
      <c r="U248" s="2"/>
      <c r="V248" s="7">
        <f t="shared" si="118"/>
        <v>5.346792413324742E-3</v>
      </c>
      <c r="W248" s="2"/>
      <c r="X248" s="6">
        <f t="shared" si="119"/>
        <v>-13917.519999999997</v>
      </c>
      <c r="Y248" s="2"/>
      <c r="Z248" s="7">
        <f t="shared" si="120"/>
        <v>-0.24629927792428977</v>
      </c>
    </row>
    <row r="249" spans="1:26" s="25" customFormat="1" outlineLevel="1" collapsed="1" x14ac:dyDescent="0.25">
      <c r="A249" s="27"/>
      <c r="B249" s="13" t="str">
        <f>CONCATENATE("     ","Telephone/Data Lines                              ")</f>
        <v xml:space="preserve">     Telephone/Data Lines                              </v>
      </c>
      <c r="C249" s="13"/>
      <c r="D249" s="1">
        <f>SUM(OSRRefD22_22x_0)</f>
        <v>1264.25</v>
      </c>
      <c r="E249" s="1"/>
      <c r="F249" s="5">
        <f t="shared" ref="F249:F251" si="121">IF(D$12=0,0,D249/D$12)</f>
        <v>6.2286256648937804E-3</v>
      </c>
      <c r="G249" s="1"/>
      <c r="H249" s="1">
        <f>SUM(OSRRefH22_22x_0)</f>
        <v>3258.67</v>
      </c>
      <c r="I249" s="1"/>
      <c r="J249" s="5">
        <f t="shared" ref="J249:J251" si="122">IF(H$12=0,0,H249/H$12)</f>
        <v>3.040632449907342E-3</v>
      </c>
      <c r="K249" s="1"/>
      <c r="L249" s="1">
        <f t="shared" ref="L249:L251" si="123">+D249-H249</f>
        <v>-1994.42</v>
      </c>
      <c r="M249" s="1"/>
      <c r="N249" s="5">
        <f t="shared" ref="N249:N251" si="124">IF(H249=0,0,L249/H249)</f>
        <v>-0.61203497132265616</v>
      </c>
      <c r="O249" s="13"/>
      <c r="P249" s="1">
        <f>SUM(OSRRefP22_22x_0)</f>
        <v>21440.04</v>
      </c>
      <c r="Q249" s="1"/>
      <c r="R249" s="5">
        <f t="shared" ref="R249:R251" si="125">IF(P$12=0,0,P249/P$12)</f>
        <v>5.2510519712322939E-3</v>
      </c>
      <c r="S249" s="1"/>
      <c r="T249" s="1">
        <f>SUM(OSRRefT22_22x_0)</f>
        <v>24396.129999999997</v>
      </c>
      <c r="U249" s="1"/>
      <c r="V249" s="5">
        <f t="shared" ref="V249:V251" si="126">IF(T$12=0,0,T249/T$12)</f>
        <v>2.3084238178179752E-3</v>
      </c>
      <c r="W249" s="1"/>
      <c r="X249" s="1">
        <f t="shared" ref="X249:X251" si="127">+P249-T249</f>
        <v>-2956.0899999999965</v>
      </c>
      <c r="Y249" s="1"/>
      <c r="Z249" s="5">
        <f t="shared" ref="Z249:Z251" si="128">IF(T249=0,0,X249/T249)</f>
        <v>-0.12117044793579952</v>
      </c>
    </row>
    <row r="250" spans="1:26" s="24" customFormat="1" hidden="1" outlineLevel="2" x14ac:dyDescent="0.25">
      <c r="A250" s="26"/>
      <c r="B250" s="11" t="str">
        <f>CONCATENATE("          ", "6303", " - ", "DATA PHONE LINES")</f>
        <v xml:space="preserve">          6303 - DATA PHONE LINES</v>
      </c>
      <c r="C250" s="11"/>
      <c r="D250" s="6">
        <v>590</v>
      </c>
      <c r="E250" s="2"/>
      <c r="F250" s="7">
        <f t="shared" si="121"/>
        <v>2.9067740892128381E-3</v>
      </c>
      <c r="G250" s="2"/>
      <c r="H250" s="6">
        <v>295</v>
      </c>
      <c r="I250" s="2"/>
      <c r="J250" s="7">
        <f t="shared" si="122"/>
        <v>2.7526155539611739E-4</v>
      </c>
      <c r="K250" s="2"/>
      <c r="L250" s="6">
        <f t="shared" si="123"/>
        <v>295</v>
      </c>
      <c r="M250" s="2"/>
      <c r="N250" s="7">
        <f t="shared" si="124"/>
        <v>1</v>
      </c>
      <c r="O250" s="11"/>
      <c r="P250" s="6">
        <v>2950</v>
      </c>
      <c r="Q250" s="2"/>
      <c r="R250" s="7">
        <f t="shared" si="125"/>
        <v>7.2250813501911683E-4</v>
      </c>
      <c r="S250" s="2"/>
      <c r="T250" s="6">
        <v>2360</v>
      </c>
      <c r="U250" s="2"/>
      <c r="V250" s="7">
        <f t="shared" si="126"/>
        <v>2.233091974034579E-4</v>
      </c>
      <c r="W250" s="2"/>
      <c r="X250" s="6">
        <f t="shared" si="127"/>
        <v>590</v>
      </c>
      <c r="Y250" s="2"/>
      <c r="Z250" s="7">
        <f t="shared" si="128"/>
        <v>0.25</v>
      </c>
    </row>
    <row r="251" spans="1:26" s="24" customFormat="1" hidden="1" outlineLevel="2" x14ac:dyDescent="0.25">
      <c r="A251" s="26"/>
      <c r="B251" s="11" t="str">
        <f>CONCATENATE("          ", "6309", " - ", "TELEPHONE")</f>
        <v xml:space="preserve">          6309 - TELEPHONE</v>
      </c>
      <c r="C251" s="11"/>
      <c r="D251" s="6">
        <v>674.25</v>
      </c>
      <c r="E251" s="2"/>
      <c r="F251" s="7">
        <f t="shared" si="121"/>
        <v>3.3218515756809424E-3</v>
      </c>
      <c r="G251" s="2"/>
      <c r="H251" s="6">
        <v>2963.67</v>
      </c>
      <c r="I251" s="2"/>
      <c r="J251" s="7">
        <f t="shared" si="122"/>
        <v>2.7653708945112243E-3</v>
      </c>
      <c r="K251" s="2"/>
      <c r="L251" s="6">
        <f t="shared" si="123"/>
        <v>-2289.42</v>
      </c>
      <c r="M251" s="2"/>
      <c r="N251" s="7">
        <f t="shared" si="124"/>
        <v>-0.77249491340128962</v>
      </c>
      <c r="O251" s="11"/>
      <c r="P251" s="6">
        <v>18490.04</v>
      </c>
      <c r="Q251" s="2"/>
      <c r="R251" s="7">
        <f t="shared" si="125"/>
        <v>4.5285438362131772E-3</v>
      </c>
      <c r="S251" s="2"/>
      <c r="T251" s="6">
        <v>22036.129999999997</v>
      </c>
      <c r="U251" s="2"/>
      <c r="V251" s="7">
        <f t="shared" si="126"/>
        <v>2.085114620414517E-3</v>
      </c>
      <c r="W251" s="2"/>
      <c r="X251" s="6">
        <f t="shared" si="127"/>
        <v>-3546.0899999999965</v>
      </c>
      <c r="Y251" s="2"/>
      <c r="Z251" s="7">
        <f t="shared" si="128"/>
        <v>-0.16092163188363823</v>
      </c>
    </row>
    <row r="252" spans="1:26" s="25" customFormat="1" outlineLevel="1" collapsed="1" x14ac:dyDescent="0.25">
      <c r="A252" s="27"/>
      <c r="B252" s="13" t="str">
        <f>CONCATENATE("     ","Training                                          ")</f>
        <v xml:space="preserve">     Training                                          </v>
      </c>
      <c r="C252" s="13"/>
      <c r="D252" s="1">
        <f>SUM(OSRRefD22_23x_0)</f>
        <v>750</v>
      </c>
      <c r="E252" s="1"/>
      <c r="F252" s="5">
        <f t="shared" ref="F252:F257" si="129">IF(D$12=0,0,D252/D$12)</f>
        <v>3.6950518083214041E-3</v>
      </c>
      <c r="G252" s="1"/>
      <c r="H252" s="1">
        <f>SUM(OSRRefH22_23x_0)</f>
        <v>6287.84</v>
      </c>
      <c r="I252" s="1"/>
      <c r="J252" s="5">
        <f t="shared" ref="J252:J257" si="130">IF(H$12=0,0,H252/H$12)</f>
        <v>5.8671207406166869E-3</v>
      </c>
      <c r="K252" s="1"/>
      <c r="L252" s="1">
        <f t="shared" ref="L252:L257" si="131">+D252-H252</f>
        <v>-5537.84</v>
      </c>
      <c r="M252" s="1"/>
      <c r="N252" s="5">
        <f t="shared" ref="N252:N257" si="132">IF(H252=0,0,L252/H252)</f>
        <v>-0.88072215578004531</v>
      </c>
      <c r="O252" s="13"/>
      <c r="P252" s="1">
        <f>SUM(OSRRefP22_23x_0)</f>
        <v>895.63</v>
      </c>
      <c r="Q252" s="1"/>
      <c r="R252" s="5">
        <f t="shared" ref="R252:R257" si="133">IF(P$12=0,0,P252/P$12)</f>
        <v>2.1935591897192258E-4</v>
      </c>
      <c r="S252" s="1"/>
      <c r="T252" s="1">
        <f>SUM(OSRRefT22_23x_0)</f>
        <v>16003.729999999998</v>
      </c>
      <c r="U252" s="1"/>
      <c r="V252" s="5">
        <f t="shared" ref="V252:V257" si="134">IF(T$12=0,0,T252/T$12)</f>
        <v>1.5143136024413733E-3</v>
      </c>
      <c r="W252" s="1"/>
      <c r="X252" s="1">
        <f t="shared" ref="X252:X257" si="135">+P252-T252</f>
        <v>-15108.099999999999</v>
      </c>
      <c r="Y252" s="1"/>
      <c r="Z252" s="5">
        <f t="shared" ref="Z252:Z257" si="136">IF(T252=0,0,X252/T252)</f>
        <v>-0.94403617156750341</v>
      </c>
    </row>
    <row r="253" spans="1:26" s="24" customFormat="1" hidden="1" outlineLevel="2" x14ac:dyDescent="0.25">
      <c r="A253" s="26"/>
      <c r="B253" s="11" t="str">
        <f>CONCATENATE("          ", "6376", " - ", "TRAINING")</f>
        <v xml:space="preserve">          6376 - TRAINING</v>
      </c>
      <c r="C253" s="11"/>
      <c r="D253" s="6">
        <v>750</v>
      </c>
      <c r="E253" s="2"/>
      <c r="F253" s="7">
        <f t="shared" si="129"/>
        <v>3.6950518083214041E-3</v>
      </c>
      <c r="G253" s="2"/>
      <c r="H253" s="6">
        <v>6287.84</v>
      </c>
      <c r="I253" s="2"/>
      <c r="J253" s="7">
        <f t="shared" si="130"/>
        <v>5.8671207406166869E-3</v>
      </c>
      <c r="K253" s="2"/>
      <c r="L253" s="6">
        <f t="shared" si="131"/>
        <v>-5537.84</v>
      </c>
      <c r="M253" s="2"/>
      <c r="N253" s="7">
        <f t="shared" si="132"/>
        <v>-0.88072215578004531</v>
      </c>
      <c r="O253" s="11"/>
      <c r="P253" s="6">
        <v>895.63</v>
      </c>
      <c r="Q253" s="2"/>
      <c r="R253" s="7">
        <f t="shared" si="133"/>
        <v>2.1935591897192258E-4</v>
      </c>
      <c r="S253" s="2"/>
      <c r="T253" s="6">
        <v>16003.729999999998</v>
      </c>
      <c r="U253" s="2"/>
      <c r="V253" s="7">
        <f t="shared" si="134"/>
        <v>1.5143136024413733E-3</v>
      </c>
      <c r="W253" s="2"/>
      <c r="X253" s="6">
        <f t="shared" si="135"/>
        <v>-15108.099999999999</v>
      </c>
      <c r="Y253" s="2"/>
      <c r="Z253" s="7">
        <f t="shared" si="136"/>
        <v>-0.94403617156750341</v>
      </c>
    </row>
    <row r="254" spans="1:26" s="25" customFormat="1" outlineLevel="1" collapsed="1" x14ac:dyDescent="0.25">
      <c r="A254" s="27"/>
      <c r="B254" s="13" t="str">
        <f>CONCATENATE("     ","Travel                                            ")</f>
        <v xml:space="preserve">     Travel                                            </v>
      </c>
      <c r="C254" s="13"/>
      <c r="D254" s="1">
        <f>SUM(OSRRefD22_24x_0)</f>
        <v>0</v>
      </c>
      <c r="E254" s="1"/>
      <c r="F254" s="5">
        <f t="shared" si="129"/>
        <v>0</v>
      </c>
      <c r="G254" s="1"/>
      <c r="H254" s="1">
        <f>SUM(OSRRefH22_24x_0)</f>
        <v>102.13</v>
      </c>
      <c r="I254" s="1"/>
      <c r="J254" s="5">
        <f t="shared" si="130"/>
        <v>9.5296483568154124E-5</v>
      </c>
      <c r="K254" s="1"/>
      <c r="L254" s="1">
        <f t="shared" si="131"/>
        <v>-102.13</v>
      </c>
      <c r="M254" s="1"/>
      <c r="N254" s="5">
        <f t="shared" si="132"/>
        <v>-1</v>
      </c>
      <c r="O254" s="13"/>
      <c r="P254" s="1">
        <f>SUM(OSRRefP22_24x_0)</f>
        <v>810.31000000000006</v>
      </c>
      <c r="Q254" s="1"/>
      <c r="R254" s="5">
        <f t="shared" si="133"/>
        <v>1.9845951419909851E-4</v>
      </c>
      <c r="S254" s="1"/>
      <c r="T254" s="1">
        <f>SUM(OSRRefT22_24x_0)</f>
        <v>1072.17</v>
      </c>
      <c r="U254" s="1"/>
      <c r="V254" s="5">
        <f t="shared" si="134"/>
        <v>1.0145145007629893E-4</v>
      </c>
      <c r="W254" s="1"/>
      <c r="X254" s="1">
        <f t="shared" si="135"/>
        <v>-261.86</v>
      </c>
      <c r="Y254" s="1"/>
      <c r="Z254" s="5">
        <f t="shared" si="136"/>
        <v>-0.24423365697603924</v>
      </c>
    </row>
    <row r="255" spans="1:26" s="24" customFormat="1" hidden="1" outlineLevel="2" x14ac:dyDescent="0.25">
      <c r="A255" s="26"/>
      <c r="B255" s="11" t="str">
        <f>CONCATENATE("          ", "6292", " - ", "TRAVEL/CONFERENCE")</f>
        <v xml:space="preserve">          6292 - TRAVEL/CONFERENCE</v>
      </c>
      <c r="C255" s="11"/>
      <c r="D255" s="6"/>
      <c r="E255" s="2"/>
      <c r="F255" s="7">
        <f t="shared" si="129"/>
        <v>0</v>
      </c>
      <c r="G255" s="2"/>
      <c r="H255" s="6">
        <v>47.96</v>
      </c>
      <c r="I255" s="2"/>
      <c r="J255" s="7">
        <f t="shared" si="130"/>
        <v>4.4750997277280644E-5</v>
      </c>
      <c r="K255" s="2"/>
      <c r="L255" s="6">
        <f t="shared" si="131"/>
        <v>-47.96</v>
      </c>
      <c r="M255" s="2"/>
      <c r="N255" s="7">
        <f t="shared" si="132"/>
        <v>-1</v>
      </c>
      <c r="O255" s="11"/>
      <c r="P255" s="6">
        <v>299.16000000000003</v>
      </c>
      <c r="Q255" s="2"/>
      <c r="R255" s="7">
        <f t="shared" si="133"/>
        <v>7.3269672431294585E-5</v>
      </c>
      <c r="S255" s="2"/>
      <c r="T255" s="6">
        <v>413.56</v>
      </c>
      <c r="U255" s="2"/>
      <c r="V255" s="7">
        <f t="shared" si="134"/>
        <v>3.9132098168717822E-5</v>
      </c>
      <c r="W255" s="2"/>
      <c r="X255" s="6">
        <f t="shared" si="135"/>
        <v>-114.39999999999998</v>
      </c>
      <c r="Y255" s="2"/>
      <c r="Z255" s="7">
        <f t="shared" si="136"/>
        <v>-0.27662249734016825</v>
      </c>
    </row>
    <row r="256" spans="1:26" s="24" customFormat="1" hidden="1" outlineLevel="2" x14ac:dyDescent="0.25">
      <c r="A256" s="26"/>
      <c r="B256" s="11" t="str">
        <f>CONCATENATE("          ", "6294", " - ", "TRAVEL OPERATIONAL")</f>
        <v xml:space="preserve">          6294 - TRAVEL OPERATIONAL</v>
      </c>
      <c r="C256" s="11"/>
      <c r="D256" s="6"/>
      <c r="E256" s="2"/>
      <c r="F256" s="7">
        <f t="shared" si="129"/>
        <v>0</v>
      </c>
      <c r="G256" s="2"/>
      <c r="H256" s="6">
        <v>35.29</v>
      </c>
      <c r="I256" s="2"/>
      <c r="J256" s="7">
        <f t="shared" si="130"/>
        <v>3.2928746745521972E-5</v>
      </c>
      <c r="K256" s="2"/>
      <c r="L256" s="6">
        <f t="shared" si="131"/>
        <v>-35.29</v>
      </c>
      <c r="M256" s="2"/>
      <c r="N256" s="7">
        <f t="shared" si="132"/>
        <v>-1</v>
      </c>
      <c r="O256" s="11"/>
      <c r="P256" s="6">
        <v>451.26</v>
      </c>
      <c r="Q256" s="2"/>
      <c r="R256" s="7">
        <f t="shared" si="133"/>
        <v>1.105217020368565E-4</v>
      </c>
      <c r="S256" s="2"/>
      <c r="T256" s="6">
        <v>347.48</v>
      </c>
      <c r="U256" s="2"/>
      <c r="V256" s="7">
        <f t="shared" si="134"/>
        <v>3.2879440641420997E-5</v>
      </c>
      <c r="W256" s="2"/>
      <c r="X256" s="6">
        <f t="shared" si="135"/>
        <v>103.77999999999997</v>
      </c>
      <c r="Y256" s="2"/>
      <c r="Z256" s="7">
        <f t="shared" si="136"/>
        <v>0.29866467134799118</v>
      </c>
    </row>
    <row r="257" spans="1:26" s="24" customFormat="1" hidden="1" outlineLevel="2" x14ac:dyDescent="0.25">
      <c r="A257" s="26"/>
      <c r="B257" s="11" t="str">
        <f>CONCATENATE("          ", "6298", " - ", "VEHICLE MILEAGE")</f>
        <v xml:space="preserve">          6298 - VEHICLE MILEAGE</v>
      </c>
      <c r="C257" s="11"/>
      <c r="D257" s="6"/>
      <c r="E257" s="2"/>
      <c r="F257" s="7">
        <f t="shared" si="129"/>
        <v>0</v>
      </c>
      <c r="G257" s="2"/>
      <c r="H257" s="6">
        <v>18.88</v>
      </c>
      <c r="I257" s="2"/>
      <c r="J257" s="7">
        <f t="shared" si="130"/>
        <v>1.7616739545351511E-5</v>
      </c>
      <c r="K257" s="2"/>
      <c r="L257" s="6">
        <f t="shared" si="131"/>
        <v>-18.88</v>
      </c>
      <c r="M257" s="2"/>
      <c r="N257" s="7">
        <f t="shared" si="132"/>
        <v>-1</v>
      </c>
      <c r="O257" s="11"/>
      <c r="P257" s="6">
        <v>59.89</v>
      </c>
      <c r="Q257" s="2"/>
      <c r="R257" s="7">
        <f t="shared" si="133"/>
        <v>1.4668139730947427E-5</v>
      </c>
      <c r="S257" s="2"/>
      <c r="T257" s="6">
        <v>311.13</v>
      </c>
      <c r="U257" s="2"/>
      <c r="V257" s="7">
        <f t="shared" si="134"/>
        <v>2.943991126616011E-5</v>
      </c>
      <c r="W257" s="2"/>
      <c r="X257" s="6">
        <f t="shared" si="135"/>
        <v>-251.24</v>
      </c>
      <c r="Y257" s="2"/>
      <c r="Z257" s="7">
        <f t="shared" si="136"/>
        <v>-0.80750811557869706</v>
      </c>
    </row>
    <row r="258" spans="1:26" s="25" customFormat="1" outlineLevel="1" collapsed="1" x14ac:dyDescent="0.25">
      <c r="A258" s="27"/>
      <c r="B258" s="13" t="str">
        <f>CONCATENATE("     ","Utilities                                         ")</f>
        <v xml:space="preserve">     Utilities                                         </v>
      </c>
      <c r="C258" s="13"/>
      <c r="D258" s="1">
        <f>SUM(OSRRefD22_25x_0)</f>
        <v>7297.14</v>
      </c>
      <c r="E258" s="1"/>
      <c r="F258" s="5">
        <f t="shared" ref="F258:F259" si="137">IF(D$12=0,0,D258/D$12)</f>
        <v>3.5951080470099268E-2</v>
      </c>
      <c r="G258" s="1"/>
      <c r="H258" s="1">
        <f>SUM(OSRRefH22_25x_0)</f>
        <v>9651.9699999999993</v>
      </c>
      <c r="I258" s="1"/>
      <c r="J258" s="5">
        <f t="shared" ref="J258:J259" si="138">IF(H$12=0,0,H258/H$12)</f>
        <v>9.0061568638530945E-3</v>
      </c>
      <c r="K258" s="1"/>
      <c r="L258" s="1">
        <f t="shared" ref="L258:L259" si="139">+D258-H258</f>
        <v>-2354.829999999999</v>
      </c>
      <c r="M258" s="1"/>
      <c r="N258" s="5">
        <f t="shared" ref="N258:N259" si="140">IF(H258=0,0,L258/H258)</f>
        <v>-0.24397402809996294</v>
      </c>
      <c r="O258" s="13"/>
      <c r="P258" s="1">
        <f>SUM(OSRRefP22_25x_0)</f>
        <v>54918.17</v>
      </c>
      <c r="Q258" s="1"/>
      <c r="R258" s="5">
        <f t="shared" ref="R258:R259" si="141">IF(P$12=0,0,P258/P$12)</f>
        <v>1.3450449011987393E-2</v>
      </c>
      <c r="S258" s="1"/>
      <c r="T258" s="1">
        <f>SUM(OSRRefT22_25x_0)</f>
        <v>54539.91</v>
      </c>
      <c r="U258" s="1"/>
      <c r="V258" s="5">
        <f t="shared" ref="V258:V259" si="142">IF(T$12=0,0,T258/T$12)</f>
        <v>5.1607048849817072E-3</v>
      </c>
      <c r="W258" s="1"/>
      <c r="X258" s="1">
        <f t="shared" ref="X258:X259" si="143">+P258-T258</f>
        <v>378.25999999999476</v>
      </c>
      <c r="Y258" s="1"/>
      <c r="Z258" s="5">
        <f t="shared" ref="Z258:Z259" si="144">IF(T258=0,0,X258/T258)</f>
        <v>6.9354716573605405E-3</v>
      </c>
    </row>
    <row r="259" spans="1:26" s="24" customFormat="1" hidden="1" outlineLevel="2" x14ac:dyDescent="0.25">
      <c r="A259" s="26"/>
      <c r="B259" s="11" t="str">
        <f>CONCATENATE("          ", "6274", " - ", "UTILITIES")</f>
        <v xml:space="preserve">          6274 - UTILITIES</v>
      </c>
      <c r="C259" s="11"/>
      <c r="D259" s="6">
        <v>7297.14</v>
      </c>
      <c r="E259" s="2"/>
      <c r="F259" s="7">
        <f t="shared" si="137"/>
        <v>3.5951080470099268E-2</v>
      </c>
      <c r="G259" s="2"/>
      <c r="H259" s="6">
        <v>9651.9699999999993</v>
      </c>
      <c r="I259" s="2"/>
      <c r="J259" s="7">
        <f t="shared" si="138"/>
        <v>9.0061568638530945E-3</v>
      </c>
      <c r="K259" s="2"/>
      <c r="L259" s="6">
        <f t="shared" si="139"/>
        <v>-2354.829999999999</v>
      </c>
      <c r="M259" s="2"/>
      <c r="N259" s="7">
        <f t="shared" si="140"/>
        <v>-0.24397402809996294</v>
      </c>
      <c r="O259" s="11"/>
      <c r="P259" s="6">
        <v>54918.17</v>
      </c>
      <c r="Q259" s="2"/>
      <c r="R259" s="7">
        <f t="shared" si="141"/>
        <v>1.3450449011987393E-2</v>
      </c>
      <c r="S259" s="2"/>
      <c r="T259" s="6">
        <v>54539.91</v>
      </c>
      <c r="U259" s="2"/>
      <c r="V259" s="7">
        <f t="shared" si="142"/>
        <v>5.1607048849817072E-3</v>
      </c>
      <c r="W259" s="2"/>
      <c r="X259" s="6">
        <f t="shared" si="143"/>
        <v>378.25999999999476</v>
      </c>
      <c r="Y259" s="2"/>
      <c r="Z259" s="7">
        <f t="shared" si="144"/>
        <v>6.9354716573605405E-3</v>
      </c>
    </row>
    <row r="260" spans="1:26" s="52" customFormat="1" x14ac:dyDescent="0.25">
      <c r="A260" s="37"/>
      <c r="B260" s="37"/>
      <c r="C260" s="37"/>
      <c r="D260" s="1"/>
      <c r="E260" s="1"/>
      <c r="F260" s="5"/>
      <c r="G260" s="1"/>
      <c r="H260" s="1"/>
      <c r="I260" s="1"/>
      <c r="J260" s="5"/>
      <c r="K260" s="1"/>
      <c r="L260" s="1"/>
      <c r="M260" s="1"/>
      <c r="N260" s="5"/>
      <c r="O260" s="37"/>
      <c r="P260" s="1"/>
      <c r="Q260" s="1"/>
      <c r="R260" s="5"/>
      <c r="S260" s="1"/>
      <c r="T260" s="1"/>
      <c r="U260" s="1"/>
      <c r="V260" s="5"/>
      <c r="W260" s="1"/>
      <c r="X260" s="1"/>
      <c r="Y260" s="1"/>
      <c r="Z260" s="5"/>
    </row>
    <row r="261" spans="1:26" s="23" customFormat="1" collapsed="1" x14ac:dyDescent="0.25">
      <c r="A261" s="10"/>
      <c r="B261" s="28" t="s">
        <v>0</v>
      </c>
      <c r="C261" s="10"/>
      <c r="D261" s="4">
        <f>SUM(OSRRefD25x_0)</f>
        <v>196876.80000000002</v>
      </c>
      <c r="E261" s="4"/>
      <c r="F261" s="12">
        <f t="shared" ref="F261:F270" si="145">IF(D$12=0,0,D261/D$12)</f>
        <v>0.96995996780870863</v>
      </c>
      <c r="G261" s="4"/>
      <c r="H261" s="4">
        <f>SUM(OSRRefH25x_0)</f>
        <v>170622.77000000002</v>
      </c>
      <c r="I261" s="4"/>
      <c r="J261" s="12">
        <f t="shared" ref="J261:J270" si="146">IF(H$12=0,0,H261/H$12)</f>
        <v>0.15920640358031865</v>
      </c>
      <c r="K261" s="4"/>
      <c r="L261" s="4">
        <f t="shared" ref="L261:L270" si="147">+D261-H261</f>
        <v>26254.03</v>
      </c>
      <c r="M261" s="4"/>
      <c r="N261" s="12">
        <f t="shared" ref="N261:N270" si="148">IF(H261=0,0,L261/H261)</f>
        <v>0.1538717839359893</v>
      </c>
      <c r="O261" s="10"/>
      <c r="P261" s="4">
        <f>SUM(OSRRefP25x_0)</f>
        <v>773255.40999999992</v>
      </c>
      <c r="Q261" s="4"/>
      <c r="R261" s="12">
        <f t="shared" ref="R261:R270" si="149">IF(P$12=0,0,P261/P$12)</f>
        <v>0.18938417768560764</v>
      </c>
      <c r="S261" s="4"/>
      <c r="T261" s="4">
        <f>SUM(OSRRefT25x_0)</f>
        <v>637369.49</v>
      </c>
      <c r="U261" s="4"/>
      <c r="V261" s="12">
        <f t="shared" ref="V261:V270" si="150">IF(T$12=0,0,T261/T$12)</f>
        <v>6.030952087345394E-2</v>
      </c>
      <c r="W261" s="4"/>
      <c r="X261" s="4">
        <f t="shared" ref="X261:X270" si="151">+P261-T261</f>
        <v>135885.91999999993</v>
      </c>
      <c r="Y261" s="4"/>
      <c r="Z261" s="12">
        <f t="shared" ref="Z261:Z270" si="152">IF(T261=0,0,X261/T261)</f>
        <v>0.21319803054896763</v>
      </c>
    </row>
    <row r="262" spans="1:26" s="24" customFormat="1" hidden="1" outlineLevel="1" x14ac:dyDescent="0.25">
      <c r="A262" s="44"/>
      <c r="B262" s="11" t="str">
        <f>CONCATENATE("          ", "4098", " - ", "TAXABLE SALES-GRAD RENTALS")</f>
        <v xml:space="preserve">          4098 - TAXABLE SALES-GRAD RENTALS</v>
      </c>
      <c r="C262" s="11"/>
      <c r="D262" s="2">
        <f t="shared" ref="D262:D264" si="153">0</f>
        <v>0</v>
      </c>
      <c r="E262" s="2"/>
      <c r="F262" s="19">
        <f t="shared" si="145"/>
        <v>0</v>
      </c>
      <c r="G262" s="2"/>
      <c r="H262" s="2">
        <f>--110</f>
        <v>110</v>
      </c>
      <c r="I262" s="2"/>
      <c r="J262" s="19">
        <f t="shared" si="146"/>
        <v>1.0263990201211156E-4</v>
      </c>
      <c r="K262" s="2"/>
      <c r="L262" s="2">
        <f t="shared" si="147"/>
        <v>-110</v>
      </c>
      <c r="M262" s="2"/>
      <c r="N262" s="19">
        <f t="shared" si="148"/>
        <v>-1</v>
      </c>
      <c r="O262" s="11"/>
      <c r="P262" s="2">
        <f t="shared" ref="P262:P264" si="154">0</f>
        <v>0</v>
      </c>
      <c r="Q262" s="2"/>
      <c r="R262" s="19">
        <f t="shared" si="149"/>
        <v>0</v>
      </c>
      <c r="S262" s="2"/>
      <c r="T262" s="2">
        <f>--2056.85</f>
        <v>2056.85</v>
      </c>
      <c r="U262" s="2"/>
      <c r="V262" s="19">
        <f t="shared" si="150"/>
        <v>1.9462437401665354E-4</v>
      </c>
      <c r="W262" s="2"/>
      <c r="X262" s="2">
        <f t="shared" si="151"/>
        <v>-2056.85</v>
      </c>
      <c r="Y262" s="2"/>
      <c r="Z262" s="19">
        <f t="shared" si="152"/>
        <v>-1</v>
      </c>
    </row>
    <row r="263" spans="1:26" s="24" customFormat="1" hidden="1" outlineLevel="1" x14ac:dyDescent="0.25">
      <c r="A263" s="44"/>
      <c r="B263" s="11" t="str">
        <f>CONCATENATE("          ", "4197", " - ", "NON-TAXABLE SALES-RETURNED CHE")</f>
        <v xml:space="preserve">          4197 - NON-TAXABLE SALES-RETURNED CHE</v>
      </c>
      <c r="C263" s="11"/>
      <c r="D263" s="2">
        <f t="shared" si="153"/>
        <v>0</v>
      </c>
      <c r="E263" s="2"/>
      <c r="F263" s="19">
        <f t="shared" si="145"/>
        <v>0</v>
      </c>
      <c r="G263" s="2"/>
      <c r="H263" s="2">
        <f t="shared" ref="H263:H264" si="155">0</f>
        <v>0</v>
      </c>
      <c r="I263" s="2"/>
      <c r="J263" s="19">
        <f t="shared" si="146"/>
        <v>0</v>
      </c>
      <c r="K263" s="2"/>
      <c r="L263" s="2">
        <f t="shared" si="147"/>
        <v>0</v>
      </c>
      <c r="M263" s="2"/>
      <c r="N263" s="19">
        <f t="shared" si="148"/>
        <v>0</v>
      </c>
      <c r="O263" s="11"/>
      <c r="P263" s="2">
        <f t="shared" si="154"/>
        <v>0</v>
      </c>
      <c r="Q263" s="2"/>
      <c r="R263" s="19">
        <f t="shared" si="149"/>
        <v>0</v>
      </c>
      <c r="S263" s="2"/>
      <c r="T263" s="2">
        <f>--30</f>
        <v>30</v>
      </c>
      <c r="U263" s="2"/>
      <c r="V263" s="19">
        <f t="shared" si="150"/>
        <v>2.8386762381795498E-6</v>
      </c>
      <c r="W263" s="2"/>
      <c r="X263" s="2">
        <f t="shared" si="151"/>
        <v>-30</v>
      </c>
      <c r="Y263" s="2"/>
      <c r="Z263" s="19">
        <f t="shared" si="152"/>
        <v>-1</v>
      </c>
    </row>
    <row r="264" spans="1:26" s="24" customFormat="1" hidden="1" outlineLevel="1" x14ac:dyDescent="0.25">
      <c r="A264" s="44"/>
      <c r="B264" s="11" t="str">
        <f>CONCATENATE("          ", "4198", " - ", "NON-TAXABLE SALES-GRAD RENTALS")</f>
        <v xml:space="preserve">          4198 - NON-TAXABLE SALES-GRAD RENTALS</v>
      </c>
      <c r="C264" s="11"/>
      <c r="D264" s="2">
        <f t="shared" si="153"/>
        <v>0</v>
      </c>
      <c r="E264" s="2"/>
      <c r="F264" s="19">
        <f t="shared" si="145"/>
        <v>0</v>
      </c>
      <c r="G264" s="2"/>
      <c r="H264" s="2">
        <f t="shared" si="155"/>
        <v>0</v>
      </c>
      <c r="I264" s="2"/>
      <c r="J264" s="19">
        <f t="shared" si="146"/>
        <v>0</v>
      </c>
      <c r="K264" s="2"/>
      <c r="L264" s="2">
        <f t="shared" si="147"/>
        <v>0</v>
      </c>
      <c r="M264" s="2"/>
      <c r="N264" s="19">
        <f t="shared" si="148"/>
        <v>0</v>
      </c>
      <c r="O264" s="11"/>
      <c r="P264" s="2">
        <f t="shared" si="154"/>
        <v>0</v>
      </c>
      <c r="Q264" s="2"/>
      <c r="R264" s="19">
        <f t="shared" si="149"/>
        <v>0</v>
      </c>
      <c r="S264" s="2"/>
      <c r="T264" s="2">
        <f>--3732.1</f>
        <v>3732.1</v>
      </c>
      <c r="U264" s="2"/>
      <c r="V264" s="19">
        <f t="shared" si="150"/>
        <v>3.5314078628366323E-4</v>
      </c>
      <c r="W264" s="2"/>
      <c r="X264" s="2">
        <f t="shared" si="151"/>
        <v>-3732.1</v>
      </c>
      <c r="Y264" s="2"/>
      <c r="Z264" s="19">
        <f t="shared" si="152"/>
        <v>-1</v>
      </c>
    </row>
    <row r="265" spans="1:26" s="24" customFormat="1" hidden="1" outlineLevel="1" x14ac:dyDescent="0.25">
      <c r="A265" s="44"/>
      <c r="B265" s="11" t="str">
        <f>CONCATENATE("          ", "9150", " - ", "MISC. INCOME")</f>
        <v xml:space="preserve">          9150 - MISC. INCOME</v>
      </c>
      <c r="C265" s="11"/>
      <c r="D265" s="2">
        <f>--52128.38</f>
        <v>52128.38</v>
      </c>
      <c r="E265" s="2"/>
      <c r="F265" s="19">
        <f t="shared" si="145"/>
        <v>0.25682275304515373</v>
      </c>
      <c r="G265" s="2"/>
      <c r="H265" s="2">
        <f>--77055.16</f>
        <v>77055.16</v>
      </c>
      <c r="I265" s="2"/>
      <c r="J265" s="19">
        <f t="shared" si="146"/>
        <v>7.1899400653887086E-2</v>
      </c>
      <c r="K265" s="2"/>
      <c r="L265" s="2">
        <f t="shared" si="147"/>
        <v>-24926.780000000006</v>
      </c>
      <c r="M265" s="2"/>
      <c r="N265" s="19">
        <f t="shared" si="148"/>
        <v>-0.32349267719384406</v>
      </c>
      <c r="O265" s="11"/>
      <c r="P265" s="2">
        <f>--300611.5</f>
        <v>300611.5</v>
      </c>
      <c r="Q265" s="2"/>
      <c r="R265" s="19">
        <f t="shared" si="149"/>
        <v>7.3625170925525174E-2</v>
      </c>
      <c r="S265" s="2"/>
      <c r="T265" s="2">
        <f>--363408.14</f>
        <v>363408.14</v>
      </c>
      <c r="U265" s="2"/>
      <c r="V265" s="19">
        <f t="shared" si="150"/>
        <v>3.4386601725967574E-2</v>
      </c>
      <c r="W265" s="2"/>
      <c r="X265" s="2">
        <f t="shared" si="151"/>
        <v>-62796.640000000014</v>
      </c>
      <c r="Y265" s="2"/>
      <c r="Z265" s="19">
        <f t="shared" si="152"/>
        <v>-0.17279921137704843</v>
      </c>
    </row>
    <row r="266" spans="1:26" s="24" customFormat="1" hidden="1" outlineLevel="1" x14ac:dyDescent="0.25">
      <c r="A266" s="44"/>
      <c r="B266" s="11" t="str">
        <f>CONCATENATE("          ", "9151", " - ", "MISC. INCOME")</f>
        <v xml:space="preserve">          9151 - MISC. INCOME</v>
      </c>
      <c r="C266" s="11"/>
      <c r="D266" s="2">
        <f>--148653.31</f>
        <v>148653.31</v>
      </c>
      <c r="E266" s="2"/>
      <c r="F266" s="19">
        <f t="shared" si="145"/>
        <v>0.73237557590461633</v>
      </c>
      <c r="G266" s="2"/>
      <c r="H266" s="2">
        <f>--70124.28</f>
        <v>70124.28</v>
      </c>
      <c r="I266" s="2"/>
      <c r="J266" s="19">
        <f t="shared" si="146"/>
        <v>6.5432265707907958E-2</v>
      </c>
      <c r="K266" s="2"/>
      <c r="L266" s="2">
        <f t="shared" si="147"/>
        <v>78529.03</v>
      </c>
      <c r="M266" s="2"/>
      <c r="N266" s="19">
        <f t="shared" si="148"/>
        <v>1.1198550630395063</v>
      </c>
      <c r="O266" s="11"/>
      <c r="P266" s="2">
        <f>--297910.7</f>
        <v>297910.7</v>
      </c>
      <c r="Q266" s="2"/>
      <c r="R266" s="19">
        <f t="shared" si="149"/>
        <v>7.2963696359064287E-2</v>
      </c>
      <c r="S266" s="2"/>
      <c r="T266" s="2">
        <f>--156077.66</f>
        <v>156077.66</v>
      </c>
      <c r="U266" s="2"/>
      <c r="V266" s="19">
        <f t="shared" si="150"/>
        <v>1.4768464825088893E-2</v>
      </c>
      <c r="W266" s="2"/>
      <c r="X266" s="2">
        <f t="shared" si="151"/>
        <v>141833.04</v>
      </c>
      <c r="Y266" s="2"/>
      <c r="Z266" s="19">
        <f t="shared" si="152"/>
        <v>0.90873376753598178</v>
      </c>
    </row>
    <row r="267" spans="1:26" s="24" customFormat="1" hidden="1" outlineLevel="1" x14ac:dyDescent="0.25">
      <c r="A267" s="44"/>
      <c r="B267" s="11" t="str">
        <f>CONCATENATE("          ", "9152", " - ", "MISC. INCOME")</f>
        <v xml:space="preserve">          9152 - MISC. INCOME</v>
      </c>
      <c r="C267" s="11"/>
      <c r="D267" s="2">
        <f>--81.19</f>
        <v>81.19</v>
      </c>
      <c r="E267" s="2"/>
      <c r="F267" s="19">
        <f t="shared" si="145"/>
        <v>4.0000167509015303E-4</v>
      </c>
      <c r="G267" s="2"/>
      <c r="H267" s="2">
        <f t="shared" ref="H267:H269" si="156">0</f>
        <v>0</v>
      </c>
      <c r="I267" s="2"/>
      <c r="J267" s="19">
        <f t="shared" si="146"/>
        <v>0</v>
      </c>
      <c r="K267" s="2"/>
      <c r="L267" s="2">
        <f t="shared" si="147"/>
        <v>81.19</v>
      </c>
      <c r="M267" s="2"/>
      <c r="N267" s="19">
        <f t="shared" si="148"/>
        <v>0</v>
      </c>
      <c r="O267" s="11"/>
      <c r="P267" s="2">
        <f>--3313.45</f>
        <v>3313.45</v>
      </c>
      <c r="Q267" s="2"/>
      <c r="R267" s="19">
        <f t="shared" si="149"/>
        <v>8.1152358643359068E-4</v>
      </c>
      <c r="S267" s="2"/>
      <c r="T267" s="2">
        <f>--4699.86</f>
        <v>4699.8599999999997</v>
      </c>
      <c r="U267" s="2"/>
      <c r="V267" s="19">
        <f t="shared" si="150"/>
        <v>4.447126968256846E-4</v>
      </c>
      <c r="W267" s="2"/>
      <c r="X267" s="2">
        <f t="shared" si="151"/>
        <v>-1386.4099999999999</v>
      </c>
      <c r="Y267" s="2"/>
      <c r="Z267" s="19">
        <f t="shared" si="152"/>
        <v>-0.29498963798921668</v>
      </c>
    </row>
    <row r="268" spans="1:26" s="24" customFormat="1" hidden="1" outlineLevel="1" x14ac:dyDescent="0.25">
      <c r="A268" s="44"/>
      <c r="B268" s="11" t="str">
        <f>CONCATENATE("          ", "9153", " - ", "MISC. INCOME")</f>
        <v xml:space="preserve">          9153 - MISC. INCOME</v>
      </c>
      <c r="C268" s="11"/>
      <c r="D268" s="2">
        <f t="shared" ref="D268:D269" si="157">0</f>
        <v>0</v>
      </c>
      <c r="E268" s="2"/>
      <c r="F268" s="19">
        <f t="shared" si="145"/>
        <v>0</v>
      </c>
      <c r="G268" s="2"/>
      <c r="H268" s="2">
        <f t="shared" si="156"/>
        <v>0</v>
      </c>
      <c r="I268" s="2"/>
      <c r="J268" s="19">
        <f t="shared" si="146"/>
        <v>0</v>
      </c>
      <c r="K268" s="2"/>
      <c r="L268" s="2">
        <f t="shared" si="147"/>
        <v>0</v>
      </c>
      <c r="M268" s="2"/>
      <c r="N268" s="19">
        <f t="shared" si="148"/>
        <v>0</v>
      </c>
      <c r="O268" s="11"/>
      <c r="P268" s="2">
        <f t="shared" ref="P268:P269" si="158">0</f>
        <v>0</v>
      </c>
      <c r="Q268" s="2"/>
      <c r="R268" s="19">
        <f t="shared" si="149"/>
        <v>0</v>
      </c>
      <c r="S268" s="2"/>
      <c r="T268" s="2">
        <f>--450</f>
        <v>450</v>
      </c>
      <c r="U268" s="2"/>
      <c r="V268" s="19">
        <f t="shared" si="150"/>
        <v>4.2580143572693247E-5</v>
      </c>
      <c r="W268" s="2"/>
      <c r="X268" s="2">
        <f t="shared" si="151"/>
        <v>-450</v>
      </c>
      <c r="Y268" s="2"/>
      <c r="Z268" s="19">
        <f t="shared" si="152"/>
        <v>-1</v>
      </c>
    </row>
    <row r="269" spans="1:26" s="24" customFormat="1" hidden="1" outlineLevel="1" x14ac:dyDescent="0.25">
      <c r="A269" s="44"/>
      <c r="B269" s="11" t="str">
        <f>CONCATENATE("          ", "9160", " - ", "MISC. INCOME")</f>
        <v xml:space="preserve">          9160 - MISC. INCOME</v>
      </c>
      <c r="C269" s="11"/>
      <c r="D269" s="2">
        <f t="shared" si="157"/>
        <v>0</v>
      </c>
      <c r="E269" s="2"/>
      <c r="F269" s="19">
        <f t="shared" si="145"/>
        <v>0</v>
      </c>
      <c r="G269" s="2"/>
      <c r="H269" s="2">
        <f t="shared" si="156"/>
        <v>0</v>
      </c>
      <c r="I269" s="2"/>
      <c r="J269" s="19">
        <f t="shared" si="146"/>
        <v>0</v>
      </c>
      <c r="K269" s="2"/>
      <c r="L269" s="2">
        <f t="shared" si="147"/>
        <v>0</v>
      </c>
      <c r="M269" s="2"/>
      <c r="N269" s="19">
        <f t="shared" si="148"/>
        <v>0</v>
      </c>
      <c r="O269" s="11"/>
      <c r="P269" s="2">
        <f t="shared" si="158"/>
        <v>0</v>
      </c>
      <c r="Q269" s="2"/>
      <c r="R269" s="19">
        <f t="shared" si="149"/>
        <v>0</v>
      </c>
      <c r="S269" s="2"/>
      <c r="T269" s="2">
        <f>--22475</f>
        <v>22475</v>
      </c>
      <c r="U269" s="2"/>
      <c r="V269" s="19">
        <f t="shared" si="150"/>
        <v>2.1266416151028461E-3</v>
      </c>
      <c r="W269" s="2"/>
      <c r="X269" s="2">
        <f t="shared" si="151"/>
        <v>-22475</v>
      </c>
      <c r="Y269" s="2"/>
      <c r="Z269" s="19">
        <f t="shared" si="152"/>
        <v>-1</v>
      </c>
    </row>
    <row r="270" spans="1:26" s="24" customFormat="1" hidden="1" outlineLevel="1" x14ac:dyDescent="0.25">
      <c r="A270" s="44"/>
      <c r="B270" s="11" t="str">
        <f>CONCATENATE("          ", "9163", " - ", "MISC. INCOME")</f>
        <v xml:space="preserve">          9163 - MISC. INCOME</v>
      </c>
      <c r="C270" s="11"/>
      <c r="D270" s="2">
        <f>-3986.08</f>
        <v>-3986.08</v>
      </c>
      <c r="E270" s="2"/>
      <c r="F270" s="19">
        <f t="shared" si="145"/>
        <v>-1.9638362816151708E-2</v>
      </c>
      <c r="G270" s="2"/>
      <c r="H270" s="2">
        <f>--23333.33</f>
        <v>23333.33</v>
      </c>
      <c r="I270" s="2"/>
      <c r="J270" s="19">
        <f t="shared" si="146"/>
        <v>2.1772097316511484E-2</v>
      </c>
      <c r="K270" s="2"/>
      <c r="L270" s="2">
        <f t="shared" si="147"/>
        <v>-27319.410000000003</v>
      </c>
      <c r="M270" s="2"/>
      <c r="N270" s="19">
        <f t="shared" si="148"/>
        <v>-1.1708320244045749</v>
      </c>
      <c r="O270" s="11"/>
      <c r="P270" s="2">
        <f>--171419.76</f>
        <v>171419.76</v>
      </c>
      <c r="Q270" s="2"/>
      <c r="R270" s="19">
        <f t="shared" si="149"/>
        <v>4.1983786814584617E-2</v>
      </c>
      <c r="S270" s="2"/>
      <c r="T270" s="2">
        <f>--84439.88</f>
        <v>84439.88</v>
      </c>
      <c r="U270" s="2"/>
      <c r="V270" s="19">
        <f t="shared" si="150"/>
        <v>7.9899160303577542E-3</v>
      </c>
      <c r="W270" s="2"/>
      <c r="X270" s="2">
        <f t="shared" si="151"/>
        <v>86979.88</v>
      </c>
      <c r="Y270" s="2"/>
      <c r="Z270" s="19">
        <f t="shared" si="152"/>
        <v>1.0300805733025675</v>
      </c>
    </row>
    <row r="271" spans="1:26" x14ac:dyDescent="0.25">
      <c r="A271" s="9"/>
      <c r="B271" s="10"/>
      <c r="C271" s="10"/>
      <c r="D271" s="3"/>
      <c r="E271" s="3"/>
      <c r="F271" s="8"/>
      <c r="G271" s="3"/>
      <c r="H271" s="3"/>
      <c r="I271" s="3"/>
      <c r="J271" s="8"/>
      <c r="K271" s="3"/>
      <c r="L271" s="3"/>
      <c r="M271" s="3"/>
      <c r="N271" s="8"/>
      <c r="O271" s="10"/>
      <c r="P271" s="3"/>
      <c r="Q271" s="3"/>
      <c r="R271" s="8"/>
      <c r="S271" s="3"/>
      <c r="T271" s="3"/>
      <c r="U271" s="3"/>
      <c r="V271" s="8"/>
      <c r="W271" s="3"/>
      <c r="X271" s="3"/>
      <c r="Y271" s="3"/>
      <c r="Z271" s="8"/>
    </row>
    <row r="272" spans="1:26" s="23" customFormat="1" x14ac:dyDescent="0.25">
      <c r="A272" s="10"/>
      <c r="B272" s="29" t="s">
        <v>3</v>
      </c>
      <c r="C272" s="29"/>
      <c r="D272" s="22">
        <f>+D166-D168+D261</f>
        <v>-919.54999999998836</v>
      </c>
      <c r="E272" s="14"/>
      <c r="F272" s="20">
        <f>IF(D$12=0,0,D272/D$12)</f>
        <v>-4.5303798537892053E-3</v>
      </c>
      <c r="G272" s="14"/>
      <c r="H272" s="22">
        <f>+H166-H168+H261</f>
        <v>64403.010000000126</v>
      </c>
      <c r="I272" s="14"/>
      <c r="J272" s="20">
        <f>IF(H$12=0,0,H272/H$12)</f>
        <v>6.0093805778955039E-2</v>
      </c>
      <c r="K272" s="16"/>
      <c r="L272" s="22">
        <f>+D272-H272</f>
        <v>-65322.560000000114</v>
      </c>
      <c r="M272" s="16"/>
      <c r="N272" s="20">
        <f>IF(H272=0,0,L272/H272)</f>
        <v>-1.0142780593639953</v>
      </c>
      <c r="O272" s="28"/>
      <c r="P272" s="22">
        <f>+P166-P168+P261</f>
        <v>-153963.14000000223</v>
      </c>
      <c r="Q272" s="14"/>
      <c r="R272" s="20">
        <f>IF(P$12=0,0,P272/P$12)</f>
        <v>-3.7708346150199593E-2</v>
      </c>
      <c r="S272" s="14"/>
      <c r="T272" s="22">
        <f>+T166-T168+T261</f>
        <v>1312474.8900000004</v>
      </c>
      <c r="U272" s="14"/>
      <c r="V272" s="20">
        <f>IF(T$12=0,0,T272/T$12)</f>
        <v>0.12418970944834398</v>
      </c>
      <c r="W272" s="16"/>
      <c r="X272" s="22">
        <f>+P272-T272</f>
        <v>-1466438.0300000026</v>
      </c>
      <c r="Y272" s="16"/>
      <c r="Z272" s="20">
        <f>IF(T272=0,0,X272/T272)</f>
        <v>-1.1173074937837495</v>
      </c>
    </row>
    <row r="273" spans="1:26" x14ac:dyDescent="0.25">
      <c r="A273" s="9"/>
      <c r="B273" s="10"/>
      <c r="C273" s="9"/>
      <c r="D273" s="3"/>
      <c r="E273" s="3"/>
      <c r="F273" s="8"/>
      <c r="G273" s="3"/>
      <c r="H273" s="3"/>
      <c r="I273" s="3"/>
      <c r="J273" s="8"/>
      <c r="K273" s="3"/>
      <c r="L273" s="3"/>
      <c r="M273" s="3"/>
      <c r="N273" s="8"/>
      <c r="P273" s="3"/>
      <c r="Q273" s="3"/>
      <c r="R273" s="8"/>
      <c r="S273" s="3"/>
      <c r="T273" s="3"/>
      <c r="U273" s="3"/>
      <c r="V273" s="8"/>
      <c r="W273" s="3"/>
      <c r="X273" s="3"/>
      <c r="Y273" s="3"/>
      <c r="Z273" s="8"/>
    </row>
    <row r="274" spans="1:26" s="23" customFormat="1" x14ac:dyDescent="0.25">
      <c r="A274" s="51"/>
      <c r="B274" s="10" t="s">
        <v>13</v>
      </c>
      <c r="C274" s="10"/>
      <c r="D274" s="4">
        <v>104252.68</v>
      </c>
      <c r="E274" s="4"/>
      <c r="F274" s="12">
        <f>IF(D$12=0,0,D274/D$12)</f>
        <v>0.5136254050084702</v>
      </c>
      <c r="G274" s="4"/>
      <c r="H274" s="4">
        <v>86758.7</v>
      </c>
      <c r="I274" s="4"/>
      <c r="J274" s="12">
        <f>IF(H$12=0,0,H274/H$12)</f>
        <v>8.0953676969983485E-2</v>
      </c>
      <c r="K274" s="4"/>
      <c r="L274" s="4">
        <f>+D274-H274</f>
        <v>17493.979999999996</v>
      </c>
      <c r="M274" s="4"/>
      <c r="N274" s="12">
        <f>IF(H274=0,0,L274/H274)</f>
        <v>0.20163948975722315</v>
      </c>
      <c r="O274" s="10"/>
      <c r="P274" s="4">
        <v>808579.84</v>
      </c>
      <c r="Q274" s="4"/>
      <c r="R274" s="12">
        <f>IF(P$12=0,0,P274/P$12)</f>
        <v>0.19803576685167995</v>
      </c>
      <c r="S274" s="4"/>
      <c r="T274" s="4">
        <v>1077119.4000000001</v>
      </c>
      <c r="U274" s="4"/>
      <c r="V274" s="12">
        <f>IF(T$12=0,0,T274/T$12)</f>
        <v>0.10191977488207381</v>
      </c>
      <c r="W274" s="4"/>
      <c r="X274" s="4">
        <f>+P274-T274</f>
        <v>-268539.56000000017</v>
      </c>
      <c r="Y274" s="4"/>
      <c r="Z274" s="12">
        <f>IF(T274=0,0,X274/T274)</f>
        <v>-0.24931271314953582</v>
      </c>
    </row>
    <row r="275" spans="1:26" x14ac:dyDescent="0.25">
      <c r="A275" s="9"/>
      <c r="B275" s="10"/>
      <c r="C275" s="10"/>
      <c r="D275" s="3"/>
      <c r="E275" s="3"/>
      <c r="F275" s="8"/>
      <c r="G275" s="3"/>
      <c r="H275" s="3"/>
      <c r="I275" s="3"/>
      <c r="J275" s="8"/>
      <c r="K275" s="3"/>
      <c r="L275" s="3"/>
      <c r="M275" s="3"/>
      <c r="N275" s="8"/>
      <c r="O275" s="10"/>
      <c r="P275" s="3"/>
      <c r="Q275" s="3"/>
      <c r="R275" s="8"/>
      <c r="S275" s="3"/>
      <c r="T275" s="3"/>
      <c r="U275" s="3"/>
      <c r="V275" s="8"/>
      <c r="W275" s="3"/>
      <c r="X275" s="3"/>
      <c r="Y275" s="3"/>
      <c r="Z275" s="8"/>
    </row>
    <row r="276" spans="1:26" s="23" customFormat="1" ht="15.75" thickBot="1" x14ac:dyDescent="0.3">
      <c r="A276" s="10"/>
      <c r="B276" s="29" t="s">
        <v>4</v>
      </c>
      <c r="C276" s="29"/>
      <c r="D276" s="35">
        <f>+D272-D274</f>
        <v>-105172.22999999998</v>
      </c>
      <c r="E276" s="14"/>
      <c r="F276" s="36">
        <f>IF(D$12=0,0,D276/D$12)</f>
        <v>-0.51815578486225944</v>
      </c>
      <c r="G276" s="14"/>
      <c r="H276" s="35">
        <f>+H272-H274</f>
        <v>-22355.689999999871</v>
      </c>
      <c r="I276" s="14"/>
      <c r="J276" s="36">
        <f>IF(H$12=0,0,H276/H$12)</f>
        <v>-2.0859871191028449E-2</v>
      </c>
      <c r="K276" s="16"/>
      <c r="L276" s="35">
        <f>D276-H276</f>
        <v>-82816.54000000011</v>
      </c>
      <c r="M276" s="16"/>
      <c r="N276" s="36">
        <f>IF(H276=0,0,L276/H276)</f>
        <v>3.7044949182959948</v>
      </c>
      <c r="O276" s="28"/>
      <c r="P276" s="35">
        <f>+P272-P274</f>
        <v>-962542.98000000219</v>
      </c>
      <c r="Q276" s="14"/>
      <c r="R276" s="36">
        <f>IF(P$12=0,0,P276/P$12)</f>
        <v>-0.23574411300187956</v>
      </c>
      <c r="S276" s="14"/>
      <c r="T276" s="35">
        <f>+T272-T274</f>
        <v>235355.49000000022</v>
      </c>
      <c r="U276" s="14"/>
      <c r="V276" s="36">
        <f>IF(T$12=0,0,T276/T$12)</f>
        <v>2.2269934566270175E-2</v>
      </c>
      <c r="W276" s="16"/>
      <c r="X276" s="35">
        <f>P276-T276</f>
        <v>-1197898.4700000025</v>
      </c>
      <c r="Y276" s="16"/>
      <c r="Z276" s="36">
        <f>IF(T276=0,0,X276/T276)</f>
        <v>-5.0897409276494949</v>
      </c>
    </row>
    <row r="277" spans="1:26" ht="15.75" thickTop="1" x14ac:dyDescent="0.25">
      <c r="A277" s="9"/>
      <c r="B277" s="9"/>
      <c r="C277" s="9"/>
      <c r="D277" s="3"/>
      <c r="E277" s="3"/>
      <c r="F277" s="8"/>
      <c r="G277" s="3"/>
      <c r="H277" s="3"/>
      <c r="I277" s="3"/>
      <c r="J277" s="8"/>
      <c r="K277" s="3"/>
      <c r="L277" s="3"/>
      <c r="M277" s="3"/>
      <c r="N277" s="8"/>
      <c r="P277" s="3"/>
      <c r="Q277" s="3"/>
      <c r="R277" s="8"/>
      <c r="S277" s="3"/>
      <c r="T277" s="3"/>
      <c r="U277" s="3"/>
      <c r="V277" s="8"/>
      <c r="W277" s="3"/>
      <c r="X277" s="3"/>
      <c r="Y277" s="3"/>
      <c r="Z277" s="8"/>
    </row>
    <row r="278" spans="1:26" x14ac:dyDescent="0.25">
      <c r="A278" s="9"/>
      <c r="B278" s="9"/>
      <c r="C278" s="9"/>
      <c r="D278" s="3"/>
      <c r="E278" s="3"/>
      <c r="F278" s="8"/>
      <c r="G278" s="3"/>
      <c r="H278" s="3"/>
      <c r="I278" s="3"/>
      <c r="J278" s="8"/>
      <c r="K278" s="3"/>
      <c r="L278" s="3"/>
      <c r="M278" s="3"/>
      <c r="N278" s="8"/>
      <c r="P278" s="3"/>
      <c r="Q278" s="3"/>
      <c r="R278" s="8"/>
      <c r="S278" s="3"/>
      <c r="T278" s="3"/>
      <c r="U278" s="3"/>
      <c r="V278" s="8"/>
      <c r="W278" s="3"/>
      <c r="X278" s="3"/>
      <c r="Y278" s="3"/>
      <c r="Z278" s="8"/>
    </row>
    <row r="279" spans="1:26" s="23" customFormat="1" ht="15.75" thickBot="1" x14ac:dyDescent="0.3">
      <c r="A279" s="10"/>
      <c r="B279" s="29" t="s">
        <v>5</v>
      </c>
      <c r="C279" s="29"/>
      <c r="D279" s="31">
        <f>SUM(D276:D278)</f>
        <v>-105172.22999999998</v>
      </c>
      <c r="E279" s="14"/>
      <c r="F279" s="33">
        <f>IF(D$12=0,0,D279/D$12)</f>
        <v>-0.51815578486225944</v>
      </c>
      <c r="G279" s="14"/>
      <c r="H279" s="31">
        <f>SUM(H276:H278)</f>
        <v>-22355.689999999871</v>
      </c>
      <c r="I279" s="14"/>
      <c r="J279" s="33">
        <f>IF(H$12=0,0,H279/H$12)</f>
        <v>-2.0859871191028449E-2</v>
      </c>
      <c r="K279" s="16"/>
      <c r="L279" s="31">
        <f>+D279-H279</f>
        <v>-82816.54000000011</v>
      </c>
      <c r="M279" s="16"/>
      <c r="N279" s="33">
        <f>IF(H279=0,0,L279/H279)</f>
        <v>3.7044949182959948</v>
      </c>
      <c r="O279" s="28"/>
      <c r="P279" s="31">
        <f>SUM(P276:P278)</f>
        <v>-962542.98000000219</v>
      </c>
      <c r="Q279" s="14"/>
      <c r="R279" s="33">
        <f>IF(P$12=0,0,P279/P$12)</f>
        <v>-0.23574411300187956</v>
      </c>
      <c r="S279" s="14"/>
      <c r="T279" s="31">
        <f>SUM(T276:T278)</f>
        <v>235355.49000000022</v>
      </c>
      <c r="U279" s="14"/>
      <c r="V279" s="33">
        <f>IF(T$12=0,0,T279/T$12)</f>
        <v>2.2269934566270175E-2</v>
      </c>
      <c r="W279" s="16"/>
      <c r="X279" s="31">
        <f>+P279-T279</f>
        <v>-1197898.4700000025</v>
      </c>
      <c r="Y279" s="16"/>
      <c r="Z279" s="33">
        <f>IF(T279=0,0,X279/T279)</f>
        <v>-5.0897409276494949</v>
      </c>
    </row>
    <row r="280" spans="1:26" ht="15.75" thickTop="1" x14ac:dyDescent="0.25">
      <c r="A280" s="9"/>
      <c r="C280" s="9"/>
      <c r="D280" s="18"/>
      <c r="E280" s="18"/>
      <c r="G280" s="18"/>
      <c r="H280" s="18"/>
      <c r="I280" s="18"/>
      <c r="J280" s="43"/>
      <c r="K280" s="18"/>
      <c r="L280" s="18"/>
      <c r="M280" s="18"/>
      <c r="P280" s="18"/>
      <c r="Q280" s="18"/>
      <c r="R280" s="43"/>
      <c r="S280" s="18"/>
      <c r="T280" s="18"/>
      <c r="U280" s="18"/>
      <c r="V280" s="43"/>
      <c r="W280" s="18"/>
      <c r="X280" s="18"/>
    </row>
    <row r="281" spans="1:26" x14ac:dyDescent="0.25">
      <c r="A281" s="9"/>
      <c r="B281" s="56">
        <v>44267.667775891205</v>
      </c>
      <c r="D281" s="18"/>
      <c r="E281" s="18"/>
      <c r="G281" s="18"/>
      <c r="H281" s="18"/>
      <c r="I281" s="18"/>
      <c r="J281" s="43"/>
      <c r="K281" s="18"/>
      <c r="L281" s="18"/>
      <c r="M281" s="18"/>
      <c r="P281" s="18"/>
      <c r="Q281" s="18"/>
      <c r="R281" s="43"/>
      <c r="S281" s="18"/>
      <c r="T281" s="18"/>
      <c r="U281" s="18"/>
      <c r="V281" s="43"/>
      <c r="W281" s="18"/>
      <c r="X281" s="18"/>
    </row>
    <row r="282" spans="1:26" x14ac:dyDescent="0.25">
      <c r="A282" s="9"/>
      <c r="B282" s="54" t="s">
        <v>313</v>
      </c>
      <c r="D282" s="18"/>
      <c r="E282" s="18"/>
      <c r="G282" s="18"/>
      <c r="H282" s="18"/>
      <c r="I282" s="18"/>
      <c r="J282" s="43"/>
      <c r="K282" s="18"/>
      <c r="L282" s="18"/>
      <c r="M282" s="18"/>
      <c r="P282" s="18"/>
      <c r="Q282" s="18"/>
      <c r="R282" s="43"/>
      <c r="S282" s="18"/>
      <c r="T282" s="18"/>
      <c r="U282" s="18"/>
      <c r="V282" s="43"/>
      <c r="W282" s="18"/>
      <c r="X282" s="18"/>
    </row>
    <row r="283" spans="1:26" x14ac:dyDescent="0.25">
      <c r="A283" s="9"/>
      <c r="B283" s="58"/>
      <c r="D283" s="18"/>
      <c r="E283" s="18"/>
      <c r="G283" s="18"/>
      <c r="H283" s="18"/>
      <c r="I283" s="18"/>
      <c r="J283" s="43"/>
      <c r="K283" s="18"/>
      <c r="L283" s="18"/>
      <c r="M283" s="18"/>
      <c r="P283" s="18"/>
      <c r="Q283" s="18"/>
      <c r="R283" s="43"/>
      <c r="S283" s="18"/>
      <c r="T283" s="18"/>
      <c r="U283" s="18"/>
      <c r="V283" s="43"/>
      <c r="W283" s="18"/>
      <c r="X283" s="18"/>
    </row>
    <row r="284" spans="1:26" x14ac:dyDescent="0.25">
      <c r="D284" s="18"/>
      <c r="E284" s="18"/>
      <c r="G284" s="18"/>
      <c r="H284" s="18"/>
      <c r="I284" s="18"/>
      <c r="J284" s="43"/>
      <c r="K284" s="18"/>
      <c r="L284" s="18"/>
      <c r="M284" s="18"/>
      <c r="P284" s="18"/>
      <c r="Q284" s="18"/>
      <c r="R284" s="43"/>
      <c r="S284" s="18"/>
      <c r="T284" s="18"/>
      <c r="U284" s="18"/>
      <c r="V284" s="43"/>
      <c r="W284" s="18"/>
      <c r="X284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7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202840.15000000002</v>
      </c>
      <c r="E12" s="4"/>
      <c r="F12" s="12"/>
      <c r="G12" s="4"/>
      <c r="H12" s="4">
        <f>SUM(OSRRefH13x_0)</f>
        <v>677631.65999999957</v>
      </c>
      <c r="I12" s="4"/>
      <c r="J12" s="12"/>
      <c r="K12" s="4"/>
      <c r="L12" s="4">
        <f t="shared" ref="L12:L107" si="0">+D12-H12</f>
        <v>-474791.50999999954</v>
      </c>
      <c r="M12" s="4"/>
      <c r="N12" s="12">
        <f t="shared" ref="N12:N107" si="1">IF(H12=0,0,L12/H12)</f>
        <v>-0.70066311541582904</v>
      </c>
      <c r="O12" s="10"/>
      <c r="P12" s="4">
        <f>SUM(OSRRefP13x_0)</f>
        <v>4080278.5399999986</v>
      </c>
      <c r="Q12" s="4"/>
      <c r="R12" s="12"/>
      <c r="S12" s="4"/>
      <c r="T12" s="4">
        <f>SUM(OSRRefT13x_0)</f>
        <v>8366246.2999999989</v>
      </c>
      <c r="U12" s="4"/>
      <c r="V12" s="12"/>
      <c r="W12" s="4"/>
      <c r="X12" s="4">
        <f t="shared" ref="X12:X107" si="2">+P12-T12</f>
        <v>-4285967.76</v>
      </c>
      <c r="Y12" s="4"/>
      <c r="Z12" s="12">
        <f t="shared" ref="Z12:Z107" si="3">IF(T12=0,0,X12/T12)</f>
        <v>-0.5122928020897497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-7353.1</f>
        <v>-7353.1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-7353.1</v>
      </c>
      <c r="M13" s="2"/>
      <c r="N13" s="19">
        <f t="shared" si="1"/>
        <v>0</v>
      </c>
      <c r="O13" s="11"/>
      <c r="P13" s="2">
        <f>-108361.13</f>
        <v>-108361.13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-108361.13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--34627.67</f>
        <v>34627.67</v>
      </c>
      <c r="E14" s="2"/>
      <c r="F14" s="19"/>
      <c r="G14" s="2"/>
      <c r="H14" s="2">
        <f>--104784.96</f>
        <v>104784.96000000001</v>
      </c>
      <c r="I14" s="2"/>
      <c r="J14" s="19"/>
      <c r="K14" s="2"/>
      <c r="L14" s="2">
        <f t="shared" si="0"/>
        <v>-70157.290000000008</v>
      </c>
      <c r="M14" s="2"/>
      <c r="N14" s="19">
        <f t="shared" si="1"/>
        <v>-0.66953587614100352</v>
      </c>
      <c r="O14" s="11"/>
      <c r="P14" s="2">
        <f>--1224724.01</f>
        <v>1224724.01</v>
      </c>
      <c r="Q14" s="2"/>
      <c r="R14" s="19"/>
      <c r="S14" s="2"/>
      <c r="T14" s="2">
        <f>--2390761.72</f>
        <v>2390761.7200000002</v>
      </c>
      <c r="U14" s="2"/>
      <c r="V14" s="19"/>
      <c r="W14" s="2"/>
      <c r="X14" s="2">
        <f t="shared" si="2"/>
        <v>-1166037.7100000002</v>
      </c>
      <c r="Y14" s="2"/>
      <c r="Z14" s="19">
        <f t="shared" si="3"/>
        <v>-0.48772644310199181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--12732.98</f>
        <v>12732.98</v>
      </c>
      <c r="E15" s="2"/>
      <c r="F15" s="19"/>
      <c r="G15" s="2"/>
      <c r="H15" s="2">
        <f>--46558.78</f>
        <v>46558.78</v>
      </c>
      <c r="I15" s="2"/>
      <c r="J15" s="19"/>
      <c r="K15" s="2"/>
      <c r="L15" s="2">
        <f t="shared" si="0"/>
        <v>-33825.800000000003</v>
      </c>
      <c r="M15" s="2"/>
      <c r="N15" s="19">
        <f t="shared" si="1"/>
        <v>-0.72651817766702653</v>
      </c>
      <c r="O15" s="11"/>
      <c r="P15" s="2">
        <f>--575134.48</f>
        <v>575134.48</v>
      </c>
      <c r="Q15" s="2"/>
      <c r="R15" s="19"/>
      <c r="S15" s="2"/>
      <c r="T15" s="2">
        <f>--1239973.19</f>
        <v>1239973.19</v>
      </c>
      <c r="U15" s="2"/>
      <c r="V15" s="19"/>
      <c r="W15" s="2"/>
      <c r="X15" s="2">
        <f t="shared" si="2"/>
        <v>-664838.71</v>
      </c>
      <c r="Y15" s="2"/>
      <c r="Z15" s="19">
        <f t="shared" si="3"/>
        <v>-0.53617184255411199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--40</f>
        <v>40</v>
      </c>
      <c r="E16" s="2"/>
      <c r="F16" s="19"/>
      <c r="G16" s="2"/>
      <c r="H16" s="2">
        <f>--1344.88</f>
        <v>1344.88</v>
      </c>
      <c r="I16" s="2"/>
      <c r="J16" s="19"/>
      <c r="K16" s="2"/>
      <c r="L16" s="2">
        <f t="shared" si="0"/>
        <v>-1304.8800000000001</v>
      </c>
      <c r="M16" s="2"/>
      <c r="N16" s="19">
        <f t="shared" si="1"/>
        <v>-0.97025756944857533</v>
      </c>
      <c r="O16" s="11"/>
      <c r="P16" s="2">
        <f>--17927.89</f>
        <v>17927.89</v>
      </c>
      <c r="Q16" s="2"/>
      <c r="R16" s="19"/>
      <c r="S16" s="2"/>
      <c r="T16" s="2">
        <f>--33616.89</f>
        <v>33616.89</v>
      </c>
      <c r="U16" s="2"/>
      <c r="V16" s="19"/>
      <c r="W16" s="2"/>
      <c r="X16" s="2">
        <f t="shared" si="2"/>
        <v>-15689</v>
      </c>
      <c r="Y16" s="2"/>
      <c r="Z16" s="19">
        <f t="shared" si="3"/>
        <v>-0.46669992375856306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ref="D17:D18" si="4">0</f>
        <v>0</v>
      </c>
      <c r="E17" s="2"/>
      <c r="F17" s="19"/>
      <c r="G17" s="2"/>
      <c r="H17" s="2">
        <f>--993.89</f>
        <v>993.89</v>
      </c>
      <c r="I17" s="2"/>
      <c r="J17" s="19"/>
      <c r="K17" s="2"/>
      <c r="L17" s="2">
        <f t="shared" si="0"/>
        <v>-993.89</v>
      </c>
      <c r="M17" s="2"/>
      <c r="N17" s="19">
        <f t="shared" si="1"/>
        <v>-1</v>
      </c>
      <c r="O17" s="11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--785.66</f>
        <v>785.66</v>
      </c>
      <c r="I18" s="2"/>
      <c r="J18" s="19"/>
      <c r="K18" s="2"/>
      <c r="L18" s="2">
        <f t="shared" si="0"/>
        <v>-785.66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f>--798.88</f>
        <v>798.88</v>
      </c>
      <c r="U18" s="2"/>
      <c r="V18" s="19"/>
      <c r="W18" s="2"/>
      <c r="X18" s="2">
        <f t="shared" si="2"/>
        <v>-798.88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--242.29</f>
        <v>242.29</v>
      </c>
      <c r="E19" s="2"/>
      <c r="F19" s="19"/>
      <c r="G19" s="2"/>
      <c r="H19" s="2">
        <f>--772.36</f>
        <v>772.36</v>
      </c>
      <c r="I19" s="2"/>
      <c r="J19" s="19"/>
      <c r="K19" s="2"/>
      <c r="L19" s="2">
        <f t="shared" si="0"/>
        <v>-530.07000000000005</v>
      </c>
      <c r="M19" s="2"/>
      <c r="N19" s="19">
        <f t="shared" si="1"/>
        <v>-0.68629913511833862</v>
      </c>
      <c r="O19" s="11"/>
      <c r="P19" s="2">
        <f>--1172.81</f>
        <v>1172.81</v>
      </c>
      <c r="Q19" s="2"/>
      <c r="R19" s="19"/>
      <c r="S19" s="2"/>
      <c r="T19" s="2">
        <f>--2282.25</f>
        <v>2282.25</v>
      </c>
      <c r="U19" s="2"/>
      <c r="V19" s="19"/>
      <c r="W19" s="2"/>
      <c r="X19" s="2">
        <f t="shared" si="2"/>
        <v>-1109.44</v>
      </c>
      <c r="Y19" s="2"/>
      <c r="Z19" s="19">
        <f t="shared" si="3"/>
        <v>-0.48611677073063864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--31.84</f>
        <v>31.84</v>
      </c>
      <c r="E20" s="2"/>
      <c r="F20" s="19"/>
      <c r="G20" s="2"/>
      <c r="H20" s="2">
        <f>--51.77</f>
        <v>51.77</v>
      </c>
      <c r="I20" s="2"/>
      <c r="J20" s="19"/>
      <c r="K20" s="2"/>
      <c r="L20" s="2">
        <f t="shared" si="0"/>
        <v>-19.930000000000003</v>
      </c>
      <c r="M20" s="2"/>
      <c r="N20" s="19">
        <f t="shared" si="1"/>
        <v>-0.38497199150086925</v>
      </c>
      <c r="O20" s="11"/>
      <c r="P20" s="2">
        <f>--411.88</f>
        <v>411.88</v>
      </c>
      <c r="Q20" s="2"/>
      <c r="R20" s="19"/>
      <c r="S20" s="2"/>
      <c r="T20" s="2">
        <f>--1151.94</f>
        <v>1151.94</v>
      </c>
      <c r="U20" s="2"/>
      <c r="V20" s="19"/>
      <c r="W20" s="2"/>
      <c r="X20" s="2">
        <f t="shared" si="2"/>
        <v>-740.06000000000006</v>
      </c>
      <c r="Y20" s="2"/>
      <c r="Z20" s="19">
        <f t="shared" si="3"/>
        <v>-0.64244665520773658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0</f>
        <v>0</v>
      </c>
      <c r="E21" s="2"/>
      <c r="F21" s="19"/>
      <c r="G21" s="2"/>
      <c r="H21" s="2">
        <f>--16.47</f>
        <v>16.47</v>
      </c>
      <c r="I21" s="2"/>
      <c r="J21" s="19"/>
      <c r="K21" s="2"/>
      <c r="L21" s="2">
        <f t="shared" si="0"/>
        <v>-16.47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--271.59</f>
        <v>271.58999999999997</v>
      </c>
      <c r="U21" s="2"/>
      <c r="V21" s="19"/>
      <c r="W21" s="2"/>
      <c r="X21" s="2">
        <f t="shared" si="2"/>
        <v>-271.58999999999997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--41.7</f>
        <v>41.7</v>
      </c>
      <c r="E22" s="2"/>
      <c r="F22" s="19"/>
      <c r="G22" s="2"/>
      <c r="H22" s="2">
        <f>--469.81</f>
        <v>469.81</v>
      </c>
      <c r="I22" s="2"/>
      <c r="J22" s="19"/>
      <c r="K22" s="2"/>
      <c r="L22" s="2">
        <f t="shared" si="0"/>
        <v>-428.11</v>
      </c>
      <c r="M22" s="2"/>
      <c r="N22" s="19">
        <f t="shared" si="1"/>
        <v>-0.91124071433132547</v>
      </c>
      <c r="O22" s="11"/>
      <c r="P22" s="2">
        <f>--332.84</f>
        <v>332.84</v>
      </c>
      <c r="Q22" s="2"/>
      <c r="R22" s="19"/>
      <c r="S22" s="2"/>
      <c r="T22" s="2">
        <f>--4097.71</f>
        <v>4097.71</v>
      </c>
      <c r="U22" s="2"/>
      <c r="V22" s="19"/>
      <c r="W22" s="2"/>
      <c r="X22" s="2">
        <f t="shared" si="2"/>
        <v>-3764.87</v>
      </c>
      <c r="Y22" s="2"/>
      <c r="Z22" s="19">
        <f t="shared" si="3"/>
        <v>-0.91877414458319395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ref="D23:D24" si="5">0</f>
        <v>0</v>
      </c>
      <c r="E23" s="2"/>
      <c r="F23" s="19"/>
      <c r="G23" s="2"/>
      <c r="H23" s="2">
        <f>--8.97</f>
        <v>8.9700000000000006</v>
      </c>
      <c r="I23" s="2"/>
      <c r="J23" s="19"/>
      <c r="K23" s="2"/>
      <c r="L23" s="2">
        <f t="shared" si="0"/>
        <v>-8.9700000000000006</v>
      </c>
      <c r="M23" s="2"/>
      <c r="N23" s="19">
        <f t="shared" si="1"/>
        <v>-1</v>
      </c>
      <c r="O23" s="11"/>
      <c r="P23" s="2">
        <f t="shared" ref="P23:P24" si="6">0</f>
        <v>0</v>
      </c>
      <c r="Q23" s="2"/>
      <c r="R23" s="19"/>
      <c r="S23" s="2"/>
      <c r="T23" s="2">
        <f>--42.85</f>
        <v>42.85</v>
      </c>
      <c r="U23" s="2"/>
      <c r="V23" s="19"/>
      <c r="W23" s="2"/>
      <c r="X23" s="2">
        <f t="shared" si="2"/>
        <v>-42.85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5"/>
        <v>0</v>
      </c>
      <c r="E24" s="2"/>
      <c r="F24" s="19"/>
      <c r="G24" s="2"/>
      <c r="H24" s="2">
        <f>--11343.24</f>
        <v>11343.24</v>
      </c>
      <c r="I24" s="2"/>
      <c r="J24" s="19"/>
      <c r="K24" s="2"/>
      <c r="L24" s="2">
        <f t="shared" si="0"/>
        <v>-11343.24</v>
      </c>
      <c r="M24" s="2"/>
      <c r="N24" s="19">
        <f t="shared" si="1"/>
        <v>-1</v>
      </c>
      <c r="O24" s="11"/>
      <c r="P24" s="2">
        <f t="shared" si="6"/>
        <v>0</v>
      </c>
      <c r="Q24" s="2"/>
      <c r="R24" s="19"/>
      <c r="S24" s="2"/>
      <c r="T24" s="2">
        <f>--51783.69</f>
        <v>51783.69</v>
      </c>
      <c r="U24" s="2"/>
      <c r="V24" s="19"/>
      <c r="W24" s="2"/>
      <c r="X24" s="2">
        <f t="shared" si="2"/>
        <v>-51783.69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--41.38</f>
        <v>41.38</v>
      </c>
      <c r="E25" s="2"/>
      <c r="F25" s="19"/>
      <c r="G25" s="2"/>
      <c r="H25" s="2">
        <f>--11784.71</f>
        <v>11784.71</v>
      </c>
      <c r="I25" s="2"/>
      <c r="J25" s="19"/>
      <c r="K25" s="2"/>
      <c r="L25" s="2">
        <f t="shared" si="0"/>
        <v>-11743.33</v>
      </c>
      <c r="M25" s="2"/>
      <c r="N25" s="19">
        <f t="shared" si="1"/>
        <v>-0.99648867048913392</v>
      </c>
      <c r="O25" s="11"/>
      <c r="P25" s="2">
        <f>--448.38</f>
        <v>448.38</v>
      </c>
      <c r="Q25" s="2"/>
      <c r="R25" s="19"/>
      <c r="S25" s="2"/>
      <c r="T25" s="2">
        <f>--75474.2</f>
        <v>75474.2</v>
      </c>
      <c r="U25" s="2"/>
      <c r="V25" s="19"/>
      <c r="W25" s="2"/>
      <c r="X25" s="2">
        <f t="shared" si="2"/>
        <v>-75025.819999999992</v>
      </c>
      <c r="Y25" s="2"/>
      <c r="Z25" s="19">
        <f t="shared" si="3"/>
        <v>-0.99405916193878163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--5808.1</f>
        <v>5808.1</v>
      </c>
      <c r="E26" s="2"/>
      <c r="F26" s="19"/>
      <c r="G26" s="2"/>
      <c r="H26" s="2">
        <f>--30046.01</f>
        <v>30046.01</v>
      </c>
      <c r="I26" s="2"/>
      <c r="J26" s="19"/>
      <c r="K26" s="2"/>
      <c r="L26" s="2">
        <f t="shared" si="0"/>
        <v>-24237.909999999996</v>
      </c>
      <c r="M26" s="2"/>
      <c r="N26" s="19">
        <f t="shared" si="1"/>
        <v>-0.80669313496201323</v>
      </c>
      <c r="O26" s="11"/>
      <c r="P26" s="2">
        <f>--54484.32</f>
        <v>54484.32</v>
      </c>
      <c r="Q26" s="2"/>
      <c r="R26" s="19"/>
      <c r="S26" s="2"/>
      <c r="T26" s="2">
        <f>--261693.33</f>
        <v>261693.33</v>
      </c>
      <c r="U26" s="2"/>
      <c r="V26" s="19"/>
      <c r="W26" s="2"/>
      <c r="X26" s="2">
        <f t="shared" si="2"/>
        <v>-207209.00999999998</v>
      </c>
      <c r="Y26" s="2"/>
      <c r="Z26" s="19">
        <f t="shared" si="3"/>
        <v>-0.79180088388190861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--1924.8</f>
        <v>1924.8</v>
      </c>
      <c r="E27" s="2"/>
      <c r="F27" s="19"/>
      <c r="G27" s="2"/>
      <c r="H27" s="2">
        <f>--42663.45</f>
        <v>42663.45</v>
      </c>
      <c r="I27" s="2"/>
      <c r="J27" s="19"/>
      <c r="K27" s="2"/>
      <c r="L27" s="2">
        <f t="shared" si="0"/>
        <v>-40738.649999999994</v>
      </c>
      <c r="M27" s="2"/>
      <c r="N27" s="19">
        <f t="shared" si="1"/>
        <v>-0.95488409868400226</v>
      </c>
      <c r="O27" s="11"/>
      <c r="P27" s="2">
        <f>--40876.62</f>
        <v>40876.620000000003</v>
      </c>
      <c r="Q27" s="2"/>
      <c r="R27" s="19"/>
      <c r="S27" s="2"/>
      <c r="T27" s="2">
        <f>--275336.23</f>
        <v>275336.23</v>
      </c>
      <c r="U27" s="2"/>
      <c r="V27" s="19"/>
      <c r="W27" s="2"/>
      <c r="X27" s="2">
        <f t="shared" si="2"/>
        <v>-234459.61</v>
      </c>
      <c r="Y27" s="2"/>
      <c r="Z27" s="19">
        <f t="shared" si="3"/>
        <v>-0.85153926165110927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--593.6</f>
        <v>593.6</v>
      </c>
      <c r="E28" s="2"/>
      <c r="F28" s="19"/>
      <c r="G28" s="2"/>
      <c r="H28" s="2">
        <f>--92.07</f>
        <v>92.07</v>
      </c>
      <c r="I28" s="2"/>
      <c r="J28" s="19"/>
      <c r="K28" s="2"/>
      <c r="L28" s="2">
        <f t="shared" si="0"/>
        <v>501.53000000000003</v>
      </c>
      <c r="M28" s="2"/>
      <c r="N28" s="19">
        <f t="shared" si="1"/>
        <v>5.4472683827522541</v>
      </c>
      <c r="O28" s="11"/>
      <c r="P28" s="2">
        <f>--3180.84</f>
        <v>3180.84</v>
      </c>
      <c r="Q28" s="2"/>
      <c r="R28" s="19"/>
      <c r="S28" s="2"/>
      <c r="T28" s="2">
        <f>--442.04</f>
        <v>442.04</v>
      </c>
      <c r="U28" s="2"/>
      <c r="V28" s="19"/>
      <c r="W28" s="2"/>
      <c r="X28" s="2">
        <f t="shared" si="2"/>
        <v>2738.8</v>
      </c>
      <c r="Y28" s="2"/>
      <c r="Z28" s="19">
        <f t="shared" si="3"/>
        <v>6.1958193828612798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ref="D29:D33" si="7">0</f>
        <v>0</v>
      </c>
      <c r="E29" s="2"/>
      <c r="F29" s="19"/>
      <c r="G29" s="2"/>
      <c r="H29" s="2">
        <f>--555.66</f>
        <v>555.66</v>
      </c>
      <c r="I29" s="2"/>
      <c r="J29" s="19"/>
      <c r="K29" s="2"/>
      <c r="L29" s="2">
        <f t="shared" si="0"/>
        <v>-555.66</v>
      </c>
      <c r="M29" s="2"/>
      <c r="N29" s="19">
        <f t="shared" si="1"/>
        <v>-1</v>
      </c>
      <c r="O29" s="11"/>
      <c r="P29" s="2">
        <f t="shared" ref="P29:P30" si="8">0</f>
        <v>0</v>
      </c>
      <c r="Q29" s="2"/>
      <c r="R29" s="19"/>
      <c r="S29" s="2"/>
      <c r="T29" s="2">
        <f>--1664.25</f>
        <v>1664.25</v>
      </c>
      <c r="U29" s="2"/>
      <c r="V29" s="19"/>
      <c r="W29" s="2"/>
      <c r="X29" s="2">
        <f t="shared" si="2"/>
        <v>-1664.25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7"/>
        <v>0</v>
      </c>
      <c r="E30" s="2"/>
      <c r="F30" s="19"/>
      <c r="G30" s="2"/>
      <c r="H30" s="2">
        <f>--33.83</f>
        <v>33.83</v>
      </c>
      <c r="I30" s="2"/>
      <c r="J30" s="19"/>
      <c r="K30" s="2"/>
      <c r="L30" s="2">
        <f t="shared" si="0"/>
        <v>-33.83</v>
      </c>
      <c r="M30" s="2"/>
      <c r="N30" s="19">
        <f t="shared" si="1"/>
        <v>-1</v>
      </c>
      <c r="O30" s="11"/>
      <c r="P30" s="2">
        <f t="shared" si="8"/>
        <v>0</v>
      </c>
      <c r="Q30" s="2"/>
      <c r="R30" s="19"/>
      <c r="S30" s="2"/>
      <c r="T30" s="2">
        <f>--179.98</f>
        <v>179.98</v>
      </c>
      <c r="U30" s="2"/>
      <c r="V30" s="19"/>
      <c r="W30" s="2"/>
      <c r="X30" s="2">
        <f t="shared" si="2"/>
        <v>-179.98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7"/>
        <v>0</v>
      </c>
      <c r="E31" s="2"/>
      <c r="F31" s="19"/>
      <c r="G31" s="2"/>
      <c r="H31" s="2">
        <f>--1452.19</f>
        <v>1452.19</v>
      </c>
      <c r="I31" s="2"/>
      <c r="J31" s="19"/>
      <c r="K31" s="2"/>
      <c r="L31" s="2">
        <f t="shared" si="0"/>
        <v>-1452.19</v>
      </c>
      <c r="M31" s="2"/>
      <c r="N31" s="19">
        <f t="shared" si="1"/>
        <v>-1</v>
      </c>
      <c r="O31" s="11"/>
      <c r="P31" s="2">
        <f>--6.78</f>
        <v>6.78</v>
      </c>
      <c r="Q31" s="2"/>
      <c r="R31" s="19"/>
      <c r="S31" s="2"/>
      <c r="T31" s="2">
        <f>--7203.43</f>
        <v>7203.43</v>
      </c>
      <c r="U31" s="2"/>
      <c r="V31" s="19"/>
      <c r="W31" s="2"/>
      <c r="X31" s="2">
        <f t="shared" si="2"/>
        <v>-7196.6500000000005</v>
      </c>
      <c r="Y31" s="2"/>
      <c r="Z31" s="19">
        <f t="shared" si="3"/>
        <v>-0.99905878171926432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7"/>
        <v>0</v>
      </c>
      <c r="E32" s="2"/>
      <c r="F32" s="19"/>
      <c r="G32" s="2"/>
      <c r="H32" s="2">
        <f>--442.03</f>
        <v>442.03</v>
      </c>
      <c r="I32" s="2"/>
      <c r="J32" s="19"/>
      <c r="K32" s="2"/>
      <c r="L32" s="2">
        <f t="shared" si="0"/>
        <v>-442.03</v>
      </c>
      <c r="M32" s="2"/>
      <c r="N32" s="19">
        <f t="shared" si="1"/>
        <v>-1</v>
      </c>
      <c r="O32" s="11"/>
      <c r="P32" s="2">
        <f t="shared" ref="P32:P33" si="9">0</f>
        <v>0</v>
      </c>
      <c r="Q32" s="2"/>
      <c r="R32" s="19"/>
      <c r="S32" s="2"/>
      <c r="T32" s="2">
        <f>--1880.52</f>
        <v>1880.52</v>
      </c>
      <c r="U32" s="2"/>
      <c r="V32" s="19"/>
      <c r="W32" s="2"/>
      <c r="X32" s="2">
        <f t="shared" si="2"/>
        <v>-1880.52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7"/>
        <v>0</v>
      </c>
      <c r="E33" s="2"/>
      <c r="F33" s="19"/>
      <c r="G33" s="2"/>
      <c r="H33" s="2">
        <f>--74.61</f>
        <v>74.61</v>
      </c>
      <c r="I33" s="2"/>
      <c r="J33" s="19"/>
      <c r="K33" s="2"/>
      <c r="L33" s="2">
        <f t="shared" si="0"/>
        <v>-74.61</v>
      </c>
      <c r="M33" s="2"/>
      <c r="N33" s="19">
        <f t="shared" si="1"/>
        <v>-1</v>
      </c>
      <c r="O33" s="11"/>
      <c r="P33" s="2">
        <f t="shared" si="9"/>
        <v>0</v>
      </c>
      <c r="Q33" s="2"/>
      <c r="R33" s="19"/>
      <c r="S33" s="2"/>
      <c r="T33" s="2">
        <f>--488.71</f>
        <v>488.71</v>
      </c>
      <c r="U33" s="2"/>
      <c r="V33" s="19"/>
      <c r="W33" s="2"/>
      <c r="X33" s="2">
        <f t="shared" si="2"/>
        <v>-488.71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--73245.08</f>
        <v>73245.08</v>
      </c>
      <c r="E34" s="2"/>
      <c r="F34" s="19"/>
      <c r="G34" s="2"/>
      <c r="H34" s="2">
        <f>--197676.23</f>
        <v>197676.23</v>
      </c>
      <c r="I34" s="2"/>
      <c r="J34" s="19"/>
      <c r="K34" s="2"/>
      <c r="L34" s="2">
        <f t="shared" si="0"/>
        <v>-124431.15000000001</v>
      </c>
      <c r="M34" s="2"/>
      <c r="N34" s="19">
        <f t="shared" si="1"/>
        <v>-0.62946946124984271</v>
      </c>
      <c r="O34" s="11"/>
      <c r="P34" s="2">
        <f>--671347.98</f>
        <v>671347.98</v>
      </c>
      <c r="Q34" s="2"/>
      <c r="R34" s="19"/>
      <c r="S34" s="2"/>
      <c r="T34" s="2">
        <f>--1682295.22</f>
        <v>1682295.22</v>
      </c>
      <c r="U34" s="2"/>
      <c r="V34" s="19"/>
      <c r="W34" s="2"/>
      <c r="X34" s="2">
        <f t="shared" si="2"/>
        <v>-1010947.24</v>
      </c>
      <c r="Y34" s="2"/>
      <c r="Z34" s="19">
        <f t="shared" si="3"/>
        <v>-0.60093331300079422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--27100.04</f>
        <v>27100.04</v>
      </c>
      <c r="E35" s="2"/>
      <c r="F35" s="19"/>
      <c r="G35" s="2"/>
      <c r="H35" s="2">
        <f>--41252.71</f>
        <v>41252.71</v>
      </c>
      <c r="I35" s="2"/>
      <c r="J35" s="19"/>
      <c r="K35" s="2"/>
      <c r="L35" s="2">
        <f t="shared" si="0"/>
        <v>-14152.669999999998</v>
      </c>
      <c r="M35" s="2"/>
      <c r="N35" s="19">
        <f t="shared" si="1"/>
        <v>-0.34307249147995367</v>
      </c>
      <c r="O35" s="11"/>
      <c r="P35" s="2">
        <f>--276199.31</f>
        <v>276199.31</v>
      </c>
      <c r="Q35" s="2"/>
      <c r="R35" s="19"/>
      <c r="S35" s="2"/>
      <c r="T35" s="2">
        <f>--441821.19</f>
        <v>441821.19</v>
      </c>
      <c r="U35" s="2"/>
      <c r="V35" s="19"/>
      <c r="W35" s="2"/>
      <c r="X35" s="2">
        <f t="shared" si="2"/>
        <v>-165621.88</v>
      </c>
      <c r="Y35" s="2"/>
      <c r="Z35" s="19">
        <f t="shared" si="3"/>
        <v>-0.37486178514887436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--4794.04</f>
        <v>4794.04</v>
      </c>
      <c r="E36" s="2"/>
      <c r="F36" s="19"/>
      <c r="G36" s="2"/>
      <c r="H36" s="2">
        <f>--26570.92</f>
        <v>26570.92</v>
      </c>
      <c r="I36" s="2"/>
      <c r="J36" s="19"/>
      <c r="K36" s="2"/>
      <c r="L36" s="2">
        <f t="shared" si="0"/>
        <v>-21776.879999999997</v>
      </c>
      <c r="M36" s="2"/>
      <c r="N36" s="19">
        <f t="shared" si="1"/>
        <v>-0.81957568650238677</v>
      </c>
      <c r="O36" s="11"/>
      <c r="P36" s="2">
        <f>--78994.92</f>
        <v>78994.92</v>
      </c>
      <c r="Q36" s="2"/>
      <c r="R36" s="19"/>
      <c r="S36" s="2"/>
      <c r="T36" s="2">
        <f>--259566.14</f>
        <v>259566.14</v>
      </c>
      <c r="U36" s="2"/>
      <c r="V36" s="19"/>
      <c r="W36" s="2"/>
      <c r="X36" s="2">
        <f t="shared" si="2"/>
        <v>-180571.22000000003</v>
      </c>
      <c r="Y36" s="2"/>
      <c r="Z36" s="19">
        <f t="shared" si="3"/>
        <v>-0.69566554404977488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--6195.85</f>
        <v>6195.85</v>
      </c>
      <c r="E37" s="2"/>
      <c r="F37" s="19"/>
      <c r="G37" s="2"/>
      <c r="H37" s="2">
        <f>--53271</f>
        <v>53271</v>
      </c>
      <c r="I37" s="2"/>
      <c r="J37" s="19"/>
      <c r="K37" s="2"/>
      <c r="L37" s="2">
        <f t="shared" si="0"/>
        <v>-47075.15</v>
      </c>
      <c r="M37" s="2"/>
      <c r="N37" s="19">
        <f t="shared" si="1"/>
        <v>-0.88369187738168986</v>
      </c>
      <c r="O37" s="11"/>
      <c r="P37" s="2">
        <f>--124150.66</f>
        <v>124150.66</v>
      </c>
      <c r="Q37" s="2"/>
      <c r="R37" s="19"/>
      <c r="S37" s="2"/>
      <c r="T37" s="2">
        <f>--75901.71</f>
        <v>75901.710000000006</v>
      </c>
      <c r="U37" s="2"/>
      <c r="V37" s="19"/>
      <c r="W37" s="2"/>
      <c r="X37" s="2">
        <f t="shared" si="2"/>
        <v>48248.95</v>
      </c>
      <c r="Y37" s="2"/>
      <c r="Z37" s="19">
        <f t="shared" si="3"/>
        <v>0.63567671927285951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--2036.78</f>
        <v>2036.78</v>
      </c>
      <c r="E38" s="2"/>
      <c r="F38" s="19"/>
      <c r="G38" s="2"/>
      <c r="H38" s="2">
        <f>--9848.33</f>
        <v>9848.33</v>
      </c>
      <c r="I38" s="2"/>
      <c r="J38" s="19"/>
      <c r="K38" s="2"/>
      <c r="L38" s="2">
        <f t="shared" si="0"/>
        <v>-7811.55</v>
      </c>
      <c r="M38" s="2"/>
      <c r="N38" s="19">
        <f t="shared" si="1"/>
        <v>-0.79318524054332051</v>
      </c>
      <c r="O38" s="11"/>
      <c r="P38" s="2">
        <f>--29572.4</f>
        <v>29572.400000000001</v>
      </c>
      <c r="Q38" s="2"/>
      <c r="R38" s="19"/>
      <c r="S38" s="2"/>
      <c r="T38" s="2">
        <f>--62934.49</f>
        <v>62934.49</v>
      </c>
      <c r="U38" s="2"/>
      <c r="V38" s="19"/>
      <c r="W38" s="2"/>
      <c r="X38" s="2">
        <f t="shared" si="2"/>
        <v>-33362.089999999997</v>
      </c>
      <c r="Y38" s="2"/>
      <c r="Z38" s="19">
        <f t="shared" si="3"/>
        <v>-0.53010821252384821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--10039.9</f>
        <v>10039.9</v>
      </c>
      <c r="E39" s="2"/>
      <c r="F39" s="19"/>
      <c r="G39" s="2"/>
      <c r="H39" s="2">
        <f>--815.01</f>
        <v>815.01</v>
      </c>
      <c r="I39" s="2"/>
      <c r="J39" s="19"/>
      <c r="K39" s="2"/>
      <c r="L39" s="2">
        <f t="shared" si="0"/>
        <v>9224.89</v>
      </c>
      <c r="M39" s="2"/>
      <c r="N39" s="19">
        <f t="shared" si="1"/>
        <v>11.31874455528153</v>
      </c>
      <c r="O39" s="11"/>
      <c r="P39" s="2">
        <f>--135489.57</f>
        <v>135489.57</v>
      </c>
      <c r="Q39" s="2"/>
      <c r="R39" s="19"/>
      <c r="S39" s="2"/>
      <c r="T39" s="2">
        <f>--70553.04</f>
        <v>70553.039999999994</v>
      </c>
      <c r="U39" s="2"/>
      <c r="V39" s="19"/>
      <c r="W39" s="2"/>
      <c r="X39" s="2">
        <f t="shared" si="2"/>
        <v>64936.530000000013</v>
      </c>
      <c r="Y39" s="2"/>
      <c r="Z39" s="19">
        <f t="shared" si="3"/>
        <v>0.92039308299117972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5" si="10">0</f>
        <v>0</v>
      </c>
      <c r="E40" s="2"/>
      <c r="F40" s="19"/>
      <c r="G40" s="2"/>
      <c r="H40" s="2">
        <f>--208.95</f>
        <v>208.95</v>
      </c>
      <c r="I40" s="2"/>
      <c r="J40" s="19"/>
      <c r="K40" s="2"/>
      <c r="L40" s="2">
        <f t="shared" si="0"/>
        <v>-208.95</v>
      </c>
      <c r="M40" s="2"/>
      <c r="N40" s="19">
        <f t="shared" si="1"/>
        <v>-1</v>
      </c>
      <c r="O40" s="11"/>
      <c r="P40" s="2">
        <f>0</f>
        <v>0</v>
      </c>
      <c r="Q40" s="2"/>
      <c r="R40" s="19"/>
      <c r="S40" s="2"/>
      <c r="T40" s="2">
        <f>--2185.99</f>
        <v>2185.9899999999998</v>
      </c>
      <c r="U40" s="2"/>
      <c r="V40" s="19"/>
      <c r="W40" s="2"/>
      <c r="X40" s="2">
        <f t="shared" si="2"/>
        <v>-2185.9899999999998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 t="shared" si="10"/>
        <v>0</v>
      </c>
      <c r="E41" s="2"/>
      <c r="F41" s="19"/>
      <c r="G41" s="2"/>
      <c r="H41" s="2">
        <f>--308.7</f>
        <v>308.7</v>
      </c>
      <c r="I41" s="2"/>
      <c r="J41" s="19"/>
      <c r="K41" s="2"/>
      <c r="L41" s="2">
        <f t="shared" si="0"/>
        <v>-308.7</v>
      </c>
      <c r="M41" s="2"/>
      <c r="N41" s="19">
        <f t="shared" si="1"/>
        <v>-1</v>
      </c>
      <c r="O41" s="11"/>
      <c r="P41" s="2">
        <f>--71.95</f>
        <v>71.95</v>
      </c>
      <c r="Q41" s="2"/>
      <c r="R41" s="19"/>
      <c r="S41" s="2"/>
      <c r="T41" s="2">
        <f>--3109.98</f>
        <v>3109.98</v>
      </c>
      <c r="U41" s="2"/>
      <c r="V41" s="19"/>
      <c r="W41" s="2"/>
      <c r="X41" s="2">
        <f t="shared" si="2"/>
        <v>-3038.03</v>
      </c>
      <c r="Y41" s="2"/>
      <c r="Z41" s="19">
        <f t="shared" si="3"/>
        <v>-0.97686480298908684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 t="shared" si="10"/>
        <v>0</v>
      </c>
      <c r="E42" s="2"/>
      <c r="F42" s="19"/>
      <c r="G42" s="2"/>
      <c r="H42" s="2">
        <f>--76.98</f>
        <v>76.98</v>
      </c>
      <c r="I42" s="2"/>
      <c r="J42" s="19"/>
      <c r="K42" s="2"/>
      <c r="L42" s="2">
        <f t="shared" si="0"/>
        <v>-76.98</v>
      </c>
      <c r="M42" s="2"/>
      <c r="N42" s="19">
        <f t="shared" si="1"/>
        <v>-1</v>
      </c>
      <c r="O42" s="11"/>
      <c r="P42" s="2">
        <f>0</f>
        <v>0</v>
      </c>
      <c r="Q42" s="2"/>
      <c r="R42" s="19"/>
      <c r="S42" s="2"/>
      <c r="T42" s="2">
        <f>--295.98</f>
        <v>295.98</v>
      </c>
      <c r="U42" s="2"/>
      <c r="V42" s="19"/>
      <c r="W42" s="2"/>
      <c r="X42" s="2">
        <f t="shared" si="2"/>
        <v>-295.98</v>
      </c>
      <c r="Y42" s="2"/>
      <c r="Z42" s="19">
        <f t="shared" si="3"/>
        <v>-1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 t="shared" si="10"/>
        <v>0</v>
      </c>
      <c r="E43" s="2"/>
      <c r="F43" s="19"/>
      <c r="G43" s="2"/>
      <c r="H43" s="2">
        <f>--34.97</f>
        <v>34.97</v>
      </c>
      <c r="I43" s="2"/>
      <c r="J43" s="19"/>
      <c r="K43" s="2"/>
      <c r="L43" s="2">
        <f t="shared" si="0"/>
        <v>-34.97</v>
      </c>
      <c r="M43" s="2"/>
      <c r="N43" s="19">
        <f t="shared" si="1"/>
        <v>-1</v>
      </c>
      <c r="O43" s="11"/>
      <c r="P43" s="2">
        <f>--9.99</f>
        <v>9.99</v>
      </c>
      <c r="Q43" s="2"/>
      <c r="R43" s="19"/>
      <c r="S43" s="2"/>
      <c r="T43" s="2">
        <f>--884.36</f>
        <v>884.36</v>
      </c>
      <c r="U43" s="2"/>
      <c r="V43" s="19"/>
      <c r="W43" s="2"/>
      <c r="X43" s="2">
        <f t="shared" si="2"/>
        <v>-874.37</v>
      </c>
      <c r="Y43" s="2"/>
      <c r="Z43" s="19">
        <f t="shared" si="3"/>
        <v>-0.98870369532769464</v>
      </c>
    </row>
    <row r="44" spans="1:26" s="24" customFormat="1" hidden="1" outlineLevel="1" x14ac:dyDescent="0.25">
      <c r="A44" s="44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 t="shared" si="10"/>
        <v>0</v>
      </c>
      <c r="E44" s="2"/>
      <c r="F44" s="19"/>
      <c r="G44" s="2"/>
      <c r="H44" s="2">
        <f>--28.98</f>
        <v>28.98</v>
      </c>
      <c r="I44" s="2"/>
      <c r="J44" s="19"/>
      <c r="K44" s="2"/>
      <c r="L44" s="2">
        <f t="shared" si="0"/>
        <v>-28.98</v>
      </c>
      <c r="M44" s="2"/>
      <c r="N44" s="19">
        <f t="shared" si="1"/>
        <v>-1</v>
      </c>
      <c r="O44" s="11"/>
      <c r="P44" s="2">
        <f t="shared" ref="P44:P45" si="11">0</f>
        <v>0</v>
      </c>
      <c r="Q44" s="2"/>
      <c r="R44" s="19"/>
      <c r="S44" s="2"/>
      <c r="T44" s="2">
        <f>--804.74</f>
        <v>804.74</v>
      </c>
      <c r="U44" s="2"/>
      <c r="V44" s="19"/>
      <c r="W44" s="2"/>
      <c r="X44" s="2">
        <f t="shared" si="2"/>
        <v>-804.74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"4092", " - ", "TAXABLE SALES-GRAD MERCH")</f>
        <v xml:space="preserve">          4092 - TAXABLE SALES-GRAD MERCH</v>
      </c>
      <c r="C45" s="11"/>
      <c r="D45" s="2">
        <f t="shared" si="10"/>
        <v>0</v>
      </c>
      <c r="E45" s="2"/>
      <c r="F45" s="19"/>
      <c r="G45" s="2"/>
      <c r="H45" s="2">
        <f t="shared" ref="H45:H46" si="12">0</f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 t="shared" si="11"/>
        <v>0</v>
      </c>
      <c r="Q45" s="2"/>
      <c r="R45" s="19"/>
      <c r="S45" s="2"/>
      <c r="T45" s="2">
        <f>--7659.37</f>
        <v>7659.37</v>
      </c>
      <c r="U45" s="2"/>
      <c r="V45" s="19"/>
      <c r="W45" s="2"/>
      <c r="X45" s="2">
        <f t="shared" si="2"/>
        <v>-7659.37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"4095", " - ", "TAXABLE SALES-CUSTOMER SERVICE")</f>
        <v xml:space="preserve">          4095 - TAXABLE SALES-CUSTOMER SERVICE</v>
      </c>
      <c r="C46" s="11"/>
      <c r="D46" s="2">
        <f>--139.85</f>
        <v>139.85</v>
      </c>
      <c r="E46" s="2"/>
      <c r="F46" s="19"/>
      <c r="G46" s="2"/>
      <c r="H46" s="2">
        <f t="shared" si="12"/>
        <v>0</v>
      </c>
      <c r="I46" s="2"/>
      <c r="J46" s="19"/>
      <c r="K46" s="2"/>
      <c r="L46" s="2">
        <f t="shared" si="0"/>
        <v>139.85</v>
      </c>
      <c r="M46" s="2"/>
      <c r="N46" s="19">
        <f t="shared" si="1"/>
        <v>0</v>
      </c>
      <c r="O46" s="11"/>
      <c r="P46" s="2">
        <f>--139.85</f>
        <v>139.85</v>
      </c>
      <c r="Q46" s="2"/>
      <c r="R46" s="19"/>
      <c r="S46" s="2"/>
      <c r="T46" s="2">
        <f>--309.26</f>
        <v>309.26</v>
      </c>
      <c r="U46" s="2"/>
      <c r="V46" s="19"/>
      <c r="W46" s="2"/>
      <c r="X46" s="2">
        <f t="shared" si="2"/>
        <v>-169.41</v>
      </c>
      <c r="Y46" s="2"/>
      <c r="Z46" s="19">
        <f t="shared" si="3"/>
        <v>-0.54779150229580287</v>
      </c>
    </row>
    <row r="47" spans="1:26" s="24" customFormat="1" hidden="1" outlineLevel="1" x14ac:dyDescent="0.25">
      <c r="A47" s="44"/>
      <c r="B47" s="11" t="str">
        <f>CONCATENATE("          ", "4100", " - ", "NON-TAXABLE SALES")</f>
        <v xml:space="preserve">          4100 - NON-TAXABLE SALES</v>
      </c>
      <c r="C47" s="11"/>
      <c r="D47" s="2">
        <f>--5617.7</f>
        <v>5617.7</v>
      </c>
      <c r="E47" s="2"/>
      <c r="F47" s="19"/>
      <c r="G47" s="2"/>
      <c r="H47" s="2">
        <f>--22519.96</f>
        <v>22519.96</v>
      </c>
      <c r="I47" s="2"/>
      <c r="J47" s="19"/>
      <c r="K47" s="2"/>
      <c r="L47" s="2">
        <f t="shared" si="0"/>
        <v>-16902.259999999998</v>
      </c>
      <c r="M47" s="2"/>
      <c r="N47" s="19">
        <f t="shared" si="1"/>
        <v>-0.75054573809189706</v>
      </c>
      <c r="O47" s="11"/>
      <c r="P47" s="2">
        <f>--284173.56</f>
        <v>284173.56</v>
      </c>
      <c r="Q47" s="2"/>
      <c r="R47" s="19"/>
      <c r="S47" s="2"/>
      <c r="T47" s="2">
        <f>--572740.12</f>
        <v>572740.12</v>
      </c>
      <c r="U47" s="2"/>
      <c r="V47" s="19"/>
      <c r="W47" s="2"/>
      <c r="X47" s="2">
        <f t="shared" si="2"/>
        <v>-288566.56</v>
      </c>
      <c r="Y47" s="2"/>
      <c r="Z47" s="19">
        <f t="shared" si="3"/>
        <v>-0.50383507270278183</v>
      </c>
    </row>
    <row r="48" spans="1:26" s="24" customFormat="1" hidden="1" outlineLevel="1" x14ac:dyDescent="0.25">
      <c r="A48" s="44"/>
      <c r="B48" s="11" t="str">
        <f>CONCATENATE("          ", "4101", " - ", "NON-TAXABLE SALES-NEW TEXT")</f>
        <v xml:space="preserve">          4101 - NON-TAXABLE SALES-NEW TEXT</v>
      </c>
      <c r="C48" s="11"/>
      <c r="D48" s="2">
        <f>--6785.91</f>
        <v>6785.91</v>
      </c>
      <c r="E48" s="2"/>
      <c r="F48" s="19"/>
      <c r="G48" s="2"/>
      <c r="H48" s="2">
        <f>--7332.54</f>
        <v>7332.54</v>
      </c>
      <c r="I48" s="2"/>
      <c r="J48" s="19"/>
      <c r="K48" s="2"/>
      <c r="L48" s="2">
        <f t="shared" si="0"/>
        <v>-546.63000000000011</v>
      </c>
      <c r="M48" s="2"/>
      <c r="N48" s="19">
        <f t="shared" si="1"/>
        <v>-7.45485193398195E-2</v>
      </c>
      <c r="O48" s="11"/>
      <c r="P48" s="2">
        <f>--111011.54</f>
        <v>111011.54</v>
      </c>
      <c r="Q48" s="2"/>
      <c r="R48" s="19"/>
      <c r="S48" s="2"/>
      <c r="T48" s="2">
        <f>--139737.77</f>
        <v>139737.76999999999</v>
      </c>
      <c r="U48" s="2"/>
      <c r="V48" s="19"/>
      <c r="W48" s="2"/>
      <c r="X48" s="2">
        <f t="shared" si="2"/>
        <v>-28726.229999999996</v>
      </c>
      <c r="Y48" s="2"/>
      <c r="Z48" s="19">
        <f t="shared" si="3"/>
        <v>-0.20557240894856127</v>
      </c>
    </row>
    <row r="49" spans="1:26" s="24" customFormat="1" hidden="1" outlineLevel="1" x14ac:dyDescent="0.25">
      <c r="A49" s="44"/>
      <c r="B49" s="11" t="str">
        <f>CONCATENATE("          ", "4102", " - ", "NON-TAXABLE SALES-USED TEXT")</f>
        <v xml:space="preserve">          4102 - NON-TAXABLE SALES-USED TEXT</v>
      </c>
      <c r="C49" s="11"/>
      <c r="D49" s="2">
        <f>--3426.05</f>
        <v>3426.05</v>
      </c>
      <c r="E49" s="2"/>
      <c r="F49" s="19"/>
      <c r="G49" s="2"/>
      <c r="H49" s="2">
        <f>--1850.06</f>
        <v>1850.06</v>
      </c>
      <c r="I49" s="2"/>
      <c r="J49" s="19"/>
      <c r="K49" s="2"/>
      <c r="L49" s="2">
        <f t="shared" si="0"/>
        <v>1575.9900000000002</v>
      </c>
      <c r="M49" s="2"/>
      <c r="N49" s="19">
        <f t="shared" si="1"/>
        <v>0.85185885863161215</v>
      </c>
      <c r="O49" s="11"/>
      <c r="P49" s="2">
        <f>--46387.37</f>
        <v>46387.37</v>
      </c>
      <c r="Q49" s="2"/>
      <c r="R49" s="19"/>
      <c r="S49" s="2"/>
      <c r="T49" s="2">
        <f>--68466.86</f>
        <v>68466.86</v>
      </c>
      <c r="U49" s="2"/>
      <c r="V49" s="19"/>
      <c r="W49" s="2"/>
      <c r="X49" s="2">
        <f t="shared" si="2"/>
        <v>-22079.489999999998</v>
      </c>
      <c r="Y49" s="2"/>
      <c r="Z49" s="19">
        <f t="shared" si="3"/>
        <v>-0.32248433767811169</v>
      </c>
    </row>
    <row r="50" spans="1:26" s="24" customFormat="1" hidden="1" outlineLevel="1" x14ac:dyDescent="0.25">
      <c r="A50" s="44"/>
      <c r="B50" s="11" t="str">
        <f>CONCATENATE("          ", "4103", " - ", "NON-TAXABLE SALES-RENTAL TEXT")</f>
        <v xml:space="preserve">          4103 - NON-TAXABLE SALES-RENTAL TEXT</v>
      </c>
      <c r="C50" s="11"/>
      <c r="D50" s="2">
        <f>0</f>
        <v>0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--1138.95</f>
        <v>1138.95</v>
      </c>
      <c r="Q50" s="2"/>
      <c r="R50" s="19"/>
      <c r="S50" s="2"/>
      <c r="T50" s="2">
        <f>--664.97</f>
        <v>664.97</v>
      </c>
      <c r="U50" s="2"/>
      <c r="V50" s="19"/>
      <c r="W50" s="2"/>
      <c r="X50" s="2">
        <f t="shared" si="2"/>
        <v>473.98</v>
      </c>
      <c r="Y50" s="2"/>
      <c r="Z50" s="19">
        <f t="shared" si="3"/>
        <v>0.71278403537001667</v>
      </c>
    </row>
    <row r="51" spans="1:26" s="24" customFormat="1" hidden="1" outlineLevel="1" x14ac:dyDescent="0.25">
      <c r="A51" s="44"/>
      <c r="B51" s="11" t="str">
        <f>CONCATENATE("          ", "4104", " - ", "NON-TAXABLE SALES-DIGITAL TEXT")</f>
        <v xml:space="preserve">          4104 - NON-TAXABLE SALES-DIGITAL TEXT</v>
      </c>
      <c r="C51" s="11"/>
      <c r="D51" s="2">
        <f>--17705.92</f>
        <v>17705.919999999998</v>
      </c>
      <c r="E51" s="2"/>
      <c r="F51" s="19"/>
      <c r="G51" s="2"/>
      <c r="H51" s="2">
        <f>--21322.38</f>
        <v>21322.38</v>
      </c>
      <c r="I51" s="2"/>
      <c r="J51" s="19"/>
      <c r="K51" s="2"/>
      <c r="L51" s="2">
        <f t="shared" si="0"/>
        <v>-3616.4600000000028</v>
      </c>
      <c r="M51" s="2"/>
      <c r="N51" s="19">
        <f t="shared" si="1"/>
        <v>-0.16960864593914951</v>
      </c>
      <c r="O51" s="11"/>
      <c r="P51" s="2">
        <f>--475874.05</f>
        <v>475874.05</v>
      </c>
      <c r="Q51" s="2"/>
      <c r="R51" s="19"/>
      <c r="S51" s="2"/>
      <c r="T51" s="2">
        <f>--523390.34</f>
        <v>523390.34</v>
      </c>
      <c r="U51" s="2"/>
      <c r="V51" s="19"/>
      <c r="W51" s="2"/>
      <c r="X51" s="2">
        <f t="shared" si="2"/>
        <v>-47516.290000000037</v>
      </c>
      <c r="Y51" s="2"/>
      <c r="Z51" s="19">
        <f t="shared" si="3"/>
        <v>-9.0785569332441321E-2</v>
      </c>
    </row>
    <row r="52" spans="1:26" s="24" customFormat="1" hidden="1" outlineLevel="1" x14ac:dyDescent="0.25">
      <c r="A52" s="44"/>
      <c r="B52" s="11" t="str">
        <f>CONCATENATE("          ", "4111", " - ", "NON-TAXABLE SALES-NO VALUE TEX")</f>
        <v xml:space="preserve">          4111 - NON-TAXABLE SALES-NO VALUE TEX</v>
      </c>
      <c r="C52" s="11"/>
      <c r="D52" s="2">
        <f>0</f>
        <v>0</v>
      </c>
      <c r="E52" s="2"/>
      <c r="F52" s="19"/>
      <c r="G52" s="2"/>
      <c r="H52" s="2">
        <f>--1651.49</f>
        <v>1651.49</v>
      </c>
      <c r="I52" s="2"/>
      <c r="J52" s="19"/>
      <c r="K52" s="2"/>
      <c r="L52" s="2">
        <f t="shared" si="0"/>
        <v>-1651.49</v>
      </c>
      <c r="M52" s="2"/>
      <c r="N52" s="19">
        <f t="shared" si="1"/>
        <v>-1</v>
      </c>
      <c r="O52" s="11"/>
      <c r="P52" s="2">
        <f>0</f>
        <v>0</v>
      </c>
      <c r="Q52" s="2"/>
      <c r="R52" s="19"/>
      <c r="S52" s="2"/>
      <c r="T52" s="2">
        <f>--14359.99</f>
        <v>14359.99</v>
      </c>
      <c r="U52" s="2"/>
      <c r="V52" s="19"/>
      <c r="W52" s="2"/>
      <c r="X52" s="2">
        <f t="shared" si="2"/>
        <v>-14359.99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"4113", " - ", "NON-TAXABLE SALES-TRADE BOOKS")</f>
        <v xml:space="preserve">          4113 - NON-TAXABLE SALES-TRADE BOOKS</v>
      </c>
      <c r="C53" s="11"/>
      <c r="D53" s="2">
        <f>--3150</f>
        <v>3150</v>
      </c>
      <c r="E53" s="2"/>
      <c r="F53" s="19"/>
      <c r="G53" s="2"/>
      <c r="H53" s="2">
        <f>--2215.2</f>
        <v>2215.1999999999998</v>
      </c>
      <c r="I53" s="2"/>
      <c r="J53" s="19"/>
      <c r="K53" s="2"/>
      <c r="L53" s="2">
        <f t="shared" si="0"/>
        <v>934.80000000000018</v>
      </c>
      <c r="M53" s="2"/>
      <c r="N53" s="19">
        <f t="shared" si="1"/>
        <v>0.42199349945828829</v>
      </c>
      <c r="O53" s="11"/>
      <c r="P53" s="2">
        <f>--10139.25</f>
        <v>10139.25</v>
      </c>
      <c r="Q53" s="2"/>
      <c r="R53" s="19"/>
      <c r="S53" s="2"/>
      <c r="T53" s="2">
        <f>--3361.92</f>
        <v>3361.92</v>
      </c>
      <c r="U53" s="2"/>
      <c r="V53" s="19"/>
      <c r="W53" s="2"/>
      <c r="X53" s="2">
        <f t="shared" si="2"/>
        <v>6777.33</v>
      </c>
      <c r="Y53" s="2"/>
      <c r="Z53" s="19">
        <f t="shared" si="3"/>
        <v>2.0159105511136493</v>
      </c>
    </row>
    <row r="54" spans="1:26" s="24" customFormat="1" hidden="1" outlineLevel="1" x14ac:dyDescent="0.25">
      <c r="A54" s="44"/>
      <c r="B54" s="11" t="str">
        <f>CONCATENATE("          ", "4118", " - ", "NON-TAXABLE SALES-STUDY GUIDES")</f>
        <v xml:space="preserve">          4118 - NON-TAXABLE SALES-STUDY GUIDES</v>
      </c>
      <c r="C54" s="11"/>
      <c r="D54" s="2">
        <f t="shared" ref="D54:D56" si="13">0</f>
        <v>0</v>
      </c>
      <c r="E54" s="2"/>
      <c r="F54" s="19"/>
      <c r="G54" s="2"/>
      <c r="H54" s="2">
        <f>--19.99</f>
        <v>19.989999999999998</v>
      </c>
      <c r="I54" s="2"/>
      <c r="J54" s="19"/>
      <c r="K54" s="2"/>
      <c r="L54" s="2">
        <f t="shared" si="0"/>
        <v>-19.989999999999998</v>
      </c>
      <c r="M54" s="2"/>
      <c r="N54" s="19">
        <f t="shared" si="1"/>
        <v>-1</v>
      </c>
      <c r="O54" s="11"/>
      <c r="P54" s="2">
        <f>--771.73</f>
        <v>771.73</v>
      </c>
      <c r="Q54" s="2"/>
      <c r="R54" s="19"/>
      <c r="S54" s="2"/>
      <c r="T54" s="2">
        <f>--61.9</f>
        <v>61.9</v>
      </c>
      <c r="U54" s="2"/>
      <c r="V54" s="19"/>
      <c r="W54" s="2"/>
      <c r="X54" s="2">
        <f t="shared" si="2"/>
        <v>709.83</v>
      </c>
      <c r="Y54" s="2"/>
      <c r="Z54" s="19">
        <f t="shared" si="3"/>
        <v>11.467366720516964</v>
      </c>
    </row>
    <row r="55" spans="1:26" s="24" customFormat="1" hidden="1" outlineLevel="1" x14ac:dyDescent="0.25">
      <c r="A55" s="44"/>
      <c r="B55" s="11" t="str">
        <f>CONCATENATE("          ", "4125", " - ", "NON-TAXABLE SALES-TEST FORMS")</f>
        <v xml:space="preserve">          4125 - NON-TAXABLE SALES-TEST FORMS</v>
      </c>
      <c r="C55" s="11"/>
      <c r="D55" s="2">
        <f t="shared" si="13"/>
        <v>0</v>
      </c>
      <c r="E55" s="2"/>
      <c r="F55" s="19"/>
      <c r="G55" s="2"/>
      <c r="H55" s="2">
        <f>--40.39</f>
        <v>40.39</v>
      </c>
      <c r="I55" s="2"/>
      <c r="J55" s="19"/>
      <c r="K55" s="2"/>
      <c r="L55" s="2">
        <f t="shared" si="0"/>
        <v>-40.39</v>
      </c>
      <c r="M55" s="2"/>
      <c r="N55" s="19">
        <f t="shared" si="1"/>
        <v>-1</v>
      </c>
      <c r="O55" s="11"/>
      <c r="P55" s="2">
        <f>0</f>
        <v>0</v>
      </c>
      <c r="Q55" s="2"/>
      <c r="R55" s="19"/>
      <c r="S55" s="2"/>
      <c r="T55" s="2">
        <f>--263.07</f>
        <v>263.07</v>
      </c>
      <c r="U55" s="2"/>
      <c r="V55" s="19"/>
      <c r="W55" s="2"/>
      <c r="X55" s="2">
        <f t="shared" si="2"/>
        <v>-263.07</v>
      </c>
      <c r="Y55" s="2"/>
      <c r="Z55" s="19">
        <f t="shared" si="3"/>
        <v>-1</v>
      </c>
    </row>
    <row r="56" spans="1:26" s="24" customFormat="1" hidden="1" outlineLevel="1" x14ac:dyDescent="0.25">
      <c r="A56" s="44"/>
      <c r="B56" s="11" t="str">
        <f>CONCATENATE("          ", "4126", " - ", "NON-TAXABLE SALES-WRITING INST")</f>
        <v xml:space="preserve">          4126 - NON-TAXABLE SALES-WRITING INST</v>
      </c>
      <c r="C56" s="11"/>
      <c r="D56" s="2">
        <f t="shared" si="13"/>
        <v>0</v>
      </c>
      <c r="E56" s="2"/>
      <c r="F56" s="19"/>
      <c r="G56" s="2"/>
      <c r="H56" s="2">
        <f>--349.94</f>
        <v>349.94</v>
      </c>
      <c r="I56" s="2"/>
      <c r="J56" s="19"/>
      <c r="K56" s="2"/>
      <c r="L56" s="2">
        <f t="shared" si="0"/>
        <v>-349.94</v>
      </c>
      <c r="M56" s="2"/>
      <c r="N56" s="19">
        <f t="shared" si="1"/>
        <v>-1</v>
      </c>
      <c r="O56" s="11"/>
      <c r="P56" s="2">
        <f>--52.68</f>
        <v>52.68</v>
      </c>
      <c r="Q56" s="2"/>
      <c r="R56" s="19"/>
      <c r="S56" s="2"/>
      <c r="T56" s="2">
        <f>--2906.58</f>
        <v>2906.58</v>
      </c>
      <c r="U56" s="2"/>
      <c r="V56" s="19"/>
      <c r="W56" s="2"/>
      <c r="X56" s="2">
        <f t="shared" si="2"/>
        <v>-2853.9</v>
      </c>
      <c r="Y56" s="2"/>
      <c r="Z56" s="19">
        <f t="shared" si="3"/>
        <v>-0.98187560638275917</v>
      </c>
    </row>
    <row r="57" spans="1:26" s="24" customFormat="1" hidden="1" outlineLevel="1" x14ac:dyDescent="0.25">
      <c r="A57" s="44"/>
      <c r="B57" s="11" t="str">
        <f>CONCATENATE("          ", "4127", " - ", "NON-TAXABLE SALES-SCHOOL SUPPL")</f>
        <v xml:space="preserve">          4127 - NON-TAXABLE SALES-SCHOOL SUPPL</v>
      </c>
      <c r="C57" s="11"/>
      <c r="D57" s="2">
        <f>--472.19</f>
        <v>472.19</v>
      </c>
      <c r="E57" s="2"/>
      <c r="F57" s="19"/>
      <c r="G57" s="2"/>
      <c r="H57" s="2">
        <f>--527.81</f>
        <v>527.80999999999995</v>
      </c>
      <c r="I57" s="2"/>
      <c r="J57" s="19"/>
      <c r="K57" s="2"/>
      <c r="L57" s="2">
        <f t="shared" si="0"/>
        <v>-55.619999999999948</v>
      </c>
      <c r="M57" s="2"/>
      <c r="N57" s="19">
        <f t="shared" si="1"/>
        <v>-0.10537882950304078</v>
      </c>
      <c r="O57" s="11"/>
      <c r="P57" s="2">
        <f>--6217.36</f>
        <v>6217.36</v>
      </c>
      <c r="Q57" s="2"/>
      <c r="R57" s="19"/>
      <c r="S57" s="2"/>
      <c r="T57" s="2">
        <f>--4662.41</f>
        <v>4662.41</v>
      </c>
      <c r="U57" s="2"/>
      <c r="V57" s="19"/>
      <c r="W57" s="2"/>
      <c r="X57" s="2">
        <f t="shared" si="2"/>
        <v>1554.9499999999998</v>
      </c>
      <c r="Y57" s="2"/>
      <c r="Z57" s="19">
        <f t="shared" si="3"/>
        <v>0.33350777816622729</v>
      </c>
    </row>
    <row r="58" spans="1:26" s="24" customFormat="1" hidden="1" outlineLevel="1" x14ac:dyDescent="0.25">
      <c r="A58" s="44"/>
      <c r="B58" s="11" t="str">
        <f>CONCATENATE("          ", "4128", " - ", "NON-TAXABLE SALES-ART/TECH")</f>
        <v xml:space="preserve">          4128 - NON-TAXABLE SALES-ART/TECH</v>
      </c>
      <c r="C58" s="11"/>
      <c r="D58" s="2">
        <f>--9.08</f>
        <v>9.08</v>
      </c>
      <c r="E58" s="2"/>
      <c r="F58" s="19"/>
      <c r="G58" s="2"/>
      <c r="H58" s="2">
        <f>--147.48</f>
        <v>147.47999999999999</v>
      </c>
      <c r="I58" s="2"/>
      <c r="J58" s="19"/>
      <c r="K58" s="2"/>
      <c r="L58" s="2">
        <f t="shared" si="0"/>
        <v>-138.39999999999998</v>
      </c>
      <c r="M58" s="2"/>
      <c r="N58" s="19">
        <f t="shared" si="1"/>
        <v>-0.93843232980743141</v>
      </c>
      <c r="O58" s="11"/>
      <c r="P58" s="2">
        <f>--38.58</f>
        <v>38.58</v>
      </c>
      <c r="Q58" s="2"/>
      <c r="R58" s="19"/>
      <c r="S58" s="2"/>
      <c r="T58" s="2">
        <f>--678.5</f>
        <v>678.5</v>
      </c>
      <c r="U58" s="2"/>
      <c r="V58" s="19"/>
      <c r="W58" s="2"/>
      <c r="X58" s="2">
        <f t="shared" si="2"/>
        <v>-639.91999999999996</v>
      </c>
      <c r="Y58" s="2"/>
      <c r="Z58" s="19">
        <f t="shared" si="3"/>
        <v>-0.94313927781871765</v>
      </c>
    </row>
    <row r="59" spans="1:26" s="24" customFormat="1" hidden="1" outlineLevel="1" x14ac:dyDescent="0.25">
      <c r="A59" s="44"/>
      <c r="B59" s="11" t="str">
        <f>CONCATENATE("          ", "4131", " - ", "NON-TAXABLE SALES-FOOD")</f>
        <v xml:space="preserve">          4131 - NON-TAXABLE SALES-FOOD</v>
      </c>
      <c r="C59" s="11"/>
      <c r="D59" s="2">
        <f>--934.88</f>
        <v>934.88</v>
      </c>
      <c r="E59" s="2"/>
      <c r="F59" s="19"/>
      <c r="G59" s="2"/>
      <c r="H59" s="2">
        <f>--10371.21</f>
        <v>10371.209999999999</v>
      </c>
      <c r="I59" s="2"/>
      <c r="J59" s="19"/>
      <c r="K59" s="2"/>
      <c r="L59" s="2">
        <f t="shared" si="0"/>
        <v>-9436.33</v>
      </c>
      <c r="M59" s="2"/>
      <c r="N59" s="19">
        <f t="shared" si="1"/>
        <v>-0.90985815541291715</v>
      </c>
      <c r="O59" s="11"/>
      <c r="P59" s="2">
        <f>--9575.15</f>
        <v>9575.15</v>
      </c>
      <c r="Q59" s="2"/>
      <c r="R59" s="19"/>
      <c r="S59" s="2"/>
      <c r="T59" s="2">
        <f>--53401.55</f>
        <v>53401.55</v>
      </c>
      <c r="U59" s="2"/>
      <c r="V59" s="19"/>
      <c r="W59" s="2"/>
      <c r="X59" s="2">
        <f t="shared" si="2"/>
        <v>-43826.400000000001</v>
      </c>
      <c r="Y59" s="2"/>
      <c r="Z59" s="19">
        <f t="shared" si="3"/>
        <v>-0.82069527944413601</v>
      </c>
    </row>
    <row r="60" spans="1:26" s="24" customFormat="1" hidden="1" outlineLevel="1" x14ac:dyDescent="0.25">
      <c r="A60" s="44"/>
      <c r="B60" s="11" t="str">
        <f>CONCATENATE("          ", "4132", " - ", "NON-TAXABLE SALES-JUICE")</f>
        <v xml:space="preserve">          4132 - NON-TAXABLE SALES-JUICE</v>
      </c>
      <c r="C60" s="11"/>
      <c r="D60" s="2">
        <f t="shared" ref="D60:D64" si="14">0</f>
        <v>0</v>
      </c>
      <c r="E60" s="2"/>
      <c r="F60" s="19"/>
      <c r="G60" s="2"/>
      <c r="H60" s="2">
        <f>--2501.74</f>
        <v>2501.7399999999998</v>
      </c>
      <c r="I60" s="2"/>
      <c r="J60" s="19"/>
      <c r="K60" s="2"/>
      <c r="L60" s="2">
        <f t="shared" si="0"/>
        <v>-2501.7399999999998</v>
      </c>
      <c r="M60" s="2"/>
      <c r="N60" s="19">
        <f t="shared" si="1"/>
        <v>-1</v>
      </c>
      <c r="O60" s="11"/>
      <c r="P60" s="2">
        <f>--22.49</f>
        <v>22.49</v>
      </c>
      <c r="Q60" s="2"/>
      <c r="R60" s="19"/>
      <c r="S60" s="2"/>
      <c r="T60" s="2">
        <f>--15049.17</f>
        <v>15049.17</v>
      </c>
      <c r="U60" s="2"/>
      <c r="V60" s="19"/>
      <c r="W60" s="2"/>
      <c r="X60" s="2">
        <f t="shared" si="2"/>
        <v>-15026.68</v>
      </c>
      <c r="Y60" s="2"/>
      <c r="Z60" s="19">
        <f t="shared" si="3"/>
        <v>-0.99850556542320945</v>
      </c>
    </row>
    <row r="61" spans="1:26" s="24" customFormat="1" hidden="1" outlineLevel="1" x14ac:dyDescent="0.25">
      <c r="A61" s="44"/>
      <c r="B61" s="11" t="str">
        <f>CONCATENATE("          ", "4133", " - ", "NON-TAXABLE SALES-CANDY")</f>
        <v xml:space="preserve">          4133 - NON-TAXABLE SALES-CANDY</v>
      </c>
      <c r="C61" s="11"/>
      <c r="D61" s="2">
        <f t="shared" si="14"/>
        <v>0</v>
      </c>
      <c r="E61" s="2"/>
      <c r="F61" s="19"/>
      <c r="G61" s="2"/>
      <c r="H61" s="2">
        <f>--3264.8</f>
        <v>3264.8</v>
      </c>
      <c r="I61" s="2"/>
      <c r="J61" s="19"/>
      <c r="K61" s="2"/>
      <c r="L61" s="2">
        <f t="shared" si="0"/>
        <v>-3264.8</v>
      </c>
      <c r="M61" s="2"/>
      <c r="N61" s="19">
        <f t="shared" si="1"/>
        <v>-1</v>
      </c>
      <c r="O61" s="11"/>
      <c r="P61" s="2">
        <f>--80.71</f>
        <v>80.709999999999994</v>
      </c>
      <c r="Q61" s="2"/>
      <c r="R61" s="19"/>
      <c r="S61" s="2"/>
      <c r="T61" s="2">
        <f>--16822.98</f>
        <v>16822.98</v>
      </c>
      <c r="U61" s="2"/>
      <c r="V61" s="19"/>
      <c r="W61" s="2"/>
      <c r="X61" s="2">
        <f t="shared" si="2"/>
        <v>-16742.27</v>
      </c>
      <c r="Y61" s="2"/>
      <c r="Z61" s="19">
        <f t="shared" si="3"/>
        <v>-0.99520239577054725</v>
      </c>
    </row>
    <row r="62" spans="1:26" s="24" customFormat="1" hidden="1" outlineLevel="1" x14ac:dyDescent="0.25">
      <c r="A62" s="44"/>
      <c r="B62" s="11" t="str">
        <f>CONCATENATE("          ", "4134", " - ", "NON-TAXABLE SALES-SODA")</f>
        <v xml:space="preserve">          4134 - NON-TAXABLE SALES-SODA</v>
      </c>
      <c r="C62" s="11"/>
      <c r="D62" s="2">
        <f t="shared" si="14"/>
        <v>0</v>
      </c>
      <c r="E62" s="2"/>
      <c r="F62" s="19"/>
      <c r="G62" s="2"/>
      <c r="H62" s="2">
        <f>--1.89</f>
        <v>1.89</v>
      </c>
      <c r="I62" s="2"/>
      <c r="J62" s="19"/>
      <c r="K62" s="2"/>
      <c r="L62" s="2">
        <f t="shared" si="0"/>
        <v>-1.89</v>
      </c>
      <c r="M62" s="2"/>
      <c r="N62" s="19">
        <f t="shared" si="1"/>
        <v>-1</v>
      </c>
      <c r="O62" s="11"/>
      <c r="P62" s="2">
        <f>--45.53</f>
        <v>45.53</v>
      </c>
      <c r="Q62" s="2"/>
      <c r="R62" s="19"/>
      <c r="S62" s="2"/>
      <c r="T62" s="2">
        <f>--1.89</f>
        <v>1.89</v>
      </c>
      <c r="U62" s="2"/>
      <c r="V62" s="19"/>
      <c r="W62" s="2"/>
      <c r="X62" s="2">
        <f t="shared" si="2"/>
        <v>43.64</v>
      </c>
      <c r="Y62" s="2"/>
      <c r="Z62" s="19">
        <f t="shared" si="3"/>
        <v>23.089947089947092</v>
      </c>
    </row>
    <row r="63" spans="1:26" s="24" customFormat="1" hidden="1" outlineLevel="1" x14ac:dyDescent="0.25">
      <c r="A63" s="44"/>
      <c r="B63" s="11" t="str">
        <f>CONCATENATE("          ", "4135", " - ", "NON-TAXABLE SALES")</f>
        <v xml:space="preserve">          4135 - NON-TAXABLE SALES</v>
      </c>
      <c r="C63" s="11"/>
      <c r="D63" s="2">
        <f t="shared" si="14"/>
        <v>0</v>
      </c>
      <c r="E63" s="2"/>
      <c r="F63" s="19"/>
      <c r="G63" s="2"/>
      <c r="H63" s="2">
        <f>--21.54</f>
        <v>21.54</v>
      </c>
      <c r="I63" s="2"/>
      <c r="J63" s="19"/>
      <c r="K63" s="2"/>
      <c r="L63" s="2">
        <f t="shared" si="0"/>
        <v>-21.54</v>
      </c>
      <c r="M63" s="2"/>
      <c r="N63" s="19">
        <f t="shared" si="1"/>
        <v>-1</v>
      </c>
      <c r="O63" s="11"/>
      <c r="P63" s="2">
        <f>0</f>
        <v>0</v>
      </c>
      <c r="Q63" s="2"/>
      <c r="R63" s="19"/>
      <c r="S63" s="2"/>
      <c r="T63" s="2">
        <f>--161.4</f>
        <v>161.4</v>
      </c>
      <c r="U63" s="2"/>
      <c r="V63" s="19"/>
      <c r="W63" s="2"/>
      <c r="X63" s="2">
        <f t="shared" si="2"/>
        <v>-161.4</v>
      </c>
      <c r="Y63" s="2"/>
      <c r="Z63" s="19">
        <f t="shared" si="3"/>
        <v>-1</v>
      </c>
    </row>
    <row r="64" spans="1:26" s="24" customFormat="1" hidden="1" outlineLevel="1" x14ac:dyDescent="0.25">
      <c r="A64" s="44"/>
      <c r="B64" s="11" t="str">
        <f>CONCATENATE("          ", "4137", " - ", "NON-TAXABLE SALES-WATER")</f>
        <v xml:space="preserve">          4137 - NON-TAXABLE SALES-WATER</v>
      </c>
      <c r="C64" s="11"/>
      <c r="D64" s="2">
        <f t="shared" si="14"/>
        <v>0</v>
      </c>
      <c r="E64" s="2"/>
      <c r="F64" s="19"/>
      <c r="G64" s="2"/>
      <c r="H64" s="2">
        <f>--1339.6</f>
        <v>1339.6</v>
      </c>
      <c r="I64" s="2"/>
      <c r="J64" s="19"/>
      <c r="K64" s="2"/>
      <c r="L64" s="2">
        <f t="shared" si="0"/>
        <v>-1339.6</v>
      </c>
      <c r="M64" s="2"/>
      <c r="N64" s="19">
        <f t="shared" si="1"/>
        <v>-1</v>
      </c>
      <c r="O64" s="11"/>
      <c r="P64" s="2">
        <f>--68.25</f>
        <v>68.25</v>
      </c>
      <c r="Q64" s="2"/>
      <c r="R64" s="19"/>
      <c r="S64" s="2"/>
      <c r="T64" s="2">
        <f>--7888.56</f>
        <v>7888.56</v>
      </c>
      <c r="U64" s="2"/>
      <c r="V64" s="19"/>
      <c r="W64" s="2"/>
      <c r="X64" s="2">
        <f t="shared" si="2"/>
        <v>-7820.31</v>
      </c>
      <c r="Y64" s="2"/>
      <c r="Z64" s="19">
        <f t="shared" si="3"/>
        <v>-0.99134823085582158</v>
      </c>
    </row>
    <row r="65" spans="1:26" s="24" customFormat="1" hidden="1" outlineLevel="1" x14ac:dyDescent="0.25">
      <c r="A65" s="44"/>
      <c r="B65" s="11" t="str">
        <f>CONCATENATE("          ", "4140", " - ", "NON-TAXABLE SALES-LOGO CLOTHIN")</f>
        <v xml:space="preserve">          4140 - NON-TAXABLE SALES-LOGO CLOTHIN</v>
      </c>
      <c r="C65" s="11"/>
      <c r="D65" s="2">
        <f>--1947.86</f>
        <v>1947.86</v>
      </c>
      <c r="E65" s="2"/>
      <c r="F65" s="19"/>
      <c r="G65" s="2"/>
      <c r="H65" s="2">
        <f>0</f>
        <v>0</v>
      </c>
      <c r="I65" s="2"/>
      <c r="J65" s="19"/>
      <c r="K65" s="2"/>
      <c r="L65" s="2">
        <f t="shared" si="0"/>
        <v>1947.86</v>
      </c>
      <c r="M65" s="2"/>
      <c r="N65" s="19">
        <f t="shared" si="1"/>
        <v>0</v>
      </c>
      <c r="O65" s="11"/>
      <c r="P65" s="2">
        <f>--115125.28</f>
        <v>115125.28</v>
      </c>
      <c r="Q65" s="2"/>
      <c r="R65" s="19"/>
      <c r="S65" s="2"/>
      <c r="T65" s="2">
        <f>--42582.67</f>
        <v>42582.67</v>
      </c>
      <c r="U65" s="2"/>
      <c r="V65" s="19"/>
      <c r="W65" s="2"/>
      <c r="X65" s="2">
        <f t="shared" si="2"/>
        <v>72542.61</v>
      </c>
      <c r="Y65" s="2"/>
      <c r="Z65" s="19">
        <f t="shared" si="3"/>
        <v>1.7035711945728158</v>
      </c>
    </row>
    <row r="66" spans="1:26" s="24" customFormat="1" hidden="1" outlineLevel="1" x14ac:dyDescent="0.25">
      <c r="A66" s="44"/>
      <c r="B66" s="11" t="str">
        <f>CONCATENATE("          ", "4141", " - ", "NON-TAXABLE SALES-LOGO GIFTS")</f>
        <v xml:space="preserve">          4141 - NON-TAXABLE SALES-LOGO GIFTS</v>
      </c>
      <c r="C66" s="11"/>
      <c r="D66" s="2">
        <f>--671.25</f>
        <v>671.25</v>
      </c>
      <c r="E66" s="2"/>
      <c r="F66" s="19"/>
      <c r="G66" s="2"/>
      <c r="H66" s="2">
        <f>--6423.17</f>
        <v>6423.17</v>
      </c>
      <c r="I66" s="2"/>
      <c r="J66" s="19"/>
      <c r="K66" s="2"/>
      <c r="L66" s="2">
        <f t="shared" si="0"/>
        <v>-5751.92</v>
      </c>
      <c r="M66" s="2"/>
      <c r="N66" s="19">
        <f t="shared" si="1"/>
        <v>-0.89549552635225282</v>
      </c>
      <c r="O66" s="11"/>
      <c r="P66" s="2">
        <f>--8513.02</f>
        <v>8513.02</v>
      </c>
      <c r="Q66" s="2"/>
      <c r="R66" s="19"/>
      <c r="S66" s="2"/>
      <c r="T66" s="2">
        <f>--10672.17</f>
        <v>10672.17</v>
      </c>
      <c r="U66" s="2"/>
      <c r="V66" s="19"/>
      <c r="W66" s="2"/>
      <c r="X66" s="2">
        <f t="shared" si="2"/>
        <v>-2159.1499999999996</v>
      </c>
      <c r="Y66" s="2"/>
      <c r="Z66" s="19">
        <f t="shared" si="3"/>
        <v>-0.2023159301248012</v>
      </c>
    </row>
    <row r="67" spans="1:26" s="24" customFormat="1" hidden="1" outlineLevel="1" x14ac:dyDescent="0.25">
      <c r="A67" s="44"/>
      <c r="B67" s="11" t="str">
        <f>CONCATENATE("          ", "4142", " - ", "NON-TAXABLE SALES-EVERYDAY GIF")</f>
        <v xml:space="preserve">          4142 - NON-TAXABLE SALES-EVERYDAY GIF</v>
      </c>
      <c r="C67" s="11"/>
      <c r="D67" s="2">
        <f>--4.58</f>
        <v>4.58</v>
      </c>
      <c r="E67" s="2"/>
      <c r="F67" s="19"/>
      <c r="G67" s="2"/>
      <c r="H67" s="2">
        <f>--1257.56</f>
        <v>1257.56</v>
      </c>
      <c r="I67" s="2"/>
      <c r="J67" s="19"/>
      <c r="K67" s="2"/>
      <c r="L67" s="2">
        <f t="shared" si="0"/>
        <v>-1252.98</v>
      </c>
      <c r="M67" s="2"/>
      <c r="N67" s="19">
        <f t="shared" si="1"/>
        <v>-0.9963580266547919</v>
      </c>
      <c r="O67" s="11"/>
      <c r="P67" s="2">
        <f>--2264.47</f>
        <v>2264.4699999999998</v>
      </c>
      <c r="Q67" s="2"/>
      <c r="R67" s="19"/>
      <c r="S67" s="2"/>
      <c r="T67" s="2">
        <f>--13692.85</f>
        <v>13692.85</v>
      </c>
      <c r="U67" s="2"/>
      <c r="V67" s="19"/>
      <c r="W67" s="2"/>
      <c r="X67" s="2">
        <f t="shared" si="2"/>
        <v>-11428.380000000001</v>
      </c>
      <c r="Y67" s="2"/>
      <c r="Z67" s="19">
        <f t="shared" si="3"/>
        <v>-0.8346239095586383</v>
      </c>
    </row>
    <row r="68" spans="1:26" s="24" customFormat="1" hidden="1" outlineLevel="1" x14ac:dyDescent="0.25">
      <c r="A68" s="44"/>
      <c r="B68" s="11" t="str">
        <f>CONCATENATE("          ", "4143", " - ", "NON-TAXABLE SALES-CARDS")</f>
        <v xml:space="preserve">          4143 - NON-TAXABLE SALES-CARDS</v>
      </c>
      <c r="C68" s="11"/>
      <c r="D68" s="2">
        <f>--149.92</f>
        <v>149.91999999999999</v>
      </c>
      <c r="E68" s="2"/>
      <c r="F68" s="19"/>
      <c r="G68" s="2"/>
      <c r="H68" s="2">
        <f>--9.99</f>
        <v>9.99</v>
      </c>
      <c r="I68" s="2"/>
      <c r="J68" s="19"/>
      <c r="K68" s="2"/>
      <c r="L68" s="2">
        <f t="shared" si="0"/>
        <v>139.92999999999998</v>
      </c>
      <c r="M68" s="2"/>
      <c r="N68" s="19">
        <f t="shared" si="1"/>
        <v>14.007007007007005</v>
      </c>
      <c r="O68" s="11"/>
      <c r="P68" s="2">
        <f>--2119.66</f>
        <v>2119.66</v>
      </c>
      <c r="Q68" s="2"/>
      <c r="R68" s="19"/>
      <c r="S68" s="2"/>
      <c r="T68" s="2">
        <f>--9.99</f>
        <v>9.99</v>
      </c>
      <c r="U68" s="2"/>
      <c r="V68" s="19"/>
      <c r="W68" s="2"/>
      <c r="X68" s="2">
        <f t="shared" si="2"/>
        <v>2109.67</v>
      </c>
      <c r="Y68" s="2"/>
      <c r="Z68" s="19">
        <f t="shared" si="3"/>
        <v>211.17817817817817</v>
      </c>
    </row>
    <row r="69" spans="1:26" s="24" customFormat="1" hidden="1" outlineLevel="1" x14ac:dyDescent="0.25">
      <c r="A69" s="44"/>
      <c r="B69" s="11" t="str">
        <f>CONCATENATE("          ", "4144", " - ", "NON-TAXABLE SALES-ACCESSORIES")</f>
        <v xml:space="preserve">          4144 - NON-TAXABLE SALES-ACCESSORIES</v>
      </c>
      <c r="C69" s="11"/>
      <c r="D69" s="2">
        <f>--39.95</f>
        <v>39.950000000000003</v>
      </c>
      <c r="E69" s="2"/>
      <c r="F69" s="19"/>
      <c r="G69" s="2"/>
      <c r="H69" s="2">
        <f>--922.94</f>
        <v>922.94</v>
      </c>
      <c r="I69" s="2"/>
      <c r="J69" s="19"/>
      <c r="K69" s="2"/>
      <c r="L69" s="2">
        <f t="shared" si="0"/>
        <v>-882.99</v>
      </c>
      <c r="M69" s="2"/>
      <c r="N69" s="19">
        <f t="shared" si="1"/>
        <v>-0.9567144126378746</v>
      </c>
      <c r="O69" s="11"/>
      <c r="P69" s="2">
        <f>--649.35</f>
        <v>649.35</v>
      </c>
      <c r="Q69" s="2"/>
      <c r="R69" s="19"/>
      <c r="S69" s="2"/>
      <c r="T69" s="2">
        <f>--1890.27</f>
        <v>1890.27</v>
      </c>
      <c r="U69" s="2"/>
      <c r="V69" s="19"/>
      <c r="W69" s="2"/>
      <c r="X69" s="2">
        <f t="shared" si="2"/>
        <v>-1240.92</v>
      </c>
      <c r="Y69" s="2"/>
      <c r="Z69" s="19">
        <f t="shared" si="3"/>
        <v>-0.65647764605056425</v>
      </c>
    </row>
    <row r="70" spans="1:26" s="24" customFormat="1" hidden="1" outlineLevel="1" x14ac:dyDescent="0.25">
      <c r="A70" s="44"/>
      <c r="B70" s="11" t="str">
        <f>CONCATENATE("          ", "4145", " - ", "NON-TAXABLE SALES-SPECIAL ORDE")</f>
        <v xml:space="preserve">          4145 - NON-TAXABLE SALES-SPECIAL ORDE</v>
      </c>
      <c r="C70" s="11"/>
      <c r="D70" s="2">
        <f>0</f>
        <v>0</v>
      </c>
      <c r="E70" s="2"/>
      <c r="F70" s="19"/>
      <c r="G70" s="2"/>
      <c r="H70" s="2">
        <f>0</f>
        <v>0</v>
      </c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>--53716.09</f>
        <v>53716.09</v>
      </c>
      <c r="Q70" s="2"/>
      <c r="R70" s="19"/>
      <c r="S70" s="2"/>
      <c r="T70" s="2">
        <f>--140</f>
        <v>140</v>
      </c>
      <c r="U70" s="2"/>
      <c r="V70" s="19"/>
      <c r="W70" s="2"/>
      <c r="X70" s="2">
        <f t="shared" si="2"/>
        <v>53576.09</v>
      </c>
      <c r="Y70" s="2"/>
      <c r="Z70" s="19">
        <f t="shared" si="3"/>
        <v>382.6863571428571</v>
      </c>
    </row>
    <row r="71" spans="1:26" s="24" customFormat="1" hidden="1" outlineLevel="1" x14ac:dyDescent="0.25">
      <c r="A71" s="44"/>
      <c r="B71" s="11" t="str">
        <f>CONCATENATE("          ", "4146", " - ", "NON-TAXABLE SALES-COIN OP MACH")</f>
        <v xml:space="preserve">          4146 - NON-TAXABLE SALES-COIN OP MACH</v>
      </c>
      <c r="C71" s="11"/>
      <c r="D71" s="2">
        <f>--67.8</f>
        <v>67.8</v>
      </c>
      <c r="E71" s="2"/>
      <c r="F71" s="19"/>
      <c r="G71" s="2"/>
      <c r="H71" s="2">
        <f>--28849.25</f>
        <v>28849.25</v>
      </c>
      <c r="I71" s="2"/>
      <c r="J71" s="19"/>
      <c r="K71" s="2"/>
      <c r="L71" s="2">
        <f t="shared" si="0"/>
        <v>-28781.45</v>
      </c>
      <c r="M71" s="2"/>
      <c r="N71" s="19">
        <f t="shared" si="1"/>
        <v>-0.99764985224919189</v>
      </c>
      <c r="O71" s="11"/>
      <c r="P71" s="2">
        <f>--208.4</f>
        <v>208.4</v>
      </c>
      <c r="Q71" s="2"/>
      <c r="R71" s="19"/>
      <c r="S71" s="2"/>
      <c r="T71" s="2">
        <f>--192403.75</f>
        <v>192403.75</v>
      </c>
      <c r="U71" s="2"/>
      <c r="V71" s="19"/>
      <c r="W71" s="2"/>
      <c r="X71" s="2">
        <f t="shared" si="2"/>
        <v>-192195.35</v>
      </c>
      <c r="Y71" s="2"/>
      <c r="Z71" s="19">
        <f t="shared" si="3"/>
        <v>-0.99891686102791655</v>
      </c>
    </row>
    <row r="72" spans="1:26" s="24" customFormat="1" hidden="1" outlineLevel="1" x14ac:dyDescent="0.25">
      <c r="A72" s="44"/>
      <c r="B72" s="11" t="str">
        <f>CONCATENATE("          ", "4147", " - ", "NON-TAXABLE SALES-MISC")</f>
        <v xml:space="preserve">          4147 - NON-TAXABLE SALES-MISC</v>
      </c>
      <c r="C72" s="11"/>
      <c r="D72" s="2">
        <f>--17</f>
        <v>17</v>
      </c>
      <c r="E72" s="2"/>
      <c r="F72" s="19"/>
      <c r="G72" s="2"/>
      <c r="H72" s="2">
        <f>--2183.94</f>
        <v>2183.94</v>
      </c>
      <c r="I72" s="2"/>
      <c r="J72" s="19"/>
      <c r="K72" s="2"/>
      <c r="L72" s="2">
        <f t="shared" si="0"/>
        <v>-2166.94</v>
      </c>
      <c r="M72" s="2"/>
      <c r="N72" s="19">
        <f t="shared" si="1"/>
        <v>-0.99221590336730858</v>
      </c>
      <c r="O72" s="11"/>
      <c r="P72" s="2">
        <f>--132.5</f>
        <v>132.5</v>
      </c>
      <c r="Q72" s="2"/>
      <c r="R72" s="19"/>
      <c r="S72" s="2"/>
      <c r="T72" s="2">
        <f>--2502.84</f>
        <v>2502.84</v>
      </c>
      <c r="U72" s="2"/>
      <c r="V72" s="19"/>
      <c r="W72" s="2"/>
      <c r="X72" s="2">
        <f t="shared" si="2"/>
        <v>-2370.34</v>
      </c>
      <c r="Y72" s="2"/>
      <c r="Z72" s="19">
        <f t="shared" si="3"/>
        <v>-0.94706013968132197</v>
      </c>
    </row>
    <row r="73" spans="1:26" s="24" customFormat="1" hidden="1" outlineLevel="1" x14ac:dyDescent="0.25">
      <c r="A73" s="44"/>
      <c r="B73" s="11" t="str">
        <f>CONCATENATE("          ", "4186", " - ", "NON-TAXABLE SALES-COMPUTER SUP")</f>
        <v xml:space="preserve">          4186 - NON-TAXABLE SALES-COMPUTER SUP</v>
      </c>
      <c r="C73" s="11"/>
      <c r="D73" s="2">
        <f>0</f>
        <v>0</v>
      </c>
      <c r="E73" s="2"/>
      <c r="F73" s="19"/>
      <c r="G73" s="2"/>
      <c r="H73" s="2">
        <f>0</f>
        <v>0</v>
      </c>
      <c r="I73" s="2"/>
      <c r="J73" s="19"/>
      <c r="K73" s="2"/>
      <c r="L73" s="2">
        <f t="shared" si="0"/>
        <v>0</v>
      </c>
      <c r="M73" s="2"/>
      <c r="N73" s="19">
        <f t="shared" si="1"/>
        <v>0</v>
      </c>
      <c r="O73" s="11"/>
      <c r="P73" s="2">
        <f>0</f>
        <v>0</v>
      </c>
      <c r="Q73" s="2"/>
      <c r="R73" s="19"/>
      <c r="S73" s="2"/>
      <c r="T73" s="2">
        <f>-30.97</f>
        <v>-30.97</v>
      </c>
      <c r="U73" s="2"/>
      <c r="V73" s="19"/>
      <c r="W73" s="2"/>
      <c r="X73" s="2">
        <f t="shared" si="2"/>
        <v>30.97</v>
      </c>
      <c r="Y73" s="2"/>
      <c r="Z73" s="19">
        <f t="shared" si="3"/>
        <v>-1</v>
      </c>
    </row>
    <row r="74" spans="1:26" s="24" customFormat="1" hidden="1" outlineLevel="1" x14ac:dyDescent="0.25">
      <c r="A74" s="44"/>
      <c r="B74" s="11" t="str">
        <f>CONCATENATE("          ", "4201", " - ", "SALES RETURN TAXABLE-NEW TEXT")</f>
        <v xml:space="preserve">          4201 - SALES RETURN TAXABLE-NEW TEXT</v>
      </c>
      <c r="C74" s="11"/>
      <c r="D74" s="2">
        <f>-2146.49</f>
        <v>-2146.4899999999998</v>
      </c>
      <c r="E74" s="2"/>
      <c r="F74" s="19"/>
      <c r="G74" s="2"/>
      <c r="H74" s="2">
        <f>-4114.56</f>
        <v>-4114.5600000000004</v>
      </c>
      <c r="I74" s="2"/>
      <c r="J74" s="19"/>
      <c r="K74" s="2"/>
      <c r="L74" s="2">
        <f t="shared" si="0"/>
        <v>1968.0700000000006</v>
      </c>
      <c r="M74" s="2"/>
      <c r="N74" s="19">
        <f t="shared" si="1"/>
        <v>-0.478318459324934</v>
      </c>
      <c r="O74" s="11"/>
      <c r="P74" s="2">
        <f>-50664.23</f>
        <v>-50664.23</v>
      </c>
      <c r="Q74" s="2"/>
      <c r="R74" s="19"/>
      <c r="S74" s="2"/>
      <c r="T74" s="2">
        <f>-120740.41</f>
        <v>-120740.41</v>
      </c>
      <c r="U74" s="2"/>
      <c r="V74" s="19"/>
      <c r="W74" s="2"/>
      <c r="X74" s="2">
        <f t="shared" si="2"/>
        <v>70076.179999999993</v>
      </c>
      <c r="Y74" s="2"/>
      <c r="Z74" s="19">
        <f t="shared" si="3"/>
        <v>-0.58038712971075712</v>
      </c>
    </row>
    <row r="75" spans="1:26" s="24" customFormat="1" hidden="1" outlineLevel="1" x14ac:dyDescent="0.25">
      <c r="A75" s="44"/>
      <c r="B75" s="11" t="str">
        <f>CONCATENATE("          ", "4202", " - ", "SALES RETURN TAXABLE-USED TEXT")</f>
        <v xml:space="preserve">          4202 - SALES RETURN TAXABLE-USED TEXT</v>
      </c>
      <c r="C75" s="11"/>
      <c r="D75" s="2">
        <f>-1199.21</f>
        <v>-1199.21</v>
      </c>
      <c r="E75" s="2"/>
      <c r="F75" s="19"/>
      <c r="G75" s="2"/>
      <c r="H75" s="2">
        <f>-2008.16</f>
        <v>-2008.16</v>
      </c>
      <c r="I75" s="2"/>
      <c r="J75" s="19"/>
      <c r="K75" s="2"/>
      <c r="L75" s="2">
        <f t="shared" si="0"/>
        <v>808.95</v>
      </c>
      <c r="M75" s="2"/>
      <c r="N75" s="19">
        <f t="shared" si="1"/>
        <v>-0.40283144769341089</v>
      </c>
      <c r="O75" s="11"/>
      <c r="P75" s="2">
        <f>-19735.51</f>
        <v>-19735.509999999998</v>
      </c>
      <c r="Q75" s="2"/>
      <c r="R75" s="19"/>
      <c r="S75" s="2"/>
      <c r="T75" s="2">
        <f>-45387.31</f>
        <v>-45387.31</v>
      </c>
      <c r="U75" s="2"/>
      <c r="V75" s="19"/>
      <c r="W75" s="2"/>
      <c r="X75" s="2">
        <f t="shared" si="2"/>
        <v>25651.8</v>
      </c>
      <c r="Y75" s="2"/>
      <c r="Z75" s="19">
        <f t="shared" si="3"/>
        <v>-0.56517559643874027</v>
      </c>
    </row>
    <row r="76" spans="1:26" s="24" customFormat="1" hidden="1" outlineLevel="1" x14ac:dyDescent="0.25">
      <c r="A76" s="44"/>
      <c r="B76" s="11" t="str">
        <f>CONCATENATE("          ", "4203", " - ", "SALES RETURN TAXABLE-RENTAL TE")</f>
        <v xml:space="preserve">          4203 - SALES RETURN TAXABLE-RENTAL TE</v>
      </c>
      <c r="C76" s="11"/>
      <c r="D76" s="2">
        <f>0</f>
        <v>0</v>
      </c>
      <c r="E76" s="2"/>
      <c r="F76" s="19"/>
      <c r="G76" s="2"/>
      <c r="H76" s="2">
        <f>0</f>
        <v>0</v>
      </c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0</f>
        <v>0</v>
      </c>
      <c r="Q76" s="2"/>
      <c r="R76" s="19"/>
      <c r="S76" s="2"/>
      <c r="T76" s="2">
        <f>-144.99</f>
        <v>-144.99</v>
      </c>
      <c r="U76" s="2"/>
      <c r="V76" s="19"/>
      <c r="W76" s="2"/>
      <c r="X76" s="2">
        <f t="shared" si="2"/>
        <v>144.99</v>
      </c>
      <c r="Y76" s="2"/>
      <c r="Z76" s="19">
        <f t="shared" si="3"/>
        <v>-1</v>
      </c>
    </row>
    <row r="77" spans="1:26" s="24" customFormat="1" hidden="1" outlineLevel="1" x14ac:dyDescent="0.25">
      <c r="A77" s="44"/>
      <c r="B77" s="11" t="str">
        <f>CONCATENATE("          ", "4204", " - ", "SALES RETURN TAXABLE-DIGITAL T")</f>
        <v xml:space="preserve">          4204 - SALES RETURN TAXABLE-DIGITAL T</v>
      </c>
      <c r="C77" s="11"/>
      <c r="D77" s="2">
        <f>-132.25</f>
        <v>-132.25</v>
      </c>
      <c r="E77" s="2"/>
      <c r="F77" s="19"/>
      <c r="G77" s="2"/>
      <c r="H77" s="2">
        <f>-993.89</f>
        <v>-993.89</v>
      </c>
      <c r="I77" s="2"/>
      <c r="J77" s="19"/>
      <c r="K77" s="2"/>
      <c r="L77" s="2">
        <f t="shared" si="0"/>
        <v>861.64</v>
      </c>
      <c r="M77" s="2"/>
      <c r="N77" s="19">
        <f t="shared" si="1"/>
        <v>-0.86693698497821692</v>
      </c>
      <c r="O77" s="11"/>
      <c r="P77" s="2">
        <f>-1763.1</f>
        <v>-1763.1</v>
      </c>
      <c r="Q77" s="2"/>
      <c r="R77" s="19"/>
      <c r="S77" s="2"/>
      <c r="T77" s="2">
        <f>-17255.33</f>
        <v>-17255.330000000002</v>
      </c>
      <c r="U77" s="2"/>
      <c r="V77" s="19"/>
      <c r="W77" s="2"/>
      <c r="X77" s="2">
        <f t="shared" si="2"/>
        <v>15492.230000000001</v>
      </c>
      <c r="Y77" s="2"/>
      <c r="Z77" s="19">
        <f t="shared" si="3"/>
        <v>-0.89782287559843832</v>
      </c>
    </row>
    <row r="78" spans="1:26" s="24" customFormat="1" hidden="1" outlineLevel="1" x14ac:dyDescent="0.25">
      <c r="A78" s="44"/>
      <c r="B78" s="11" t="str">
        <f>CONCATENATE("          ", "4213", " - ", "NON-TAXABLE SALES-TRADE BOOKS")</f>
        <v xml:space="preserve">          4213 - NON-TAXABLE SALES-TRADE BOOKS</v>
      </c>
      <c r="C78" s="11"/>
      <c r="D78" s="2">
        <f>-69.93</f>
        <v>-69.930000000000007</v>
      </c>
      <c r="E78" s="2"/>
      <c r="F78" s="19"/>
      <c r="G78" s="2"/>
      <c r="H78" s="2">
        <f>-103.4</f>
        <v>-103.4</v>
      </c>
      <c r="I78" s="2"/>
      <c r="J78" s="19"/>
      <c r="K78" s="2"/>
      <c r="L78" s="2">
        <f t="shared" si="0"/>
        <v>33.47</v>
      </c>
      <c r="M78" s="2"/>
      <c r="N78" s="19">
        <f t="shared" si="1"/>
        <v>-0.3236943907156673</v>
      </c>
      <c r="O78" s="11"/>
      <c r="P78" s="2">
        <f>-69.93</f>
        <v>-69.930000000000007</v>
      </c>
      <c r="Q78" s="2"/>
      <c r="R78" s="19"/>
      <c r="S78" s="2"/>
      <c r="T78" s="2">
        <f>-220.06</f>
        <v>-220.06</v>
      </c>
      <c r="U78" s="2"/>
      <c r="V78" s="19"/>
      <c r="W78" s="2"/>
      <c r="X78" s="2">
        <f t="shared" si="2"/>
        <v>150.13</v>
      </c>
      <c r="Y78" s="2"/>
      <c r="Z78" s="19">
        <f t="shared" si="3"/>
        <v>-0.68222303008270468</v>
      </c>
    </row>
    <row r="79" spans="1:26" s="24" customFormat="1" hidden="1" outlineLevel="1" x14ac:dyDescent="0.25">
      <c r="A79" s="44"/>
      <c r="B79" s="11" t="str">
        <f>CONCATENATE("          ", "4214", " - ", "SALES RETURN TAXABLE-REMAINDER")</f>
        <v xml:space="preserve">          4214 - SALES RETURN TAXABLE-REMAINDER</v>
      </c>
      <c r="C79" s="11"/>
      <c r="D79" s="2">
        <f t="shared" ref="D79:D83" si="15">0</f>
        <v>0</v>
      </c>
      <c r="E79" s="2"/>
      <c r="F79" s="19"/>
      <c r="G79" s="2"/>
      <c r="H79" s="2">
        <f t="shared" ref="H79:H81" si="16"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 t="shared" ref="P79:P82" si="17">0</f>
        <v>0</v>
      </c>
      <c r="Q79" s="2"/>
      <c r="R79" s="19"/>
      <c r="S79" s="2"/>
      <c r="T79" s="2">
        <f>-11.94</f>
        <v>-11.94</v>
      </c>
      <c r="U79" s="2"/>
      <c r="V79" s="19"/>
      <c r="W79" s="2"/>
      <c r="X79" s="2">
        <f t="shared" si="2"/>
        <v>11.94</v>
      </c>
      <c r="Y79" s="2"/>
      <c r="Z79" s="19">
        <f t="shared" si="3"/>
        <v>-1</v>
      </c>
    </row>
    <row r="80" spans="1:26" s="24" customFormat="1" hidden="1" outlineLevel="1" x14ac:dyDescent="0.25">
      <c r="A80" s="44"/>
      <c r="B80" s="11" t="str">
        <f>CONCATENATE("          ", "4217", " - ", "NON-TAXABLE SALES-DORM/HOUSEWA")</f>
        <v xml:space="preserve">          4217 - NON-TAXABLE SALES-DORM/HOUSEWA</v>
      </c>
      <c r="C80" s="11"/>
      <c r="D80" s="2">
        <f t="shared" si="15"/>
        <v>0</v>
      </c>
      <c r="E80" s="2"/>
      <c r="F80" s="19"/>
      <c r="G80" s="2"/>
      <c r="H80" s="2">
        <f t="shared" si="16"/>
        <v>0</v>
      </c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 t="shared" si="17"/>
        <v>0</v>
      </c>
      <c r="Q80" s="2"/>
      <c r="R80" s="19"/>
      <c r="S80" s="2"/>
      <c r="T80" s="2">
        <f>-2.98</f>
        <v>-2.98</v>
      </c>
      <c r="U80" s="2"/>
      <c r="V80" s="19"/>
      <c r="W80" s="2"/>
      <c r="X80" s="2">
        <f t="shared" si="2"/>
        <v>2.98</v>
      </c>
      <c r="Y80" s="2"/>
      <c r="Z80" s="19">
        <f t="shared" si="3"/>
        <v>-1</v>
      </c>
    </row>
    <row r="81" spans="1:26" s="24" customFormat="1" hidden="1" outlineLevel="1" x14ac:dyDescent="0.25">
      <c r="A81" s="44"/>
      <c r="B81" s="11" t="str">
        <f>CONCATENATE("          ", "4218", " - ", "SALES RETURN TAXABLE-STUDY GUI")</f>
        <v xml:space="preserve">          4218 - SALES RETURN TAXABLE-STUDY GUI</v>
      </c>
      <c r="C81" s="11"/>
      <c r="D81" s="2">
        <f t="shared" si="15"/>
        <v>0</v>
      </c>
      <c r="E81" s="2"/>
      <c r="F81" s="19"/>
      <c r="G81" s="2"/>
      <c r="H81" s="2">
        <f t="shared" si="16"/>
        <v>0</v>
      </c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 t="shared" si="17"/>
        <v>0</v>
      </c>
      <c r="Q81" s="2"/>
      <c r="R81" s="19"/>
      <c r="S81" s="2"/>
      <c r="T81" s="2">
        <f>-39.25</f>
        <v>-39.25</v>
      </c>
      <c r="U81" s="2"/>
      <c r="V81" s="19"/>
      <c r="W81" s="2"/>
      <c r="X81" s="2">
        <f t="shared" si="2"/>
        <v>39.25</v>
      </c>
      <c r="Y81" s="2"/>
      <c r="Z81" s="19">
        <f t="shared" si="3"/>
        <v>-1</v>
      </c>
    </row>
    <row r="82" spans="1:26" s="24" customFormat="1" hidden="1" outlineLevel="1" x14ac:dyDescent="0.25">
      <c r="A82" s="44"/>
      <c r="B82" s="11" t="str">
        <f>CONCATENATE("          ", "4225", " - ", "SALES RETURN TAXABLE-TEST FORM")</f>
        <v xml:space="preserve">          4225 - SALES RETURN TAXABLE-TEST FORM</v>
      </c>
      <c r="C82" s="11"/>
      <c r="D82" s="2">
        <f t="shared" si="15"/>
        <v>0</v>
      </c>
      <c r="E82" s="2"/>
      <c r="F82" s="19"/>
      <c r="G82" s="2"/>
      <c r="H82" s="2">
        <f>-72.54</f>
        <v>-72.540000000000006</v>
      </c>
      <c r="I82" s="2"/>
      <c r="J82" s="19"/>
      <c r="K82" s="2"/>
      <c r="L82" s="2">
        <f t="shared" si="0"/>
        <v>72.540000000000006</v>
      </c>
      <c r="M82" s="2"/>
      <c r="N82" s="19">
        <f t="shared" si="1"/>
        <v>-1</v>
      </c>
      <c r="O82" s="11"/>
      <c r="P82" s="2">
        <f t="shared" si="17"/>
        <v>0</v>
      </c>
      <c r="Q82" s="2"/>
      <c r="R82" s="19"/>
      <c r="S82" s="2"/>
      <c r="T82" s="2">
        <f>-168.25</f>
        <v>-168.25</v>
      </c>
      <c r="U82" s="2"/>
      <c r="V82" s="19"/>
      <c r="W82" s="2"/>
      <c r="X82" s="2">
        <f t="shared" si="2"/>
        <v>168.25</v>
      </c>
      <c r="Y82" s="2"/>
      <c r="Z82" s="19">
        <f t="shared" si="3"/>
        <v>-1</v>
      </c>
    </row>
    <row r="83" spans="1:26" s="24" customFormat="1" hidden="1" outlineLevel="1" x14ac:dyDescent="0.25">
      <c r="A83" s="44"/>
      <c r="B83" s="11" t="str">
        <f>CONCATENATE("          ", "4226", " - ", "SALES RETURN TAXABLE-WRITING I")</f>
        <v xml:space="preserve">          4226 - SALES RETURN TAXABLE-WRITING I</v>
      </c>
      <c r="C83" s="11"/>
      <c r="D83" s="2">
        <f t="shared" si="15"/>
        <v>0</v>
      </c>
      <c r="E83" s="2"/>
      <c r="F83" s="19"/>
      <c r="G83" s="2"/>
      <c r="H83" s="2">
        <f>-72.88</f>
        <v>-72.88</v>
      </c>
      <c r="I83" s="2"/>
      <c r="J83" s="19"/>
      <c r="K83" s="2"/>
      <c r="L83" s="2">
        <f t="shared" si="0"/>
        <v>72.88</v>
      </c>
      <c r="M83" s="2"/>
      <c r="N83" s="19">
        <f t="shared" si="1"/>
        <v>-1</v>
      </c>
      <c r="O83" s="11"/>
      <c r="P83" s="2">
        <f>-34.23</f>
        <v>-34.229999999999997</v>
      </c>
      <c r="Q83" s="2"/>
      <c r="R83" s="19"/>
      <c r="S83" s="2"/>
      <c r="T83" s="2">
        <f>-753.79</f>
        <v>-753.79</v>
      </c>
      <c r="U83" s="2"/>
      <c r="V83" s="19"/>
      <c r="W83" s="2"/>
      <c r="X83" s="2">
        <f t="shared" si="2"/>
        <v>719.56</v>
      </c>
      <c r="Y83" s="2"/>
      <c r="Z83" s="19">
        <f t="shared" si="3"/>
        <v>-0.95458947452208176</v>
      </c>
    </row>
    <row r="84" spans="1:26" s="24" customFormat="1" hidden="1" outlineLevel="1" x14ac:dyDescent="0.25">
      <c r="A84" s="44"/>
      <c r="B84" s="11" t="str">
        <f>CONCATENATE("          ", "4227", " - ", "SALES RETURN TAXABLE-SCHOOL SU")</f>
        <v xml:space="preserve">          4227 - SALES RETURN TAXABLE-SCHOOL SU</v>
      </c>
      <c r="C84" s="11"/>
      <c r="D84" s="2">
        <f>-19.05</f>
        <v>-19.05</v>
      </c>
      <c r="E84" s="2"/>
      <c r="F84" s="19"/>
      <c r="G84" s="2"/>
      <c r="H84" s="2">
        <f>-703.56</f>
        <v>-703.56</v>
      </c>
      <c r="I84" s="2"/>
      <c r="J84" s="19"/>
      <c r="K84" s="2"/>
      <c r="L84" s="2">
        <f t="shared" si="0"/>
        <v>684.51</v>
      </c>
      <c r="M84" s="2"/>
      <c r="N84" s="19">
        <f t="shared" si="1"/>
        <v>-0.9729234180453693</v>
      </c>
      <c r="O84" s="11"/>
      <c r="P84" s="2">
        <f>-781.73</f>
        <v>-781.73</v>
      </c>
      <c r="Q84" s="2"/>
      <c r="R84" s="19"/>
      <c r="S84" s="2"/>
      <c r="T84" s="2">
        <f>-7614.42</f>
        <v>-7614.42</v>
      </c>
      <c r="U84" s="2"/>
      <c r="V84" s="19"/>
      <c r="W84" s="2"/>
      <c r="X84" s="2">
        <f t="shared" si="2"/>
        <v>6832.6900000000005</v>
      </c>
      <c r="Y84" s="2"/>
      <c r="Z84" s="19">
        <f t="shared" si="3"/>
        <v>-0.89733558169893446</v>
      </c>
    </row>
    <row r="85" spans="1:26" s="24" customFormat="1" hidden="1" outlineLevel="1" x14ac:dyDescent="0.25">
      <c r="A85" s="44"/>
      <c r="B85" s="11" t="str">
        <f>CONCATENATE("          ", "4228", " - ", "SALES RETURN TAXABLE-ART/TECH")</f>
        <v xml:space="preserve">          4228 - SALES RETURN TAXABLE-ART/TECH</v>
      </c>
      <c r="C85" s="11"/>
      <c r="D85" s="2">
        <f>-10.71</f>
        <v>-10.71</v>
      </c>
      <c r="E85" s="2"/>
      <c r="F85" s="19"/>
      <c r="G85" s="2"/>
      <c r="H85" s="2">
        <f>-685.23</f>
        <v>-685.23</v>
      </c>
      <c r="I85" s="2"/>
      <c r="J85" s="19"/>
      <c r="K85" s="2"/>
      <c r="L85" s="2">
        <f t="shared" si="0"/>
        <v>674.52</v>
      </c>
      <c r="M85" s="2"/>
      <c r="N85" s="19">
        <f t="shared" si="1"/>
        <v>-0.98437021146184489</v>
      </c>
      <c r="O85" s="11"/>
      <c r="P85" s="2">
        <f>-12739.24</f>
        <v>-12739.24</v>
      </c>
      <c r="Q85" s="2"/>
      <c r="R85" s="19"/>
      <c r="S85" s="2"/>
      <c r="T85" s="2">
        <f>-4599.92</f>
        <v>-4599.92</v>
      </c>
      <c r="U85" s="2"/>
      <c r="V85" s="19"/>
      <c r="W85" s="2"/>
      <c r="X85" s="2">
        <f t="shared" si="2"/>
        <v>-8139.32</v>
      </c>
      <c r="Y85" s="2"/>
      <c r="Z85" s="19">
        <f t="shared" si="3"/>
        <v>1.769448164315901</v>
      </c>
    </row>
    <row r="86" spans="1:26" s="24" customFormat="1" hidden="1" outlineLevel="1" x14ac:dyDescent="0.25">
      <c r="A86" s="44"/>
      <c r="B86" s="11" t="str">
        <f>CONCATENATE("          ", "4233", " - ", "SALES RETURN TAXABLE-CANDY")</f>
        <v xml:space="preserve">          4233 - SALES RETURN TAXABLE-CANDY</v>
      </c>
      <c r="C86" s="11"/>
      <c r="D86" s="2">
        <f>0</f>
        <v>0</v>
      </c>
      <c r="E86" s="2"/>
      <c r="F86" s="19"/>
      <c r="G86" s="2"/>
      <c r="H86" s="2">
        <f>0</f>
        <v>0</v>
      </c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1"/>
      <c r="P86" s="2">
        <f>0</f>
        <v>0</v>
      </c>
      <c r="Q86" s="2"/>
      <c r="R86" s="19"/>
      <c r="S86" s="2"/>
      <c r="T86" s="2">
        <f>-1.29</f>
        <v>-1.29</v>
      </c>
      <c r="U86" s="2"/>
      <c r="V86" s="19"/>
      <c r="W86" s="2"/>
      <c r="X86" s="2">
        <f t="shared" si="2"/>
        <v>1.29</v>
      </c>
      <c r="Y86" s="2"/>
      <c r="Z86" s="19">
        <f t="shared" si="3"/>
        <v>-1</v>
      </c>
    </row>
    <row r="87" spans="1:26" s="24" customFormat="1" hidden="1" outlineLevel="1" x14ac:dyDescent="0.25">
      <c r="A87" s="44"/>
      <c r="B87" s="11" t="str">
        <f>CONCATENATE("          ", "4240", " - ", "SALES RETURN TAXABLE-LOGO CLOT")</f>
        <v xml:space="preserve">          4240 - SALES RETURN TAXABLE-LOGO CLOT</v>
      </c>
      <c r="C87" s="11"/>
      <c r="D87" s="2">
        <f>-3542.64</f>
        <v>-3542.64</v>
      </c>
      <c r="E87" s="2"/>
      <c r="F87" s="19"/>
      <c r="G87" s="2"/>
      <c r="H87" s="2">
        <f>-8202.92</f>
        <v>-8202.92</v>
      </c>
      <c r="I87" s="2"/>
      <c r="J87" s="19"/>
      <c r="K87" s="2"/>
      <c r="L87" s="2">
        <f t="shared" si="0"/>
        <v>4660.2800000000007</v>
      </c>
      <c r="M87" s="2"/>
      <c r="N87" s="19">
        <f t="shared" si="1"/>
        <v>-0.568124521511852</v>
      </c>
      <c r="O87" s="11"/>
      <c r="P87" s="2">
        <f>-31129.51</f>
        <v>-31129.51</v>
      </c>
      <c r="Q87" s="2"/>
      <c r="R87" s="19"/>
      <c r="S87" s="2"/>
      <c r="T87" s="2">
        <f>-69811.67</f>
        <v>-69811.67</v>
      </c>
      <c r="U87" s="2"/>
      <c r="V87" s="19"/>
      <c r="W87" s="2"/>
      <c r="X87" s="2">
        <f t="shared" si="2"/>
        <v>38682.160000000003</v>
      </c>
      <c r="Y87" s="2"/>
      <c r="Z87" s="19">
        <f t="shared" si="3"/>
        <v>-0.55409303344268956</v>
      </c>
    </row>
    <row r="88" spans="1:26" s="24" customFormat="1" hidden="1" outlineLevel="1" x14ac:dyDescent="0.25">
      <c r="A88" s="44"/>
      <c r="B88" s="11" t="str">
        <f>CONCATENATE("          ", "4241", " - ", "SALES RETURN TAXABLE-LOGO GIFT")</f>
        <v xml:space="preserve">          4241 - SALES RETURN TAXABLE-LOGO GIFT</v>
      </c>
      <c r="C88" s="11"/>
      <c r="D88" s="2">
        <f>-338.05</f>
        <v>-338.05</v>
      </c>
      <c r="E88" s="2"/>
      <c r="F88" s="19"/>
      <c r="G88" s="2"/>
      <c r="H88" s="2">
        <f>-972.77</f>
        <v>-972.77</v>
      </c>
      <c r="I88" s="2"/>
      <c r="J88" s="19"/>
      <c r="K88" s="2"/>
      <c r="L88" s="2">
        <f t="shared" si="0"/>
        <v>634.72</v>
      </c>
      <c r="M88" s="2"/>
      <c r="N88" s="19">
        <f t="shared" si="1"/>
        <v>-0.65248722719656238</v>
      </c>
      <c r="O88" s="11"/>
      <c r="P88" s="2">
        <f>-5295.52</f>
        <v>-5295.52</v>
      </c>
      <c r="Q88" s="2"/>
      <c r="R88" s="19"/>
      <c r="S88" s="2"/>
      <c r="T88" s="2">
        <f>-5926.98</f>
        <v>-5926.98</v>
      </c>
      <c r="U88" s="2"/>
      <c r="V88" s="19"/>
      <c r="W88" s="2"/>
      <c r="X88" s="2">
        <f t="shared" si="2"/>
        <v>631.45999999999913</v>
      </c>
      <c r="Y88" s="2"/>
      <c r="Z88" s="19">
        <f t="shared" si="3"/>
        <v>-0.10653992421098084</v>
      </c>
    </row>
    <row r="89" spans="1:26" s="24" customFormat="1" hidden="1" outlineLevel="1" x14ac:dyDescent="0.25">
      <c r="A89" s="44"/>
      <c r="B89" s="11" t="str">
        <f>CONCATENATE("          ", "4242", " - ", "SALES RETURN TAXABLE-EVERYDAY")</f>
        <v xml:space="preserve">          4242 - SALES RETURN TAXABLE-EVERYDAY</v>
      </c>
      <c r="C89" s="11"/>
      <c r="D89" s="2">
        <f>-44.96</f>
        <v>-44.96</v>
      </c>
      <c r="E89" s="2"/>
      <c r="F89" s="19"/>
      <c r="G89" s="2"/>
      <c r="H89" s="2">
        <f>-349.75</f>
        <v>-349.75</v>
      </c>
      <c r="I89" s="2"/>
      <c r="J89" s="19"/>
      <c r="K89" s="2"/>
      <c r="L89" s="2">
        <f t="shared" si="0"/>
        <v>304.79000000000002</v>
      </c>
      <c r="M89" s="2"/>
      <c r="N89" s="19">
        <f t="shared" si="1"/>
        <v>-0.87145103645461053</v>
      </c>
      <c r="O89" s="11"/>
      <c r="P89" s="2">
        <f>-1738.74</f>
        <v>-1738.74</v>
      </c>
      <c r="Q89" s="2"/>
      <c r="R89" s="19"/>
      <c r="S89" s="2"/>
      <c r="T89" s="2">
        <f>-3894.08</f>
        <v>-3894.08</v>
      </c>
      <c r="U89" s="2"/>
      <c r="V89" s="19"/>
      <c r="W89" s="2"/>
      <c r="X89" s="2">
        <f t="shared" si="2"/>
        <v>2155.34</v>
      </c>
      <c r="Y89" s="2"/>
      <c r="Z89" s="19">
        <f t="shared" si="3"/>
        <v>-0.55349145369381214</v>
      </c>
    </row>
    <row r="90" spans="1:26" s="24" customFormat="1" hidden="1" outlineLevel="1" x14ac:dyDescent="0.25">
      <c r="A90" s="44"/>
      <c r="B90" s="11" t="str">
        <f>CONCATENATE("          ", "4243", " - ", "SALES RETURN TAXABLE-CARDS")</f>
        <v xml:space="preserve">          4243 - SALES RETURN TAXABLE-CARDS</v>
      </c>
      <c r="C90" s="11"/>
      <c r="D90" s="2">
        <f>-369.81</f>
        <v>-369.81</v>
      </c>
      <c r="E90" s="2"/>
      <c r="F90" s="19"/>
      <c r="G90" s="2"/>
      <c r="H90" s="2">
        <f>-1609.18</f>
        <v>-1609.18</v>
      </c>
      <c r="I90" s="2"/>
      <c r="J90" s="19"/>
      <c r="K90" s="2"/>
      <c r="L90" s="2">
        <f t="shared" si="0"/>
        <v>1239.3700000000001</v>
      </c>
      <c r="M90" s="2"/>
      <c r="N90" s="19">
        <f t="shared" si="1"/>
        <v>-0.77018730036416072</v>
      </c>
      <c r="O90" s="11"/>
      <c r="P90" s="2">
        <f>-5369.6</f>
        <v>-5369.6</v>
      </c>
      <c r="Q90" s="2"/>
      <c r="R90" s="19"/>
      <c r="S90" s="2"/>
      <c r="T90" s="2">
        <f>-2833.39</f>
        <v>-2833.39</v>
      </c>
      <c r="U90" s="2"/>
      <c r="V90" s="19"/>
      <c r="W90" s="2"/>
      <c r="X90" s="2">
        <f t="shared" si="2"/>
        <v>-2536.2100000000005</v>
      </c>
      <c r="Y90" s="2"/>
      <c r="Z90" s="19">
        <f t="shared" si="3"/>
        <v>0.89511503887569333</v>
      </c>
    </row>
    <row r="91" spans="1:26" s="24" customFormat="1" hidden="1" outlineLevel="1" x14ac:dyDescent="0.25">
      <c r="A91" s="44"/>
      <c r="B91" s="11" t="str">
        <f>CONCATENATE("          ", "4244", " - ", "SALES RETURN TAXABLE-ACCESSORI")</f>
        <v xml:space="preserve">          4244 - SALES RETURN TAXABLE-ACCESSORI</v>
      </c>
      <c r="C91" s="11"/>
      <c r="D91" s="2">
        <f>-9.99</f>
        <v>-9.99</v>
      </c>
      <c r="E91" s="2"/>
      <c r="F91" s="19"/>
      <c r="G91" s="2"/>
      <c r="H91" s="2">
        <f>-328.75</f>
        <v>-328.75</v>
      </c>
      <c r="I91" s="2"/>
      <c r="J91" s="19"/>
      <c r="K91" s="2"/>
      <c r="L91" s="2">
        <f t="shared" si="0"/>
        <v>318.76</v>
      </c>
      <c r="M91" s="2"/>
      <c r="N91" s="19">
        <f t="shared" si="1"/>
        <v>-0.96961216730038025</v>
      </c>
      <c r="O91" s="11"/>
      <c r="P91" s="2">
        <f>-994.84</f>
        <v>-994.84</v>
      </c>
      <c r="Q91" s="2"/>
      <c r="R91" s="19"/>
      <c r="S91" s="2"/>
      <c r="T91" s="2">
        <f>-2430.8</f>
        <v>-2430.8000000000002</v>
      </c>
      <c r="U91" s="2"/>
      <c r="V91" s="19"/>
      <c r="W91" s="2"/>
      <c r="X91" s="2">
        <f t="shared" si="2"/>
        <v>1435.96</v>
      </c>
      <c r="Y91" s="2"/>
      <c r="Z91" s="19">
        <f t="shared" si="3"/>
        <v>-0.59073556030936314</v>
      </c>
    </row>
    <row r="92" spans="1:26" s="24" customFormat="1" hidden="1" outlineLevel="1" x14ac:dyDescent="0.25">
      <c r="A92" s="44"/>
      <c r="B92" s="11" t="str">
        <f>CONCATENATE("          ", "4245", " - ", "SALES RETURN TAXABLE-SPECIAL O")</f>
        <v xml:space="preserve">          4245 - SALES RETURN TAXABLE-SPECIAL O</v>
      </c>
      <c r="C92" s="11"/>
      <c r="D92" s="2">
        <f>-7.98</f>
        <v>-7.98</v>
      </c>
      <c r="E92" s="2"/>
      <c r="F92" s="19"/>
      <c r="G92" s="2"/>
      <c r="H92" s="2">
        <f t="shared" ref="H92:H98" si="18">0</f>
        <v>0</v>
      </c>
      <c r="I92" s="2"/>
      <c r="J92" s="19"/>
      <c r="K92" s="2"/>
      <c r="L92" s="2">
        <f t="shared" si="0"/>
        <v>-7.98</v>
      </c>
      <c r="M92" s="2"/>
      <c r="N92" s="19">
        <f t="shared" si="1"/>
        <v>0</v>
      </c>
      <c r="O92" s="11"/>
      <c r="P92" s="2">
        <f>-11353.59</f>
        <v>-11353.59</v>
      </c>
      <c r="Q92" s="2"/>
      <c r="R92" s="19"/>
      <c r="S92" s="2"/>
      <c r="T92" s="2">
        <f>-1715.05</f>
        <v>-1715.05</v>
      </c>
      <c r="U92" s="2"/>
      <c r="V92" s="19"/>
      <c r="W92" s="2"/>
      <c r="X92" s="2">
        <f t="shared" si="2"/>
        <v>-9638.5400000000009</v>
      </c>
      <c r="Y92" s="2"/>
      <c r="Z92" s="19">
        <f t="shared" si="3"/>
        <v>5.6199760939914292</v>
      </c>
    </row>
    <row r="93" spans="1:26" s="24" customFormat="1" hidden="1" outlineLevel="1" x14ac:dyDescent="0.25">
      <c r="A93" s="44"/>
      <c r="B93" s="11" t="str">
        <f>CONCATENATE("          ", "4281", " - ", "SALES RETURN TAXABLE-ELECTRONI")</f>
        <v xml:space="preserve">          4281 - SALES RETURN TAXABLE-ELECTRONI</v>
      </c>
      <c r="C93" s="11"/>
      <c r="D93" s="2">
        <f t="shared" ref="D93:D95" si="19">0</f>
        <v>0</v>
      </c>
      <c r="E93" s="2"/>
      <c r="F93" s="19"/>
      <c r="G93" s="2"/>
      <c r="H93" s="2">
        <f t="shared" si="18"/>
        <v>0</v>
      </c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1"/>
      <c r="P93" s="2">
        <f t="shared" ref="P93:P95" si="20">0</f>
        <v>0</v>
      </c>
      <c r="Q93" s="2"/>
      <c r="R93" s="19"/>
      <c r="S93" s="2"/>
      <c r="T93" s="2">
        <f>-54.97</f>
        <v>-54.97</v>
      </c>
      <c r="U93" s="2"/>
      <c r="V93" s="19"/>
      <c r="W93" s="2"/>
      <c r="X93" s="2">
        <f t="shared" si="2"/>
        <v>54.97</v>
      </c>
      <c r="Y93" s="2"/>
      <c r="Z93" s="19">
        <f t="shared" si="3"/>
        <v>-1</v>
      </c>
    </row>
    <row r="94" spans="1:26" s="24" customFormat="1" hidden="1" outlineLevel="1" x14ac:dyDescent="0.25">
      <c r="A94" s="44"/>
      <c r="B94" s="11" t="str">
        <f>CONCATENATE("          ", "4292", " - ", "SALES RETURN TAXABLE-GRAD MERC")</f>
        <v xml:space="preserve">          4292 - SALES RETURN TAXABLE-GRAD MERC</v>
      </c>
      <c r="C94" s="11"/>
      <c r="D94" s="2">
        <f t="shared" si="19"/>
        <v>0</v>
      </c>
      <c r="E94" s="2"/>
      <c r="F94" s="19"/>
      <c r="G94" s="2"/>
      <c r="H94" s="2">
        <f t="shared" si="18"/>
        <v>0</v>
      </c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 t="shared" si="20"/>
        <v>0</v>
      </c>
      <c r="Q94" s="2"/>
      <c r="R94" s="19"/>
      <c r="S94" s="2"/>
      <c r="T94" s="2">
        <f>-419.05</f>
        <v>-419.05</v>
      </c>
      <c r="U94" s="2"/>
      <c r="V94" s="19"/>
      <c r="W94" s="2"/>
      <c r="X94" s="2">
        <f t="shared" si="2"/>
        <v>419.05</v>
      </c>
      <c r="Y94" s="2"/>
      <c r="Z94" s="19">
        <f t="shared" si="3"/>
        <v>-1</v>
      </c>
    </row>
    <row r="95" spans="1:26" s="24" customFormat="1" hidden="1" outlineLevel="1" x14ac:dyDescent="0.25">
      <c r="A95" s="44"/>
      <c r="B95" s="11" t="str">
        <f>CONCATENATE("          ", "4295", " - ", "SALES RETURN TAXABLE-CUSTOMER")</f>
        <v xml:space="preserve">          4295 - SALES RETURN TAXABLE-CUSTOMER</v>
      </c>
      <c r="C95" s="11"/>
      <c r="D95" s="2">
        <f t="shared" si="19"/>
        <v>0</v>
      </c>
      <c r="E95" s="2"/>
      <c r="F95" s="19"/>
      <c r="G95" s="2"/>
      <c r="H95" s="2">
        <f t="shared" si="18"/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 t="shared" si="20"/>
        <v>0</v>
      </c>
      <c r="Q95" s="2"/>
      <c r="R95" s="19"/>
      <c r="S95" s="2"/>
      <c r="T95" s="2">
        <f>--0.99</f>
        <v>0.99</v>
      </c>
      <c r="U95" s="2"/>
      <c r="V95" s="19"/>
      <c r="W95" s="2"/>
      <c r="X95" s="2">
        <f t="shared" si="2"/>
        <v>-0.99</v>
      </c>
      <c r="Y95" s="2"/>
      <c r="Z95" s="19">
        <f t="shared" si="3"/>
        <v>-1</v>
      </c>
    </row>
    <row r="96" spans="1:26" s="24" customFormat="1" hidden="1" outlineLevel="1" x14ac:dyDescent="0.25">
      <c r="A96" s="44"/>
      <c r="B96" s="11" t="str">
        <f>CONCATENATE("          ", "4301", " - ", "SALES RETURN NON TAXABLE-NEW T")</f>
        <v xml:space="preserve">          4301 - SALES RETURN NON TAXABLE-NEW T</v>
      </c>
      <c r="C96" s="11"/>
      <c r="D96" s="2">
        <f>-231.5</f>
        <v>-231.5</v>
      </c>
      <c r="E96" s="2"/>
      <c r="F96" s="19"/>
      <c r="G96" s="2"/>
      <c r="H96" s="2">
        <f t="shared" si="18"/>
        <v>0</v>
      </c>
      <c r="I96" s="2"/>
      <c r="J96" s="19"/>
      <c r="K96" s="2"/>
      <c r="L96" s="2">
        <f t="shared" si="0"/>
        <v>-231.5</v>
      </c>
      <c r="M96" s="2"/>
      <c r="N96" s="19">
        <f t="shared" si="1"/>
        <v>0</v>
      </c>
      <c r="O96" s="11"/>
      <c r="P96" s="2">
        <f>-3237.29</f>
        <v>-3237.29</v>
      </c>
      <c r="Q96" s="2"/>
      <c r="R96" s="19"/>
      <c r="S96" s="2"/>
      <c r="T96" s="2">
        <f>-15221.62</f>
        <v>-15221.62</v>
      </c>
      <c r="U96" s="2"/>
      <c r="V96" s="19"/>
      <c r="W96" s="2"/>
      <c r="X96" s="2">
        <f t="shared" si="2"/>
        <v>11984.330000000002</v>
      </c>
      <c r="Y96" s="2"/>
      <c r="Z96" s="19">
        <f t="shared" si="3"/>
        <v>-0.78732289992786586</v>
      </c>
    </row>
    <row r="97" spans="1:26" s="24" customFormat="1" hidden="1" outlineLevel="1" x14ac:dyDescent="0.25">
      <c r="A97" s="44"/>
      <c r="B97" s="11" t="str">
        <f>CONCATENATE("          ", "4302", " - ", "SALES RETURN NON TAXABLE-TEXT")</f>
        <v xml:space="preserve">          4302 - SALES RETURN NON TAXABLE-TEXT</v>
      </c>
      <c r="C97" s="11"/>
      <c r="D97" s="2">
        <f>-70.32</f>
        <v>-70.319999999999993</v>
      </c>
      <c r="E97" s="2"/>
      <c r="F97" s="19"/>
      <c r="G97" s="2"/>
      <c r="H97" s="2">
        <f t="shared" si="18"/>
        <v>0</v>
      </c>
      <c r="I97" s="2"/>
      <c r="J97" s="19"/>
      <c r="K97" s="2"/>
      <c r="L97" s="2">
        <f t="shared" si="0"/>
        <v>-70.319999999999993</v>
      </c>
      <c r="M97" s="2"/>
      <c r="N97" s="19">
        <f t="shared" si="1"/>
        <v>0</v>
      </c>
      <c r="O97" s="11"/>
      <c r="P97" s="2">
        <f>-2073.48</f>
        <v>-2073.48</v>
      </c>
      <c r="Q97" s="2"/>
      <c r="R97" s="19"/>
      <c r="S97" s="2"/>
      <c r="T97" s="2">
        <f>-1312.37</f>
        <v>-1312.37</v>
      </c>
      <c r="U97" s="2"/>
      <c r="V97" s="19"/>
      <c r="W97" s="2"/>
      <c r="X97" s="2">
        <f t="shared" si="2"/>
        <v>-761.11000000000013</v>
      </c>
      <c r="Y97" s="2"/>
      <c r="Z97" s="19">
        <f t="shared" si="3"/>
        <v>0.57995077607686873</v>
      </c>
    </row>
    <row r="98" spans="1:26" s="24" customFormat="1" hidden="1" outlineLevel="1" x14ac:dyDescent="0.25">
      <c r="A98" s="44"/>
      <c r="B98" s="11" t="str">
        <f>CONCATENATE("          ", "4303", " - ", "SALES RETURN NON-TAXABLE-RENTA")</f>
        <v xml:space="preserve">          4303 - SALES RETURN NON-TAXABLE-RENTA</v>
      </c>
      <c r="C98" s="11"/>
      <c r="D98" s="2">
        <f>0</f>
        <v>0</v>
      </c>
      <c r="E98" s="2"/>
      <c r="F98" s="19"/>
      <c r="G98" s="2"/>
      <c r="H98" s="2">
        <f t="shared" si="18"/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0</f>
        <v>0</v>
      </c>
      <c r="Q98" s="2"/>
      <c r="R98" s="19"/>
      <c r="S98" s="2"/>
      <c r="T98" s="2">
        <f>-184.99</f>
        <v>-184.99</v>
      </c>
      <c r="U98" s="2"/>
      <c r="V98" s="19"/>
      <c r="W98" s="2"/>
      <c r="X98" s="2">
        <f t="shared" si="2"/>
        <v>184.99</v>
      </c>
      <c r="Y98" s="2"/>
      <c r="Z98" s="19">
        <f t="shared" si="3"/>
        <v>-1</v>
      </c>
    </row>
    <row r="99" spans="1:26" s="24" customFormat="1" hidden="1" outlineLevel="1" x14ac:dyDescent="0.25">
      <c r="A99" s="44"/>
      <c r="B99" s="11" t="str">
        <f>CONCATENATE("          ", "4304", " - ", "SALES RETURN NON TAXABLE-DIGIT")</f>
        <v xml:space="preserve">          4304 - SALES RETURN NON TAXABLE-DIGIT</v>
      </c>
      <c r="C99" s="11"/>
      <c r="D99" s="2">
        <f>-2172.95</f>
        <v>-2172.9499999999998</v>
      </c>
      <c r="E99" s="2"/>
      <c r="F99" s="19"/>
      <c r="G99" s="2"/>
      <c r="H99" s="2">
        <f>-1249.23</f>
        <v>-1249.23</v>
      </c>
      <c r="I99" s="2"/>
      <c r="J99" s="19"/>
      <c r="K99" s="2"/>
      <c r="L99" s="2">
        <f t="shared" si="0"/>
        <v>-923.7199999999998</v>
      </c>
      <c r="M99" s="2"/>
      <c r="N99" s="19">
        <f t="shared" si="1"/>
        <v>0.73943148979771522</v>
      </c>
      <c r="O99" s="11"/>
      <c r="P99" s="2">
        <f>-27268.72</f>
        <v>-27268.720000000001</v>
      </c>
      <c r="Q99" s="2"/>
      <c r="R99" s="19"/>
      <c r="S99" s="2"/>
      <c r="T99" s="2">
        <f>-18991.98</f>
        <v>-18991.98</v>
      </c>
      <c r="U99" s="2"/>
      <c r="V99" s="19"/>
      <c r="W99" s="2"/>
      <c r="X99" s="2">
        <f t="shared" si="2"/>
        <v>-8276.7400000000016</v>
      </c>
      <c r="Y99" s="2"/>
      <c r="Z99" s="19">
        <f t="shared" si="3"/>
        <v>0.43580184899099522</v>
      </c>
    </row>
    <row r="100" spans="1:26" s="24" customFormat="1" hidden="1" outlineLevel="1" x14ac:dyDescent="0.25">
      <c r="A100" s="44"/>
      <c r="B100" s="11" t="str">
        <f>CONCATENATE("          ", "4311", " - ", "SALES RETURN NON TAXABLE-NO VA")</f>
        <v xml:space="preserve">          4311 - SALES RETURN NON TAXABLE-NO VA</v>
      </c>
      <c r="C100" s="11"/>
      <c r="D100" s="2">
        <f t="shared" ref="D100:D103" si="21">0</f>
        <v>0</v>
      </c>
      <c r="E100" s="2"/>
      <c r="F100" s="19"/>
      <c r="G100" s="2"/>
      <c r="H100" s="2">
        <f>-169.45</f>
        <v>-169.45</v>
      </c>
      <c r="I100" s="2"/>
      <c r="J100" s="19"/>
      <c r="K100" s="2"/>
      <c r="L100" s="2">
        <f t="shared" si="0"/>
        <v>169.45</v>
      </c>
      <c r="M100" s="2"/>
      <c r="N100" s="19">
        <f t="shared" si="1"/>
        <v>-1</v>
      </c>
      <c r="O100" s="11"/>
      <c r="P100" s="2">
        <f t="shared" ref="P100:P103" si="22">0</f>
        <v>0</v>
      </c>
      <c r="Q100" s="2"/>
      <c r="R100" s="19"/>
      <c r="S100" s="2"/>
      <c r="T100" s="2">
        <f>-794.76</f>
        <v>-794.76</v>
      </c>
      <c r="U100" s="2"/>
      <c r="V100" s="19"/>
      <c r="W100" s="2"/>
      <c r="X100" s="2">
        <f t="shared" si="2"/>
        <v>794.76</v>
      </c>
      <c r="Y100" s="2"/>
      <c r="Z100" s="19">
        <f t="shared" si="3"/>
        <v>-1</v>
      </c>
    </row>
    <row r="101" spans="1:26" s="24" customFormat="1" hidden="1" outlineLevel="1" x14ac:dyDescent="0.25">
      <c r="A101" s="44"/>
      <c r="B101" s="11" t="str">
        <f>CONCATENATE("          ", "4327", " - ", "SALES RETURN NON TAXABLE-SCHOO")</f>
        <v xml:space="preserve">          4327 - SALES RETURN NON TAXABLE-SCHOO</v>
      </c>
      <c r="C101" s="11"/>
      <c r="D101" s="2">
        <f t="shared" si="21"/>
        <v>0</v>
      </c>
      <c r="E101" s="2"/>
      <c r="F101" s="19"/>
      <c r="G101" s="2"/>
      <c r="H101" s="2">
        <f>0</f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 t="shared" si="22"/>
        <v>0</v>
      </c>
      <c r="Q101" s="2"/>
      <c r="R101" s="19"/>
      <c r="S101" s="2"/>
      <c r="T101" s="2">
        <f>-21.87</f>
        <v>-21.87</v>
      </c>
      <c r="U101" s="2"/>
      <c r="V101" s="19"/>
      <c r="W101" s="2"/>
      <c r="X101" s="2">
        <f t="shared" si="2"/>
        <v>21.87</v>
      </c>
      <c r="Y101" s="2"/>
      <c r="Z101" s="19">
        <f t="shared" si="3"/>
        <v>-1</v>
      </c>
    </row>
    <row r="102" spans="1:26" s="24" customFormat="1" hidden="1" outlineLevel="1" x14ac:dyDescent="0.25">
      <c r="A102" s="44"/>
      <c r="B102" s="11" t="str">
        <f>CONCATENATE("          ", "4331", " - ", "SALES RETURN NON TAXABLE-FOOD")</f>
        <v xml:space="preserve">          4331 - SALES RETURN NON TAXABLE-FOOD</v>
      </c>
      <c r="C102" s="11"/>
      <c r="D102" s="2">
        <f t="shared" si="21"/>
        <v>0</v>
      </c>
      <c r="E102" s="2"/>
      <c r="F102" s="19"/>
      <c r="G102" s="2"/>
      <c r="H102" s="2">
        <f>-7.58</f>
        <v>-7.58</v>
      </c>
      <c r="I102" s="2"/>
      <c r="J102" s="19"/>
      <c r="K102" s="2"/>
      <c r="L102" s="2">
        <f t="shared" si="0"/>
        <v>7.58</v>
      </c>
      <c r="M102" s="2"/>
      <c r="N102" s="19">
        <f t="shared" si="1"/>
        <v>-1</v>
      </c>
      <c r="O102" s="11"/>
      <c r="P102" s="2">
        <f t="shared" si="22"/>
        <v>0</v>
      </c>
      <c r="Q102" s="2"/>
      <c r="R102" s="19"/>
      <c r="S102" s="2"/>
      <c r="T102" s="2">
        <f>-7.58</f>
        <v>-7.58</v>
      </c>
      <c r="U102" s="2"/>
      <c r="V102" s="19"/>
      <c r="W102" s="2"/>
      <c r="X102" s="2">
        <f t="shared" si="2"/>
        <v>7.58</v>
      </c>
      <c r="Y102" s="2"/>
      <c r="Z102" s="19">
        <f t="shared" si="3"/>
        <v>-1</v>
      </c>
    </row>
    <row r="103" spans="1:26" s="24" customFormat="1" hidden="1" outlineLevel="1" x14ac:dyDescent="0.25">
      <c r="A103" s="44"/>
      <c r="B103" s="11" t="str">
        <f>CONCATENATE("          ", "4332", " - ", "SALES RETURN NON TAXABLE-JUICE")</f>
        <v xml:space="preserve">          4332 - SALES RETURN NON TAXABLE-JUICE</v>
      </c>
      <c r="C103" s="11"/>
      <c r="D103" s="2">
        <f t="shared" si="21"/>
        <v>0</v>
      </c>
      <c r="E103" s="2"/>
      <c r="F103" s="19"/>
      <c r="G103" s="2"/>
      <c r="H103" s="2">
        <f>-2.79</f>
        <v>-2.79</v>
      </c>
      <c r="I103" s="2"/>
      <c r="J103" s="19"/>
      <c r="K103" s="2"/>
      <c r="L103" s="2">
        <f t="shared" si="0"/>
        <v>2.79</v>
      </c>
      <c r="M103" s="2"/>
      <c r="N103" s="19">
        <f t="shared" si="1"/>
        <v>-1</v>
      </c>
      <c r="O103" s="11"/>
      <c r="P103" s="2">
        <f t="shared" si="22"/>
        <v>0</v>
      </c>
      <c r="Q103" s="2"/>
      <c r="R103" s="19"/>
      <c r="S103" s="2"/>
      <c r="T103" s="2">
        <f>-2.79</f>
        <v>-2.79</v>
      </c>
      <c r="U103" s="2"/>
      <c r="V103" s="19"/>
      <c r="W103" s="2"/>
      <c r="X103" s="2">
        <f t="shared" si="2"/>
        <v>2.79</v>
      </c>
      <c r="Y103" s="2"/>
      <c r="Z103" s="19">
        <f t="shared" si="3"/>
        <v>-1</v>
      </c>
    </row>
    <row r="104" spans="1:26" s="24" customFormat="1" hidden="1" outlineLevel="1" x14ac:dyDescent="0.25">
      <c r="A104" s="44"/>
      <c r="B104" s="11" t="str">
        <f>CONCATENATE("          ", "4340", " - ", "SALES RETURN NON TAXABLE-LOGO")</f>
        <v xml:space="preserve">          4340 - SALES RETURN NON TAXABLE-LOGO</v>
      </c>
      <c r="C104" s="11"/>
      <c r="D104" s="2">
        <f>-76.9</f>
        <v>-76.900000000000006</v>
      </c>
      <c r="E104" s="2"/>
      <c r="F104" s="19"/>
      <c r="G104" s="2"/>
      <c r="H104" s="2">
        <f>0</f>
        <v>0</v>
      </c>
      <c r="I104" s="2"/>
      <c r="J104" s="19"/>
      <c r="K104" s="2"/>
      <c r="L104" s="2">
        <f t="shared" si="0"/>
        <v>-76.900000000000006</v>
      </c>
      <c r="M104" s="2"/>
      <c r="N104" s="19">
        <f t="shared" si="1"/>
        <v>0</v>
      </c>
      <c r="O104" s="11"/>
      <c r="P104" s="2">
        <f>-2292.84</f>
        <v>-2292.84</v>
      </c>
      <c r="Q104" s="2"/>
      <c r="R104" s="19"/>
      <c r="S104" s="2"/>
      <c r="T104" s="2">
        <f>-931.65</f>
        <v>-931.65</v>
      </c>
      <c r="U104" s="2"/>
      <c r="V104" s="19"/>
      <c r="W104" s="2"/>
      <c r="X104" s="2">
        <f t="shared" si="2"/>
        <v>-1361.19</v>
      </c>
      <c r="Y104" s="2"/>
      <c r="Z104" s="19">
        <f t="shared" si="3"/>
        <v>1.4610529705361457</v>
      </c>
    </row>
    <row r="105" spans="1:26" s="24" customFormat="1" hidden="1" outlineLevel="1" x14ac:dyDescent="0.25">
      <c r="A105" s="44"/>
      <c r="B105" s="11" t="str">
        <f>CONCATENATE("          ", "4341", " - ", "SALES RETURN NON TAXABLE-LOGO")</f>
        <v xml:space="preserve">          4341 - SALES RETURN NON TAXABLE-LOGO</v>
      </c>
      <c r="C105" s="11"/>
      <c r="D105" s="2">
        <f t="shared" ref="D105:D107" si="23">0</f>
        <v>0</v>
      </c>
      <c r="E105" s="2"/>
      <c r="F105" s="19"/>
      <c r="G105" s="2"/>
      <c r="H105" s="2">
        <f>-214.7</f>
        <v>-214.7</v>
      </c>
      <c r="I105" s="2"/>
      <c r="J105" s="19"/>
      <c r="K105" s="2"/>
      <c r="L105" s="2">
        <f t="shared" si="0"/>
        <v>214.7</v>
      </c>
      <c r="M105" s="2"/>
      <c r="N105" s="19">
        <f t="shared" si="1"/>
        <v>-1</v>
      </c>
      <c r="O105" s="11"/>
      <c r="P105" s="2">
        <f>-362.64</f>
        <v>-362.64</v>
      </c>
      <c r="Q105" s="2"/>
      <c r="R105" s="19"/>
      <c r="S105" s="2"/>
      <c r="T105" s="2">
        <f>-245.5</f>
        <v>-245.5</v>
      </c>
      <c r="U105" s="2"/>
      <c r="V105" s="19"/>
      <c r="W105" s="2"/>
      <c r="X105" s="2">
        <f t="shared" si="2"/>
        <v>-117.13999999999999</v>
      </c>
      <c r="Y105" s="2"/>
      <c r="Z105" s="19">
        <f t="shared" si="3"/>
        <v>0.47714867617107937</v>
      </c>
    </row>
    <row r="106" spans="1:26" s="24" customFormat="1" hidden="1" outlineLevel="1" x14ac:dyDescent="0.25">
      <c r="A106" s="44"/>
      <c r="B106" s="11" t="str">
        <f>CONCATENATE("          ", "4342", " - ", "SALES RETURN NON TAXABLE-EVERY")</f>
        <v xml:space="preserve">          4342 - SALES RETURN NON TAXABLE-EVERY</v>
      </c>
      <c r="C106" s="11"/>
      <c r="D106" s="2">
        <f t="shared" si="23"/>
        <v>0</v>
      </c>
      <c r="E106" s="2"/>
      <c r="F106" s="19"/>
      <c r="G106" s="2"/>
      <c r="H106" s="2">
        <f t="shared" ref="H106:H107" si="24">0</f>
        <v>0</v>
      </c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-118.7</f>
        <v>-118.7</v>
      </c>
      <c r="Q106" s="2"/>
      <c r="R106" s="19"/>
      <c r="S106" s="2"/>
      <c r="T106" s="2">
        <f>-149.22</f>
        <v>-149.22</v>
      </c>
      <c r="U106" s="2"/>
      <c r="V106" s="19"/>
      <c r="W106" s="2"/>
      <c r="X106" s="2">
        <f t="shared" si="2"/>
        <v>30.519999999999996</v>
      </c>
      <c r="Y106" s="2"/>
      <c r="Z106" s="19">
        <f t="shared" si="3"/>
        <v>-0.20453022383058569</v>
      </c>
    </row>
    <row r="107" spans="1:26" s="24" customFormat="1" hidden="1" outlineLevel="1" x14ac:dyDescent="0.25">
      <c r="A107" s="44"/>
      <c r="B107" s="11" t="str">
        <f>CONCATENATE("          ", "4346", " - ", "SALES RETURN NON TAXABLE-COIN-")</f>
        <v xml:space="preserve">          4346 - SALES RETURN NON TAXABLE-COIN-</v>
      </c>
      <c r="C107" s="11"/>
      <c r="D107" s="2">
        <f t="shared" si="23"/>
        <v>0</v>
      </c>
      <c r="E107" s="2"/>
      <c r="F107" s="19"/>
      <c r="G107" s="2"/>
      <c r="H107" s="2">
        <f t="shared" si="24"/>
        <v>0</v>
      </c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1"/>
      <c r="P107" s="2">
        <f>0</f>
        <v>0</v>
      </c>
      <c r="Q107" s="2"/>
      <c r="R107" s="19"/>
      <c r="S107" s="2"/>
      <c r="T107" s="2">
        <f>-8.15</f>
        <v>-8.15</v>
      </c>
      <c r="U107" s="2"/>
      <c r="V107" s="19"/>
      <c r="W107" s="2"/>
      <c r="X107" s="2">
        <f t="shared" si="2"/>
        <v>8.15</v>
      </c>
      <c r="Y107" s="2"/>
      <c r="Z107" s="19">
        <f t="shared" si="3"/>
        <v>-1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collapsed="1" x14ac:dyDescent="0.25">
      <c r="A109" s="10"/>
      <c r="B109" s="28" t="s">
        <v>8</v>
      </c>
      <c r="C109" s="10"/>
      <c r="D109" s="4">
        <f>SUM(OSRRefD16x_0)</f>
        <v>116310.13999999997</v>
      </c>
      <c r="E109" s="4"/>
      <c r="F109" s="12">
        <f t="shared" ref="F109:F159" si="25">IF(D$12=0,0,D109/D$12)</f>
        <v>0.57340787807542026</v>
      </c>
      <c r="G109" s="4"/>
      <c r="H109" s="4">
        <f>SUM(OSRRefH16x_0)</f>
        <v>502286.68999999994</v>
      </c>
      <c r="I109" s="4"/>
      <c r="J109" s="12">
        <f t="shared" ref="J109:J159" si="26">IF(H$12=0,0,H109/H$12)</f>
        <v>0.74123852182467431</v>
      </c>
      <c r="K109" s="4"/>
      <c r="L109" s="4">
        <f t="shared" ref="L109:L159" si="27">+D109-H109</f>
        <v>-385976.55</v>
      </c>
      <c r="M109" s="4"/>
      <c r="N109" s="12">
        <f t="shared" ref="N109:N159" si="28">IF(H109=0,0,L109/H109)</f>
        <v>-0.76843873764602444</v>
      </c>
      <c r="O109" s="10"/>
      <c r="P109" s="4">
        <f>SUM(OSRRefP16x_0)</f>
        <v>2622526.9100000006</v>
      </c>
      <c r="Q109" s="4"/>
      <c r="R109" s="12">
        <f t="shared" ref="R109:R159" si="29">IF(P$12=0,0,P109/P$12)</f>
        <v>0.6427323243476416</v>
      </c>
      <c r="S109" s="4"/>
      <c r="T109" s="4">
        <f>SUM(OSRRefT16x_0)</f>
        <v>4912236.0799999982</v>
      </c>
      <c r="U109" s="4"/>
      <c r="V109" s="12">
        <f t="shared" ref="V109:V159" si="30">IF(T$12=0,0,T109/T$12)</f>
        <v>0.58714935036038784</v>
      </c>
      <c r="W109" s="4"/>
      <c r="X109" s="4">
        <f t="shared" ref="X109:X159" si="31">+P109-T109</f>
        <v>-2289709.1699999976</v>
      </c>
      <c r="Y109" s="4"/>
      <c r="Z109" s="12">
        <f t="shared" ref="Z109:Z159" si="32">IF(T109=0,0,X109/T109)</f>
        <v>-0.46612360088361193</v>
      </c>
    </row>
    <row r="110" spans="1:26" s="24" customFormat="1" hidden="1" outlineLevel="1" x14ac:dyDescent="0.25">
      <c r="A110" s="44"/>
      <c r="B110" s="11" t="str">
        <f>CONCATENATE("          ", "5001", " - ", "PURCHASES @ COST-NEW TEXT")</f>
        <v xml:space="preserve">          5001 - PURCHASES @ COST-NEW TEXT</v>
      </c>
      <c r="C110" s="11"/>
      <c r="D110" s="2">
        <v>-332593.57</v>
      </c>
      <c r="E110" s="2"/>
      <c r="F110" s="19">
        <f t="shared" si="25"/>
        <v>-1.6396831199345887</v>
      </c>
      <c r="G110" s="2"/>
      <c r="H110" s="2">
        <v>-110695.19</v>
      </c>
      <c r="I110" s="2"/>
      <c r="J110" s="19">
        <f t="shared" si="26"/>
        <v>-0.16335598900440998</v>
      </c>
      <c r="K110" s="2"/>
      <c r="L110" s="2">
        <f t="shared" si="27"/>
        <v>-221898.38</v>
      </c>
      <c r="M110" s="2"/>
      <c r="N110" s="19">
        <f t="shared" si="28"/>
        <v>2.0045891786264605</v>
      </c>
      <c r="O110" s="11"/>
      <c r="P110" s="2">
        <v>1326415.6399999999</v>
      </c>
      <c r="Q110" s="2"/>
      <c r="R110" s="19">
        <f t="shared" si="29"/>
        <v>0.32507967948678335</v>
      </c>
      <c r="S110" s="2"/>
      <c r="T110" s="2">
        <v>2516599.4700000002</v>
      </c>
      <c r="U110" s="2"/>
      <c r="V110" s="19">
        <f t="shared" si="30"/>
        <v>0.30080389457336448</v>
      </c>
      <c r="W110" s="2"/>
      <c r="X110" s="2">
        <f t="shared" si="31"/>
        <v>-1190183.8300000003</v>
      </c>
      <c r="Y110" s="2"/>
      <c r="Z110" s="19">
        <f t="shared" si="32"/>
        <v>-0.47293335478609166</v>
      </c>
    </row>
    <row r="111" spans="1:26" s="24" customFormat="1" hidden="1" outlineLevel="1" x14ac:dyDescent="0.25">
      <c r="A111" s="44"/>
      <c r="B111" s="11" t="str">
        <f>CONCATENATE("          ", "5002", " - ", "PURCHASES @ COST-USED TEXT")</f>
        <v xml:space="preserve">          5002 - PURCHASES @ COST-USED TEXT</v>
      </c>
      <c r="C111" s="11"/>
      <c r="D111" s="2">
        <v>121987.94000000002</v>
      </c>
      <c r="E111" s="2"/>
      <c r="F111" s="19">
        <f t="shared" si="25"/>
        <v>0.6013993777859068</v>
      </c>
      <c r="G111" s="2"/>
      <c r="H111" s="2">
        <v>11947.84</v>
      </c>
      <c r="I111" s="2"/>
      <c r="J111" s="19">
        <f t="shared" si="26"/>
        <v>1.7631761774531029E-2</v>
      </c>
      <c r="K111" s="2"/>
      <c r="L111" s="2">
        <f t="shared" si="27"/>
        <v>110040.10000000002</v>
      </c>
      <c r="M111" s="2"/>
      <c r="N111" s="19">
        <f t="shared" si="28"/>
        <v>9.2100413129067693</v>
      </c>
      <c r="O111" s="11"/>
      <c r="P111" s="2">
        <v>382324.22000000003</v>
      </c>
      <c r="Q111" s="2"/>
      <c r="R111" s="19">
        <f t="shared" si="29"/>
        <v>9.3700519768927376E-2</v>
      </c>
      <c r="S111" s="2"/>
      <c r="T111" s="2">
        <v>524555.37</v>
      </c>
      <c r="U111" s="2"/>
      <c r="V111" s="19">
        <f t="shared" si="30"/>
        <v>6.2699011144340816E-2</v>
      </c>
      <c r="W111" s="2"/>
      <c r="X111" s="2">
        <f t="shared" si="31"/>
        <v>-142231.14999999997</v>
      </c>
      <c r="Y111" s="2"/>
      <c r="Z111" s="19">
        <f t="shared" si="32"/>
        <v>-0.27114611370769109</v>
      </c>
    </row>
    <row r="112" spans="1:26" s="24" customFormat="1" hidden="1" outlineLevel="1" x14ac:dyDescent="0.25">
      <c r="A112" s="44"/>
      <c r="B112" s="11" t="str">
        <f>CONCATENATE("          ", "5003", " - ", "PURCHASES @ COST-RENTAL TEXT")</f>
        <v xml:space="preserve">          5003 - PURCHASES @ COST-RENTAL TEXT</v>
      </c>
      <c r="C112" s="11"/>
      <c r="D112" s="2"/>
      <c r="E112" s="2"/>
      <c r="F112" s="19">
        <f t="shared" si="25"/>
        <v>0</v>
      </c>
      <c r="G112" s="2"/>
      <c r="H112" s="2"/>
      <c r="I112" s="2"/>
      <c r="J112" s="19">
        <f t="shared" si="26"/>
        <v>0</v>
      </c>
      <c r="K112" s="2"/>
      <c r="L112" s="2">
        <f t="shared" si="27"/>
        <v>0</v>
      </c>
      <c r="M112" s="2"/>
      <c r="N112" s="19">
        <f t="shared" si="28"/>
        <v>0</v>
      </c>
      <c r="O112" s="11"/>
      <c r="P112" s="2">
        <v>32.520000000000003</v>
      </c>
      <c r="Q112" s="2"/>
      <c r="R112" s="19">
        <f t="shared" si="29"/>
        <v>7.970044123507316E-6</v>
      </c>
      <c r="S112" s="2"/>
      <c r="T112" s="2">
        <v>-78.400000000000006</v>
      </c>
      <c r="U112" s="2"/>
      <c r="V112" s="19">
        <f t="shared" si="30"/>
        <v>-9.3709887551362212E-6</v>
      </c>
      <c r="W112" s="2"/>
      <c r="X112" s="2">
        <f t="shared" si="31"/>
        <v>110.92000000000002</v>
      </c>
      <c r="Y112" s="2"/>
      <c r="Z112" s="19">
        <f t="shared" si="32"/>
        <v>-1.4147959183673471</v>
      </c>
    </row>
    <row r="113" spans="1:26" s="24" customFormat="1" hidden="1" outlineLevel="1" x14ac:dyDescent="0.25">
      <c r="A113" s="44"/>
      <c r="B113" s="11" t="str">
        <f>CONCATENATE("          ", "5004", " - ", "PURCHASES @ COST-DIGITAL TEXT")</f>
        <v xml:space="preserve">          5004 - PURCHASES @ COST-DIGITAL TEXT</v>
      </c>
      <c r="C113" s="11"/>
      <c r="D113" s="2">
        <v>3282.02</v>
      </c>
      <c r="E113" s="2"/>
      <c r="F113" s="19">
        <f t="shared" si="25"/>
        <v>1.618032721825536E-2</v>
      </c>
      <c r="G113" s="2"/>
      <c r="H113" s="2">
        <v>61264.060000000005</v>
      </c>
      <c r="I113" s="2"/>
      <c r="J113" s="19">
        <f t="shared" si="26"/>
        <v>9.0409087438447083E-2</v>
      </c>
      <c r="K113" s="2"/>
      <c r="L113" s="2">
        <f t="shared" si="27"/>
        <v>-57982.040000000008</v>
      </c>
      <c r="M113" s="2"/>
      <c r="N113" s="19">
        <f t="shared" si="28"/>
        <v>-0.94642829743898793</v>
      </c>
      <c r="O113" s="11"/>
      <c r="P113" s="2">
        <v>220008.58000000002</v>
      </c>
      <c r="Q113" s="2"/>
      <c r="R113" s="19">
        <f t="shared" si="29"/>
        <v>5.391999047202304E-2</v>
      </c>
      <c r="S113" s="2"/>
      <c r="T113" s="2">
        <v>535157.82999999996</v>
      </c>
      <c r="U113" s="2"/>
      <c r="V113" s="19">
        <f t="shared" si="30"/>
        <v>6.3966301111646695E-2</v>
      </c>
      <c r="W113" s="2"/>
      <c r="X113" s="2">
        <f t="shared" si="31"/>
        <v>-315149.24999999994</v>
      </c>
      <c r="Y113" s="2"/>
      <c r="Z113" s="19">
        <f t="shared" si="32"/>
        <v>-0.58889029055222819</v>
      </c>
    </row>
    <row r="114" spans="1:26" s="24" customFormat="1" hidden="1" outlineLevel="1" x14ac:dyDescent="0.25">
      <c r="A114" s="44"/>
      <c r="B114" s="11" t="str">
        <f>CONCATENATE("          ", "5011", " - ", "PURCHASES @ COST-NO VALUE TEXT")</f>
        <v xml:space="preserve">          5011 - PURCHASES @ COST-NO VALUE TEXT</v>
      </c>
      <c r="C114" s="11"/>
      <c r="D114" s="2"/>
      <c r="E114" s="2"/>
      <c r="F114" s="19">
        <f t="shared" si="25"/>
        <v>0</v>
      </c>
      <c r="G114" s="2"/>
      <c r="H114" s="2">
        <v>258</v>
      </c>
      <c r="I114" s="2"/>
      <c r="J114" s="19">
        <f t="shared" si="26"/>
        <v>3.8073781853699125E-4</v>
      </c>
      <c r="K114" s="2"/>
      <c r="L114" s="2">
        <f t="shared" si="27"/>
        <v>-258</v>
      </c>
      <c r="M114" s="2"/>
      <c r="N114" s="19">
        <f t="shared" si="28"/>
        <v>-1</v>
      </c>
      <c r="O114" s="11"/>
      <c r="P114" s="2">
        <v>67.17</v>
      </c>
      <c r="Q114" s="2"/>
      <c r="R114" s="19">
        <f t="shared" si="29"/>
        <v>1.6462111432225907E-5</v>
      </c>
      <c r="S114" s="2"/>
      <c r="T114" s="2">
        <v>5733</v>
      </c>
      <c r="U114" s="2"/>
      <c r="V114" s="19">
        <f t="shared" si="30"/>
        <v>6.8525355271933615E-4</v>
      </c>
      <c r="W114" s="2"/>
      <c r="X114" s="2">
        <f t="shared" si="31"/>
        <v>-5665.83</v>
      </c>
      <c r="Y114" s="2"/>
      <c r="Z114" s="19">
        <f t="shared" si="32"/>
        <v>-0.98828362114076396</v>
      </c>
    </row>
    <row r="115" spans="1:26" s="24" customFormat="1" hidden="1" outlineLevel="1" x14ac:dyDescent="0.25">
      <c r="A115" s="44"/>
      <c r="B115" s="11" t="str">
        <f>CONCATENATE("          ", "5013", " - ", "PURCHASES @ COST-TRADE BOOKS")</f>
        <v xml:space="preserve">          5013 - PURCHASES @ COST-TRADE BOOKS</v>
      </c>
      <c r="C115" s="11"/>
      <c r="D115" s="2">
        <v>305.11</v>
      </c>
      <c r="E115" s="2"/>
      <c r="F115" s="19">
        <f t="shared" si="25"/>
        <v>1.5041893826246923E-3</v>
      </c>
      <c r="G115" s="2"/>
      <c r="H115" s="2">
        <v>2592.2600000000002</v>
      </c>
      <c r="I115" s="2"/>
      <c r="J115" s="19">
        <f t="shared" si="26"/>
        <v>3.8254706103903143E-3</v>
      </c>
      <c r="K115" s="2"/>
      <c r="L115" s="2">
        <f t="shared" si="27"/>
        <v>-2287.15</v>
      </c>
      <c r="M115" s="2"/>
      <c r="N115" s="19">
        <f t="shared" si="28"/>
        <v>-0.88229961500775378</v>
      </c>
      <c r="O115" s="11"/>
      <c r="P115" s="2">
        <v>5962.09</v>
      </c>
      <c r="Q115" s="2"/>
      <c r="R115" s="19">
        <f t="shared" si="29"/>
        <v>1.4611968132940262E-3</v>
      </c>
      <c r="S115" s="2"/>
      <c r="T115" s="2">
        <v>3050.72</v>
      </c>
      <c r="U115" s="2"/>
      <c r="V115" s="19">
        <f t="shared" si="30"/>
        <v>3.6464620937588224E-4</v>
      </c>
      <c r="W115" s="2"/>
      <c r="X115" s="2">
        <f t="shared" si="31"/>
        <v>2911.3700000000003</v>
      </c>
      <c r="Y115" s="2"/>
      <c r="Z115" s="19">
        <f t="shared" si="32"/>
        <v>0.95432225835212692</v>
      </c>
    </row>
    <row r="116" spans="1:26" s="24" customFormat="1" hidden="1" outlineLevel="1" x14ac:dyDescent="0.25">
      <c r="A116" s="44"/>
      <c r="B116" s="11" t="str">
        <f>CONCATENATE("          ", "5014", " - ", "PURCHASES @ COST-REMAINDERS")</f>
        <v xml:space="preserve">          5014 - PURCHASES @ COST-REMAINDERS</v>
      </c>
      <c r="C116" s="11"/>
      <c r="D116" s="2">
        <v>21.16</v>
      </c>
      <c r="E116" s="2"/>
      <c r="F116" s="19">
        <f t="shared" si="25"/>
        <v>1.043185976740798E-4</v>
      </c>
      <c r="G116" s="2"/>
      <c r="H116" s="2">
        <v>17.78</v>
      </c>
      <c r="I116" s="2"/>
      <c r="J116" s="19">
        <f t="shared" si="26"/>
        <v>2.6238443463518238E-5</v>
      </c>
      <c r="K116" s="2"/>
      <c r="L116" s="2">
        <f t="shared" si="27"/>
        <v>3.379999999999999</v>
      </c>
      <c r="M116" s="2"/>
      <c r="N116" s="19">
        <f t="shared" si="28"/>
        <v>0.19010123734533177</v>
      </c>
      <c r="O116" s="11"/>
      <c r="P116" s="2">
        <v>111.57</v>
      </c>
      <c r="Q116" s="2"/>
      <c r="R116" s="19">
        <f t="shared" si="29"/>
        <v>2.7343721490151022E-5</v>
      </c>
      <c r="S116" s="2"/>
      <c r="T116" s="2">
        <v>601.16999999999996</v>
      </c>
      <c r="U116" s="2"/>
      <c r="V116" s="19">
        <f t="shared" si="30"/>
        <v>7.1856598340883185E-5</v>
      </c>
      <c r="W116" s="2"/>
      <c r="X116" s="2">
        <f t="shared" si="31"/>
        <v>-489.59999999999997</v>
      </c>
      <c r="Y116" s="2"/>
      <c r="Z116" s="19">
        <f t="shared" si="32"/>
        <v>-0.8144118968012376</v>
      </c>
    </row>
    <row r="117" spans="1:26" s="24" customFormat="1" hidden="1" outlineLevel="1" x14ac:dyDescent="0.25">
      <c r="A117" s="44"/>
      <c r="B117" s="11" t="str">
        <f>CONCATENATE("          ", "5017", " - ", "PURCHASES @ COST-DORM/HOUSEWAR")</f>
        <v xml:space="preserve">          5017 - PURCHASES @ COST-DORM/HOUSEWAR</v>
      </c>
      <c r="C117" s="11"/>
      <c r="D117" s="2"/>
      <c r="E117" s="2"/>
      <c r="F117" s="19">
        <f t="shared" si="25"/>
        <v>0</v>
      </c>
      <c r="G117" s="2"/>
      <c r="H117" s="2"/>
      <c r="I117" s="2"/>
      <c r="J117" s="19">
        <f t="shared" si="26"/>
        <v>0</v>
      </c>
      <c r="K117" s="2"/>
      <c r="L117" s="2">
        <f t="shared" si="27"/>
        <v>0</v>
      </c>
      <c r="M117" s="2"/>
      <c r="N117" s="19">
        <f t="shared" si="28"/>
        <v>0</v>
      </c>
      <c r="O117" s="11"/>
      <c r="P117" s="2"/>
      <c r="Q117" s="2"/>
      <c r="R117" s="19">
        <f t="shared" si="29"/>
        <v>0</v>
      </c>
      <c r="S117" s="2"/>
      <c r="T117" s="2">
        <v>0</v>
      </c>
      <c r="U117" s="2"/>
      <c r="V117" s="19">
        <f t="shared" si="30"/>
        <v>0</v>
      </c>
      <c r="W117" s="2"/>
      <c r="X117" s="2">
        <f t="shared" si="31"/>
        <v>0</v>
      </c>
      <c r="Y117" s="2"/>
      <c r="Z117" s="19">
        <f t="shared" si="32"/>
        <v>0</v>
      </c>
    </row>
    <row r="118" spans="1:26" s="24" customFormat="1" hidden="1" outlineLevel="1" x14ac:dyDescent="0.25">
      <c r="A118" s="44"/>
      <c r="B118" s="11" t="str">
        <f>CONCATENATE("          ", "5018", " - ", "PURCHASES @ COST-STUDY GUIDES")</f>
        <v xml:space="preserve">          5018 - PURCHASES @ COST-STUDY GUIDES</v>
      </c>
      <c r="C118" s="11"/>
      <c r="D118" s="2"/>
      <c r="E118" s="2"/>
      <c r="F118" s="19">
        <f t="shared" si="25"/>
        <v>0</v>
      </c>
      <c r="G118" s="2"/>
      <c r="H118" s="2">
        <v>237.28</v>
      </c>
      <c r="I118" s="2"/>
      <c r="J118" s="19">
        <f t="shared" si="26"/>
        <v>3.5016073481572592E-4</v>
      </c>
      <c r="K118" s="2"/>
      <c r="L118" s="2">
        <f t="shared" si="27"/>
        <v>-237.28</v>
      </c>
      <c r="M118" s="2"/>
      <c r="N118" s="19">
        <f t="shared" si="28"/>
        <v>-1</v>
      </c>
      <c r="O118" s="11"/>
      <c r="P118" s="2">
        <v>522.34</v>
      </c>
      <c r="Q118" s="2"/>
      <c r="R118" s="19">
        <f t="shared" si="29"/>
        <v>1.2801577021749115E-4</v>
      </c>
      <c r="S118" s="2"/>
      <c r="T118" s="2">
        <v>2268.4299999999998</v>
      </c>
      <c r="U118" s="2"/>
      <c r="V118" s="19">
        <f t="shared" si="30"/>
        <v>2.7114071456394969E-4</v>
      </c>
      <c r="W118" s="2"/>
      <c r="X118" s="2">
        <f t="shared" si="31"/>
        <v>-1746.0899999999997</v>
      </c>
      <c r="Y118" s="2"/>
      <c r="Z118" s="19">
        <f t="shared" si="32"/>
        <v>-0.76973501496629815</v>
      </c>
    </row>
    <row r="119" spans="1:26" s="24" customFormat="1" hidden="1" outlineLevel="1" x14ac:dyDescent="0.25">
      <c r="A119" s="44"/>
      <c r="B119" s="11" t="str">
        <f>CONCATENATE("          ", "5025", " - ", "PURCHASES @ COST-TEST FORMS")</f>
        <v xml:space="preserve">          5025 - PURCHASES @ COST-TEST FORMS</v>
      </c>
      <c r="C119" s="11"/>
      <c r="D119" s="2"/>
      <c r="E119" s="2"/>
      <c r="F119" s="19">
        <f t="shared" si="25"/>
        <v>0</v>
      </c>
      <c r="G119" s="2"/>
      <c r="H119" s="2">
        <v>3423</v>
      </c>
      <c r="I119" s="2"/>
      <c r="J119" s="19">
        <f t="shared" si="26"/>
        <v>5.0514168715198489E-3</v>
      </c>
      <c r="K119" s="2"/>
      <c r="L119" s="2">
        <f t="shared" si="27"/>
        <v>-3423</v>
      </c>
      <c r="M119" s="2"/>
      <c r="N119" s="19">
        <f t="shared" si="28"/>
        <v>-1</v>
      </c>
      <c r="O119" s="11"/>
      <c r="P119" s="2">
        <v>599.29</v>
      </c>
      <c r="Q119" s="2"/>
      <c r="R119" s="19">
        <f t="shared" si="29"/>
        <v>1.4687477683815187E-4</v>
      </c>
      <c r="S119" s="2"/>
      <c r="T119" s="2">
        <v>26401.390000000003</v>
      </c>
      <c r="U119" s="2"/>
      <c r="V119" s="19">
        <f t="shared" si="30"/>
        <v>3.1557031735965036E-3</v>
      </c>
      <c r="W119" s="2"/>
      <c r="X119" s="2">
        <f t="shared" si="31"/>
        <v>-25802.100000000002</v>
      </c>
      <c r="Y119" s="2"/>
      <c r="Z119" s="19">
        <f t="shared" si="32"/>
        <v>-0.97730081635853261</v>
      </c>
    </row>
    <row r="120" spans="1:26" s="24" customFormat="1" hidden="1" outlineLevel="1" x14ac:dyDescent="0.25">
      <c r="A120" s="44"/>
      <c r="B120" s="11" t="str">
        <f>CONCATENATE("          ", "5026", " - ", "PURCHASES @ COST-WRITING INSTR")</f>
        <v xml:space="preserve">          5026 - PURCHASES @ COST-WRITING INSTR</v>
      </c>
      <c r="C120" s="11"/>
      <c r="D120" s="2"/>
      <c r="E120" s="2"/>
      <c r="F120" s="19">
        <f t="shared" si="25"/>
        <v>0</v>
      </c>
      <c r="G120" s="2"/>
      <c r="H120" s="2">
        <v>2265.86</v>
      </c>
      <c r="I120" s="2"/>
      <c r="J120" s="19">
        <f t="shared" si="26"/>
        <v>3.3437929981016555E-3</v>
      </c>
      <c r="K120" s="2"/>
      <c r="L120" s="2">
        <f t="shared" si="27"/>
        <v>-2265.86</v>
      </c>
      <c r="M120" s="2"/>
      <c r="N120" s="19">
        <f t="shared" si="28"/>
        <v>-1</v>
      </c>
      <c r="O120" s="11"/>
      <c r="P120" s="2">
        <v>374.91</v>
      </c>
      <c r="Q120" s="2"/>
      <c r="R120" s="19">
        <f t="shared" si="29"/>
        <v>9.1883433036412299E-5</v>
      </c>
      <c r="S120" s="2"/>
      <c r="T120" s="2">
        <v>45762.009999999995</v>
      </c>
      <c r="U120" s="2"/>
      <c r="V120" s="19">
        <f t="shared" si="30"/>
        <v>5.4698377694187656E-3</v>
      </c>
      <c r="W120" s="2"/>
      <c r="X120" s="2">
        <f t="shared" si="31"/>
        <v>-45387.099999999991</v>
      </c>
      <c r="Y120" s="2"/>
      <c r="Z120" s="19">
        <f t="shared" si="32"/>
        <v>-0.99180739657195993</v>
      </c>
    </row>
    <row r="121" spans="1:26" s="24" customFormat="1" hidden="1" outlineLevel="1" x14ac:dyDescent="0.25">
      <c r="A121" s="44"/>
      <c r="B121" s="11" t="str">
        <f>CONCATENATE("          ", "5027", " - ", "PURCHASES @ COST-SCHOOL SUPPLI")</f>
        <v xml:space="preserve">          5027 - PURCHASES @ COST-SCHOOL SUPPLI</v>
      </c>
      <c r="C121" s="11"/>
      <c r="D121" s="2"/>
      <c r="E121" s="2"/>
      <c r="F121" s="19">
        <f t="shared" si="25"/>
        <v>0</v>
      </c>
      <c r="G121" s="2"/>
      <c r="H121" s="2">
        <v>-2462.8200000000002</v>
      </c>
      <c r="I121" s="2"/>
      <c r="J121" s="19">
        <f t="shared" si="26"/>
        <v>-3.6344523808111351E-3</v>
      </c>
      <c r="K121" s="2"/>
      <c r="L121" s="2">
        <f t="shared" si="27"/>
        <v>2462.8200000000002</v>
      </c>
      <c r="M121" s="2"/>
      <c r="N121" s="19">
        <f t="shared" si="28"/>
        <v>-1</v>
      </c>
      <c r="O121" s="11"/>
      <c r="P121" s="2">
        <v>19071.350000000002</v>
      </c>
      <c r="Q121" s="2"/>
      <c r="R121" s="19">
        <f t="shared" si="29"/>
        <v>4.6740313959056359E-3</v>
      </c>
      <c r="S121" s="2"/>
      <c r="T121" s="2">
        <v>118351.2</v>
      </c>
      <c r="U121" s="2"/>
      <c r="V121" s="19">
        <f t="shared" si="30"/>
        <v>1.4146272504552013E-2</v>
      </c>
      <c r="W121" s="2"/>
      <c r="X121" s="2">
        <f t="shared" si="31"/>
        <v>-99279.849999999991</v>
      </c>
      <c r="Y121" s="2"/>
      <c r="Z121" s="19">
        <f t="shared" si="32"/>
        <v>-0.83885799214541124</v>
      </c>
    </row>
    <row r="122" spans="1:26" s="24" customFormat="1" hidden="1" outlineLevel="1" x14ac:dyDescent="0.25">
      <c r="A122" s="44"/>
      <c r="B122" s="11" t="str">
        <f>CONCATENATE("          ", "5028", " - ", "PURCHASES @ COST-ART/TECH")</f>
        <v xml:space="preserve">          5028 - PURCHASES @ COST-ART/TECH</v>
      </c>
      <c r="C122" s="11"/>
      <c r="D122" s="2">
        <v>833.13</v>
      </c>
      <c r="E122" s="2"/>
      <c r="F122" s="19">
        <f t="shared" si="25"/>
        <v>4.1073229338471689E-3</v>
      </c>
      <c r="G122" s="2"/>
      <c r="H122" s="2">
        <v>11525.28</v>
      </c>
      <c r="I122" s="2"/>
      <c r="J122" s="19">
        <f t="shared" si="26"/>
        <v>1.7008178159798507E-2</v>
      </c>
      <c r="K122" s="2"/>
      <c r="L122" s="2">
        <f t="shared" si="27"/>
        <v>-10692.150000000001</v>
      </c>
      <c r="M122" s="2"/>
      <c r="N122" s="19">
        <f t="shared" si="28"/>
        <v>-0.92771281912456793</v>
      </c>
      <c r="O122" s="11"/>
      <c r="P122" s="2">
        <v>42191.58</v>
      </c>
      <c r="Q122" s="2"/>
      <c r="R122" s="19">
        <f t="shared" si="29"/>
        <v>1.0340367596570997E-2</v>
      </c>
      <c r="S122" s="2"/>
      <c r="T122" s="2">
        <v>146652.78</v>
      </c>
      <c r="U122" s="2"/>
      <c r="V122" s="19">
        <f t="shared" si="30"/>
        <v>1.7529101432263598E-2</v>
      </c>
      <c r="W122" s="2"/>
      <c r="X122" s="2">
        <f t="shared" si="31"/>
        <v>-104461.2</v>
      </c>
      <c r="Y122" s="2"/>
      <c r="Z122" s="19">
        <f t="shared" si="32"/>
        <v>-0.71230289667880831</v>
      </c>
    </row>
    <row r="123" spans="1:26" s="24" customFormat="1" hidden="1" outlineLevel="1" x14ac:dyDescent="0.25">
      <c r="A123" s="44"/>
      <c r="B123" s="11" t="str">
        <f>CONCATENATE("          ", "5031", " - ", "PURCHASES @ COST-FOOD")</f>
        <v xml:space="preserve">          5031 - PURCHASES @ COST-FOOD</v>
      </c>
      <c r="C123" s="11"/>
      <c r="D123" s="2">
        <v>271.45999999999998</v>
      </c>
      <c r="E123" s="2"/>
      <c r="F123" s="19">
        <f t="shared" si="25"/>
        <v>1.3382952043764509E-3</v>
      </c>
      <c r="G123" s="2"/>
      <c r="H123" s="2">
        <v>5225.67</v>
      </c>
      <c r="I123" s="2"/>
      <c r="J123" s="19">
        <f t="shared" si="26"/>
        <v>7.7116674271092995E-3</v>
      </c>
      <c r="K123" s="2"/>
      <c r="L123" s="2">
        <f t="shared" si="27"/>
        <v>-4954.21</v>
      </c>
      <c r="M123" s="2"/>
      <c r="N123" s="19">
        <f t="shared" si="28"/>
        <v>-0.94805259421279953</v>
      </c>
      <c r="O123" s="11"/>
      <c r="P123" s="2">
        <v>7785.72</v>
      </c>
      <c r="Q123" s="2"/>
      <c r="R123" s="19">
        <f t="shared" si="29"/>
        <v>1.9081344382925393E-3</v>
      </c>
      <c r="S123" s="2"/>
      <c r="T123" s="2">
        <v>30126.060000000005</v>
      </c>
      <c r="U123" s="2"/>
      <c r="V123" s="19">
        <f t="shared" si="30"/>
        <v>3.6009052231703973E-3</v>
      </c>
      <c r="W123" s="2"/>
      <c r="X123" s="2">
        <f t="shared" si="31"/>
        <v>-22340.340000000004</v>
      </c>
      <c r="Y123" s="2"/>
      <c r="Z123" s="19">
        <f t="shared" si="32"/>
        <v>-0.74156195665812252</v>
      </c>
    </row>
    <row r="124" spans="1:26" s="24" customFormat="1" hidden="1" outlineLevel="1" x14ac:dyDescent="0.25">
      <c r="A124" s="44"/>
      <c r="B124" s="11" t="str">
        <f>CONCATENATE("          ", "5032", " - ", "PURCHASES @ COST-JUICE")</f>
        <v xml:space="preserve">          5032 - PURCHASES @ COST-JUICE</v>
      </c>
      <c r="C124" s="11"/>
      <c r="D124" s="2"/>
      <c r="E124" s="2"/>
      <c r="F124" s="19">
        <f t="shared" si="25"/>
        <v>0</v>
      </c>
      <c r="G124" s="2"/>
      <c r="H124" s="2">
        <v>1720.97</v>
      </c>
      <c r="I124" s="2"/>
      <c r="J124" s="19">
        <f t="shared" si="26"/>
        <v>2.5396835797194027E-3</v>
      </c>
      <c r="K124" s="2"/>
      <c r="L124" s="2">
        <f t="shared" si="27"/>
        <v>-1720.97</v>
      </c>
      <c r="M124" s="2"/>
      <c r="N124" s="19">
        <f t="shared" si="28"/>
        <v>-1</v>
      </c>
      <c r="O124" s="11"/>
      <c r="P124" s="2"/>
      <c r="Q124" s="2"/>
      <c r="R124" s="19">
        <f t="shared" si="29"/>
        <v>0</v>
      </c>
      <c r="S124" s="2"/>
      <c r="T124" s="2">
        <v>7113.48</v>
      </c>
      <c r="U124" s="2"/>
      <c r="V124" s="19">
        <f t="shared" si="30"/>
        <v>8.5025945267712237E-4</v>
      </c>
      <c r="W124" s="2"/>
      <c r="X124" s="2">
        <f t="shared" si="31"/>
        <v>-7113.48</v>
      </c>
      <c r="Y124" s="2"/>
      <c r="Z124" s="19">
        <f t="shared" si="32"/>
        <v>-1</v>
      </c>
    </row>
    <row r="125" spans="1:26" s="24" customFormat="1" hidden="1" outlineLevel="1" x14ac:dyDescent="0.25">
      <c r="A125" s="44"/>
      <c r="B125" s="11" t="str">
        <f>CONCATENATE("          ", "5033", " - ", "PURCHASES @ COST-CANDY")</f>
        <v xml:space="preserve">          5033 - PURCHASES @ COST-CANDY</v>
      </c>
      <c r="C125" s="11"/>
      <c r="D125" s="2"/>
      <c r="E125" s="2"/>
      <c r="F125" s="19">
        <f t="shared" si="25"/>
        <v>0</v>
      </c>
      <c r="G125" s="2"/>
      <c r="H125" s="2">
        <v>1821.44</v>
      </c>
      <c r="I125" s="2"/>
      <c r="J125" s="19">
        <f t="shared" si="26"/>
        <v>2.6879499697520055E-3</v>
      </c>
      <c r="K125" s="2"/>
      <c r="L125" s="2">
        <f t="shared" si="27"/>
        <v>-1821.44</v>
      </c>
      <c r="M125" s="2"/>
      <c r="N125" s="19">
        <f t="shared" si="28"/>
        <v>-1</v>
      </c>
      <c r="O125" s="11"/>
      <c r="P125" s="2"/>
      <c r="Q125" s="2"/>
      <c r="R125" s="19">
        <f t="shared" si="29"/>
        <v>0</v>
      </c>
      <c r="S125" s="2"/>
      <c r="T125" s="2">
        <v>8825.06</v>
      </c>
      <c r="U125" s="2"/>
      <c r="V125" s="19">
        <f t="shared" si="30"/>
        <v>1.0548410462168679E-3</v>
      </c>
      <c r="W125" s="2"/>
      <c r="X125" s="2">
        <f t="shared" si="31"/>
        <v>-8825.06</v>
      </c>
      <c r="Y125" s="2"/>
      <c r="Z125" s="19">
        <f t="shared" si="32"/>
        <v>-1</v>
      </c>
    </row>
    <row r="126" spans="1:26" s="24" customFormat="1" hidden="1" outlineLevel="1" x14ac:dyDescent="0.25">
      <c r="A126" s="44"/>
      <c r="B126" s="11" t="str">
        <f>CONCATENATE("          ", "5034", " - ", "PURCHASES @ COST-SODA")</f>
        <v xml:space="preserve">          5034 - PURCHASES @ COST-SODA</v>
      </c>
      <c r="C126" s="11"/>
      <c r="D126" s="2"/>
      <c r="E126" s="2"/>
      <c r="F126" s="19">
        <f t="shared" si="25"/>
        <v>0</v>
      </c>
      <c r="G126" s="2"/>
      <c r="H126" s="2">
        <v>1637.93</v>
      </c>
      <c r="I126" s="2"/>
      <c r="J126" s="19">
        <f t="shared" si="26"/>
        <v>2.4171391283577294E-3</v>
      </c>
      <c r="K126" s="2"/>
      <c r="L126" s="2">
        <f t="shared" si="27"/>
        <v>-1637.93</v>
      </c>
      <c r="M126" s="2"/>
      <c r="N126" s="19">
        <f t="shared" si="28"/>
        <v>-1</v>
      </c>
      <c r="O126" s="11"/>
      <c r="P126" s="2"/>
      <c r="Q126" s="2"/>
      <c r="R126" s="19">
        <f t="shared" si="29"/>
        <v>0</v>
      </c>
      <c r="S126" s="2"/>
      <c r="T126" s="2">
        <v>3762.09</v>
      </c>
      <c r="U126" s="2"/>
      <c r="V126" s="19">
        <f t="shared" si="30"/>
        <v>4.4967478425778605E-4</v>
      </c>
      <c r="W126" s="2"/>
      <c r="X126" s="2">
        <f t="shared" si="31"/>
        <v>-3762.09</v>
      </c>
      <c r="Y126" s="2"/>
      <c r="Z126" s="19">
        <f t="shared" si="32"/>
        <v>-1</v>
      </c>
    </row>
    <row r="127" spans="1:26" s="24" customFormat="1" hidden="1" outlineLevel="1" x14ac:dyDescent="0.25">
      <c r="A127" s="44"/>
      <c r="B127" s="11" t="str">
        <f>CONCATENATE("          ", "5035", " - ", "PURCHASES @ COST-HEALTH &amp; BEAU")</f>
        <v xml:space="preserve">          5035 - PURCHASES @ COST-HEALTH &amp; BEAU</v>
      </c>
      <c r="C127" s="11"/>
      <c r="D127" s="2"/>
      <c r="E127" s="2"/>
      <c r="F127" s="19">
        <f t="shared" si="25"/>
        <v>0</v>
      </c>
      <c r="G127" s="2"/>
      <c r="H127" s="2">
        <v>198.47</v>
      </c>
      <c r="I127" s="2"/>
      <c r="J127" s="19">
        <f t="shared" si="26"/>
        <v>2.9288773195750641E-4</v>
      </c>
      <c r="K127" s="2"/>
      <c r="L127" s="2">
        <f t="shared" si="27"/>
        <v>-198.47</v>
      </c>
      <c r="M127" s="2"/>
      <c r="N127" s="19">
        <f t="shared" si="28"/>
        <v>-1</v>
      </c>
      <c r="O127" s="11"/>
      <c r="P127" s="2"/>
      <c r="Q127" s="2"/>
      <c r="R127" s="19">
        <f t="shared" si="29"/>
        <v>0</v>
      </c>
      <c r="S127" s="2"/>
      <c r="T127" s="2">
        <v>1055.67</v>
      </c>
      <c r="U127" s="2"/>
      <c r="V127" s="19">
        <f t="shared" si="30"/>
        <v>1.2618203697875835E-4</v>
      </c>
      <c r="W127" s="2"/>
      <c r="X127" s="2">
        <f t="shared" si="31"/>
        <v>-1055.67</v>
      </c>
      <c r="Y127" s="2"/>
      <c r="Z127" s="19">
        <f t="shared" si="32"/>
        <v>-1</v>
      </c>
    </row>
    <row r="128" spans="1:26" s="24" customFormat="1" hidden="1" outlineLevel="1" x14ac:dyDescent="0.25">
      <c r="A128" s="44"/>
      <c r="B128" s="11" t="str">
        <f>CONCATENATE("          ", "5037", " - ", "PURCHASES @ COST-WATER")</f>
        <v xml:space="preserve">          5037 - PURCHASES @ COST-WATER</v>
      </c>
      <c r="C128" s="11"/>
      <c r="D128" s="2"/>
      <c r="E128" s="2"/>
      <c r="F128" s="19">
        <f t="shared" si="25"/>
        <v>0</v>
      </c>
      <c r="G128" s="2"/>
      <c r="H128" s="2">
        <v>1540.46</v>
      </c>
      <c r="I128" s="2"/>
      <c r="J128" s="19">
        <f t="shared" si="26"/>
        <v>2.2732999222616029E-3</v>
      </c>
      <c r="K128" s="2"/>
      <c r="L128" s="2">
        <f t="shared" si="27"/>
        <v>-1540.46</v>
      </c>
      <c r="M128" s="2"/>
      <c r="N128" s="19">
        <f t="shared" si="28"/>
        <v>-1</v>
      </c>
      <c r="O128" s="11"/>
      <c r="P128" s="2"/>
      <c r="Q128" s="2"/>
      <c r="R128" s="19">
        <f t="shared" si="29"/>
        <v>0</v>
      </c>
      <c r="S128" s="2"/>
      <c r="T128" s="2">
        <v>5299.73</v>
      </c>
      <c r="U128" s="2"/>
      <c r="V128" s="19">
        <f t="shared" si="30"/>
        <v>6.3346569177625102E-4</v>
      </c>
      <c r="W128" s="2"/>
      <c r="X128" s="2">
        <f t="shared" si="31"/>
        <v>-5299.73</v>
      </c>
      <c r="Y128" s="2"/>
      <c r="Z128" s="19">
        <f t="shared" si="32"/>
        <v>-1</v>
      </c>
    </row>
    <row r="129" spans="1:26" s="24" customFormat="1" hidden="1" outlineLevel="1" x14ac:dyDescent="0.25">
      <c r="A129" s="44"/>
      <c r="B129" s="11" t="str">
        <f>CONCATENATE("          ", "5040", " - ", "PURCHASES @ COST-LOGO CLOTHING")</f>
        <v xml:space="preserve">          5040 - PURCHASES @ COST-LOGO CLOTHING</v>
      </c>
      <c r="C129" s="11"/>
      <c r="D129" s="2">
        <v>26599.9</v>
      </c>
      <c r="E129" s="2"/>
      <c r="F129" s="19">
        <f t="shared" si="25"/>
        <v>0.13113725265929846</v>
      </c>
      <c r="G129" s="2"/>
      <c r="H129" s="2">
        <v>90806.55</v>
      </c>
      <c r="I129" s="2"/>
      <c r="J129" s="19">
        <f t="shared" si="26"/>
        <v>0.13400576649562104</v>
      </c>
      <c r="K129" s="2"/>
      <c r="L129" s="2">
        <f t="shared" si="27"/>
        <v>-64206.65</v>
      </c>
      <c r="M129" s="2"/>
      <c r="N129" s="19">
        <f t="shared" si="28"/>
        <v>-0.70707069038521997</v>
      </c>
      <c r="O129" s="11"/>
      <c r="P129" s="2">
        <v>193971.09</v>
      </c>
      <c r="Q129" s="2"/>
      <c r="R129" s="19">
        <f t="shared" si="29"/>
        <v>4.7538688375916627E-2</v>
      </c>
      <c r="S129" s="2"/>
      <c r="T129" s="2">
        <v>901545.55999999994</v>
      </c>
      <c r="U129" s="2"/>
      <c r="V129" s="19">
        <f t="shared" si="30"/>
        <v>0.10775986358422177</v>
      </c>
      <c r="W129" s="2"/>
      <c r="X129" s="2">
        <f t="shared" si="31"/>
        <v>-707574.47</v>
      </c>
      <c r="Y129" s="2"/>
      <c r="Z129" s="19">
        <f t="shared" si="32"/>
        <v>-0.7848460481575662</v>
      </c>
    </row>
    <row r="130" spans="1:26" s="24" customFormat="1" hidden="1" outlineLevel="1" x14ac:dyDescent="0.25">
      <c r="A130" s="44"/>
      <c r="B130" s="11" t="str">
        <f>CONCATENATE("          ", "5041", " - ", "PURCHASES @ COST-LOGO GIFTS")</f>
        <v xml:space="preserve">          5041 - PURCHASES @ COST-LOGO GIFTS</v>
      </c>
      <c r="C130" s="11"/>
      <c r="D130" s="2">
        <v>26592.809999999998</v>
      </c>
      <c r="E130" s="2"/>
      <c r="F130" s="19">
        <f t="shared" si="25"/>
        <v>0.131102299027091</v>
      </c>
      <c r="G130" s="2"/>
      <c r="H130" s="2">
        <v>10366.19</v>
      </c>
      <c r="I130" s="2"/>
      <c r="J130" s="19">
        <f t="shared" si="26"/>
        <v>1.5297676616821604E-2</v>
      </c>
      <c r="K130" s="2"/>
      <c r="L130" s="2">
        <f t="shared" si="27"/>
        <v>16226.619999999997</v>
      </c>
      <c r="M130" s="2"/>
      <c r="N130" s="19">
        <f t="shared" si="28"/>
        <v>1.5653407857660333</v>
      </c>
      <c r="O130" s="11"/>
      <c r="P130" s="2">
        <v>67563.81</v>
      </c>
      <c r="Q130" s="2"/>
      <c r="R130" s="19">
        <f t="shared" si="29"/>
        <v>1.6558626901976164E-2</v>
      </c>
      <c r="S130" s="2"/>
      <c r="T130" s="2">
        <v>134382.06</v>
      </c>
      <c r="U130" s="2"/>
      <c r="V130" s="19">
        <f t="shared" si="30"/>
        <v>1.6062407820816849E-2</v>
      </c>
      <c r="W130" s="2"/>
      <c r="X130" s="2">
        <f t="shared" si="31"/>
        <v>-66818.25</v>
      </c>
      <c r="Y130" s="2"/>
      <c r="Z130" s="19">
        <f t="shared" si="32"/>
        <v>-0.49722596900211236</v>
      </c>
    </row>
    <row r="131" spans="1:26" s="24" customFormat="1" hidden="1" outlineLevel="1" x14ac:dyDescent="0.25">
      <c r="A131" s="44"/>
      <c r="B131" s="11" t="str">
        <f>CONCATENATE("          ", "5042", " - ", "PURCHASES @ COST-EVERYDAY GIFT")</f>
        <v xml:space="preserve">          5042 - PURCHASES @ COST-EVERYDAY GIFT</v>
      </c>
      <c r="C131" s="11"/>
      <c r="D131" s="2">
        <v>1196.2</v>
      </c>
      <c r="E131" s="2"/>
      <c r="F131" s="19">
        <f t="shared" si="25"/>
        <v>5.8972545622747764E-3</v>
      </c>
      <c r="G131" s="2"/>
      <c r="H131" s="2">
        <v>8647</v>
      </c>
      <c r="I131" s="2"/>
      <c r="J131" s="19">
        <f t="shared" si="26"/>
        <v>1.276061983290451E-2</v>
      </c>
      <c r="K131" s="2"/>
      <c r="L131" s="2">
        <f t="shared" si="27"/>
        <v>-7450.8</v>
      </c>
      <c r="M131" s="2"/>
      <c r="N131" s="19">
        <f t="shared" si="28"/>
        <v>-0.86166300451023481</v>
      </c>
      <c r="O131" s="11"/>
      <c r="P131" s="2">
        <v>19018.18</v>
      </c>
      <c r="Q131" s="2"/>
      <c r="R131" s="19">
        <f t="shared" si="29"/>
        <v>4.6610004227799623E-3</v>
      </c>
      <c r="S131" s="2"/>
      <c r="T131" s="2">
        <v>100007.97</v>
      </c>
      <c r="U131" s="2"/>
      <c r="V131" s="19">
        <f t="shared" si="30"/>
        <v>1.1953744417015312E-2</v>
      </c>
      <c r="W131" s="2"/>
      <c r="X131" s="2">
        <f t="shared" si="31"/>
        <v>-80989.790000000008</v>
      </c>
      <c r="Y131" s="2"/>
      <c r="Z131" s="19">
        <f t="shared" si="32"/>
        <v>-0.80983335628150444</v>
      </c>
    </row>
    <row r="132" spans="1:26" s="24" customFormat="1" hidden="1" outlineLevel="1" x14ac:dyDescent="0.25">
      <c r="A132" s="44"/>
      <c r="B132" s="11" t="str">
        <f>CONCATENATE("          ", "5043", " - ", "PURCHASES @ COST-CARDS")</f>
        <v xml:space="preserve">          5043 - PURCHASES @ COST-CARDS</v>
      </c>
      <c r="C132" s="11"/>
      <c r="D132" s="2"/>
      <c r="E132" s="2"/>
      <c r="F132" s="19">
        <f t="shared" si="25"/>
        <v>0</v>
      </c>
      <c r="G132" s="2"/>
      <c r="H132" s="2">
        <v>18340.75</v>
      </c>
      <c r="I132" s="2"/>
      <c r="J132" s="19">
        <f t="shared" si="26"/>
        <v>2.7065957927644661E-2</v>
      </c>
      <c r="K132" s="2"/>
      <c r="L132" s="2">
        <f t="shared" si="27"/>
        <v>-18340.75</v>
      </c>
      <c r="M132" s="2"/>
      <c r="N132" s="19">
        <f t="shared" si="28"/>
        <v>-1</v>
      </c>
      <c r="O132" s="11"/>
      <c r="P132" s="2">
        <v>55364.33</v>
      </c>
      <c r="Q132" s="2"/>
      <c r="R132" s="19">
        <f t="shared" si="29"/>
        <v>1.3568762391402823E-2</v>
      </c>
      <c r="S132" s="2"/>
      <c r="T132" s="2">
        <v>29035.16</v>
      </c>
      <c r="U132" s="2"/>
      <c r="V132" s="19">
        <f t="shared" si="30"/>
        <v>3.4705122176477165E-3</v>
      </c>
      <c r="W132" s="2"/>
      <c r="X132" s="2">
        <f t="shared" si="31"/>
        <v>26329.170000000002</v>
      </c>
      <c r="Y132" s="2"/>
      <c r="Z132" s="19">
        <f t="shared" si="32"/>
        <v>0.90680299333635506</v>
      </c>
    </row>
    <row r="133" spans="1:26" s="24" customFormat="1" hidden="1" outlineLevel="1" x14ac:dyDescent="0.25">
      <c r="A133" s="44"/>
      <c r="B133" s="11" t="str">
        <f>CONCATENATE("          ", "5044", " - ", "PURCHASES @ COST-ACCESSORIES")</f>
        <v xml:space="preserve">          5044 - PURCHASES @ COST-ACCESSORIES</v>
      </c>
      <c r="C133" s="11"/>
      <c r="D133" s="2"/>
      <c r="E133" s="2"/>
      <c r="F133" s="19">
        <f t="shared" si="25"/>
        <v>0</v>
      </c>
      <c r="G133" s="2"/>
      <c r="H133" s="2">
        <v>12532.23</v>
      </c>
      <c r="I133" s="2"/>
      <c r="J133" s="19">
        <f t="shared" si="26"/>
        <v>1.849416244807689E-2</v>
      </c>
      <c r="K133" s="2"/>
      <c r="L133" s="2">
        <f t="shared" si="27"/>
        <v>-12532.23</v>
      </c>
      <c r="M133" s="2"/>
      <c r="N133" s="19">
        <f t="shared" si="28"/>
        <v>-1</v>
      </c>
      <c r="O133" s="11"/>
      <c r="P133" s="2">
        <v>1064.83</v>
      </c>
      <c r="Q133" s="2"/>
      <c r="R133" s="19">
        <f t="shared" si="29"/>
        <v>2.6096992878334239E-4</v>
      </c>
      <c r="S133" s="2"/>
      <c r="T133" s="2">
        <v>33399.440000000002</v>
      </c>
      <c r="U133" s="2"/>
      <c r="V133" s="19">
        <f t="shared" si="30"/>
        <v>3.9921655187225369E-3</v>
      </c>
      <c r="W133" s="2"/>
      <c r="X133" s="2">
        <f t="shared" si="31"/>
        <v>-32334.61</v>
      </c>
      <c r="Y133" s="2"/>
      <c r="Z133" s="19">
        <f t="shared" si="32"/>
        <v>-0.968118327732441</v>
      </c>
    </row>
    <row r="134" spans="1:26" s="24" customFormat="1" hidden="1" outlineLevel="1" x14ac:dyDescent="0.25">
      <c r="A134" s="44"/>
      <c r="B134" s="11" t="str">
        <f>CONCATENATE("          ", "5045", " - ", "PURCHASES @ COST-SPECIAL ORDER")</f>
        <v xml:space="preserve">          5045 - PURCHASES @ COST-SPECIAL ORDER</v>
      </c>
      <c r="C134" s="11"/>
      <c r="D134" s="2">
        <v>1909.13</v>
      </c>
      <c r="E134" s="2"/>
      <c r="F134" s="19">
        <f t="shared" si="25"/>
        <v>9.411992645440263E-3</v>
      </c>
      <c r="G134" s="2"/>
      <c r="H134" s="2">
        <v>2948.55</v>
      </c>
      <c r="I134" s="2"/>
      <c r="J134" s="19">
        <f t="shared" si="26"/>
        <v>4.3512577319660684E-3</v>
      </c>
      <c r="K134" s="2"/>
      <c r="L134" s="2">
        <f t="shared" si="27"/>
        <v>-1039.42</v>
      </c>
      <c r="M134" s="2"/>
      <c r="N134" s="19">
        <f t="shared" si="28"/>
        <v>-0.35251903477980701</v>
      </c>
      <c r="O134" s="11"/>
      <c r="P134" s="2">
        <v>95373.51</v>
      </c>
      <c r="Q134" s="2"/>
      <c r="R134" s="19">
        <f t="shared" si="29"/>
        <v>2.3374264542243731E-2</v>
      </c>
      <c r="S134" s="2"/>
      <c r="T134" s="2">
        <v>50964.780000000006</v>
      </c>
      <c r="U134" s="2"/>
      <c r="V134" s="19">
        <f t="shared" si="30"/>
        <v>6.0917140342856045E-3</v>
      </c>
      <c r="W134" s="2"/>
      <c r="X134" s="2">
        <f t="shared" si="31"/>
        <v>44408.729999999989</v>
      </c>
      <c r="Y134" s="2"/>
      <c r="Z134" s="19">
        <f t="shared" si="32"/>
        <v>0.87136116353293358</v>
      </c>
    </row>
    <row r="135" spans="1:26" s="24" customFormat="1" hidden="1" outlineLevel="1" x14ac:dyDescent="0.25">
      <c r="A135" s="44"/>
      <c r="B135" s="11" t="str">
        <f>CONCATENATE("          ", "5081", " - ", "PURCHASES @ COST-ELECTRONICS")</f>
        <v xml:space="preserve">          5081 - PURCHASES @ COST-ELECTRONICS</v>
      </c>
      <c r="C135" s="11"/>
      <c r="D135" s="2"/>
      <c r="E135" s="2"/>
      <c r="F135" s="19">
        <f t="shared" si="25"/>
        <v>0</v>
      </c>
      <c r="G135" s="2"/>
      <c r="H135" s="2"/>
      <c r="I135" s="2"/>
      <c r="J135" s="19">
        <f t="shared" si="26"/>
        <v>0</v>
      </c>
      <c r="K135" s="2"/>
      <c r="L135" s="2">
        <f t="shared" si="27"/>
        <v>0</v>
      </c>
      <c r="M135" s="2"/>
      <c r="N135" s="19">
        <f t="shared" si="28"/>
        <v>0</v>
      </c>
      <c r="O135" s="11"/>
      <c r="P135" s="2"/>
      <c r="Q135" s="2"/>
      <c r="R135" s="19">
        <f t="shared" si="29"/>
        <v>0</v>
      </c>
      <c r="S135" s="2"/>
      <c r="T135" s="2">
        <v>1891.21</v>
      </c>
      <c r="U135" s="2"/>
      <c r="V135" s="19">
        <f t="shared" si="30"/>
        <v>2.2605239341328025E-4</v>
      </c>
      <c r="W135" s="2"/>
      <c r="X135" s="2">
        <f t="shared" si="31"/>
        <v>-1891.21</v>
      </c>
      <c r="Y135" s="2"/>
      <c r="Z135" s="19">
        <f t="shared" si="32"/>
        <v>-1</v>
      </c>
    </row>
    <row r="136" spans="1:26" s="24" customFormat="1" hidden="1" outlineLevel="1" x14ac:dyDescent="0.25">
      <c r="A136" s="44"/>
      <c r="B136" s="11" t="str">
        <f>CONCATENATE("          ", "5082", " - ", "PURCHASES @ COST-COMPUTER HARD")</f>
        <v xml:space="preserve">          5082 - PURCHASES @ COST-COMPUTER HARD</v>
      </c>
      <c r="C136" s="11"/>
      <c r="D136" s="2"/>
      <c r="E136" s="2"/>
      <c r="F136" s="19">
        <f t="shared" si="25"/>
        <v>0</v>
      </c>
      <c r="G136" s="2"/>
      <c r="H136" s="2"/>
      <c r="I136" s="2"/>
      <c r="J136" s="19">
        <f t="shared" si="26"/>
        <v>0</v>
      </c>
      <c r="K136" s="2"/>
      <c r="L136" s="2">
        <f t="shared" si="27"/>
        <v>0</v>
      </c>
      <c r="M136" s="2"/>
      <c r="N136" s="19">
        <f t="shared" si="28"/>
        <v>0</v>
      </c>
      <c r="O136" s="11"/>
      <c r="P136" s="2"/>
      <c r="Q136" s="2"/>
      <c r="R136" s="19">
        <f t="shared" si="29"/>
        <v>0</v>
      </c>
      <c r="S136" s="2"/>
      <c r="T136" s="2">
        <v>349.6</v>
      </c>
      <c r="U136" s="2"/>
      <c r="V136" s="19">
        <f t="shared" si="30"/>
        <v>4.1786960061168663E-5</v>
      </c>
      <c r="W136" s="2"/>
      <c r="X136" s="2">
        <f t="shared" si="31"/>
        <v>-349.6</v>
      </c>
      <c r="Y136" s="2"/>
      <c r="Z136" s="19">
        <f t="shared" si="32"/>
        <v>-1</v>
      </c>
    </row>
    <row r="137" spans="1:26" s="24" customFormat="1" hidden="1" outlineLevel="1" x14ac:dyDescent="0.25">
      <c r="A137" s="44"/>
      <c r="B137" s="11" t="str">
        <f>CONCATENATE("          ", "5083", " - ", "PURCHASES @ COST-COMPUTER EQUI")</f>
        <v xml:space="preserve">          5083 - PURCHASES @ COST-COMPUTER EQUI</v>
      </c>
      <c r="C137" s="11"/>
      <c r="D137" s="2"/>
      <c r="E137" s="2"/>
      <c r="F137" s="19">
        <f t="shared" si="25"/>
        <v>0</v>
      </c>
      <c r="G137" s="2"/>
      <c r="H137" s="2">
        <v>-67.650000000000006</v>
      </c>
      <c r="I137" s="2"/>
      <c r="J137" s="19">
        <f t="shared" si="26"/>
        <v>-9.98329977675483E-5</v>
      </c>
      <c r="K137" s="2"/>
      <c r="L137" s="2">
        <f t="shared" si="27"/>
        <v>67.650000000000006</v>
      </c>
      <c r="M137" s="2"/>
      <c r="N137" s="19">
        <f t="shared" si="28"/>
        <v>-1</v>
      </c>
      <c r="O137" s="11"/>
      <c r="P137" s="2"/>
      <c r="Q137" s="2"/>
      <c r="R137" s="19">
        <f t="shared" si="29"/>
        <v>0</v>
      </c>
      <c r="S137" s="2"/>
      <c r="T137" s="2">
        <v>395.06</v>
      </c>
      <c r="U137" s="2"/>
      <c r="V137" s="19">
        <f t="shared" si="30"/>
        <v>4.7220699204134124E-5</v>
      </c>
      <c r="W137" s="2"/>
      <c r="X137" s="2">
        <f t="shared" si="31"/>
        <v>-395.06</v>
      </c>
      <c r="Y137" s="2"/>
      <c r="Z137" s="19">
        <f t="shared" si="32"/>
        <v>-1</v>
      </c>
    </row>
    <row r="138" spans="1:26" s="24" customFormat="1" hidden="1" outlineLevel="1" x14ac:dyDescent="0.25">
      <c r="A138" s="44"/>
      <c r="B138" s="11" t="str">
        <f>CONCATENATE("          ", "5086", " - ", "PURCHASES @ COST-COMPUTER SUPP")</f>
        <v xml:space="preserve">          5086 - PURCHASES @ COST-COMPUTER SUPP</v>
      </c>
      <c r="C138" s="11"/>
      <c r="D138" s="2">
        <v>13.21</v>
      </c>
      <c r="E138" s="2"/>
      <c r="F138" s="19">
        <f t="shared" si="25"/>
        <v>6.5125173689725631E-5</v>
      </c>
      <c r="G138" s="2"/>
      <c r="H138" s="2">
        <v>9.98</v>
      </c>
      <c r="I138" s="2"/>
      <c r="J138" s="19">
        <f t="shared" si="26"/>
        <v>1.4727765228678966E-5</v>
      </c>
      <c r="K138" s="2"/>
      <c r="L138" s="2">
        <f t="shared" si="27"/>
        <v>3.2300000000000004</v>
      </c>
      <c r="M138" s="2"/>
      <c r="N138" s="19">
        <f t="shared" si="28"/>
        <v>0.3236472945891784</v>
      </c>
      <c r="O138" s="11"/>
      <c r="P138" s="2">
        <v>13.21</v>
      </c>
      <c r="Q138" s="2"/>
      <c r="R138" s="19">
        <f t="shared" si="29"/>
        <v>3.2375240735403336E-6</v>
      </c>
      <c r="S138" s="2"/>
      <c r="T138" s="2">
        <v>426.22</v>
      </c>
      <c r="U138" s="2"/>
      <c r="V138" s="19">
        <f t="shared" si="30"/>
        <v>5.0945189122629593E-5</v>
      </c>
      <c r="W138" s="2"/>
      <c r="X138" s="2">
        <f t="shared" si="31"/>
        <v>-413.01000000000005</v>
      </c>
      <c r="Y138" s="2"/>
      <c r="Z138" s="19">
        <f t="shared" si="32"/>
        <v>-0.96900661630144058</v>
      </c>
    </row>
    <row r="139" spans="1:26" s="24" customFormat="1" hidden="1" outlineLevel="1" x14ac:dyDescent="0.25">
      <c r="A139" s="44"/>
      <c r="B139" s="11" t="str">
        <f>CONCATENATE("          ", "5092", " - ", "PURCHASES @ COST-GRAD MERCH")</f>
        <v xml:space="preserve">          5092 - PURCHASES @ COST-GRAD MERCH</v>
      </c>
      <c r="C139" s="11"/>
      <c r="D139" s="2"/>
      <c r="E139" s="2"/>
      <c r="F139" s="19">
        <f t="shared" si="25"/>
        <v>0</v>
      </c>
      <c r="G139" s="2"/>
      <c r="H139" s="2">
        <v>-137.06</v>
      </c>
      <c r="I139" s="2"/>
      <c r="J139" s="19">
        <f t="shared" si="26"/>
        <v>-2.0226327677782955E-4</v>
      </c>
      <c r="K139" s="2"/>
      <c r="L139" s="2">
        <f t="shared" si="27"/>
        <v>137.06</v>
      </c>
      <c r="M139" s="2"/>
      <c r="N139" s="19">
        <f t="shared" si="28"/>
        <v>-1</v>
      </c>
      <c r="O139" s="11"/>
      <c r="P139" s="2"/>
      <c r="Q139" s="2"/>
      <c r="R139" s="19">
        <f t="shared" si="29"/>
        <v>0</v>
      </c>
      <c r="S139" s="2"/>
      <c r="T139" s="2">
        <v>1909.8</v>
      </c>
      <c r="U139" s="2"/>
      <c r="V139" s="19">
        <f t="shared" si="30"/>
        <v>2.2827441740509125E-4</v>
      </c>
      <c r="W139" s="2"/>
      <c r="X139" s="2">
        <f t="shared" si="31"/>
        <v>-1909.8</v>
      </c>
      <c r="Y139" s="2"/>
      <c r="Z139" s="19">
        <f t="shared" si="32"/>
        <v>-1</v>
      </c>
    </row>
    <row r="140" spans="1:26" s="24" customFormat="1" hidden="1" outlineLevel="1" x14ac:dyDescent="0.25">
      <c r="A140" s="44"/>
      <c r="B140" s="11" t="str">
        <f>CONCATENATE("          ", "5095", " - ", "PURCHASES @ COST-CUSTOMER SERV")</f>
        <v xml:space="preserve">          5095 - PURCHASES @ COST-CUSTOMER SERV</v>
      </c>
      <c r="C140" s="11"/>
      <c r="D140" s="2"/>
      <c r="E140" s="2"/>
      <c r="F140" s="19">
        <f t="shared" si="25"/>
        <v>0</v>
      </c>
      <c r="G140" s="2"/>
      <c r="H140" s="2"/>
      <c r="I140" s="2"/>
      <c r="J140" s="19">
        <f t="shared" si="26"/>
        <v>0</v>
      </c>
      <c r="K140" s="2"/>
      <c r="L140" s="2">
        <f t="shared" si="27"/>
        <v>0</v>
      </c>
      <c r="M140" s="2"/>
      <c r="N140" s="19">
        <f t="shared" si="28"/>
        <v>0</v>
      </c>
      <c r="O140" s="11"/>
      <c r="P140" s="2"/>
      <c r="Q140" s="2"/>
      <c r="R140" s="19">
        <f t="shared" si="29"/>
        <v>0</v>
      </c>
      <c r="S140" s="2"/>
      <c r="T140" s="2">
        <v>0</v>
      </c>
      <c r="U140" s="2"/>
      <c r="V140" s="19">
        <f t="shared" si="30"/>
        <v>0</v>
      </c>
      <c r="W140" s="2"/>
      <c r="X140" s="2">
        <f t="shared" si="31"/>
        <v>0</v>
      </c>
      <c r="Y140" s="2"/>
      <c r="Z140" s="19">
        <f t="shared" si="32"/>
        <v>0</v>
      </c>
    </row>
    <row r="141" spans="1:26" s="24" customFormat="1" hidden="1" outlineLevel="1" x14ac:dyDescent="0.25">
      <c r="A141" s="44"/>
      <c r="B141" s="11" t="str">
        <f>CONCATENATE("          ", "5200", " - ", "PURCHASES OFFSET")</f>
        <v xml:space="preserve">          5200 - PURCHASES OFFSET</v>
      </c>
      <c r="C141" s="11"/>
      <c r="D141" s="2">
        <v>154765.96</v>
      </c>
      <c r="E141" s="2"/>
      <c r="F141" s="19">
        <f t="shared" si="25"/>
        <v>0.76299470297177341</v>
      </c>
      <c r="G141" s="2"/>
      <c r="H141" s="2">
        <v>-148774</v>
      </c>
      <c r="I141" s="2"/>
      <c r="J141" s="19">
        <f t="shared" si="26"/>
        <v>-0.219549954321792</v>
      </c>
      <c r="K141" s="2"/>
      <c r="L141" s="2">
        <f t="shared" si="27"/>
        <v>303539.95999999996</v>
      </c>
      <c r="M141" s="2"/>
      <c r="N141" s="19">
        <f t="shared" si="28"/>
        <v>-2.040275585787839</v>
      </c>
      <c r="O141" s="11"/>
      <c r="P141" s="2">
        <v>-1981017.4399999997</v>
      </c>
      <c r="Q141" s="2"/>
      <c r="R141" s="19">
        <f t="shared" si="29"/>
        <v>-0.48551034459524922</v>
      </c>
      <c r="S141" s="2"/>
      <c r="T141" s="2">
        <v>-4174340</v>
      </c>
      <c r="U141" s="2"/>
      <c r="V141" s="19">
        <f t="shared" si="30"/>
        <v>-0.498950168368818</v>
      </c>
      <c r="W141" s="2"/>
      <c r="X141" s="2">
        <f t="shared" si="31"/>
        <v>2193322.5600000005</v>
      </c>
      <c r="Y141" s="2"/>
      <c r="Z141" s="19">
        <f t="shared" si="32"/>
        <v>-0.52542978291178977</v>
      </c>
    </row>
    <row r="142" spans="1:26" s="24" customFormat="1" hidden="1" outlineLevel="1" x14ac:dyDescent="0.25">
      <c r="A142" s="44"/>
      <c r="B142" s="11" t="str">
        <f>CONCATENATE("          ", "5300", " - ", "COG$ OFFSET")</f>
        <v xml:space="preserve">          5300 - COG$ OFFSET</v>
      </c>
      <c r="C142" s="11"/>
      <c r="D142" s="2">
        <v>104323</v>
      </c>
      <c r="E142" s="2"/>
      <c r="F142" s="19">
        <f t="shared" si="25"/>
        <v>0.51431139249305424</v>
      </c>
      <c r="G142" s="2"/>
      <c r="H142" s="2">
        <v>480847</v>
      </c>
      <c r="I142" s="2"/>
      <c r="J142" s="19">
        <f t="shared" si="26"/>
        <v>0.70959937143432805</v>
      </c>
      <c r="K142" s="2"/>
      <c r="L142" s="2">
        <f t="shared" si="27"/>
        <v>-376524</v>
      </c>
      <c r="M142" s="2"/>
      <c r="N142" s="19">
        <f t="shared" si="28"/>
        <v>-0.78304325492308369</v>
      </c>
      <c r="O142" s="11"/>
      <c r="P142" s="2">
        <v>2079913.0000000002</v>
      </c>
      <c r="Q142" s="2"/>
      <c r="R142" s="19">
        <f t="shared" si="29"/>
        <v>0.5097477977569641</v>
      </c>
      <c r="S142" s="2"/>
      <c r="T142" s="2">
        <v>3726737.47</v>
      </c>
      <c r="U142" s="2"/>
      <c r="V142" s="19">
        <f t="shared" si="30"/>
        <v>0.44544916995809708</v>
      </c>
      <c r="W142" s="2"/>
      <c r="X142" s="2">
        <f t="shared" si="31"/>
        <v>-1646824.47</v>
      </c>
      <c r="Y142" s="2"/>
      <c r="Z142" s="19">
        <f t="shared" si="32"/>
        <v>-0.44189441388260703</v>
      </c>
    </row>
    <row r="143" spans="1:26" s="24" customFormat="1" hidden="1" outlineLevel="1" x14ac:dyDescent="0.25">
      <c r="A143" s="44"/>
      <c r="B143" s="11" t="str">
        <f>CONCATENATE("          ", "5500", " - ", "FREIGHT-IN")</f>
        <v xml:space="preserve">          5500 - FREIGHT-IN</v>
      </c>
      <c r="C143" s="11"/>
      <c r="D143" s="2"/>
      <c r="E143" s="2"/>
      <c r="F143" s="19">
        <f t="shared" si="25"/>
        <v>0</v>
      </c>
      <c r="G143" s="2"/>
      <c r="H143" s="2">
        <v>33.950000000000003</v>
      </c>
      <c r="I143" s="2"/>
      <c r="J143" s="19">
        <f t="shared" si="26"/>
        <v>5.0100964881127347E-5</v>
      </c>
      <c r="K143" s="2"/>
      <c r="L143" s="2">
        <f t="shared" si="27"/>
        <v>-33.950000000000003</v>
      </c>
      <c r="M143" s="2"/>
      <c r="N143" s="19">
        <f t="shared" si="28"/>
        <v>-1</v>
      </c>
      <c r="O143" s="11"/>
      <c r="P143" s="2"/>
      <c r="Q143" s="2"/>
      <c r="R143" s="19">
        <f t="shared" si="29"/>
        <v>0</v>
      </c>
      <c r="S143" s="2"/>
      <c r="T143" s="2">
        <v>156.47999999999999</v>
      </c>
      <c r="U143" s="2"/>
      <c r="V143" s="19">
        <f t="shared" si="30"/>
        <v>1.8703728576578006E-5</v>
      </c>
      <c r="W143" s="2"/>
      <c r="X143" s="2">
        <f t="shared" si="31"/>
        <v>-156.47999999999999</v>
      </c>
      <c r="Y143" s="2"/>
      <c r="Z143" s="19">
        <f t="shared" si="32"/>
        <v>-1</v>
      </c>
    </row>
    <row r="144" spans="1:26" s="24" customFormat="1" hidden="1" outlineLevel="1" x14ac:dyDescent="0.25">
      <c r="A144" s="44"/>
      <c r="B144" s="11" t="str">
        <f>CONCATENATE("          ", "5501", " - ", "FREIGHT-IN-NEW TEXT")</f>
        <v xml:space="preserve">          5501 - FREIGHT-IN-NEW TEXT</v>
      </c>
      <c r="C144" s="11"/>
      <c r="D144" s="2">
        <v>4638.13</v>
      </c>
      <c r="E144" s="2"/>
      <c r="F144" s="19">
        <f t="shared" si="25"/>
        <v>2.2865936551516055E-2</v>
      </c>
      <c r="G144" s="2"/>
      <c r="H144" s="2">
        <v>23947.37</v>
      </c>
      <c r="I144" s="2"/>
      <c r="J144" s="19">
        <f t="shared" si="26"/>
        <v>3.5339803928287554E-2</v>
      </c>
      <c r="K144" s="2"/>
      <c r="L144" s="2">
        <f t="shared" si="27"/>
        <v>-19309.239999999998</v>
      </c>
      <c r="M144" s="2"/>
      <c r="N144" s="19">
        <f t="shared" si="28"/>
        <v>-0.80631985892396529</v>
      </c>
      <c r="O144" s="11"/>
      <c r="P144" s="2">
        <v>49256.92</v>
      </c>
      <c r="Q144" s="2"/>
      <c r="R144" s="19">
        <f t="shared" si="29"/>
        <v>1.2071950362486776E-2</v>
      </c>
      <c r="S144" s="2"/>
      <c r="T144" s="2">
        <v>66024.739999999991</v>
      </c>
      <c r="U144" s="2"/>
      <c r="V144" s="19">
        <f t="shared" si="30"/>
        <v>7.8917996951631698E-3</v>
      </c>
      <c r="W144" s="2"/>
      <c r="X144" s="2">
        <f t="shared" si="31"/>
        <v>-16767.819999999992</v>
      </c>
      <c r="Y144" s="2"/>
      <c r="Z144" s="19">
        <f t="shared" si="32"/>
        <v>-0.25396268126159977</v>
      </c>
    </row>
    <row r="145" spans="1:26" s="24" customFormat="1" hidden="1" outlineLevel="1" x14ac:dyDescent="0.25">
      <c r="A145" s="44"/>
      <c r="B145" s="11" t="str">
        <f>CONCATENATE("          ", "5502", " - ", "FREIGHT-IN-USED TEXT")</f>
        <v xml:space="preserve">          5502 - FREIGHT-IN-USED TEXT</v>
      </c>
      <c r="C145" s="11"/>
      <c r="D145" s="2">
        <v>1484.45</v>
      </c>
      <c r="E145" s="2"/>
      <c r="F145" s="19">
        <f t="shared" si="25"/>
        <v>7.3183243061100073E-3</v>
      </c>
      <c r="G145" s="2"/>
      <c r="H145" s="2">
        <v>2979.86</v>
      </c>
      <c r="I145" s="2"/>
      <c r="J145" s="19">
        <f t="shared" si="26"/>
        <v>4.3974627749830963E-3</v>
      </c>
      <c r="K145" s="2"/>
      <c r="L145" s="2">
        <f t="shared" si="27"/>
        <v>-1495.41</v>
      </c>
      <c r="M145" s="2"/>
      <c r="N145" s="19">
        <f t="shared" si="28"/>
        <v>-0.50183901257106034</v>
      </c>
      <c r="O145" s="11"/>
      <c r="P145" s="2">
        <v>17136.759999999998</v>
      </c>
      <c r="Q145" s="2"/>
      <c r="R145" s="19">
        <f t="shared" si="29"/>
        <v>4.1998995490146133E-3</v>
      </c>
      <c r="S145" s="2"/>
      <c r="T145" s="2">
        <v>14758.089999999998</v>
      </c>
      <c r="U145" s="2"/>
      <c r="V145" s="19">
        <f t="shared" si="30"/>
        <v>1.7640037683327588E-3</v>
      </c>
      <c r="W145" s="2"/>
      <c r="X145" s="2">
        <f t="shared" si="31"/>
        <v>2378.67</v>
      </c>
      <c r="Y145" s="2"/>
      <c r="Z145" s="19">
        <f t="shared" si="32"/>
        <v>0.16117736102707059</v>
      </c>
    </row>
    <row r="146" spans="1:26" s="24" customFormat="1" hidden="1" outlineLevel="1" x14ac:dyDescent="0.25">
      <c r="A146" s="44"/>
      <c r="B146" s="11" t="str">
        <f>CONCATENATE("          ", "5504", " - ", "FREIGHT-IN-DIGITAL TEXT")</f>
        <v xml:space="preserve">          5504 - FREIGHT-IN-DIGITAL TEXT</v>
      </c>
      <c r="C146" s="11"/>
      <c r="D146" s="2">
        <v>6.94</v>
      </c>
      <c r="E146" s="2"/>
      <c r="F146" s="19">
        <f t="shared" si="25"/>
        <v>3.4214133641687799E-5</v>
      </c>
      <c r="G146" s="2"/>
      <c r="H146" s="2"/>
      <c r="I146" s="2"/>
      <c r="J146" s="19">
        <f t="shared" si="26"/>
        <v>0</v>
      </c>
      <c r="K146" s="2"/>
      <c r="L146" s="2">
        <f t="shared" si="27"/>
        <v>6.94</v>
      </c>
      <c r="M146" s="2"/>
      <c r="N146" s="19">
        <f t="shared" si="28"/>
        <v>0</v>
      </c>
      <c r="O146" s="11"/>
      <c r="P146" s="2">
        <v>28.92</v>
      </c>
      <c r="Q146" s="2"/>
      <c r="R146" s="19">
        <f t="shared" si="29"/>
        <v>7.0877514161079824E-6</v>
      </c>
      <c r="S146" s="2"/>
      <c r="T146" s="2">
        <v>105.97</v>
      </c>
      <c r="U146" s="2"/>
      <c r="V146" s="19">
        <f t="shared" si="30"/>
        <v>1.2666373448747262E-5</v>
      </c>
      <c r="W146" s="2"/>
      <c r="X146" s="2">
        <f t="shared" si="31"/>
        <v>-77.05</v>
      </c>
      <c r="Y146" s="2"/>
      <c r="Z146" s="19">
        <f t="shared" si="32"/>
        <v>-0.72709257336982158</v>
      </c>
    </row>
    <row r="147" spans="1:26" s="24" customFormat="1" hidden="1" outlineLevel="1" x14ac:dyDescent="0.25">
      <c r="A147" s="44"/>
      <c r="B147" s="11" t="str">
        <f>CONCATENATE("          ", "5513", " - ", "FREIGHT-IN-TRADE BOOKS")</f>
        <v xml:space="preserve">          5513 - FREIGHT-IN-TRADE BOOKS</v>
      </c>
      <c r="C147" s="11"/>
      <c r="D147" s="2"/>
      <c r="E147" s="2"/>
      <c r="F147" s="19">
        <f t="shared" si="25"/>
        <v>0</v>
      </c>
      <c r="G147" s="2"/>
      <c r="H147" s="2"/>
      <c r="I147" s="2"/>
      <c r="J147" s="19">
        <f t="shared" si="26"/>
        <v>0</v>
      </c>
      <c r="K147" s="2"/>
      <c r="L147" s="2">
        <f t="shared" si="27"/>
        <v>0</v>
      </c>
      <c r="M147" s="2"/>
      <c r="N147" s="19">
        <f t="shared" si="28"/>
        <v>0</v>
      </c>
      <c r="O147" s="11"/>
      <c r="P147" s="2">
        <v>33.520000000000003</v>
      </c>
      <c r="Q147" s="2"/>
      <c r="R147" s="19">
        <f t="shared" si="29"/>
        <v>8.2151254311182424E-6</v>
      </c>
      <c r="S147" s="2"/>
      <c r="T147" s="2">
        <v>21.41</v>
      </c>
      <c r="U147" s="2"/>
      <c r="V147" s="19">
        <f t="shared" si="30"/>
        <v>2.559092719993195E-6</v>
      </c>
      <c r="W147" s="2"/>
      <c r="X147" s="2">
        <f t="shared" si="31"/>
        <v>12.110000000000003</v>
      </c>
      <c r="Y147" s="2"/>
      <c r="Z147" s="19">
        <f t="shared" si="32"/>
        <v>0.56562354040168161</v>
      </c>
    </row>
    <row r="148" spans="1:26" s="24" customFormat="1" hidden="1" outlineLevel="1" x14ac:dyDescent="0.25">
      <c r="A148" s="44"/>
      <c r="B148" s="11" t="str">
        <f>CONCATENATE("          ", "5518", " - ", "FREIGHT-IN-STUDY GUIDES")</f>
        <v xml:space="preserve">          5518 - FREIGHT-IN-STUDY GUIDES</v>
      </c>
      <c r="C148" s="11"/>
      <c r="D148" s="2"/>
      <c r="E148" s="2"/>
      <c r="F148" s="19">
        <f t="shared" si="25"/>
        <v>0</v>
      </c>
      <c r="G148" s="2"/>
      <c r="H148" s="2"/>
      <c r="I148" s="2"/>
      <c r="J148" s="19">
        <f t="shared" si="26"/>
        <v>0</v>
      </c>
      <c r="K148" s="2"/>
      <c r="L148" s="2">
        <f t="shared" si="27"/>
        <v>0</v>
      </c>
      <c r="M148" s="2"/>
      <c r="N148" s="19">
        <f t="shared" si="28"/>
        <v>0</v>
      </c>
      <c r="O148" s="11"/>
      <c r="P148" s="2"/>
      <c r="Q148" s="2"/>
      <c r="R148" s="19">
        <f t="shared" si="29"/>
        <v>0</v>
      </c>
      <c r="S148" s="2"/>
      <c r="T148" s="2">
        <v>21.13</v>
      </c>
      <c r="U148" s="2"/>
      <c r="V148" s="19">
        <f t="shared" si="30"/>
        <v>2.5256249030105653E-6</v>
      </c>
      <c r="W148" s="2"/>
      <c r="X148" s="2">
        <f t="shared" si="31"/>
        <v>-21.13</v>
      </c>
      <c r="Y148" s="2"/>
      <c r="Z148" s="19">
        <f t="shared" si="32"/>
        <v>-1</v>
      </c>
    </row>
    <row r="149" spans="1:26" s="24" customFormat="1" hidden="1" outlineLevel="1" x14ac:dyDescent="0.25">
      <c r="A149" s="44"/>
      <c r="B149" s="11" t="str">
        <f>CONCATENATE("          ", "5525", " - ", "FREIGHT-IN-TEST FORMS")</f>
        <v xml:space="preserve">          5525 - FREIGHT-IN-TEST FORMS</v>
      </c>
      <c r="C149" s="11"/>
      <c r="D149" s="2"/>
      <c r="E149" s="2"/>
      <c r="F149" s="19">
        <f t="shared" si="25"/>
        <v>0</v>
      </c>
      <c r="G149" s="2"/>
      <c r="H149" s="2">
        <v>532.61</v>
      </c>
      <c r="I149" s="2"/>
      <c r="J149" s="19">
        <f t="shared" si="26"/>
        <v>7.8598747880227488E-4</v>
      </c>
      <c r="K149" s="2"/>
      <c r="L149" s="2">
        <f t="shared" si="27"/>
        <v>-532.61</v>
      </c>
      <c r="M149" s="2"/>
      <c r="N149" s="19">
        <f t="shared" si="28"/>
        <v>-1</v>
      </c>
      <c r="O149" s="11"/>
      <c r="P149" s="2">
        <v>48.14</v>
      </c>
      <c r="Q149" s="2"/>
      <c r="R149" s="19">
        <f t="shared" si="29"/>
        <v>1.1798214148389981E-5</v>
      </c>
      <c r="S149" s="2"/>
      <c r="T149" s="2">
        <v>1155.02</v>
      </c>
      <c r="U149" s="2"/>
      <c r="V149" s="19">
        <f t="shared" si="30"/>
        <v>1.3805713561170201E-4</v>
      </c>
      <c r="W149" s="2"/>
      <c r="X149" s="2">
        <f t="shared" si="31"/>
        <v>-1106.8799999999999</v>
      </c>
      <c r="Y149" s="2"/>
      <c r="Z149" s="19">
        <f t="shared" si="32"/>
        <v>-0.95832106803345385</v>
      </c>
    </row>
    <row r="150" spans="1:26" s="24" customFormat="1" hidden="1" outlineLevel="1" x14ac:dyDescent="0.25">
      <c r="A150" s="44"/>
      <c r="B150" s="11" t="str">
        <f>CONCATENATE("          ", "5526", " - ", "FREIGHT-IN-WRITING INSTRUMENTS")</f>
        <v xml:space="preserve">          5526 - FREIGHT-IN-WRITING INSTRUMENTS</v>
      </c>
      <c r="C150" s="11"/>
      <c r="D150" s="2"/>
      <c r="E150" s="2"/>
      <c r="F150" s="19">
        <f t="shared" si="25"/>
        <v>0</v>
      </c>
      <c r="G150" s="2"/>
      <c r="H150" s="2"/>
      <c r="I150" s="2"/>
      <c r="J150" s="19">
        <f t="shared" si="26"/>
        <v>0</v>
      </c>
      <c r="K150" s="2"/>
      <c r="L150" s="2">
        <f t="shared" si="27"/>
        <v>0</v>
      </c>
      <c r="M150" s="2"/>
      <c r="N150" s="19">
        <f t="shared" si="28"/>
        <v>0</v>
      </c>
      <c r="O150" s="11"/>
      <c r="P150" s="2"/>
      <c r="Q150" s="2"/>
      <c r="R150" s="19">
        <f t="shared" si="29"/>
        <v>0</v>
      </c>
      <c r="S150" s="2"/>
      <c r="T150" s="2">
        <v>260.35000000000002</v>
      </c>
      <c r="U150" s="2"/>
      <c r="V150" s="19">
        <f t="shared" si="30"/>
        <v>3.1119093397955553E-5</v>
      </c>
      <c r="W150" s="2"/>
      <c r="X150" s="2">
        <f t="shared" si="31"/>
        <v>-260.35000000000002</v>
      </c>
      <c r="Y150" s="2"/>
      <c r="Z150" s="19">
        <f t="shared" si="32"/>
        <v>-1</v>
      </c>
    </row>
    <row r="151" spans="1:26" s="24" customFormat="1" hidden="1" outlineLevel="1" x14ac:dyDescent="0.25">
      <c r="A151" s="44"/>
      <c r="B151" s="11" t="str">
        <f>CONCATENATE("          ", "5527", " - ", "FREIGHT-IN-SCHOOL SUPPLIES")</f>
        <v xml:space="preserve">          5527 - FREIGHT-IN-SCHOOL SUPPLIES</v>
      </c>
      <c r="C151" s="11"/>
      <c r="D151" s="2"/>
      <c r="E151" s="2"/>
      <c r="F151" s="19">
        <f t="shared" si="25"/>
        <v>0</v>
      </c>
      <c r="G151" s="2"/>
      <c r="H151" s="2">
        <v>431.76</v>
      </c>
      <c r="I151" s="2"/>
      <c r="J151" s="19">
        <f t="shared" si="26"/>
        <v>6.3716031213771835E-4</v>
      </c>
      <c r="K151" s="2"/>
      <c r="L151" s="2">
        <f t="shared" si="27"/>
        <v>-431.76</v>
      </c>
      <c r="M151" s="2"/>
      <c r="N151" s="19">
        <f t="shared" si="28"/>
        <v>-1</v>
      </c>
      <c r="O151" s="11"/>
      <c r="P151" s="2">
        <v>177.5</v>
      </c>
      <c r="Q151" s="2"/>
      <c r="R151" s="19">
        <f t="shared" si="29"/>
        <v>4.3501932100939377E-5</v>
      </c>
      <c r="S151" s="2"/>
      <c r="T151" s="2">
        <v>1651.6</v>
      </c>
      <c r="U151" s="2"/>
      <c r="V151" s="19">
        <f t="shared" si="30"/>
        <v>1.9741230903039516E-4</v>
      </c>
      <c r="W151" s="2"/>
      <c r="X151" s="2">
        <f t="shared" si="31"/>
        <v>-1474.1</v>
      </c>
      <c r="Y151" s="2"/>
      <c r="Z151" s="19">
        <f t="shared" si="32"/>
        <v>-0.89252845725357233</v>
      </c>
    </row>
    <row r="152" spans="1:26" s="24" customFormat="1" hidden="1" outlineLevel="1" x14ac:dyDescent="0.25">
      <c r="A152" s="44"/>
      <c r="B152" s="11" t="str">
        <f>CONCATENATE("          ", "5528", " - ", "FREIGHT-IN-ART/TECH")</f>
        <v xml:space="preserve">          5528 - FREIGHT-IN-ART/TECH</v>
      </c>
      <c r="C152" s="11"/>
      <c r="D152" s="2">
        <v>12.76</v>
      </c>
      <c r="E152" s="2"/>
      <c r="F152" s="19">
        <f t="shared" si="25"/>
        <v>6.2906677992498024E-5</v>
      </c>
      <c r="G152" s="2"/>
      <c r="H152" s="2">
        <v>164.79</v>
      </c>
      <c r="I152" s="2"/>
      <c r="J152" s="19">
        <f t="shared" si="26"/>
        <v>2.4318521363066197E-4</v>
      </c>
      <c r="K152" s="2"/>
      <c r="L152" s="2">
        <f t="shared" si="27"/>
        <v>-152.03</v>
      </c>
      <c r="M152" s="2"/>
      <c r="N152" s="19">
        <f t="shared" si="28"/>
        <v>-0.92256811699739072</v>
      </c>
      <c r="O152" s="11"/>
      <c r="P152" s="2">
        <v>351.5</v>
      </c>
      <c r="Q152" s="2"/>
      <c r="R152" s="19">
        <f t="shared" si="29"/>
        <v>8.6146079625240522E-5</v>
      </c>
      <c r="S152" s="2"/>
      <c r="T152" s="2">
        <v>1496.25</v>
      </c>
      <c r="U152" s="2"/>
      <c r="V152" s="19">
        <f t="shared" si="30"/>
        <v>1.7884364700092564E-4</v>
      </c>
      <c r="W152" s="2"/>
      <c r="X152" s="2">
        <f t="shared" si="31"/>
        <v>-1144.75</v>
      </c>
      <c r="Y152" s="2"/>
      <c r="Z152" s="19">
        <f t="shared" si="32"/>
        <v>-0.76507936507936503</v>
      </c>
    </row>
    <row r="153" spans="1:26" s="24" customFormat="1" hidden="1" outlineLevel="1" x14ac:dyDescent="0.25">
      <c r="A153" s="44"/>
      <c r="B153" s="11" t="str">
        <f>CONCATENATE("          ", "5540", " - ", "FREIGHT-IN-LOGO CLOTHING")</f>
        <v xml:space="preserve">          5540 - FREIGHT-IN-LOGO CLOTHING</v>
      </c>
      <c r="C153" s="11"/>
      <c r="D153" s="2">
        <v>150.6</v>
      </c>
      <c r="E153" s="2"/>
      <c r="F153" s="19">
        <f t="shared" si="25"/>
        <v>7.4245656000550178E-4</v>
      </c>
      <c r="G153" s="2"/>
      <c r="H153" s="2">
        <v>2803.41</v>
      </c>
      <c r="I153" s="2"/>
      <c r="J153" s="19">
        <f t="shared" si="26"/>
        <v>4.1370705731193277E-3</v>
      </c>
      <c r="K153" s="2"/>
      <c r="L153" s="2">
        <f t="shared" si="27"/>
        <v>-2652.81</v>
      </c>
      <c r="M153" s="2"/>
      <c r="N153" s="19">
        <f t="shared" si="28"/>
        <v>-0.94627970935396533</v>
      </c>
      <c r="O153" s="11"/>
      <c r="P153" s="2">
        <v>5941.23</v>
      </c>
      <c r="Q153" s="2"/>
      <c r="R153" s="19">
        <f t="shared" si="29"/>
        <v>1.4560844172172623E-3</v>
      </c>
      <c r="S153" s="2"/>
      <c r="T153" s="2">
        <v>28481.3</v>
      </c>
      <c r="U153" s="2"/>
      <c r="V153" s="19">
        <f t="shared" si="30"/>
        <v>3.4043104850977196E-3</v>
      </c>
      <c r="W153" s="2"/>
      <c r="X153" s="2">
        <f t="shared" si="31"/>
        <v>-22540.07</v>
      </c>
      <c r="Y153" s="2"/>
      <c r="Z153" s="19">
        <f t="shared" si="32"/>
        <v>-0.79139891788647287</v>
      </c>
    </row>
    <row r="154" spans="1:26" s="24" customFormat="1" hidden="1" outlineLevel="1" x14ac:dyDescent="0.25">
      <c r="A154" s="44"/>
      <c r="B154" s="11" t="str">
        <f>CONCATENATE("          ", "5541", " - ", "FREIGHT-IN-LOGO GIFTS")</f>
        <v xml:space="preserve">          5541 - FREIGHT-IN-LOGO GIFTS</v>
      </c>
      <c r="C154" s="11"/>
      <c r="D154" s="2">
        <v>375.06</v>
      </c>
      <c r="E154" s="2"/>
      <c r="F154" s="19">
        <f t="shared" si="25"/>
        <v>1.8490422137826261E-3</v>
      </c>
      <c r="G154" s="2"/>
      <c r="H154" s="2">
        <v>486.35</v>
      </c>
      <c r="I154" s="2"/>
      <c r="J154" s="19">
        <f t="shared" si="26"/>
        <v>7.1772030250180511E-4</v>
      </c>
      <c r="K154" s="2"/>
      <c r="L154" s="2">
        <f t="shared" si="27"/>
        <v>-111.29000000000002</v>
      </c>
      <c r="M154" s="2"/>
      <c r="N154" s="19">
        <f t="shared" si="28"/>
        <v>-0.22882697645728389</v>
      </c>
      <c r="O154" s="11"/>
      <c r="P154" s="2">
        <v>2077.9299999999998</v>
      </c>
      <c r="Q154" s="2"/>
      <c r="R154" s="19">
        <f t="shared" si="29"/>
        <v>5.0926180152397155E-4</v>
      </c>
      <c r="S154" s="2"/>
      <c r="T154" s="2">
        <v>4073.92</v>
      </c>
      <c r="U154" s="2"/>
      <c r="V154" s="19">
        <f t="shared" si="30"/>
        <v>4.8694717486383359E-4</v>
      </c>
      <c r="W154" s="2"/>
      <c r="X154" s="2">
        <f t="shared" si="31"/>
        <v>-1995.9900000000002</v>
      </c>
      <c r="Y154" s="2"/>
      <c r="Z154" s="19">
        <f t="shared" si="32"/>
        <v>-0.48994334694839375</v>
      </c>
    </row>
    <row r="155" spans="1:26" s="24" customFormat="1" hidden="1" outlineLevel="1" x14ac:dyDescent="0.25">
      <c r="A155" s="44"/>
      <c r="B155" s="11" t="str">
        <f>CONCATENATE("          ", "5542", " - ", "FREIGHT-IN-EVERYDAY GIFTS")</f>
        <v xml:space="preserve">          5542 - FREIGHT-IN-EVERYDAY GIFTS</v>
      </c>
      <c r="C155" s="11"/>
      <c r="D155" s="2"/>
      <c r="E155" s="2"/>
      <c r="F155" s="19">
        <f t="shared" si="25"/>
        <v>0</v>
      </c>
      <c r="G155" s="2"/>
      <c r="H155" s="2">
        <v>43.37</v>
      </c>
      <c r="I155" s="2"/>
      <c r="J155" s="19">
        <f t="shared" si="26"/>
        <v>6.4002322441663987E-5</v>
      </c>
      <c r="K155" s="2"/>
      <c r="L155" s="2">
        <f t="shared" si="27"/>
        <v>-43.37</v>
      </c>
      <c r="M155" s="2"/>
      <c r="N155" s="19">
        <f t="shared" si="28"/>
        <v>-1</v>
      </c>
      <c r="O155" s="11"/>
      <c r="P155" s="2">
        <v>383.93</v>
      </c>
      <c r="Q155" s="2"/>
      <c r="R155" s="19">
        <f t="shared" si="29"/>
        <v>9.4094066431062851E-5</v>
      </c>
      <c r="S155" s="2"/>
      <c r="T155" s="2">
        <v>1751.7</v>
      </c>
      <c r="U155" s="2"/>
      <c r="V155" s="19">
        <f t="shared" si="30"/>
        <v>2.0937705360168517E-4</v>
      </c>
      <c r="W155" s="2"/>
      <c r="X155" s="2">
        <f t="shared" si="31"/>
        <v>-1367.77</v>
      </c>
      <c r="Y155" s="2"/>
      <c r="Z155" s="19">
        <f t="shared" si="32"/>
        <v>-0.78082434206770568</v>
      </c>
    </row>
    <row r="156" spans="1:26" s="24" customFormat="1" hidden="1" outlineLevel="1" x14ac:dyDescent="0.25">
      <c r="A156" s="44"/>
      <c r="B156" s="11" t="str">
        <f>CONCATENATE("          ", "5543", " - ", "FREIGHT-IN-CARDS")</f>
        <v xml:space="preserve">          5543 - FREIGHT-IN-CARDS</v>
      </c>
      <c r="C156" s="11"/>
      <c r="D156" s="2"/>
      <c r="E156" s="2"/>
      <c r="F156" s="19">
        <f t="shared" si="25"/>
        <v>0</v>
      </c>
      <c r="G156" s="2"/>
      <c r="H156" s="2">
        <v>2779.77</v>
      </c>
      <c r="I156" s="2"/>
      <c r="J156" s="19">
        <f t="shared" si="26"/>
        <v>4.1021843636998923E-3</v>
      </c>
      <c r="K156" s="2"/>
      <c r="L156" s="2">
        <f t="shared" si="27"/>
        <v>-2779.77</v>
      </c>
      <c r="M156" s="2"/>
      <c r="N156" s="19">
        <f t="shared" si="28"/>
        <v>-1</v>
      </c>
      <c r="O156" s="11"/>
      <c r="P156" s="2">
        <v>9110.5300000000007</v>
      </c>
      <c r="Q156" s="2"/>
      <c r="R156" s="19">
        <f t="shared" si="29"/>
        <v>2.2328206054285705E-3</v>
      </c>
      <c r="S156" s="2"/>
      <c r="T156" s="2">
        <v>2901.12</v>
      </c>
      <c r="U156" s="2"/>
      <c r="V156" s="19">
        <f t="shared" si="30"/>
        <v>3.4676483287373455E-4</v>
      </c>
      <c r="W156" s="2"/>
      <c r="X156" s="2">
        <f t="shared" si="31"/>
        <v>6209.4100000000008</v>
      </c>
      <c r="Y156" s="2"/>
      <c r="Z156" s="19">
        <f t="shared" si="32"/>
        <v>2.1403492444297378</v>
      </c>
    </row>
    <row r="157" spans="1:26" s="24" customFormat="1" hidden="1" outlineLevel="1" x14ac:dyDescent="0.25">
      <c r="A157" s="44"/>
      <c r="B157" s="11" t="str">
        <f>CONCATENATE("          ", "5544", " - ", "FREIGHT-IN-ACCESSORIES")</f>
        <v xml:space="preserve">          5544 - FREIGHT-IN-ACCESSORIES</v>
      </c>
      <c r="C157" s="11"/>
      <c r="D157" s="2"/>
      <c r="E157" s="2"/>
      <c r="F157" s="19">
        <f t="shared" si="25"/>
        <v>0</v>
      </c>
      <c r="G157" s="2"/>
      <c r="H157" s="2">
        <v>41.13</v>
      </c>
      <c r="I157" s="2"/>
      <c r="J157" s="19">
        <f t="shared" si="26"/>
        <v>6.0696691769094776E-5</v>
      </c>
      <c r="K157" s="2"/>
      <c r="L157" s="2">
        <f t="shared" si="27"/>
        <v>-41.13</v>
      </c>
      <c r="M157" s="2"/>
      <c r="N157" s="19">
        <f t="shared" si="28"/>
        <v>-1</v>
      </c>
      <c r="O157" s="11"/>
      <c r="P157" s="2"/>
      <c r="Q157" s="2"/>
      <c r="R157" s="19">
        <f t="shared" si="29"/>
        <v>0</v>
      </c>
      <c r="S157" s="2"/>
      <c r="T157" s="2">
        <v>483.44</v>
      </c>
      <c r="U157" s="2"/>
      <c r="V157" s="19">
        <f t="shared" si="30"/>
        <v>5.7784576578865491E-5</v>
      </c>
      <c r="W157" s="2"/>
      <c r="X157" s="2">
        <f t="shared" si="31"/>
        <v>-483.44</v>
      </c>
      <c r="Y157" s="2"/>
      <c r="Z157" s="19">
        <f t="shared" si="32"/>
        <v>-1</v>
      </c>
    </row>
    <row r="158" spans="1:26" s="24" customFormat="1" hidden="1" outlineLevel="1" x14ac:dyDescent="0.25">
      <c r="A158" s="44"/>
      <c r="B158" s="11" t="str">
        <f>CONCATENATE("          ", "5545", " - ", "FREIGHT-IN-SPECIAL ORDERS")</f>
        <v xml:space="preserve">          5545 - FREIGHT-IN-SPECIAL ORDERS</v>
      </c>
      <c r="C158" s="11"/>
      <c r="D158" s="2">
        <v>134.74</v>
      </c>
      <c r="E158" s="2"/>
      <c r="F158" s="19">
        <f t="shared" si="25"/>
        <v>6.6426691165432478E-4</v>
      </c>
      <c r="G158" s="2"/>
      <c r="H158" s="2">
        <v>4.49</v>
      </c>
      <c r="I158" s="2"/>
      <c r="J158" s="19">
        <f t="shared" si="26"/>
        <v>6.6260186249267086E-6</v>
      </c>
      <c r="K158" s="2"/>
      <c r="L158" s="2">
        <f t="shared" si="27"/>
        <v>130.25</v>
      </c>
      <c r="M158" s="2"/>
      <c r="N158" s="19">
        <f t="shared" si="28"/>
        <v>29.008908685968819</v>
      </c>
      <c r="O158" s="11"/>
      <c r="P158" s="2">
        <v>1248.53</v>
      </c>
      <c r="Q158" s="2"/>
      <c r="R158" s="19">
        <f t="shared" si="29"/>
        <v>3.0599136499146953E-4</v>
      </c>
      <c r="S158" s="2"/>
      <c r="T158" s="2">
        <v>846.39</v>
      </c>
      <c r="U158" s="2"/>
      <c r="V158" s="19">
        <f t="shared" si="30"/>
        <v>1.011672343425988E-4</v>
      </c>
      <c r="W158" s="2"/>
      <c r="X158" s="2">
        <f t="shared" si="31"/>
        <v>402.14</v>
      </c>
      <c r="Y158" s="2"/>
      <c r="Z158" s="19">
        <f t="shared" si="32"/>
        <v>0.47512376091399944</v>
      </c>
    </row>
    <row r="159" spans="1:26" s="24" customFormat="1" hidden="1" outlineLevel="1" x14ac:dyDescent="0.25">
      <c r="A159" s="44"/>
      <c r="B159" s="11" t="str">
        <f>CONCATENATE("          ", "5592", " - ", "FREIGHT-IN-GRAD MERCH")</f>
        <v xml:space="preserve">          5592 - FREIGHT-IN-GRAD MERCH</v>
      </c>
      <c r="C159" s="11"/>
      <c r="D159" s="2"/>
      <c r="E159" s="2"/>
      <c r="F159" s="19">
        <f t="shared" si="25"/>
        <v>0</v>
      </c>
      <c r="G159" s="2"/>
      <c r="H159" s="2"/>
      <c r="I159" s="2"/>
      <c r="J159" s="19">
        <f t="shared" si="26"/>
        <v>0</v>
      </c>
      <c r="K159" s="2"/>
      <c r="L159" s="2">
        <f t="shared" si="27"/>
        <v>0</v>
      </c>
      <c r="M159" s="2"/>
      <c r="N159" s="19">
        <f t="shared" si="28"/>
        <v>0</v>
      </c>
      <c r="O159" s="11"/>
      <c r="P159" s="2"/>
      <c r="Q159" s="2"/>
      <c r="R159" s="19">
        <f t="shared" si="29"/>
        <v>0</v>
      </c>
      <c r="S159" s="2"/>
      <c r="T159" s="2">
        <v>105.78</v>
      </c>
      <c r="U159" s="2"/>
      <c r="V159" s="19">
        <f t="shared" si="30"/>
        <v>1.2643663144366191E-5</v>
      </c>
      <c r="W159" s="2"/>
      <c r="X159" s="2">
        <f t="shared" si="31"/>
        <v>-105.78</v>
      </c>
      <c r="Y159" s="2"/>
      <c r="Z159" s="19">
        <f t="shared" si="32"/>
        <v>-1</v>
      </c>
    </row>
    <row r="160" spans="1:26" x14ac:dyDescent="0.25">
      <c r="A160" s="9"/>
      <c r="B160" s="10"/>
      <c r="C160" s="10"/>
      <c r="D160" s="3"/>
      <c r="E160" s="3"/>
      <c r="F160" s="8"/>
      <c r="G160" s="3"/>
      <c r="H160" s="3"/>
      <c r="I160" s="3"/>
      <c r="J160" s="8"/>
      <c r="K160" s="3"/>
      <c r="L160" s="3"/>
      <c r="M160" s="3"/>
      <c r="N160" s="8"/>
      <c r="O160" s="10"/>
      <c r="P160" s="3"/>
      <c r="Q160" s="3"/>
      <c r="R160" s="8"/>
      <c r="S160" s="3"/>
      <c r="T160" s="3"/>
      <c r="U160" s="3"/>
      <c r="V160" s="8"/>
      <c r="W160" s="3"/>
      <c r="X160" s="3"/>
      <c r="Y160" s="3"/>
      <c r="Z160" s="8"/>
    </row>
    <row r="161" spans="1:26" s="23" customFormat="1" x14ac:dyDescent="0.25">
      <c r="A161" s="10"/>
      <c r="B161" s="29" t="s">
        <v>6</v>
      </c>
      <c r="C161" s="29"/>
      <c r="D161" s="22">
        <f>D12-D109</f>
        <v>86530.010000000053</v>
      </c>
      <c r="E161" s="14"/>
      <c r="F161" s="20">
        <f>IF(D$12=0,0,D161/D$12)</f>
        <v>0.42659212192457974</v>
      </c>
      <c r="G161" s="14"/>
      <c r="H161" s="22">
        <f>H12-H109</f>
        <v>175344.96999999962</v>
      </c>
      <c r="I161" s="14"/>
      <c r="J161" s="20">
        <f>IF(H$12=0,0,H161/H$12)</f>
        <v>0.25876147817532569</v>
      </c>
      <c r="K161" s="16"/>
      <c r="L161" s="22">
        <f>+D161-H161</f>
        <v>-88814.95999999957</v>
      </c>
      <c r="M161" s="16"/>
      <c r="N161" s="20">
        <f>IF(H161=0,0,L161/H161)</f>
        <v>-0.50651558467858959</v>
      </c>
      <c r="O161" s="28"/>
      <c r="P161" s="22">
        <f>P12-P109</f>
        <v>1457751.629999998</v>
      </c>
      <c r="Q161" s="14"/>
      <c r="R161" s="20">
        <f>IF(P$12=0,0,P161/P$12)</f>
        <v>0.3572676756523584</v>
      </c>
      <c r="S161" s="14"/>
      <c r="T161" s="22">
        <f>T12-T109</f>
        <v>3454010.2200000007</v>
      </c>
      <c r="U161" s="14"/>
      <c r="V161" s="20">
        <f>IF(T$12=0,0,T161/T$12)</f>
        <v>0.4128506496396121</v>
      </c>
      <c r="W161" s="16"/>
      <c r="X161" s="22">
        <f>+P161-T161</f>
        <v>-1996258.5900000026</v>
      </c>
      <c r="Y161" s="16"/>
      <c r="Z161" s="20">
        <f>IF(T161=0,0,X161/T161)</f>
        <v>-0.57795387472825788</v>
      </c>
    </row>
    <row r="162" spans="1:26" x14ac:dyDescent="0.25">
      <c r="A162" s="9"/>
      <c r="B162" s="10"/>
      <c r="C162" s="9"/>
      <c r="D162" s="1"/>
      <c r="E162" s="1"/>
      <c r="F162" s="5"/>
      <c r="G162" s="1"/>
      <c r="H162" s="1"/>
      <c r="I162" s="1"/>
      <c r="J162" s="5"/>
      <c r="K162" s="1"/>
      <c r="L162" s="1"/>
      <c r="M162" s="1"/>
      <c r="N162" s="5"/>
      <c r="O162" s="37"/>
      <c r="P162" s="1"/>
      <c r="Q162" s="1"/>
      <c r="R162" s="5"/>
      <c r="S162" s="1"/>
      <c r="T162" s="1"/>
      <c r="U162" s="1"/>
      <c r="V162" s="5"/>
      <c r="W162" s="1"/>
      <c r="X162" s="1"/>
      <c r="Y162" s="1"/>
      <c r="Z162" s="5"/>
    </row>
    <row r="163" spans="1:26" s="23" customFormat="1" x14ac:dyDescent="0.25">
      <c r="A163" s="10"/>
      <c r="B163" s="28" t="s">
        <v>9</v>
      </c>
      <c r="C163" s="10"/>
      <c r="D163" s="21">
        <f>SUM(OSRRefD22x_0)</f>
        <v>249679.34000000005</v>
      </c>
      <c r="E163" s="21"/>
      <c r="F163" s="32">
        <f t="shared" ref="F163:F174" si="33">IF(D$12=0,0,D163/D$12)</f>
        <v>1.2309167588369463</v>
      </c>
      <c r="G163" s="21"/>
      <c r="H163" s="21">
        <f>SUM(OSRRefH22x_0)</f>
        <v>370962.18999999989</v>
      </c>
      <c r="I163" s="21"/>
      <c r="J163" s="32">
        <f t="shared" ref="J163:J174" si="34">IF(H$12=0,0,H163/H$12)</f>
        <v>0.54743928286939858</v>
      </c>
      <c r="K163" s="4"/>
      <c r="L163" s="21">
        <f t="shared" ref="L163:L174" si="35">+D163-H163</f>
        <v>-121282.84999999983</v>
      </c>
      <c r="M163" s="4"/>
      <c r="N163" s="32">
        <f t="shared" ref="N163:N174" si="36">IF(H163=0,0,L163/H163)</f>
        <v>-0.32694127129236505</v>
      </c>
      <c r="O163" s="10"/>
      <c r="P163" s="21">
        <f>SUM(OSRRefP22x_0)</f>
        <v>2156074.7799999998</v>
      </c>
      <c r="Q163" s="21"/>
      <c r="R163" s="32">
        <f t="shared" ref="R163:R174" si="37">IF(P$12=0,0,P163/P$12)</f>
        <v>0.52841362638933975</v>
      </c>
      <c r="S163" s="21"/>
      <c r="T163" s="21">
        <f>SUM(OSRRefT22x_0)</f>
        <v>3081043.59</v>
      </c>
      <c r="U163" s="21"/>
      <c r="V163" s="32">
        <f t="shared" ref="V163:V174" si="38">IF(T$12=0,0,T163/T$12)</f>
        <v>0.3682707249486547</v>
      </c>
      <c r="W163" s="4"/>
      <c r="X163" s="21">
        <f t="shared" ref="X163:X174" si="39">+P163-T163</f>
        <v>-924968.81</v>
      </c>
      <c r="Y163" s="4"/>
      <c r="Z163" s="32">
        <f t="shared" ref="Z163:Z174" si="40">IF(T163=0,0,X163/T163)</f>
        <v>-0.30021282821253437</v>
      </c>
    </row>
    <row r="164" spans="1:26" s="25" customFormat="1" outlineLevel="1" collapsed="1" x14ac:dyDescent="0.25">
      <c r="A164" s="27"/>
      <c r="B164" s="13" t="str">
        <f>CONCATENATE("     ","*Benefits                                         ")</f>
        <v xml:space="preserve">     *Benefits                                         </v>
      </c>
      <c r="C164" s="13"/>
      <c r="D164" s="1">
        <f>SUM(OSRRefD22_0x_0)</f>
        <v>45174.219999999994</v>
      </c>
      <c r="E164" s="1"/>
      <c r="F164" s="5">
        <f t="shared" si="33"/>
        <v>0.22270847265691723</v>
      </c>
      <c r="G164" s="1"/>
      <c r="H164" s="1">
        <f>SUM(OSRRefH22_0x_0)</f>
        <v>43768.57</v>
      </c>
      <c r="I164" s="1"/>
      <c r="J164" s="5">
        <f t="shared" si="34"/>
        <v>6.4590503342184497E-2</v>
      </c>
      <c r="K164" s="1"/>
      <c r="L164" s="1">
        <f t="shared" si="35"/>
        <v>1405.6499999999942</v>
      </c>
      <c r="M164" s="1"/>
      <c r="N164" s="5">
        <f t="shared" si="36"/>
        <v>3.2115511199017795E-2</v>
      </c>
      <c r="O164" s="13"/>
      <c r="P164" s="1">
        <f>SUM(OSRRefP22_0x_0)</f>
        <v>364629.69</v>
      </c>
      <c r="Q164" s="1"/>
      <c r="R164" s="5">
        <f t="shared" si="37"/>
        <v>8.9363921218966622E-2</v>
      </c>
      <c r="S164" s="1"/>
      <c r="T164" s="1">
        <f>SUM(OSRRefT22_0x_0)</f>
        <v>393659.25999999995</v>
      </c>
      <c r="U164" s="1"/>
      <c r="V164" s="5">
        <f t="shared" si="38"/>
        <v>4.7053271668561804E-2</v>
      </c>
      <c r="W164" s="1"/>
      <c r="X164" s="1">
        <f t="shared" si="39"/>
        <v>-29029.569999999949</v>
      </c>
      <c r="Y164" s="1"/>
      <c r="Z164" s="5">
        <f t="shared" si="40"/>
        <v>-7.3742886170135954E-2</v>
      </c>
    </row>
    <row r="165" spans="1:26" s="24" customFormat="1" hidden="1" outlineLevel="2" x14ac:dyDescent="0.25">
      <c r="A165" s="26"/>
      <c r="B165" s="11" t="str">
        <f>CONCATENATE("          ", "6111", " - ", "F.I.C.A.")</f>
        <v xml:space="preserve">          6111 - F.I.C.A.</v>
      </c>
      <c r="C165" s="11"/>
      <c r="D165" s="6">
        <v>7541.13</v>
      </c>
      <c r="E165" s="2"/>
      <c r="F165" s="7">
        <f t="shared" si="33"/>
        <v>3.7177698793853187E-2</v>
      </c>
      <c r="G165" s="2"/>
      <c r="H165" s="6">
        <v>7388.63</v>
      </c>
      <c r="I165" s="2"/>
      <c r="J165" s="7">
        <f t="shared" si="34"/>
        <v>1.0903608016189805E-2</v>
      </c>
      <c r="K165" s="2"/>
      <c r="L165" s="6">
        <f t="shared" si="35"/>
        <v>152.5</v>
      </c>
      <c r="M165" s="2"/>
      <c r="N165" s="7">
        <f t="shared" si="36"/>
        <v>2.0639820914026011E-2</v>
      </c>
      <c r="O165" s="11"/>
      <c r="P165" s="6">
        <v>70989.84</v>
      </c>
      <c r="Q165" s="2"/>
      <c r="R165" s="7">
        <f t="shared" si="37"/>
        <v>1.7398282814290424E-2</v>
      </c>
      <c r="S165" s="2"/>
      <c r="T165" s="6">
        <v>74998.98</v>
      </c>
      <c r="U165" s="2"/>
      <c r="V165" s="7">
        <f t="shared" si="38"/>
        <v>8.9644719161567129E-3</v>
      </c>
      <c r="W165" s="2"/>
      <c r="X165" s="6">
        <f t="shared" si="39"/>
        <v>-4009.1399999999994</v>
      </c>
      <c r="Y165" s="2"/>
      <c r="Z165" s="7">
        <f t="shared" si="40"/>
        <v>-5.3455927000607202E-2</v>
      </c>
    </row>
    <row r="166" spans="1:26" s="24" customFormat="1" hidden="1" outlineLevel="2" x14ac:dyDescent="0.25">
      <c r="A166" s="26"/>
      <c r="B166" s="11" t="str">
        <f>CONCATENATE("          ", "6112", " - ", "COMPENSATION INSURANCE")</f>
        <v xml:space="preserve">          6112 - COMPENSATION INSURANCE</v>
      </c>
      <c r="C166" s="11"/>
      <c r="D166" s="6">
        <v>1772.31</v>
      </c>
      <c r="E166" s="2"/>
      <c r="F166" s="7">
        <f t="shared" si="33"/>
        <v>8.7374713536743087E-3</v>
      </c>
      <c r="G166" s="2"/>
      <c r="H166" s="6">
        <v>2864.77</v>
      </c>
      <c r="I166" s="2"/>
      <c r="J166" s="7">
        <f t="shared" si="34"/>
        <v>4.2276212419000642E-3</v>
      </c>
      <c r="K166" s="2"/>
      <c r="L166" s="6">
        <f t="shared" si="35"/>
        <v>-1092.46</v>
      </c>
      <c r="M166" s="2"/>
      <c r="N166" s="7">
        <f t="shared" si="36"/>
        <v>-0.38134300484855677</v>
      </c>
      <c r="O166" s="11"/>
      <c r="P166" s="6">
        <v>18261.88</v>
      </c>
      <c r="Q166" s="2"/>
      <c r="R166" s="7">
        <f t="shared" si="37"/>
        <v>4.475645429833819E-3</v>
      </c>
      <c r="S166" s="2"/>
      <c r="T166" s="6">
        <v>19826.390000000003</v>
      </c>
      <c r="U166" s="2"/>
      <c r="V166" s="7">
        <f t="shared" si="38"/>
        <v>2.3698071140936892E-3</v>
      </c>
      <c r="W166" s="2"/>
      <c r="X166" s="6">
        <f t="shared" si="39"/>
        <v>-1564.510000000002</v>
      </c>
      <c r="Y166" s="2"/>
      <c r="Z166" s="7">
        <f t="shared" si="40"/>
        <v>-7.8910482442845209E-2</v>
      </c>
    </row>
    <row r="167" spans="1:26" s="24" customFormat="1" hidden="1" outlineLevel="2" x14ac:dyDescent="0.25">
      <c r="A167" s="26"/>
      <c r="B167" s="11" t="str">
        <f>CONCATENATE("          ", "6113", " - ", "GROUP INSURANCE")</f>
        <v xml:space="preserve">          6113 - GROUP INSURANCE</v>
      </c>
      <c r="C167" s="11"/>
      <c r="D167" s="6">
        <v>18287.8</v>
      </c>
      <c r="E167" s="2"/>
      <c r="F167" s="7">
        <f t="shared" si="33"/>
        <v>9.0158679137241793E-2</v>
      </c>
      <c r="G167" s="2"/>
      <c r="H167" s="6">
        <v>17465.82</v>
      </c>
      <c r="I167" s="2"/>
      <c r="J167" s="7">
        <f t="shared" si="34"/>
        <v>2.5774799247130824E-2</v>
      </c>
      <c r="K167" s="2"/>
      <c r="L167" s="6">
        <f t="shared" si="35"/>
        <v>821.97999999999956</v>
      </c>
      <c r="M167" s="2"/>
      <c r="N167" s="7">
        <f t="shared" si="36"/>
        <v>4.7062204923673759E-2</v>
      </c>
      <c r="O167" s="11"/>
      <c r="P167" s="6">
        <v>128305.79000000001</v>
      </c>
      <c r="Q167" s="2"/>
      <c r="R167" s="7">
        <f t="shared" si="37"/>
        <v>3.1445350787252885E-2</v>
      </c>
      <c r="S167" s="2"/>
      <c r="T167" s="6">
        <v>145820.94</v>
      </c>
      <c r="U167" s="2"/>
      <c r="V167" s="7">
        <f t="shared" si="38"/>
        <v>1.7429673329124918E-2</v>
      </c>
      <c r="W167" s="2"/>
      <c r="X167" s="6">
        <f t="shared" si="39"/>
        <v>-17515.149999999994</v>
      </c>
      <c r="Y167" s="2"/>
      <c r="Z167" s="7">
        <f t="shared" si="40"/>
        <v>-0.12011409335312194</v>
      </c>
    </row>
    <row r="168" spans="1:26" s="24" customFormat="1" hidden="1" outlineLevel="2" x14ac:dyDescent="0.25">
      <c r="A168" s="26"/>
      <c r="B168" s="11" t="str">
        <f>CONCATENATE("          ", "6114", " - ", "STATE UNEMPLOYMENT INSURANCE")</f>
        <v xml:space="preserve">          6114 - STATE UNEMPLOYMENT INSURANCE</v>
      </c>
      <c r="C168" s="11"/>
      <c r="D168" s="6">
        <v>314.29000000000002</v>
      </c>
      <c r="E168" s="2"/>
      <c r="F168" s="7">
        <f t="shared" si="33"/>
        <v>1.5494466948481353E-3</v>
      </c>
      <c r="G168" s="2"/>
      <c r="H168" s="6">
        <v>475.96</v>
      </c>
      <c r="I168" s="2"/>
      <c r="J168" s="7">
        <f t="shared" si="34"/>
        <v>7.0238748880180758E-4</v>
      </c>
      <c r="K168" s="2"/>
      <c r="L168" s="6">
        <f t="shared" si="35"/>
        <v>-161.66999999999996</v>
      </c>
      <c r="M168" s="2"/>
      <c r="N168" s="7">
        <f t="shared" si="36"/>
        <v>-0.33967140095806364</v>
      </c>
      <c r="O168" s="11"/>
      <c r="P168" s="6">
        <v>2930.55</v>
      </c>
      <c r="Q168" s="2"/>
      <c r="R168" s="7">
        <f t="shared" si="37"/>
        <v>7.1822302601919942E-4</v>
      </c>
      <c r="S168" s="2"/>
      <c r="T168" s="6">
        <v>3990.03</v>
      </c>
      <c r="U168" s="2"/>
      <c r="V168" s="7">
        <f t="shared" si="38"/>
        <v>4.7691997784000224E-4</v>
      </c>
      <c r="W168" s="2"/>
      <c r="X168" s="6">
        <f t="shared" si="39"/>
        <v>-1059.48</v>
      </c>
      <c r="Y168" s="2"/>
      <c r="Z168" s="7">
        <f t="shared" si="40"/>
        <v>-0.2655318381064804</v>
      </c>
    </row>
    <row r="169" spans="1:26" s="24" customFormat="1" hidden="1" outlineLevel="2" x14ac:dyDescent="0.25">
      <c r="A169" s="26"/>
      <c r="B169" s="11" t="str">
        <f>CONCATENATE("          ", "6115", " - ", "P.E.R.S.")</f>
        <v xml:space="preserve">          6115 - P.E.R.S.</v>
      </c>
      <c r="C169" s="11"/>
      <c r="D169" s="6">
        <v>6291.44</v>
      </c>
      <c r="E169" s="2"/>
      <c r="F169" s="7">
        <f t="shared" si="33"/>
        <v>3.1016739043034619E-2</v>
      </c>
      <c r="G169" s="2"/>
      <c r="H169" s="6">
        <v>5957.61</v>
      </c>
      <c r="I169" s="2"/>
      <c r="J169" s="7">
        <f t="shared" si="34"/>
        <v>8.79181176393087E-3</v>
      </c>
      <c r="K169" s="2"/>
      <c r="L169" s="6">
        <f t="shared" si="35"/>
        <v>333.82999999999993</v>
      </c>
      <c r="M169" s="2"/>
      <c r="N169" s="7">
        <f t="shared" si="36"/>
        <v>5.6034215062751663E-2</v>
      </c>
      <c r="O169" s="11"/>
      <c r="P169" s="6">
        <v>55816.71</v>
      </c>
      <c r="Q169" s="2"/>
      <c r="R169" s="7">
        <f t="shared" si="37"/>
        <v>1.3679632273339853E-2</v>
      </c>
      <c r="S169" s="2"/>
      <c r="T169" s="6">
        <v>56629.409999999996</v>
      </c>
      <c r="U169" s="2"/>
      <c r="V169" s="7">
        <f t="shared" si="38"/>
        <v>6.7687954632652883E-3</v>
      </c>
      <c r="W169" s="2"/>
      <c r="X169" s="6">
        <f t="shared" si="39"/>
        <v>-812.69999999999709</v>
      </c>
      <c r="Y169" s="2"/>
      <c r="Z169" s="7">
        <f t="shared" si="40"/>
        <v>-1.435120019791831E-2</v>
      </c>
    </row>
    <row r="170" spans="1:26" s="24" customFormat="1" hidden="1" outlineLevel="2" x14ac:dyDescent="0.25">
      <c r="A170" s="26"/>
      <c r="B170" s="11" t="str">
        <f>CONCATENATE("          ", "6116", " - ", "EDUCATIONAL BENEFITS")</f>
        <v xml:space="preserve">          6116 - EDUCATIONAL BENEFITS</v>
      </c>
      <c r="C170" s="11"/>
      <c r="D170" s="6"/>
      <c r="E170" s="2"/>
      <c r="F170" s="7">
        <f t="shared" si="33"/>
        <v>0</v>
      </c>
      <c r="G170" s="2"/>
      <c r="H170" s="6"/>
      <c r="I170" s="2"/>
      <c r="J170" s="7">
        <f t="shared" si="34"/>
        <v>0</v>
      </c>
      <c r="K170" s="2"/>
      <c r="L170" s="6">
        <f t="shared" si="35"/>
        <v>0</v>
      </c>
      <c r="M170" s="2"/>
      <c r="N170" s="7">
        <f t="shared" si="36"/>
        <v>0</v>
      </c>
      <c r="O170" s="11"/>
      <c r="P170" s="6">
        <v>0</v>
      </c>
      <c r="Q170" s="2"/>
      <c r="R170" s="7">
        <f t="shared" si="37"/>
        <v>0</v>
      </c>
      <c r="S170" s="2"/>
      <c r="T170" s="6"/>
      <c r="U170" s="2"/>
      <c r="V170" s="7">
        <f t="shared" si="38"/>
        <v>0</v>
      </c>
      <c r="W170" s="2"/>
      <c r="X170" s="6">
        <f t="shared" si="39"/>
        <v>0</v>
      </c>
      <c r="Y170" s="2"/>
      <c r="Z170" s="7">
        <f t="shared" si="40"/>
        <v>0</v>
      </c>
    </row>
    <row r="171" spans="1:26" s="24" customFormat="1" hidden="1" outlineLevel="2" x14ac:dyDescent="0.25">
      <c r="A171" s="26"/>
      <c r="B171" s="11" t="str">
        <f>CONCATENATE("          ", "6117", " - ", "RETIREMENT STAFF HOURLY")</f>
        <v xml:space="preserve">          6117 - RETIREMENT STAFF HOURLY</v>
      </c>
      <c r="C171" s="11"/>
      <c r="D171" s="6">
        <v>509.38</v>
      </c>
      <c r="E171" s="2"/>
      <c r="F171" s="7">
        <f t="shared" si="33"/>
        <v>2.511238529452872E-3</v>
      </c>
      <c r="G171" s="2"/>
      <c r="H171" s="6">
        <v>111.34</v>
      </c>
      <c r="I171" s="2"/>
      <c r="J171" s="7">
        <f t="shared" si="34"/>
        <v>1.6430755316243647E-4</v>
      </c>
      <c r="K171" s="2"/>
      <c r="L171" s="6">
        <f t="shared" si="35"/>
        <v>398.03999999999996</v>
      </c>
      <c r="M171" s="2"/>
      <c r="N171" s="7">
        <f t="shared" si="36"/>
        <v>3.5749955092509427</v>
      </c>
      <c r="O171" s="11"/>
      <c r="P171" s="6">
        <v>2750.42</v>
      </c>
      <c r="Q171" s="2"/>
      <c r="R171" s="7">
        <f t="shared" si="37"/>
        <v>6.7407653007924332E-4</v>
      </c>
      <c r="S171" s="2"/>
      <c r="T171" s="6">
        <v>1063.57</v>
      </c>
      <c r="U171" s="2"/>
      <c r="V171" s="7">
        <f t="shared" si="38"/>
        <v>1.2712630752933967E-4</v>
      </c>
      <c r="W171" s="2"/>
      <c r="X171" s="6">
        <f t="shared" si="39"/>
        <v>1686.8500000000001</v>
      </c>
      <c r="Y171" s="2"/>
      <c r="Z171" s="7">
        <f t="shared" si="40"/>
        <v>1.5860263076243222</v>
      </c>
    </row>
    <row r="172" spans="1:26" s="24" customFormat="1" hidden="1" outlineLevel="2" x14ac:dyDescent="0.25">
      <c r="A172" s="26"/>
      <c r="B172" s="11" t="str">
        <f>CONCATENATE("          ", "6118", " - ", "VACATION")</f>
        <v xml:space="preserve">          6118 - VACATION</v>
      </c>
      <c r="C172" s="11"/>
      <c r="D172" s="6">
        <v>5425.16</v>
      </c>
      <c r="E172" s="2"/>
      <c r="F172" s="7">
        <f t="shared" si="33"/>
        <v>2.6745986926158354E-2</v>
      </c>
      <c r="G172" s="2"/>
      <c r="H172" s="6">
        <v>3786</v>
      </c>
      <c r="I172" s="2"/>
      <c r="J172" s="7">
        <f t="shared" si="34"/>
        <v>5.587106127833523E-3</v>
      </c>
      <c r="K172" s="2"/>
      <c r="L172" s="6">
        <f t="shared" si="35"/>
        <v>1639.1599999999999</v>
      </c>
      <c r="M172" s="2"/>
      <c r="N172" s="7">
        <f t="shared" si="36"/>
        <v>0.43295298468040144</v>
      </c>
      <c r="O172" s="11"/>
      <c r="P172" s="6">
        <v>43490.47</v>
      </c>
      <c r="Q172" s="2"/>
      <c r="R172" s="7">
        <f t="shared" si="37"/>
        <v>1.0658701256213753E-2</v>
      </c>
      <c r="S172" s="2"/>
      <c r="T172" s="6">
        <v>41744.800000000003</v>
      </c>
      <c r="U172" s="2"/>
      <c r="V172" s="7">
        <f t="shared" si="38"/>
        <v>4.9896690227730937E-3</v>
      </c>
      <c r="W172" s="2"/>
      <c r="X172" s="6">
        <f t="shared" si="39"/>
        <v>1745.6699999999983</v>
      </c>
      <c r="Y172" s="2"/>
      <c r="Z172" s="7">
        <f t="shared" si="40"/>
        <v>4.1817663517372178E-2</v>
      </c>
    </row>
    <row r="173" spans="1:26" s="24" customFormat="1" hidden="1" outlineLevel="2" x14ac:dyDescent="0.25">
      <c r="A173" s="26"/>
      <c r="B173" s="11" t="str">
        <f>CONCATENATE("          ", "6119", " - ", "SICK LEAVE")</f>
        <v xml:space="preserve">          6119 - SICK LEAVE</v>
      </c>
      <c r="C173" s="11"/>
      <c r="D173" s="6">
        <v>3824.03</v>
      </c>
      <c r="E173" s="2"/>
      <c r="F173" s="7">
        <f t="shared" si="33"/>
        <v>1.8852431335709425E-2</v>
      </c>
      <c r="G173" s="2"/>
      <c r="H173" s="6">
        <v>3464.9</v>
      </c>
      <c r="I173" s="2"/>
      <c r="J173" s="7">
        <f t="shared" si="34"/>
        <v>5.1132498738326402E-3</v>
      </c>
      <c r="K173" s="2"/>
      <c r="L173" s="6">
        <f t="shared" si="35"/>
        <v>359.13000000000011</v>
      </c>
      <c r="M173" s="2"/>
      <c r="N173" s="7">
        <f t="shared" si="36"/>
        <v>0.10364801292966611</v>
      </c>
      <c r="O173" s="11"/>
      <c r="P173" s="6">
        <v>31144.48</v>
      </c>
      <c r="Q173" s="2"/>
      <c r="R173" s="7">
        <f t="shared" si="37"/>
        <v>7.6329298832623349E-3</v>
      </c>
      <c r="S173" s="2"/>
      <c r="T173" s="6">
        <v>33030.480000000003</v>
      </c>
      <c r="U173" s="2"/>
      <c r="V173" s="7">
        <f t="shared" si="38"/>
        <v>3.9480644981728557E-3</v>
      </c>
      <c r="W173" s="2"/>
      <c r="X173" s="6">
        <f t="shared" si="39"/>
        <v>-1886.0000000000036</v>
      </c>
      <c r="Y173" s="2"/>
      <c r="Z173" s="7">
        <f t="shared" si="40"/>
        <v>-5.7098776645086703E-2</v>
      </c>
    </row>
    <row r="174" spans="1:26" s="24" customFormat="1" hidden="1" outlineLevel="2" x14ac:dyDescent="0.25">
      <c r="A174" s="26"/>
      <c r="B174" s="11" t="str">
        <f>CONCATENATE("          ", "6156", " - ", "EMPLOYEE MEALS")</f>
        <v xml:space="preserve">          6156 - EMPLOYEE MEALS</v>
      </c>
      <c r="C174" s="11"/>
      <c r="D174" s="6">
        <v>1208.68</v>
      </c>
      <c r="E174" s="2"/>
      <c r="F174" s="7">
        <f t="shared" si="33"/>
        <v>5.9587808429445548E-3</v>
      </c>
      <c r="G174" s="2"/>
      <c r="H174" s="6">
        <v>2253.54</v>
      </c>
      <c r="I174" s="2"/>
      <c r="J174" s="7">
        <f t="shared" si="34"/>
        <v>3.3256120294025242E-3</v>
      </c>
      <c r="K174" s="2"/>
      <c r="L174" s="6">
        <f t="shared" si="35"/>
        <v>-1044.8599999999999</v>
      </c>
      <c r="M174" s="2"/>
      <c r="N174" s="7">
        <f t="shared" si="36"/>
        <v>-0.46365274190828648</v>
      </c>
      <c r="O174" s="11"/>
      <c r="P174" s="6">
        <v>10939.55</v>
      </c>
      <c r="Q174" s="2"/>
      <c r="R174" s="7">
        <f t="shared" si="37"/>
        <v>2.6810792186751061E-3</v>
      </c>
      <c r="S174" s="2"/>
      <c r="T174" s="6">
        <v>16554.66</v>
      </c>
      <c r="U174" s="2"/>
      <c r="V174" s="7">
        <f t="shared" si="38"/>
        <v>1.9787440396059103E-3</v>
      </c>
      <c r="W174" s="2"/>
      <c r="X174" s="6">
        <f t="shared" si="39"/>
        <v>-5615.1100000000006</v>
      </c>
      <c r="Y174" s="2"/>
      <c r="Z174" s="7">
        <f t="shared" si="40"/>
        <v>-0.33918606603820317</v>
      </c>
    </row>
    <row r="175" spans="1:26" s="25" customFormat="1" outlineLevel="1" collapsed="1" x14ac:dyDescent="0.25">
      <c r="A175" s="27"/>
      <c r="B175" s="13" t="str">
        <f>CONCATENATE("     ","*Payroll                                          ")</f>
        <v xml:space="preserve">     *Payroll                                          </v>
      </c>
      <c r="C175" s="13"/>
      <c r="D175" s="1">
        <f>SUM(OSRRefD22_1x_0)</f>
        <v>111617.56</v>
      </c>
      <c r="E175" s="1"/>
      <c r="F175" s="5">
        <f t="shared" ref="F175:F182" si="41">IF(D$12=0,0,D175/D$12)</f>
        <v>0.55027350354453985</v>
      </c>
      <c r="G175" s="1"/>
      <c r="H175" s="1">
        <f>SUM(OSRRefH22_1x_0)</f>
        <v>158553.56</v>
      </c>
      <c r="I175" s="1"/>
      <c r="J175" s="5">
        <f t="shared" ref="J175:J182" si="42">IF(H$12=0,0,H175/H$12)</f>
        <v>0.23398192463439518</v>
      </c>
      <c r="K175" s="1"/>
      <c r="L175" s="1">
        <f t="shared" ref="L175:L182" si="43">+D175-H175</f>
        <v>-46936</v>
      </c>
      <c r="M175" s="1"/>
      <c r="N175" s="5">
        <f t="shared" ref="N175:N182" si="44">IF(H175=0,0,L175/H175)</f>
        <v>-0.29602615040620972</v>
      </c>
      <c r="O175" s="13"/>
      <c r="P175" s="1">
        <f>SUM(OSRRefP22_1x_0)</f>
        <v>1006655.3800000001</v>
      </c>
      <c r="Q175" s="1"/>
      <c r="R175" s="5">
        <f t="shared" ref="R175:R182" si="45">IF(P$12=0,0,P175/P$12)</f>
        <v>0.24671241684397371</v>
      </c>
      <c r="S175" s="1"/>
      <c r="T175" s="1">
        <f>SUM(OSRRefT22_1x_0)</f>
        <v>1460611.9700000002</v>
      </c>
      <c r="U175" s="1"/>
      <c r="V175" s="5">
        <f t="shared" ref="V175:V182" si="46">IF(T$12=0,0,T175/T$12)</f>
        <v>0.17458390748070618</v>
      </c>
      <c r="W175" s="1"/>
      <c r="X175" s="1">
        <f t="shared" ref="X175:X182" si="47">+P175-T175</f>
        <v>-453956.59000000008</v>
      </c>
      <c r="Y175" s="1"/>
      <c r="Z175" s="5">
        <f t="shared" ref="Z175:Z182" si="48">IF(T175=0,0,X175/T175)</f>
        <v>-0.31079889753334011</v>
      </c>
    </row>
    <row r="176" spans="1:26" s="24" customFormat="1" hidden="1" outlineLevel="2" x14ac:dyDescent="0.25">
      <c r="A176" s="26"/>
      <c r="B176" s="11" t="str">
        <f>CONCATENATE("          ", "6001", " - ", "ADMINISTRATIVE SALARIES")</f>
        <v xml:space="preserve">          6001 - ADMINISTRATIVE SALARIES</v>
      </c>
      <c r="C176" s="11"/>
      <c r="D176" s="6">
        <v>4280.74</v>
      </c>
      <c r="E176" s="2"/>
      <c r="F176" s="7">
        <f t="shared" si="41"/>
        <v>2.11040072687779E-2</v>
      </c>
      <c r="G176" s="2"/>
      <c r="H176" s="6">
        <v>9109.57</v>
      </c>
      <c r="I176" s="2"/>
      <c r="J176" s="7">
        <f t="shared" si="42"/>
        <v>1.3443247324069842E-2</v>
      </c>
      <c r="K176" s="2"/>
      <c r="L176" s="6">
        <f t="shared" si="43"/>
        <v>-4828.83</v>
      </c>
      <c r="M176" s="2"/>
      <c r="N176" s="7">
        <f t="shared" si="44"/>
        <v>-0.53008319821901584</v>
      </c>
      <c r="O176" s="11"/>
      <c r="P176" s="6">
        <v>34496.590000000004</v>
      </c>
      <c r="Q176" s="2"/>
      <c r="R176" s="7">
        <f t="shared" si="45"/>
        <v>8.4544693853179972E-3</v>
      </c>
      <c r="S176" s="2"/>
      <c r="T176" s="6">
        <v>88416.11</v>
      </c>
      <c r="U176" s="2"/>
      <c r="V176" s="7">
        <f t="shared" si="46"/>
        <v>1.0568193527842948E-2</v>
      </c>
      <c r="W176" s="2"/>
      <c r="X176" s="6">
        <f t="shared" si="47"/>
        <v>-53919.519999999997</v>
      </c>
      <c r="Y176" s="2"/>
      <c r="Z176" s="7">
        <f t="shared" si="48"/>
        <v>-0.60983818446660909</v>
      </c>
    </row>
    <row r="177" spans="1:26" s="24" customFormat="1" hidden="1" outlineLevel="2" x14ac:dyDescent="0.25">
      <c r="A177" s="26"/>
      <c r="B177" s="11" t="str">
        <f>CONCATENATE("          ", "6002", " - ", "STAFF SALARIES")</f>
        <v xml:space="preserve">          6002 - STAFF SALARIES</v>
      </c>
      <c r="C177" s="11"/>
      <c r="D177" s="6">
        <v>60271.590000000004</v>
      </c>
      <c r="E177" s="2"/>
      <c r="F177" s="7">
        <f t="shared" si="41"/>
        <v>0.29713836240014613</v>
      </c>
      <c r="G177" s="2"/>
      <c r="H177" s="6">
        <v>50664.97</v>
      </c>
      <c r="I177" s="2"/>
      <c r="J177" s="7">
        <f t="shared" si="42"/>
        <v>7.4767713775357E-2</v>
      </c>
      <c r="K177" s="2"/>
      <c r="L177" s="6">
        <f t="shared" si="43"/>
        <v>9606.6200000000026</v>
      </c>
      <c r="M177" s="2"/>
      <c r="N177" s="7">
        <f t="shared" si="44"/>
        <v>0.18961069156855323</v>
      </c>
      <c r="O177" s="11"/>
      <c r="P177" s="6">
        <v>475025.04000000004</v>
      </c>
      <c r="Q177" s="2"/>
      <c r="R177" s="7">
        <f t="shared" si="45"/>
        <v>0.11641975795113248</v>
      </c>
      <c r="S177" s="2"/>
      <c r="T177" s="6">
        <v>467228.15999999997</v>
      </c>
      <c r="U177" s="2"/>
      <c r="V177" s="7">
        <f t="shared" si="46"/>
        <v>5.5846809100038093E-2</v>
      </c>
      <c r="W177" s="2"/>
      <c r="X177" s="6">
        <f t="shared" si="47"/>
        <v>7796.8800000000629</v>
      </c>
      <c r="Y177" s="2"/>
      <c r="Z177" s="7">
        <f t="shared" si="48"/>
        <v>1.6687521574042248E-2</v>
      </c>
    </row>
    <row r="178" spans="1:26" s="24" customFormat="1" hidden="1" outlineLevel="2" x14ac:dyDescent="0.25">
      <c r="A178" s="26"/>
      <c r="B178" s="11" t="str">
        <f>CONCATENATE("          ", "6004", " - ", "STAFF HOURLY")</f>
        <v xml:space="preserve">          6004 - STAFF HOURLY</v>
      </c>
      <c r="C178" s="11"/>
      <c r="D178" s="6">
        <v>15570.79</v>
      </c>
      <c r="E178" s="2"/>
      <c r="F178" s="7">
        <f t="shared" si="41"/>
        <v>7.6763845816521029E-2</v>
      </c>
      <c r="G178" s="2"/>
      <c r="H178" s="6">
        <v>8324.66</v>
      </c>
      <c r="I178" s="2"/>
      <c r="J178" s="7">
        <f t="shared" si="42"/>
        <v>1.2284933676209883E-2</v>
      </c>
      <c r="K178" s="2"/>
      <c r="L178" s="6">
        <f t="shared" si="43"/>
        <v>7246.130000000001</v>
      </c>
      <c r="M178" s="2"/>
      <c r="N178" s="7">
        <f t="shared" si="44"/>
        <v>0.87044155557103853</v>
      </c>
      <c r="O178" s="11"/>
      <c r="P178" s="6">
        <v>125592.43</v>
      </c>
      <c r="Q178" s="2"/>
      <c r="R178" s="7">
        <f t="shared" si="45"/>
        <v>3.0780356970433697E-2</v>
      </c>
      <c r="S178" s="2"/>
      <c r="T178" s="6">
        <v>29169.929999999997</v>
      </c>
      <c r="U178" s="2"/>
      <c r="V178" s="7">
        <f t="shared" si="46"/>
        <v>3.4866209951289625E-3</v>
      </c>
      <c r="W178" s="2"/>
      <c r="X178" s="6">
        <f t="shared" si="47"/>
        <v>96422.5</v>
      </c>
      <c r="Y178" s="2"/>
      <c r="Z178" s="7">
        <f t="shared" si="48"/>
        <v>3.3055444425132325</v>
      </c>
    </row>
    <row r="179" spans="1:26" s="24" customFormat="1" hidden="1" outlineLevel="2" x14ac:dyDescent="0.25">
      <c r="A179" s="26"/>
      <c r="B179" s="11" t="str">
        <f>CONCATENATE("          ", "6005", " - ", "TEMPORARY WAGES-HOURLY")</f>
        <v xml:space="preserve">          6005 - TEMPORARY WAGES-HOURLY</v>
      </c>
      <c r="C179" s="11"/>
      <c r="D179" s="6">
        <v>12213.85</v>
      </c>
      <c r="E179" s="2"/>
      <c r="F179" s="7">
        <f t="shared" si="41"/>
        <v>6.0214163714629468E-2</v>
      </c>
      <c r="G179" s="2"/>
      <c r="H179" s="6">
        <v>18739.34</v>
      </c>
      <c r="I179" s="2"/>
      <c r="J179" s="7">
        <f t="shared" si="42"/>
        <v>2.7654168342724737E-2</v>
      </c>
      <c r="K179" s="2"/>
      <c r="L179" s="6">
        <f t="shared" si="43"/>
        <v>-6525.49</v>
      </c>
      <c r="M179" s="2"/>
      <c r="N179" s="7">
        <f t="shared" si="44"/>
        <v>-0.34822411034753625</v>
      </c>
      <c r="O179" s="11"/>
      <c r="P179" s="6">
        <v>122408.07</v>
      </c>
      <c r="Q179" s="2"/>
      <c r="R179" s="7">
        <f t="shared" si="45"/>
        <v>2.9999929857729774E-2</v>
      </c>
      <c r="S179" s="2"/>
      <c r="T179" s="6">
        <v>146614.52000000002</v>
      </c>
      <c r="U179" s="2"/>
      <c r="V179" s="7">
        <f t="shared" si="46"/>
        <v>1.7524528294128757E-2</v>
      </c>
      <c r="W179" s="2"/>
      <c r="X179" s="6">
        <f t="shared" si="47"/>
        <v>-24206.450000000012</v>
      </c>
      <c r="Y179" s="2"/>
      <c r="Z179" s="7">
        <f t="shared" si="48"/>
        <v>-0.16510267877970072</v>
      </c>
    </row>
    <row r="180" spans="1:26" s="24" customFormat="1" hidden="1" outlineLevel="2" x14ac:dyDescent="0.25">
      <c r="A180" s="26"/>
      <c r="B180" s="11" t="str">
        <f>CONCATENATE("          ", "6006", " - ", "TEMPORARY PART TIME")</f>
        <v xml:space="preserve">          6006 - TEMPORARY PART TIME</v>
      </c>
      <c r="C180" s="11"/>
      <c r="D180" s="6">
        <v>2042.44</v>
      </c>
      <c r="E180" s="2"/>
      <c r="F180" s="7">
        <f t="shared" si="41"/>
        <v>1.0069209670767843E-2</v>
      </c>
      <c r="G180" s="2"/>
      <c r="H180" s="6">
        <v>3688.21</v>
      </c>
      <c r="I180" s="2"/>
      <c r="J180" s="7">
        <f t="shared" si="42"/>
        <v>5.4427946887841729E-3</v>
      </c>
      <c r="K180" s="2"/>
      <c r="L180" s="6">
        <f t="shared" si="43"/>
        <v>-1645.77</v>
      </c>
      <c r="M180" s="2"/>
      <c r="N180" s="7">
        <f t="shared" si="44"/>
        <v>-0.44622459133292303</v>
      </c>
      <c r="O180" s="11"/>
      <c r="P180" s="6">
        <v>12030.4</v>
      </c>
      <c r="Q180" s="2"/>
      <c r="R180" s="7">
        <f t="shared" si="45"/>
        <v>2.9484261630824851E-3</v>
      </c>
      <c r="S180" s="2"/>
      <c r="T180" s="6">
        <v>25208.080000000002</v>
      </c>
      <c r="U180" s="2"/>
      <c r="V180" s="7">
        <f t="shared" si="46"/>
        <v>3.0130693140124269E-3</v>
      </c>
      <c r="W180" s="2"/>
      <c r="X180" s="6">
        <f t="shared" si="47"/>
        <v>-13177.680000000002</v>
      </c>
      <c r="Y180" s="2"/>
      <c r="Z180" s="7">
        <f t="shared" si="48"/>
        <v>-0.52275619563251152</v>
      </c>
    </row>
    <row r="181" spans="1:26" s="24" customFormat="1" hidden="1" outlineLevel="2" x14ac:dyDescent="0.25">
      <c r="A181" s="26"/>
      <c r="B181" s="11" t="str">
        <f>CONCATENATE("          ", "6007", " - ", "STUDENT HOURLY")</f>
        <v xml:space="preserve">          6007 - STUDENT HOURLY</v>
      </c>
      <c r="C181" s="11"/>
      <c r="D181" s="6">
        <v>16114.230000000001</v>
      </c>
      <c r="E181" s="2"/>
      <c r="F181" s="7">
        <f t="shared" si="41"/>
        <v>7.9442999820301841E-2</v>
      </c>
      <c r="G181" s="2"/>
      <c r="H181" s="6">
        <v>65441.869999999995</v>
      </c>
      <c r="I181" s="2"/>
      <c r="J181" s="7">
        <f t="shared" si="42"/>
        <v>9.6574398545664228E-2</v>
      </c>
      <c r="K181" s="2"/>
      <c r="L181" s="6">
        <f t="shared" si="43"/>
        <v>-49327.639999999992</v>
      </c>
      <c r="M181" s="2"/>
      <c r="N181" s="7">
        <f t="shared" si="44"/>
        <v>-0.75376269046101518</v>
      </c>
      <c r="O181" s="11"/>
      <c r="P181" s="6">
        <v>229803.59999999998</v>
      </c>
      <c r="Q181" s="2"/>
      <c r="R181" s="7">
        <f t="shared" si="45"/>
        <v>5.6320566781698209E-2</v>
      </c>
      <c r="S181" s="2"/>
      <c r="T181" s="6">
        <v>690387.59</v>
      </c>
      <c r="U181" s="2"/>
      <c r="V181" s="7">
        <f t="shared" si="46"/>
        <v>8.2520591104280547E-2</v>
      </c>
      <c r="W181" s="2"/>
      <c r="X181" s="6">
        <f t="shared" si="47"/>
        <v>-460583.99</v>
      </c>
      <c r="Y181" s="2"/>
      <c r="Z181" s="7">
        <f t="shared" si="48"/>
        <v>-0.66713828097634265</v>
      </c>
    </row>
    <row r="182" spans="1:26" s="24" customFormat="1" hidden="1" outlineLevel="2" x14ac:dyDescent="0.25">
      <c r="A182" s="26"/>
      <c r="B182" s="11" t="str">
        <f>CONCATENATE("          ", "6008", " - ", "STUDENT HOURLY-FICA EXEMPT")</f>
        <v xml:space="preserve">          6008 - STUDENT HOURLY-FICA EXEMPT</v>
      </c>
      <c r="C182" s="11"/>
      <c r="D182" s="6">
        <v>1123.92</v>
      </c>
      <c r="E182" s="2"/>
      <c r="F182" s="7">
        <f t="shared" si="41"/>
        <v>5.5409148533956416E-3</v>
      </c>
      <c r="G182" s="2"/>
      <c r="H182" s="6">
        <v>2584.94</v>
      </c>
      <c r="I182" s="2"/>
      <c r="J182" s="7">
        <f t="shared" si="42"/>
        <v>3.8146682815853108E-3</v>
      </c>
      <c r="K182" s="2"/>
      <c r="L182" s="6">
        <f t="shared" si="43"/>
        <v>-1461.02</v>
      </c>
      <c r="M182" s="2"/>
      <c r="N182" s="7">
        <f t="shared" si="44"/>
        <v>-0.56520460823075191</v>
      </c>
      <c r="O182" s="11"/>
      <c r="P182" s="6">
        <v>7299.25</v>
      </c>
      <c r="Q182" s="2"/>
      <c r="R182" s="7">
        <f t="shared" si="45"/>
        <v>1.7889097345790521E-3</v>
      </c>
      <c r="S182" s="2"/>
      <c r="T182" s="6">
        <v>13587.58</v>
      </c>
      <c r="U182" s="2"/>
      <c r="V182" s="7">
        <f t="shared" si="46"/>
        <v>1.6240951452744109E-3</v>
      </c>
      <c r="W182" s="2"/>
      <c r="X182" s="6">
        <f t="shared" si="47"/>
        <v>-6288.33</v>
      </c>
      <c r="Y182" s="2"/>
      <c r="Z182" s="7">
        <f t="shared" si="48"/>
        <v>-0.46279985104043547</v>
      </c>
    </row>
    <row r="183" spans="1:26" s="25" customFormat="1" outlineLevel="1" collapsed="1" x14ac:dyDescent="0.25">
      <c r="A183" s="27"/>
      <c r="B183" s="13" t="str">
        <f>CONCATENATE("     ","Advertising/Promo                                 ")</f>
        <v xml:space="preserve">     Advertising/Promo                                 </v>
      </c>
      <c r="C183" s="13"/>
      <c r="D183" s="1">
        <f>SUM(OSRRefD22_2x_0)</f>
        <v>114.65</v>
      </c>
      <c r="E183" s="1"/>
      <c r="F183" s="5">
        <f t="shared" ref="F183:F187" si="49">IF(D$12=0,0,D183/D$12)</f>
        <v>5.6522340374920844E-4</v>
      </c>
      <c r="G183" s="1"/>
      <c r="H183" s="1">
        <f>SUM(OSRRefH22_2x_0)</f>
        <v>2815.83</v>
      </c>
      <c r="I183" s="1"/>
      <c r="J183" s="5">
        <f t="shared" ref="J183:J187" si="50">IF(H$12=0,0,H183/H$12)</f>
        <v>4.1553991146163413E-3</v>
      </c>
      <c r="K183" s="1"/>
      <c r="L183" s="1">
        <f t="shared" ref="L183:L187" si="51">+D183-H183</f>
        <v>-2701.18</v>
      </c>
      <c r="M183" s="1"/>
      <c r="N183" s="5">
        <f t="shared" ref="N183:N187" si="52">IF(H183=0,0,L183/H183)</f>
        <v>-0.95928376357947742</v>
      </c>
      <c r="O183" s="13"/>
      <c r="P183" s="1">
        <f>SUM(OSRRefP22_2x_0)</f>
        <v>16148.79</v>
      </c>
      <c r="Q183" s="1"/>
      <c r="R183" s="5">
        <f t="shared" ref="R183:R187" si="53">IF(P$12=0,0,P183/P$12)</f>
        <v>3.9577665695342467E-3</v>
      </c>
      <c r="S183" s="1"/>
      <c r="T183" s="1">
        <f>SUM(OSRRefT22_2x_0)</f>
        <v>43170.86</v>
      </c>
      <c r="U183" s="1"/>
      <c r="V183" s="5">
        <f t="shared" ref="V183:V187" si="54">IF(T$12=0,0,T183/T$12)</f>
        <v>5.1601230052239801E-3</v>
      </c>
      <c r="W183" s="1"/>
      <c r="X183" s="1">
        <f t="shared" ref="X183:X187" si="55">+P183-T183</f>
        <v>-27022.07</v>
      </c>
      <c r="Y183" s="1"/>
      <c r="Z183" s="5">
        <f t="shared" ref="Z183:Z187" si="56">IF(T183=0,0,X183/T183)</f>
        <v>-0.62593309468470171</v>
      </c>
    </row>
    <row r="184" spans="1:26" s="24" customFormat="1" hidden="1" outlineLevel="2" x14ac:dyDescent="0.25">
      <c r="A184" s="26"/>
      <c r="B184" s="11" t="str">
        <f>CONCATENATE("          ", "6362", " - ", "ADVERTISING EXPENSE")</f>
        <v xml:space="preserve">          6362 - ADVERTISING EXPENSE</v>
      </c>
      <c r="C184" s="11"/>
      <c r="D184" s="6">
        <v>114.65</v>
      </c>
      <c r="E184" s="2"/>
      <c r="F184" s="7">
        <f t="shared" si="49"/>
        <v>5.6522340374920844E-4</v>
      </c>
      <c r="G184" s="2"/>
      <c r="H184" s="6">
        <v>2815.83</v>
      </c>
      <c r="I184" s="2"/>
      <c r="J184" s="7">
        <f t="shared" si="50"/>
        <v>4.1553991146163413E-3</v>
      </c>
      <c r="K184" s="2"/>
      <c r="L184" s="6">
        <f t="shared" si="51"/>
        <v>-2701.18</v>
      </c>
      <c r="M184" s="2"/>
      <c r="N184" s="7">
        <f t="shared" si="52"/>
        <v>-0.95928376357947742</v>
      </c>
      <c r="O184" s="11"/>
      <c r="P184" s="6">
        <v>16148.79</v>
      </c>
      <c r="Q184" s="2"/>
      <c r="R184" s="7">
        <f t="shared" si="53"/>
        <v>3.9577665695342467E-3</v>
      </c>
      <c r="S184" s="2"/>
      <c r="T184" s="6">
        <v>43170.86</v>
      </c>
      <c r="U184" s="2"/>
      <c r="V184" s="7">
        <f t="shared" si="54"/>
        <v>5.1601230052239801E-3</v>
      </c>
      <c r="W184" s="2"/>
      <c r="X184" s="6">
        <f t="shared" si="55"/>
        <v>-27022.07</v>
      </c>
      <c r="Y184" s="2"/>
      <c r="Z184" s="7">
        <f t="shared" si="56"/>
        <v>-0.62593309468470171</v>
      </c>
    </row>
    <row r="185" spans="1:26" s="25" customFormat="1" outlineLevel="1" collapsed="1" x14ac:dyDescent="0.25">
      <c r="A185" s="27"/>
      <c r="B185" s="13" t="str">
        <f>CONCATENATE("     ","Bad Debts/Over/Short                              ")</f>
        <v xml:space="preserve">     Bad Debts/Over/Short                              </v>
      </c>
      <c r="C185" s="13"/>
      <c r="D185" s="1">
        <f>SUM(OSRRefD22_3x_0)</f>
        <v>3282.4</v>
      </c>
      <c r="E185" s="1"/>
      <c r="F185" s="5">
        <f t="shared" si="49"/>
        <v>1.6182200614621906E-2</v>
      </c>
      <c r="G185" s="1"/>
      <c r="H185" s="1">
        <f>SUM(OSRRefH22_3x_0)</f>
        <v>-35.479999999999997</v>
      </c>
      <c r="I185" s="1"/>
      <c r="J185" s="5">
        <f t="shared" si="50"/>
        <v>-5.2358828688730425E-5</v>
      </c>
      <c r="K185" s="1"/>
      <c r="L185" s="1">
        <f t="shared" si="51"/>
        <v>3317.88</v>
      </c>
      <c r="M185" s="1"/>
      <c r="N185" s="5">
        <f t="shared" si="52"/>
        <v>-93.514092446448714</v>
      </c>
      <c r="O185" s="13"/>
      <c r="P185" s="1">
        <f>SUM(OSRRefP22_3x_0)</f>
        <v>5200.46</v>
      </c>
      <c r="Q185" s="1"/>
      <c r="R185" s="5">
        <f t="shared" si="53"/>
        <v>1.2745355369783167E-3</v>
      </c>
      <c r="S185" s="1"/>
      <c r="T185" s="1">
        <f>SUM(OSRRefT22_3x_0)</f>
        <v>19.539999999999996</v>
      </c>
      <c r="U185" s="1"/>
      <c r="V185" s="5">
        <f t="shared" si="54"/>
        <v>2.3355755137163482E-6</v>
      </c>
      <c r="W185" s="1"/>
      <c r="X185" s="1">
        <f t="shared" si="55"/>
        <v>5180.92</v>
      </c>
      <c r="Y185" s="1"/>
      <c r="Z185" s="5">
        <f t="shared" si="56"/>
        <v>265.14431934493354</v>
      </c>
    </row>
    <row r="186" spans="1:26" s="24" customFormat="1" hidden="1" outlineLevel="2" x14ac:dyDescent="0.25">
      <c r="A186" s="26"/>
      <c r="B186" s="11" t="str">
        <f>CONCATENATE("          ", "6272", " - ", "CASH (OVER/SHORT)")</f>
        <v xml:space="preserve">          6272 - CASH (OVER/SHORT)</v>
      </c>
      <c r="C186" s="11"/>
      <c r="D186" s="6">
        <v>-70.239999999999995</v>
      </c>
      <c r="E186" s="2"/>
      <c r="F186" s="7">
        <f t="shared" si="49"/>
        <v>-3.4628252838503614E-4</v>
      </c>
      <c r="G186" s="2"/>
      <c r="H186" s="6">
        <v>-35.479999999999997</v>
      </c>
      <c r="I186" s="2"/>
      <c r="J186" s="7">
        <f t="shared" si="50"/>
        <v>-5.2358828688730425E-5</v>
      </c>
      <c r="K186" s="2"/>
      <c r="L186" s="6">
        <f t="shared" si="51"/>
        <v>-34.76</v>
      </c>
      <c r="M186" s="2"/>
      <c r="N186" s="7">
        <f t="shared" si="52"/>
        <v>0.97970687711386695</v>
      </c>
      <c r="O186" s="11"/>
      <c r="P186" s="6">
        <v>-148.96</v>
      </c>
      <c r="Q186" s="2"/>
      <c r="R186" s="7">
        <f t="shared" si="53"/>
        <v>-3.6507311581723551E-5</v>
      </c>
      <c r="S186" s="2"/>
      <c r="T186" s="6">
        <v>-25.26</v>
      </c>
      <c r="U186" s="2"/>
      <c r="V186" s="7">
        <f t="shared" si="54"/>
        <v>-3.0192752035043488E-6</v>
      </c>
      <c r="W186" s="2"/>
      <c r="X186" s="6">
        <f t="shared" si="55"/>
        <v>-123.7</v>
      </c>
      <c r="Y186" s="2"/>
      <c r="Z186" s="7">
        <f t="shared" si="56"/>
        <v>4.8970704671417256</v>
      </c>
    </row>
    <row r="187" spans="1:26" s="24" customFormat="1" hidden="1" outlineLevel="2" x14ac:dyDescent="0.25">
      <c r="A187" s="26"/>
      <c r="B187" s="11" t="str">
        <f>CONCATENATE("          ", "6342", " - ", "BAD DEBT")</f>
        <v xml:space="preserve">          6342 - BAD DEBT</v>
      </c>
      <c r="C187" s="11"/>
      <c r="D187" s="6">
        <v>3352.64</v>
      </c>
      <c r="E187" s="2"/>
      <c r="F187" s="7">
        <f t="shared" si="49"/>
        <v>1.6528483143006943E-2</v>
      </c>
      <c r="G187" s="2"/>
      <c r="H187" s="6"/>
      <c r="I187" s="2"/>
      <c r="J187" s="7">
        <f t="shared" si="50"/>
        <v>0</v>
      </c>
      <c r="K187" s="2"/>
      <c r="L187" s="6">
        <f t="shared" si="51"/>
        <v>3352.64</v>
      </c>
      <c r="M187" s="2"/>
      <c r="N187" s="7">
        <f t="shared" si="52"/>
        <v>0</v>
      </c>
      <c r="O187" s="11"/>
      <c r="P187" s="6">
        <v>5349.42</v>
      </c>
      <c r="Q187" s="2"/>
      <c r="R187" s="7">
        <f t="shared" si="53"/>
        <v>1.3110428485600403E-3</v>
      </c>
      <c r="S187" s="2"/>
      <c r="T187" s="6">
        <v>44.8</v>
      </c>
      <c r="U187" s="2"/>
      <c r="V187" s="7">
        <f t="shared" si="54"/>
        <v>5.354850717220697E-6</v>
      </c>
      <c r="W187" s="2"/>
      <c r="X187" s="6">
        <f t="shared" si="55"/>
        <v>5304.62</v>
      </c>
      <c r="Y187" s="2"/>
      <c r="Z187" s="7">
        <f t="shared" si="56"/>
        <v>118.40669642857144</v>
      </c>
    </row>
    <row r="188" spans="1:26" s="25" customFormat="1" outlineLevel="1" collapsed="1" x14ac:dyDescent="0.25">
      <c r="A188" s="27"/>
      <c r="B188" s="13" t="str">
        <f>CONCATENATE("     ","Bank/card Fees                                    ")</f>
        <v xml:space="preserve">     Bank/card Fees                                    </v>
      </c>
      <c r="C188" s="13"/>
      <c r="D188" s="1">
        <f>SUM(OSRRefD22_4x_0)</f>
        <v>3756.42</v>
      </c>
      <c r="E188" s="1"/>
      <c r="F188" s="5">
        <f t="shared" ref="F188:F192" si="57">IF(D$12=0,0,D188/D$12)</f>
        <v>1.8519114682177071E-2</v>
      </c>
      <c r="G188" s="1"/>
      <c r="H188" s="1">
        <f>SUM(OSRRefH22_4x_0)</f>
        <v>13910.91</v>
      </c>
      <c r="I188" s="1"/>
      <c r="J188" s="5">
        <f t="shared" ref="J188:J192" si="58">IF(H$12=0,0,H188/H$12)</f>
        <v>2.0528719097924097E-2</v>
      </c>
      <c r="K188" s="1"/>
      <c r="L188" s="1">
        <f t="shared" ref="L188:L192" si="59">+D188-H188</f>
        <v>-10154.49</v>
      </c>
      <c r="M188" s="1"/>
      <c r="N188" s="5">
        <f t="shared" ref="N188:N192" si="60">IF(H188=0,0,L188/H188)</f>
        <v>-0.72996590445916187</v>
      </c>
      <c r="O188" s="13"/>
      <c r="P188" s="1">
        <f>SUM(OSRRefP22_4x_0)</f>
        <v>65501.080000000009</v>
      </c>
      <c r="Q188" s="1"/>
      <c r="R188" s="5">
        <f t="shared" ref="R188:R192" si="61">IF(P$12=0,0,P188/P$12)</f>
        <v>1.6053090336327881E-2</v>
      </c>
      <c r="S188" s="1"/>
      <c r="T188" s="1">
        <f>SUM(OSRRefT22_4x_0)</f>
        <v>131235.68</v>
      </c>
      <c r="U188" s="1"/>
      <c r="V188" s="5">
        <f t="shared" ref="V188:V192" si="62">IF(T$12=0,0,T188/T$12)</f>
        <v>1.5686327570824686E-2</v>
      </c>
      <c r="W188" s="1"/>
      <c r="X188" s="1">
        <f t="shared" ref="X188:X192" si="63">+P188-T188</f>
        <v>-65734.599999999977</v>
      </c>
      <c r="Y188" s="1"/>
      <c r="Z188" s="5">
        <f t="shared" ref="Z188:Z192" si="64">IF(T188=0,0,X188/T188)</f>
        <v>-0.50088969707018682</v>
      </c>
    </row>
    <row r="189" spans="1:26" s="24" customFormat="1" hidden="1" outlineLevel="2" x14ac:dyDescent="0.25">
      <c r="A189" s="26"/>
      <c r="B189" s="11" t="str">
        <f>CONCATENATE("          ", "6381", " - ", "BANK/CREDIT CARD FEES")</f>
        <v xml:space="preserve">          6381 - BANK/CREDIT CARD FEES</v>
      </c>
      <c r="C189" s="11"/>
      <c r="D189" s="6">
        <v>3756.42</v>
      </c>
      <c r="E189" s="2"/>
      <c r="F189" s="7">
        <f t="shared" si="57"/>
        <v>1.8519114682177071E-2</v>
      </c>
      <c r="G189" s="2"/>
      <c r="H189" s="6">
        <v>13910.91</v>
      </c>
      <c r="I189" s="2"/>
      <c r="J189" s="7">
        <f t="shared" si="58"/>
        <v>2.0528719097924097E-2</v>
      </c>
      <c r="K189" s="2"/>
      <c r="L189" s="6">
        <f t="shared" si="59"/>
        <v>-10154.49</v>
      </c>
      <c r="M189" s="2"/>
      <c r="N189" s="7">
        <f t="shared" si="60"/>
        <v>-0.72996590445916187</v>
      </c>
      <c r="O189" s="11"/>
      <c r="P189" s="6">
        <v>65501.080000000009</v>
      </c>
      <c r="Q189" s="2"/>
      <c r="R189" s="7">
        <f t="shared" si="61"/>
        <v>1.6053090336327881E-2</v>
      </c>
      <c r="S189" s="2"/>
      <c r="T189" s="6">
        <v>131235.68</v>
      </c>
      <c r="U189" s="2"/>
      <c r="V189" s="7">
        <f t="shared" si="62"/>
        <v>1.5686327570824686E-2</v>
      </c>
      <c r="W189" s="2"/>
      <c r="X189" s="6">
        <f t="shared" si="63"/>
        <v>-65734.599999999977</v>
      </c>
      <c r="Y189" s="2"/>
      <c r="Z189" s="7">
        <f t="shared" si="64"/>
        <v>-0.50088969707018682</v>
      </c>
    </row>
    <row r="190" spans="1:26" s="25" customFormat="1" outlineLevel="1" collapsed="1" x14ac:dyDescent="0.25">
      <c r="A190" s="27"/>
      <c r="B190" s="13" t="str">
        <f>CONCATENATE("     ","Depreciation                                      ")</f>
        <v xml:space="preserve">     Depreciation                                      </v>
      </c>
      <c r="C190" s="13"/>
      <c r="D190" s="1">
        <f>SUM(OSRRefD22_5x_0)</f>
        <v>30735.85</v>
      </c>
      <c r="E190" s="1"/>
      <c r="F190" s="5">
        <f t="shared" si="57"/>
        <v>0.15152744661251727</v>
      </c>
      <c r="G190" s="1"/>
      <c r="H190" s="1">
        <f>SUM(OSRRefH22_5x_0)</f>
        <v>30298.21</v>
      </c>
      <c r="I190" s="1"/>
      <c r="J190" s="5">
        <f t="shared" si="58"/>
        <v>4.4711916205331992E-2</v>
      </c>
      <c r="K190" s="1"/>
      <c r="L190" s="1">
        <f t="shared" si="59"/>
        <v>437.63999999999942</v>
      </c>
      <c r="M190" s="1"/>
      <c r="N190" s="5">
        <f t="shared" si="60"/>
        <v>1.4444417673519307E-2</v>
      </c>
      <c r="O190" s="13"/>
      <c r="P190" s="1">
        <f>SUM(OSRRefP22_5x_0)</f>
        <v>246182.29</v>
      </c>
      <c r="Q190" s="1"/>
      <c r="R190" s="5">
        <f t="shared" si="61"/>
        <v>6.033467754385221E-2</v>
      </c>
      <c r="S190" s="1"/>
      <c r="T190" s="1">
        <f>SUM(OSRRefT22_5x_0)</f>
        <v>237889.98</v>
      </c>
      <c r="U190" s="1"/>
      <c r="V190" s="5">
        <f t="shared" si="62"/>
        <v>2.8434493973719138E-2</v>
      </c>
      <c r="W190" s="1"/>
      <c r="X190" s="1">
        <f t="shared" si="63"/>
        <v>8292.3099999999977</v>
      </c>
      <c r="Y190" s="1"/>
      <c r="Z190" s="5">
        <f t="shared" si="64"/>
        <v>3.4857752310542868E-2</v>
      </c>
    </row>
    <row r="191" spans="1:26" s="24" customFormat="1" hidden="1" outlineLevel="2" x14ac:dyDescent="0.25">
      <c r="A191" s="26"/>
      <c r="B191" s="11" t="str">
        <f>CONCATENATE("          ", "6321", " - ", "BUILDING DEPRECIATION")</f>
        <v xml:space="preserve">          6321 - BUILDING DEPRECIATION</v>
      </c>
      <c r="C191" s="11"/>
      <c r="D191" s="6">
        <v>16396.52</v>
      </c>
      <c r="E191" s="2"/>
      <c r="F191" s="7">
        <f t="shared" si="57"/>
        <v>8.0834686821124907E-2</v>
      </c>
      <c r="G191" s="2"/>
      <c r="H191" s="6">
        <v>16396.52</v>
      </c>
      <c r="I191" s="2"/>
      <c r="J191" s="7">
        <f t="shared" si="58"/>
        <v>2.4196803319372667E-2</v>
      </c>
      <c r="K191" s="2"/>
      <c r="L191" s="6">
        <f t="shared" si="59"/>
        <v>0</v>
      </c>
      <c r="M191" s="2"/>
      <c r="N191" s="7">
        <f t="shared" si="60"/>
        <v>0</v>
      </c>
      <c r="O191" s="11"/>
      <c r="P191" s="6">
        <v>131172.16</v>
      </c>
      <c r="Q191" s="2"/>
      <c r="R191" s="7">
        <f t="shared" si="61"/>
        <v>3.2147844494949611E-2</v>
      </c>
      <c r="S191" s="2"/>
      <c r="T191" s="6">
        <v>131172.16</v>
      </c>
      <c r="U191" s="2"/>
      <c r="V191" s="7">
        <f t="shared" si="62"/>
        <v>1.5678735157486343E-2</v>
      </c>
      <c r="W191" s="2"/>
      <c r="X191" s="6">
        <f t="shared" si="63"/>
        <v>0</v>
      </c>
      <c r="Y191" s="2"/>
      <c r="Z191" s="7">
        <f t="shared" si="64"/>
        <v>0</v>
      </c>
    </row>
    <row r="192" spans="1:26" s="24" customFormat="1" hidden="1" outlineLevel="2" x14ac:dyDescent="0.25">
      <c r="A192" s="26"/>
      <c r="B192" s="11" t="str">
        <f>CONCATENATE("          ", "6322", " - ", "EQUIPMENT DEPRECIATION EXPENSE")</f>
        <v xml:space="preserve">          6322 - EQUIPMENT DEPRECIATION EXPENSE</v>
      </c>
      <c r="C192" s="11"/>
      <c r="D192" s="6">
        <v>14339.33</v>
      </c>
      <c r="E192" s="2"/>
      <c r="F192" s="7">
        <f t="shared" si="57"/>
        <v>7.0692759791392376E-2</v>
      </c>
      <c r="G192" s="2"/>
      <c r="H192" s="6">
        <v>13901.69</v>
      </c>
      <c r="I192" s="2"/>
      <c r="J192" s="7">
        <f t="shared" si="58"/>
        <v>2.0515112885959325E-2</v>
      </c>
      <c r="K192" s="2"/>
      <c r="L192" s="6">
        <f t="shared" si="59"/>
        <v>437.63999999999942</v>
      </c>
      <c r="M192" s="2"/>
      <c r="N192" s="7">
        <f t="shared" si="60"/>
        <v>3.1481064532441698E-2</v>
      </c>
      <c r="O192" s="11"/>
      <c r="P192" s="6">
        <v>115010.13</v>
      </c>
      <c r="Q192" s="2"/>
      <c r="R192" s="7">
        <f t="shared" si="61"/>
        <v>2.8186833048902599E-2</v>
      </c>
      <c r="S192" s="2"/>
      <c r="T192" s="6">
        <v>106717.82</v>
      </c>
      <c r="U192" s="2"/>
      <c r="V192" s="7">
        <f t="shared" si="62"/>
        <v>1.2755758816232797E-2</v>
      </c>
      <c r="W192" s="2"/>
      <c r="X192" s="6">
        <f t="shared" si="63"/>
        <v>8292.3099999999977</v>
      </c>
      <c r="Y192" s="2"/>
      <c r="Z192" s="7">
        <f t="shared" si="64"/>
        <v>7.7703142736611344E-2</v>
      </c>
    </row>
    <row r="193" spans="1:26" s="25" customFormat="1" outlineLevel="1" collapsed="1" x14ac:dyDescent="0.25">
      <c r="A193" s="27"/>
      <c r="B193" s="13" t="str">
        <f>CONCATENATE("     ","Discounts and Markdowns                           ")</f>
        <v xml:space="preserve">     Discounts and Markdowns                           </v>
      </c>
      <c r="C193" s="13"/>
      <c r="D193" s="1">
        <f>SUM(OSRRefD22_6x_0)</f>
        <v>42.86</v>
      </c>
      <c r="E193" s="1"/>
      <c r="F193" s="5">
        <f t="shared" ref="F193:F195" si="65">IF(D$12=0,0,D193/D$12)</f>
        <v>2.1129939018483271E-4</v>
      </c>
      <c r="G193" s="1"/>
      <c r="H193" s="1">
        <f>SUM(OSRRefH22_6x_0)</f>
        <v>34206.350000000006</v>
      </c>
      <c r="I193" s="1"/>
      <c r="J193" s="5">
        <f t="shared" ref="J193:J195" si="66">IF(H$12=0,0,H193/H$12)</f>
        <v>5.0479267748499278E-2</v>
      </c>
      <c r="K193" s="1"/>
      <c r="L193" s="1">
        <f t="shared" ref="L193:L195" si="67">+D193-H193</f>
        <v>-34163.490000000005</v>
      </c>
      <c r="M193" s="1"/>
      <c r="N193" s="5">
        <f t="shared" ref="N193:N195" si="68">IF(H193=0,0,L193/H193)</f>
        <v>-0.99874701627037088</v>
      </c>
      <c r="O193" s="13"/>
      <c r="P193" s="1">
        <f>SUM(OSRRefP22_6x_0)</f>
        <v>0</v>
      </c>
      <c r="Q193" s="1"/>
      <c r="R193" s="5">
        <f t="shared" ref="R193:R195" si="69">IF(P$12=0,0,P193/P$12)</f>
        <v>0</v>
      </c>
      <c r="S193" s="1"/>
      <c r="T193" s="1">
        <f>SUM(OSRRefT22_6x_0)</f>
        <v>258867.04</v>
      </c>
      <c r="U193" s="1"/>
      <c r="V193" s="5">
        <f t="shared" ref="V193:V195" si="70">IF(T$12=0,0,T193/T$12)</f>
        <v>3.0941838276982121E-2</v>
      </c>
      <c r="W193" s="1"/>
      <c r="X193" s="1">
        <f t="shared" ref="X193:X195" si="71">+P193-T193</f>
        <v>-258867.04</v>
      </c>
      <c r="Y193" s="1"/>
      <c r="Z193" s="5">
        <f t="shared" ref="Z193:Z195" si="72">IF(T193=0,0,X193/T193)</f>
        <v>-1</v>
      </c>
    </row>
    <row r="194" spans="1:26" s="24" customFormat="1" hidden="1" outlineLevel="2" x14ac:dyDescent="0.25">
      <c r="A194" s="26"/>
      <c r="B194" s="11" t="str">
        <f>CONCATENATE("          ", "6382", " - ", "DISCOUNTS/MARK DOWNS")</f>
        <v xml:space="preserve">          6382 - DISCOUNTS/MARK DOWNS</v>
      </c>
      <c r="C194" s="11"/>
      <c r="D194" s="6"/>
      <c r="E194" s="2"/>
      <c r="F194" s="7">
        <f t="shared" si="65"/>
        <v>0</v>
      </c>
      <c r="G194" s="2"/>
      <c r="H194" s="6">
        <v>34395.120000000003</v>
      </c>
      <c r="I194" s="2"/>
      <c r="J194" s="7">
        <f t="shared" si="66"/>
        <v>5.0757840919062172E-2</v>
      </c>
      <c r="K194" s="2"/>
      <c r="L194" s="6">
        <f t="shared" si="67"/>
        <v>-34395.120000000003</v>
      </c>
      <c r="M194" s="2"/>
      <c r="N194" s="7">
        <f t="shared" si="68"/>
        <v>-1</v>
      </c>
      <c r="O194" s="11"/>
      <c r="P194" s="6">
        <v>0</v>
      </c>
      <c r="Q194" s="2"/>
      <c r="R194" s="7">
        <f t="shared" si="69"/>
        <v>0</v>
      </c>
      <c r="S194" s="2"/>
      <c r="T194" s="6">
        <v>261962.81</v>
      </c>
      <c r="U194" s="2"/>
      <c r="V194" s="7">
        <f t="shared" si="70"/>
        <v>3.1311869219054669E-2</v>
      </c>
      <c r="W194" s="2"/>
      <c r="X194" s="6">
        <f t="shared" si="71"/>
        <v>-261962.81</v>
      </c>
      <c r="Y194" s="2"/>
      <c r="Z194" s="7">
        <f t="shared" si="72"/>
        <v>-1</v>
      </c>
    </row>
    <row r="195" spans="1:26" s="24" customFormat="1" hidden="1" outlineLevel="2" x14ac:dyDescent="0.25">
      <c r="A195" s="26"/>
      <c r="B195" s="11" t="str">
        <f>CONCATENATE("          ", "9175", " - ", "EARNED DISCOUNTS")</f>
        <v xml:space="preserve">          9175 - EARNED DISCOUNTS</v>
      </c>
      <c r="C195" s="11"/>
      <c r="D195" s="6">
        <v>42.86</v>
      </c>
      <c r="E195" s="2"/>
      <c r="F195" s="7">
        <f t="shared" si="65"/>
        <v>2.1129939018483271E-4</v>
      </c>
      <c r="G195" s="2"/>
      <c r="H195" s="6">
        <v>-188.77</v>
      </c>
      <c r="I195" s="2"/>
      <c r="J195" s="7">
        <f t="shared" si="66"/>
        <v>-2.7857317056289861E-4</v>
      </c>
      <c r="K195" s="2"/>
      <c r="L195" s="6">
        <f t="shared" si="67"/>
        <v>231.63</v>
      </c>
      <c r="M195" s="2"/>
      <c r="N195" s="7">
        <f t="shared" si="68"/>
        <v>-1.2270487895322348</v>
      </c>
      <c r="O195" s="11"/>
      <c r="P195" s="6">
        <v>0</v>
      </c>
      <c r="Q195" s="2"/>
      <c r="R195" s="7">
        <f t="shared" si="69"/>
        <v>0</v>
      </c>
      <c r="S195" s="2"/>
      <c r="T195" s="6">
        <v>-3095.77</v>
      </c>
      <c r="U195" s="2"/>
      <c r="V195" s="7">
        <f t="shared" si="70"/>
        <v>-3.7003094207255173E-4</v>
      </c>
      <c r="W195" s="2"/>
      <c r="X195" s="6">
        <f t="shared" si="71"/>
        <v>3095.77</v>
      </c>
      <c r="Y195" s="2"/>
      <c r="Z195" s="7">
        <f t="shared" si="72"/>
        <v>-1</v>
      </c>
    </row>
    <row r="196" spans="1:26" s="25" customFormat="1" outlineLevel="1" collapsed="1" x14ac:dyDescent="0.25">
      <c r="A196" s="27"/>
      <c r="B196" s="13" t="str">
        <f>CONCATENATE("     ","Donations                                         ")</f>
        <v xml:space="preserve">     Donations                                         </v>
      </c>
      <c r="C196" s="13"/>
      <c r="D196" s="1">
        <f>SUM(OSRRefD22_7x_0)</f>
        <v>0</v>
      </c>
      <c r="E196" s="1"/>
      <c r="F196" s="5">
        <f t="shared" ref="F196:F204" si="73">IF(D$12=0,0,D196/D$12)</f>
        <v>0</v>
      </c>
      <c r="G196" s="1"/>
      <c r="H196" s="1">
        <f>SUM(OSRRefH22_7x_0)</f>
        <v>1804</v>
      </c>
      <c r="I196" s="1"/>
      <c r="J196" s="5">
        <f t="shared" ref="J196:J204" si="74">IF(H$12=0,0,H196/H$12)</f>
        <v>2.6622132738012877E-3</v>
      </c>
      <c r="K196" s="1"/>
      <c r="L196" s="1">
        <f t="shared" ref="L196:L204" si="75">+D196-H196</f>
        <v>-1804</v>
      </c>
      <c r="M196" s="1"/>
      <c r="N196" s="5">
        <f t="shared" ref="N196:N204" si="76">IF(H196=0,0,L196/H196)</f>
        <v>-1</v>
      </c>
      <c r="O196" s="13"/>
      <c r="P196" s="1">
        <f>SUM(OSRRefP22_7x_0)</f>
        <v>0</v>
      </c>
      <c r="Q196" s="1"/>
      <c r="R196" s="5">
        <f t="shared" ref="R196:R204" si="77">IF(P$12=0,0,P196/P$12)</f>
        <v>0</v>
      </c>
      <c r="S196" s="1"/>
      <c r="T196" s="1">
        <f>SUM(OSRRefT22_7x_0)</f>
        <v>11602.22</v>
      </c>
      <c r="U196" s="1"/>
      <c r="V196" s="5">
        <f t="shared" ref="V196:V204" si="78">IF(T$12=0,0,T196/T$12)</f>
        <v>1.3867891984007214E-3</v>
      </c>
      <c r="W196" s="1"/>
      <c r="X196" s="1">
        <f t="shared" ref="X196:X204" si="79">+P196-T196</f>
        <v>-11602.22</v>
      </c>
      <c r="Y196" s="1"/>
      <c r="Z196" s="5">
        <f t="shared" ref="Z196:Z204" si="80">IF(T196=0,0,X196/T196)</f>
        <v>-1</v>
      </c>
    </row>
    <row r="197" spans="1:26" s="24" customFormat="1" hidden="1" outlineLevel="2" x14ac:dyDescent="0.25">
      <c r="A197" s="26"/>
      <c r="B197" s="11" t="str">
        <f>CONCATENATE("          ", "6399", " - ", "DONATION-ON CAMPUS")</f>
        <v xml:space="preserve">          6399 - DONATION-ON CAMPUS</v>
      </c>
      <c r="C197" s="11"/>
      <c r="D197" s="6"/>
      <c r="E197" s="2"/>
      <c r="F197" s="7">
        <f t="shared" si="73"/>
        <v>0</v>
      </c>
      <c r="G197" s="2"/>
      <c r="H197" s="6">
        <v>1804</v>
      </c>
      <c r="I197" s="2"/>
      <c r="J197" s="7">
        <f t="shared" si="74"/>
        <v>2.6622132738012877E-3</v>
      </c>
      <c r="K197" s="2"/>
      <c r="L197" s="6">
        <f t="shared" si="75"/>
        <v>-1804</v>
      </c>
      <c r="M197" s="2"/>
      <c r="N197" s="7">
        <f t="shared" si="76"/>
        <v>-1</v>
      </c>
      <c r="O197" s="11"/>
      <c r="P197" s="6"/>
      <c r="Q197" s="2"/>
      <c r="R197" s="7">
        <f t="shared" si="77"/>
        <v>0</v>
      </c>
      <c r="S197" s="2"/>
      <c r="T197" s="6">
        <v>11602.22</v>
      </c>
      <c r="U197" s="2"/>
      <c r="V197" s="7">
        <f t="shared" si="78"/>
        <v>1.3867891984007214E-3</v>
      </c>
      <c r="W197" s="2"/>
      <c r="X197" s="6">
        <f t="shared" si="79"/>
        <v>-11602.22</v>
      </c>
      <c r="Y197" s="2"/>
      <c r="Z197" s="7">
        <f t="shared" si="80"/>
        <v>-1</v>
      </c>
    </row>
    <row r="198" spans="1:26" s="25" customFormat="1" outlineLevel="1" collapsed="1" x14ac:dyDescent="0.25">
      <c r="A198" s="27"/>
      <c r="B198" s="13" t="str">
        <f>CONCATENATE("     ","Employees' Appreciation                           ")</f>
        <v xml:space="preserve">     Employees' Appreciation                           </v>
      </c>
      <c r="C198" s="13"/>
      <c r="D198" s="1">
        <f>SUM(OSRRefD22_8x_0)</f>
        <v>0</v>
      </c>
      <c r="E198" s="1"/>
      <c r="F198" s="5">
        <f t="shared" si="73"/>
        <v>0</v>
      </c>
      <c r="G198" s="1"/>
      <c r="H198" s="1">
        <f>SUM(OSRRefH22_8x_0)</f>
        <v>90.54</v>
      </c>
      <c r="I198" s="1"/>
      <c r="J198" s="5">
        <f t="shared" si="74"/>
        <v>1.3361241120286507E-4</v>
      </c>
      <c r="K198" s="1"/>
      <c r="L198" s="1">
        <f t="shared" si="75"/>
        <v>-90.54</v>
      </c>
      <c r="M198" s="1"/>
      <c r="N198" s="5">
        <f t="shared" si="76"/>
        <v>-1</v>
      </c>
      <c r="O198" s="13"/>
      <c r="P198" s="1">
        <f>SUM(OSRRefP22_8x_0)</f>
        <v>186.03</v>
      </c>
      <c r="Q198" s="1"/>
      <c r="R198" s="5">
        <f t="shared" si="77"/>
        <v>4.5592475654860578E-5</v>
      </c>
      <c r="S198" s="1"/>
      <c r="T198" s="1">
        <f>SUM(OSRRefT22_8x_0)</f>
        <v>1284.58</v>
      </c>
      <c r="U198" s="1"/>
      <c r="V198" s="5">
        <f t="shared" si="78"/>
        <v>1.5354317264123577E-4</v>
      </c>
      <c r="W198" s="1"/>
      <c r="X198" s="1">
        <f t="shared" si="79"/>
        <v>-1098.55</v>
      </c>
      <c r="Y198" s="1"/>
      <c r="Z198" s="5">
        <f t="shared" si="80"/>
        <v>-0.85518223855267872</v>
      </c>
    </row>
    <row r="199" spans="1:26" s="24" customFormat="1" hidden="1" outlineLevel="2" x14ac:dyDescent="0.25">
      <c r="A199" s="26"/>
      <c r="B199" s="11" t="str">
        <f>CONCATENATE("          ", "6277", " - ", "EMPLOYEE APPRECIATION")</f>
        <v xml:space="preserve">          6277 - EMPLOYEE APPRECIATION</v>
      </c>
      <c r="C199" s="11"/>
      <c r="D199" s="6"/>
      <c r="E199" s="2"/>
      <c r="F199" s="7">
        <f t="shared" si="73"/>
        <v>0</v>
      </c>
      <c r="G199" s="2"/>
      <c r="H199" s="6">
        <v>90.54</v>
      </c>
      <c r="I199" s="2"/>
      <c r="J199" s="7">
        <f t="shared" si="74"/>
        <v>1.3361241120286507E-4</v>
      </c>
      <c r="K199" s="2"/>
      <c r="L199" s="6">
        <f t="shared" si="75"/>
        <v>-90.54</v>
      </c>
      <c r="M199" s="2"/>
      <c r="N199" s="7">
        <f t="shared" si="76"/>
        <v>-1</v>
      </c>
      <c r="O199" s="11"/>
      <c r="P199" s="6">
        <v>186.03</v>
      </c>
      <c r="Q199" s="2"/>
      <c r="R199" s="7">
        <f t="shared" si="77"/>
        <v>4.5592475654860578E-5</v>
      </c>
      <c r="S199" s="2"/>
      <c r="T199" s="6">
        <v>1284.58</v>
      </c>
      <c r="U199" s="2"/>
      <c r="V199" s="7">
        <f t="shared" si="78"/>
        <v>1.5354317264123577E-4</v>
      </c>
      <c r="W199" s="2"/>
      <c r="X199" s="6">
        <f t="shared" si="79"/>
        <v>-1098.55</v>
      </c>
      <c r="Y199" s="2"/>
      <c r="Z199" s="7">
        <f t="shared" si="80"/>
        <v>-0.85518223855267872</v>
      </c>
    </row>
    <row r="200" spans="1:26" s="25" customFormat="1" outlineLevel="1" collapsed="1" x14ac:dyDescent="0.25">
      <c r="A200" s="27"/>
      <c r="B200" s="13" t="str">
        <f>CONCATENATE("     ","Equipment Rental                                  ")</f>
        <v xml:space="preserve">     Equipment Rental                                  </v>
      </c>
      <c r="C200" s="13"/>
      <c r="D200" s="1">
        <f>SUM(OSRRefD22_9x_0)</f>
        <v>1784.21</v>
      </c>
      <c r="E200" s="1"/>
      <c r="F200" s="5">
        <f t="shared" si="73"/>
        <v>8.7961382398898825E-3</v>
      </c>
      <c r="G200" s="1"/>
      <c r="H200" s="1">
        <f>SUM(OSRRefH22_9x_0)</f>
        <v>1388.16</v>
      </c>
      <c r="I200" s="1"/>
      <c r="J200" s="5">
        <f t="shared" si="74"/>
        <v>2.0485465510864721E-3</v>
      </c>
      <c r="K200" s="1"/>
      <c r="L200" s="1">
        <f t="shared" si="75"/>
        <v>396.04999999999995</v>
      </c>
      <c r="M200" s="1"/>
      <c r="N200" s="5">
        <f t="shared" si="76"/>
        <v>0.28530572844628854</v>
      </c>
      <c r="O200" s="13"/>
      <c r="P200" s="1">
        <f>SUM(OSRRefP22_9x_0)</f>
        <v>12149.11</v>
      </c>
      <c r="Q200" s="1"/>
      <c r="R200" s="5">
        <f t="shared" si="77"/>
        <v>2.9775197651089784E-3</v>
      </c>
      <c r="S200" s="1"/>
      <c r="T200" s="1">
        <f>SUM(OSRRefT22_9x_0)</f>
        <v>13866.46</v>
      </c>
      <c r="U200" s="1"/>
      <c r="V200" s="5">
        <f t="shared" si="78"/>
        <v>1.6574290909891095E-3</v>
      </c>
      <c r="W200" s="1"/>
      <c r="X200" s="1">
        <f t="shared" si="79"/>
        <v>-1717.3499999999985</v>
      </c>
      <c r="Y200" s="1"/>
      <c r="Z200" s="5">
        <f t="shared" si="80"/>
        <v>-0.12384920159867757</v>
      </c>
    </row>
    <row r="201" spans="1:26" s="24" customFormat="1" hidden="1" outlineLevel="2" x14ac:dyDescent="0.25">
      <c r="A201" s="26"/>
      <c r="B201" s="11" t="str">
        <f>CONCATENATE("          ", "6351", " - ", "EQUIPMENT RENTAL")</f>
        <v xml:space="preserve">          6351 - EQUIPMENT RENTAL</v>
      </c>
      <c r="C201" s="11"/>
      <c r="D201" s="6">
        <v>1784.21</v>
      </c>
      <c r="E201" s="2"/>
      <c r="F201" s="7">
        <f t="shared" si="73"/>
        <v>8.7961382398898825E-3</v>
      </c>
      <c r="G201" s="2"/>
      <c r="H201" s="6">
        <v>1388.16</v>
      </c>
      <c r="I201" s="2"/>
      <c r="J201" s="7">
        <f t="shared" si="74"/>
        <v>2.0485465510864721E-3</v>
      </c>
      <c r="K201" s="2"/>
      <c r="L201" s="6">
        <f t="shared" si="75"/>
        <v>396.04999999999995</v>
      </c>
      <c r="M201" s="2"/>
      <c r="N201" s="7">
        <f t="shared" si="76"/>
        <v>0.28530572844628854</v>
      </c>
      <c r="O201" s="11"/>
      <c r="P201" s="6">
        <v>12149.11</v>
      </c>
      <c r="Q201" s="2"/>
      <c r="R201" s="7">
        <f t="shared" si="77"/>
        <v>2.9775197651089784E-3</v>
      </c>
      <c r="S201" s="2"/>
      <c r="T201" s="6">
        <v>13866.46</v>
      </c>
      <c r="U201" s="2"/>
      <c r="V201" s="7">
        <f t="shared" si="78"/>
        <v>1.6574290909891095E-3</v>
      </c>
      <c r="W201" s="2"/>
      <c r="X201" s="6">
        <f t="shared" si="79"/>
        <v>-1717.3499999999985</v>
      </c>
      <c r="Y201" s="2"/>
      <c r="Z201" s="7">
        <f t="shared" si="80"/>
        <v>-0.12384920159867757</v>
      </c>
    </row>
    <row r="202" spans="1:26" s="25" customFormat="1" outlineLevel="1" collapsed="1" x14ac:dyDescent="0.25">
      <c r="A202" s="27"/>
      <c r="B202" s="13" t="str">
        <f>CONCATENATE("     ","Freight out/Postage                               ")</f>
        <v xml:space="preserve">     Freight out/Postage                               </v>
      </c>
      <c r="C202" s="13"/>
      <c r="D202" s="1">
        <f>SUM(OSRRefD22_10x_0)</f>
        <v>4165.4900000000016</v>
      </c>
      <c r="E202" s="1"/>
      <c r="F202" s="5">
        <f t="shared" si="73"/>
        <v>2.0535825870765727E-2</v>
      </c>
      <c r="G202" s="1"/>
      <c r="H202" s="1">
        <f>SUM(OSRRefH22_10x_0)</f>
        <v>5419.8700000000008</v>
      </c>
      <c r="I202" s="1"/>
      <c r="J202" s="5">
        <f t="shared" si="74"/>
        <v>7.9982538005972208E-3</v>
      </c>
      <c r="K202" s="1"/>
      <c r="L202" s="1">
        <f t="shared" si="75"/>
        <v>-1254.3799999999992</v>
      </c>
      <c r="M202" s="1"/>
      <c r="N202" s="5">
        <f t="shared" si="76"/>
        <v>-0.23144097552155291</v>
      </c>
      <c r="O202" s="13"/>
      <c r="P202" s="1">
        <f>SUM(OSRRefP22_10x_0)</f>
        <v>-32653.899999999994</v>
      </c>
      <c r="Q202" s="1"/>
      <c r="R202" s="5">
        <f t="shared" si="77"/>
        <v>-8.0028605105964181E-3</v>
      </c>
      <c r="S202" s="1"/>
      <c r="T202" s="1">
        <f>SUM(OSRRefT22_10x_0)</f>
        <v>-1237.8300000000017</v>
      </c>
      <c r="U202" s="1"/>
      <c r="V202" s="5">
        <f t="shared" si="78"/>
        <v>-1.4795524248431484E-4</v>
      </c>
      <c r="W202" s="1"/>
      <c r="X202" s="1">
        <f t="shared" si="79"/>
        <v>-31416.069999999992</v>
      </c>
      <c r="Y202" s="1"/>
      <c r="Z202" s="5">
        <f t="shared" si="80"/>
        <v>25.379955244258056</v>
      </c>
    </row>
    <row r="203" spans="1:26" s="24" customFormat="1" hidden="1" outlineLevel="2" x14ac:dyDescent="0.25">
      <c r="A203" s="26"/>
      <c r="B203" s="11" t="str">
        <f>CONCATENATE("          ", "6305", " - ", "FREIGHT OUT")</f>
        <v xml:space="preserve">          6305 - FREIGHT OUT</v>
      </c>
      <c r="C203" s="11"/>
      <c r="D203" s="6">
        <v>26178.02</v>
      </c>
      <c r="E203" s="2"/>
      <c r="F203" s="7">
        <f t="shared" si="73"/>
        <v>0.12905738829319538</v>
      </c>
      <c r="G203" s="2"/>
      <c r="H203" s="6">
        <v>8964.69</v>
      </c>
      <c r="I203" s="2"/>
      <c r="J203" s="7">
        <f t="shared" si="74"/>
        <v>1.3229443854497598E-2</v>
      </c>
      <c r="K203" s="2"/>
      <c r="L203" s="6">
        <f t="shared" si="75"/>
        <v>17213.330000000002</v>
      </c>
      <c r="M203" s="2"/>
      <c r="N203" s="7">
        <f t="shared" si="76"/>
        <v>1.920125514658064</v>
      </c>
      <c r="O203" s="11"/>
      <c r="P203" s="6">
        <v>161667.22</v>
      </c>
      <c r="Q203" s="2"/>
      <c r="R203" s="7">
        <f t="shared" si="77"/>
        <v>3.9621613675423259E-2</v>
      </c>
      <c r="S203" s="2"/>
      <c r="T203" s="6">
        <v>45984.800000000003</v>
      </c>
      <c r="U203" s="2"/>
      <c r="V203" s="7">
        <f t="shared" si="78"/>
        <v>5.4964673942243377E-3</v>
      </c>
      <c r="W203" s="2"/>
      <c r="X203" s="6">
        <f t="shared" si="79"/>
        <v>115682.42</v>
      </c>
      <c r="Y203" s="2"/>
      <c r="Z203" s="7">
        <f t="shared" si="80"/>
        <v>2.5156664810981018</v>
      </c>
    </row>
    <row r="204" spans="1:26" s="24" customFormat="1" hidden="1" outlineLevel="2" x14ac:dyDescent="0.25">
      <c r="A204" s="26"/>
      <c r="B204" s="11" t="str">
        <f>CONCATENATE("          ", "6307", " - ", "POSTAGE")</f>
        <v xml:space="preserve">          6307 - POSTAGE</v>
      </c>
      <c r="C204" s="11"/>
      <c r="D204" s="6">
        <v>-22012.53</v>
      </c>
      <c r="E204" s="2"/>
      <c r="F204" s="7">
        <f t="shared" si="73"/>
        <v>-0.10852156242242966</v>
      </c>
      <c r="G204" s="2"/>
      <c r="H204" s="6">
        <v>-3544.82</v>
      </c>
      <c r="I204" s="2"/>
      <c r="J204" s="7">
        <f t="shared" si="74"/>
        <v>-5.2311900539003774E-3</v>
      </c>
      <c r="K204" s="2"/>
      <c r="L204" s="6">
        <f t="shared" si="75"/>
        <v>-18467.71</v>
      </c>
      <c r="M204" s="2"/>
      <c r="N204" s="7">
        <f t="shared" si="76"/>
        <v>5.2097736979592755</v>
      </c>
      <c r="O204" s="11"/>
      <c r="P204" s="6">
        <v>-194321.12</v>
      </c>
      <c r="Q204" s="2"/>
      <c r="R204" s="7">
        <f t="shared" si="77"/>
        <v>-4.7624474186019679E-2</v>
      </c>
      <c r="S204" s="2"/>
      <c r="T204" s="6">
        <v>-47222.630000000005</v>
      </c>
      <c r="U204" s="2"/>
      <c r="V204" s="7">
        <f t="shared" si="78"/>
        <v>-5.6444226367086524E-3</v>
      </c>
      <c r="W204" s="2"/>
      <c r="X204" s="6">
        <f t="shared" si="79"/>
        <v>-147098.49</v>
      </c>
      <c r="Y204" s="2"/>
      <c r="Z204" s="7">
        <f t="shared" si="80"/>
        <v>3.1149999481180948</v>
      </c>
    </row>
    <row r="205" spans="1:26" s="25" customFormat="1" outlineLevel="1" collapsed="1" x14ac:dyDescent="0.25">
      <c r="A205" s="27"/>
      <c r="B205" s="13" t="str">
        <f>CONCATENATE("     ","General                                           ")</f>
        <v xml:space="preserve">     General                                           </v>
      </c>
      <c r="C205" s="13"/>
      <c r="D205" s="1">
        <f>SUM(OSRRefD22_11x_0)</f>
        <v>-4.21</v>
      </c>
      <c r="E205" s="1"/>
      <c r="F205" s="5">
        <f t="shared" ref="F205:F219" si="81">IF(D$12=0,0,D205/D$12)</f>
        <v>-2.0755259745173721E-5</v>
      </c>
      <c r="G205" s="1"/>
      <c r="H205" s="1">
        <f>SUM(OSRRefH22_11x_0)</f>
        <v>0</v>
      </c>
      <c r="I205" s="1"/>
      <c r="J205" s="5">
        <f t="shared" ref="J205:J219" si="82">IF(H$12=0,0,H205/H$12)</f>
        <v>0</v>
      </c>
      <c r="K205" s="1"/>
      <c r="L205" s="1">
        <f t="shared" ref="L205:L219" si="83">+D205-H205</f>
        <v>-4.21</v>
      </c>
      <c r="M205" s="1"/>
      <c r="N205" s="5">
        <f t="shared" ref="N205:N219" si="84">IF(H205=0,0,L205/H205)</f>
        <v>0</v>
      </c>
      <c r="O205" s="13"/>
      <c r="P205" s="1">
        <f>SUM(OSRRefP22_11x_0)</f>
        <v>2509.79</v>
      </c>
      <c r="Q205" s="1"/>
      <c r="R205" s="5">
        <f t="shared" ref="R205:R219" si="85">IF(P$12=0,0,P205/P$12)</f>
        <v>6.1510261502882612E-4</v>
      </c>
      <c r="S205" s="1"/>
      <c r="T205" s="1">
        <f>SUM(OSRRefT22_11x_0)</f>
        <v>-1031.5899999999999</v>
      </c>
      <c r="U205" s="1"/>
      <c r="V205" s="5">
        <f t="shared" ref="V205:V219" si="86">IF(T$12=0,0,T205/T$12)</f>
        <v>-1.2330380471825219E-4</v>
      </c>
      <c r="W205" s="1"/>
      <c r="X205" s="1">
        <f t="shared" ref="X205:X219" si="87">+P205-T205</f>
        <v>3541.38</v>
      </c>
      <c r="Y205" s="1"/>
      <c r="Z205" s="5">
        <f t="shared" ref="Z205:Z219" si="88">IF(T205=0,0,X205/T205)</f>
        <v>-3.4329336267315509</v>
      </c>
    </row>
    <row r="206" spans="1:26" s="24" customFormat="1" hidden="1" outlineLevel="2" x14ac:dyDescent="0.25">
      <c r="A206" s="26"/>
      <c r="B206" s="11" t="str">
        <f>CONCATENATE("          ", "6279", " - ", "GENERAL EXPENSE")</f>
        <v xml:space="preserve">          6279 - GENERAL EXPENSE</v>
      </c>
      <c r="C206" s="11"/>
      <c r="D206" s="6">
        <v>-4.21</v>
      </c>
      <c r="E206" s="2"/>
      <c r="F206" s="7">
        <f t="shared" si="81"/>
        <v>-2.0755259745173721E-5</v>
      </c>
      <c r="G206" s="2"/>
      <c r="H206" s="6"/>
      <c r="I206" s="2"/>
      <c r="J206" s="7">
        <f t="shared" si="82"/>
        <v>0</v>
      </c>
      <c r="K206" s="2"/>
      <c r="L206" s="6">
        <f t="shared" si="83"/>
        <v>-4.21</v>
      </c>
      <c r="M206" s="2"/>
      <c r="N206" s="7">
        <f t="shared" si="84"/>
        <v>0</v>
      </c>
      <c r="O206" s="11"/>
      <c r="P206" s="6">
        <v>2509.79</v>
      </c>
      <c r="Q206" s="2"/>
      <c r="R206" s="7">
        <f t="shared" si="85"/>
        <v>6.1510261502882612E-4</v>
      </c>
      <c r="S206" s="2"/>
      <c r="T206" s="6">
        <v>-1031.5899999999999</v>
      </c>
      <c r="U206" s="2"/>
      <c r="V206" s="7">
        <f t="shared" si="86"/>
        <v>-1.2330380471825219E-4</v>
      </c>
      <c r="W206" s="2"/>
      <c r="X206" s="6">
        <f t="shared" si="87"/>
        <v>3541.38</v>
      </c>
      <c r="Y206" s="2"/>
      <c r="Z206" s="7">
        <f t="shared" si="88"/>
        <v>-3.4329336267315509</v>
      </c>
    </row>
    <row r="207" spans="1:26" s="25" customFormat="1" outlineLevel="1" collapsed="1" x14ac:dyDescent="0.25">
      <c r="A207" s="27"/>
      <c r="B207" s="13" t="str">
        <f>CONCATENATE("     ","Insurance                                         ")</f>
        <v xml:space="preserve">     Insurance                                         </v>
      </c>
      <c r="C207" s="13"/>
      <c r="D207" s="1">
        <f>SUM(OSRRefD22_12x_0)</f>
        <v>4044.74</v>
      </c>
      <c r="E207" s="1"/>
      <c r="F207" s="5">
        <f t="shared" si="81"/>
        <v>1.9940529525342983E-2</v>
      </c>
      <c r="G207" s="1"/>
      <c r="H207" s="1">
        <f>SUM(OSRRefH22_12x_0)</f>
        <v>4044.74</v>
      </c>
      <c r="I207" s="1"/>
      <c r="J207" s="5">
        <f t="shared" si="82"/>
        <v>5.9689359850748445E-3</v>
      </c>
      <c r="K207" s="1"/>
      <c r="L207" s="1">
        <f t="shared" si="83"/>
        <v>0</v>
      </c>
      <c r="M207" s="1"/>
      <c r="N207" s="5">
        <f t="shared" si="84"/>
        <v>0</v>
      </c>
      <c r="O207" s="13"/>
      <c r="P207" s="1">
        <f>SUM(OSRRefP22_12x_0)</f>
        <v>32357.919999999998</v>
      </c>
      <c r="Q207" s="1"/>
      <c r="R207" s="5">
        <f t="shared" si="85"/>
        <v>7.9303213451697371E-3</v>
      </c>
      <c r="S207" s="1"/>
      <c r="T207" s="1">
        <f>SUM(OSRRefT22_12x_0)</f>
        <v>32357.919999999998</v>
      </c>
      <c r="U207" s="1"/>
      <c r="V207" s="5">
        <f t="shared" si="86"/>
        <v>3.8676748017805792E-3</v>
      </c>
      <c r="W207" s="1"/>
      <c r="X207" s="1">
        <f t="shared" si="87"/>
        <v>0</v>
      </c>
      <c r="Y207" s="1"/>
      <c r="Z207" s="5">
        <f t="shared" si="88"/>
        <v>0</v>
      </c>
    </row>
    <row r="208" spans="1:26" s="24" customFormat="1" hidden="1" outlineLevel="2" x14ac:dyDescent="0.25">
      <c r="A208" s="26"/>
      <c r="B208" s="11" t="str">
        <f>CONCATENATE("          ", "6314", " - ", "LIABILITY INSURANCE")</f>
        <v xml:space="preserve">          6314 - LIABILITY INSURANCE</v>
      </c>
      <c r="C208" s="11"/>
      <c r="D208" s="6">
        <v>4044.74</v>
      </c>
      <c r="E208" s="2"/>
      <c r="F208" s="7">
        <f t="shared" si="81"/>
        <v>1.9940529525342983E-2</v>
      </c>
      <c r="G208" s="2"/>
      <c r="H208" s="6">
        <v>4044.74</v>
      </c>
      <c r="I208" s="2"/>
      <c r="J208" s="7">
        <f t="shared" si="82"/>
        <v>5.9689359850748445E-3</v>
      </c>
      <c r="K208" s="2"/>
      <c r="L208" s="6">
        <f t="shared" si="83"/>
        <v>0</v>
      </c>
      <c r="M208" s="2"/>
      <c r="N208" s="7">
        <f t="shared" si="84"/>
        <v>0</v>
      </c>
      <c r="O208" s="11"/>
      <c r="P208" s="6">
        <v>32357.919999999998</v>
      </c>
      <c r="Q208" s="2"/>
      <c r="R208" s="7">
        <f t="shared" si="85"/>
        <v>7.9303213451697371E-3</v>
      </c>
      <c r="S208" s="2"/>
      <c r="T208" s="6">
        <v>32357.919999999998</v>
      </c>
      <c r="U208" s="2"/>
      <c r="V208" s="7">
        <f t="shared" si="86"/>
        <v>3.8676748017805792E-3</v>
      </c>
      <c r="W208" s="2"/>
      <c r="X208" s="6">
        <f t="shared" si="87"/>
        <v>0</v>
      </c>
      <c r="Y208" s="2"/>
      <c r="Z208" s="7">
        <f t="shared" si="88"/>
        <v>0</v>
      </c>
    </row>
    <row r="209" spans="1:26" s="25" customFormat="1" outlineLevel="1" collapsed="1" x14ac:dyDescent="0.25">
      <c r="A209" s="27"/>
      <c r="B209" s="13" t="str">
        <f>CONCATENATE("     ","Inventory Adjustment                              ")</f>
        <v xml:space="preserve">     Inventory Adjustment                              </v>
      </c>
      <c r="C209" s="13"/>
      <c r="D209" s="1">
        <f>SUM(OSRRefD22_13x_0)</f>
        <v>2100</v>
      </c>
      <c r="E209" s="1"/>
      <c r="F209" s="5">
        <f t="shared" si="81"/>
        <v>1.0352979920395444E-2</v>
      </c>
      <c r="G209" s="1"/>
      <c r="H209" s="1">
        <f>SUM(OSRRefH22_13x_0)</f>
        <v>4250</v>
      </c>
      <c r="I209" s="1"/>
      <c r="J209" s="5">
        <f t="shared" si="82"/>
        <v>6.2718439100085772E-3</v>
      </c>
      <c r="K209" s="1"/>
      <c r="L209" s="1">
        <f t="shared" si="83"/>
        <v>-2150</v>
      </c>
      <c r="M209" s="1"/>
      <c r="N209" s="5">
        <f t="shared" si="84"/>
        <v>-0.50588235294117645</v>
      </c>
      <c r="O209" s="13"/>
      <c r="P209" s="1">
        <f>SUM(OSRRefP22_13x_0)</f>
        <v>21800</v>
      </c>
      <c r="Q209" s="1"/>
      <c r="R209" s="5">
        <f t="shared" si="85"/>
        <v>5.3427725059181884E-3</v>
      </c>
      <c r="S209" s="1"/>
      <c r="T209" s="1">
        <f>SUM(OSRRefT22_13x_0)</f>
        <v>39700</v>
      </c>
      <c r="U209" s="1"/>
      <c r="V209" s="5">
        <f t="shared" si="86"/>
        <v>4.7452583364656631E-3</v>
      </c>
      <c r="W209" s="1"/>
      <c r="X209" s="1">
        <f t="shared" si="87"/>
        <v>-17900</v>
      </c>
      <c r="Y209" s="1"/>
      <c r="Z209" s="5">
        <f t="shared" si="88"/>
        <v>-0.45088161209068012</v>
      </c>
    </row>
    <row r="210" spans="1:26" s="24" customFormat="1" hidden="1" outlineLevel="2" x14ac:dyDescent="0.25">
      <c r="A210" s="26"/>
      <c r="B210" s="11" t="str">
        <f>CONCATENATE("          ", "6408", " - ", "INVENTORY ADJUSTMENT")</f>
        <v xml:space="preserve">          6408 - INVENTORY ADJUSTMENT</v>
      </c>
      <c r="C210" s="11"/>
      <c r="D210" s="6">
        <v>2100</v>
      </c>
      <c r="E210" s="2"/>
      <c r="F210" s="7">
        <f t="shared" si="81"/>
        <v>1.0352979920395444E-2</v>
      </c>
      <c r="G210" s="2"/>
      <c r="H210" s="6">
        <v>4250</v>
      </c>
      <c r="I210" s="2"/>
      <c r="J210" s="7">
        <f t="shared" si="82"/>
        <v>6.2718439100085772E-3</v>
      </c>
      <c r="K210" s="2"/>
      <c r="L210" s="6">
        <f t="shared" si="83"/>
        <v>-2150</v>
      </c>
      <c r="M210" s="2"/>
      <c r="N210" s="7">
        <f t="shared" si="84"/>
        <v>-0.50588235294117645</v>
      </c>
      <c r="O210" s="11"/>
      <c r="P210" s="6">
        <v>21800</v>
      </c>
      <c r="Q210" s="2"/>
      <c r="R210" s="7">
        <f t="shared" si="85"/>
        <v>5.3427725059181884E-3</v>
      </c>
      <c r="S210" s="2"/>
      <c r="T210" s="6">
        <v>39700</v>
      </c>
      <c r="U210" s="2"/>
      <c r="V210" s="7">
        <f t="shared" si="86"/>
        <v>4.7452583364656631E-3</v>
      </c>
      <c r="W210" s="2"/>
      <c r="X210" s="6">
        <f t="shared" si="87"/>
        <v>-17900</v>
      </c>
      <c r="Y210" s="2"/>
      <c r="Z210" s="7">
        <f t="shared" si="88"/>
        <v>-0.45088161209068012</v>
      </c>
    </row>
    <row r="211" spans="1:26" s="25" customFormat="1" outlineLevel="1" collapsed="1" x14ac:dyDescent="0.25">
      <c r="A211" s="27"/>
      <c r="B211" s="13" t="str">
        <f>CONCATENATE("     ","Professional Services                             ")</f>
        <v xml:space="preserve">     Professional Services                             </v>
      </c>
      <c r="C211" s="13"/>
      <c r="D211" s="1">
        <f>SUM(OSRRefD22_14x_0)</f>
        <v>0</v>
      </c>
      <c r="E211" s="1"/>
      <c r="F211" s="5">
        <f t="shared" si="81"/>
        <v>0</v>
      </c>
      <c r="G211" s="1"/>
      <c r="H211" s="1">
        <f>SUM(OSRRefH22_14x_0)</f>
        <v>0</v>
      </c>
      <c r="I211" s="1"/>
      <c r="J211" s="5">
        <f t="shared" si="82"/>
        <v>0</v>
      </c>
      <c r="K211" s="1"/>
      <c r="L211" s="1">
        <f t="shared" si="83"/>
        <v>0</v>
      </c>
      <c r="M211" s="1"/>
      <c r="N211" s="5">
        <f t="shared" si="84"/>
        <v>0</v>
      </c>
      <c r="O211" s="13"/>
      <c r="P211" s="1">
        <f>SUM(OSRRefP22_14x_0)</f>
        <v>0</v>
      </c>
      <c r="Q211" s="1"/>
      <c r="R211" s="5">
        <f t="shared" si="85"/>
        <v>0</v>
      </c>
      <c r="S211" s="1"/>
      <c r="T211" s="1">
        <f>SUM(OSRRefT22_14x_0)</f>
        <v>6199.56</v>
      </c>
      <c r="U211" s="1"/>
      <c r="V211" s="5">
        <f t="shared" si="86"/>
        <v>7.410204980458203E-4</v>
      </c>
      <c r="W211" s="1"/>
      <c r="X211" s="1">
        <f t="shared" si="87"/>
        <v>-6199.56</v>
      </c>
      <c r="Y211" s="1"/>
      <c r="Z211" s="5">
        <f t="shared" si="88"/>
        <v>-1</v>
      </c>
    </row>
    <row r="212" spans="1:26" s="24" customFormat="1" hidden="1" outlineLevel="2" x14ac:dyDescent="0.25">
      <c r="A212" s="26"/>
      <c r="B212" s="11" t="str">
        <f>CONCATENATE("          ", "6336", " - ", "PROFESSIONAL SERVICES")</f>
        <v xml:space="preserve">          6336 - PROFESSIONAL SERVICES</v>
      </c>
      <c r="C212" s="11"/>
      <c r="D212" s="6"/>
      <c r="E212" s="2"/>
      <c r="F212" s="7">
        <f t="shared" si="81"/>
        <v>0</v>
      </c>
      <c r="G212" s="2"/>
      <c r="H212" s="6"/>
      <c r="I212" s="2"/>
      <c r="J212" s="7">
        <f t="shared" si="82"/>
        <v>0</v>
      </c>
      <c r="K212" s="2"/>
      <c r="L212" s="6">
        <f t="shared" si="83"/>
        <v>0</v>
      </c>
      <c r="M212" s="2"/>
      <c r="N212" s="7">
        <f t="shared" si="84"/>
        <v>0</v>
      </c>
      <c r="O212" s="11"/>
      <c r="P212" s="6"/>
      <c r="Q212" s="2"/>
      <c r="R212" s="7">
        <f t="shared" si="85"/>
        <v>0</v>
      </c>
      <c r="S212" s="2"/>
      <c r="T212" s="6">
        <v>6199.56</v>
      </c>
      <c r="U212" s="2"/>
      <c r="V212" s="7">
        <f t="shared" si="86"/>
        <v>7.410204980458203E-4</v>
      </c>
      <c r="W212" s="2"/>
      <c r="X212" s="6">
        <f t="shared" si="87"/>
        <v>-6199.56</v>
      </c>
      <c r="Y212" s="2"/>
      <c r="Z212" s="7">
        <f t="shared" si="88"/>
        <v>-1</v>
      </c>
    </row>
    <row r="213" spans="1:26" s="25" customFormat="1" outlineLevel="1" collapsed="1" x14ac:dyDescent="0.25">
      <c r="A213" s="27"/>
      <c r="B213" s="13" t="str">
        <f>CONCATENATE("     ","Rent                                              ")</f>
        <v xml:space="preserve">     Rent                                              </v>
      </c>
      <c r="C213" s="13"/>
      <c r="D213" s="1">
        <f>SUM(OSRRefD22_15x_0)</f>
        <v>6100</v>
      </c>
      <c r="E213" s="1"/>
      <c r="F213" s="5">
        <f t="shared" si="81"/>
        <v>3.007294167352962E-2</v>
      </c>
      <c r="G213" s="1"/>
      <c r="H213" s="1">
        <f>SUM(OSRRefH22_15x_0)</f>
        <v>6100</v>
      </c>
      <c r="I213" s="1"/>
      <c r="J213" s="5">
        <f t="shared" si="82"/>
        <v>9.0019406708358399E-3</v>
      </c>
      <c r="K213" s="1"/>
      <c r="L213" s="1">
        <f t="shared" si="83"/>
        <v>0</v>
      </c>
      <c r="M213" s="1"/>
      <c r="N213" s="5">
        <f t="shared" si="84"/>
        <v>0</v>
      </c>
      <c r="O213" s="13"/>
      <c r="P213" s="1">
        <f>SUM(OSRRefP22_15x_0)</f>
        <v>48800</v>
      </c>
      <c r="Q213" s="1"/>
      <c r="R213" s="5">
        <f t="shared" si="85"/>
        <v>1.1959967811413192E-2</v>
      </c>
      <c r="S213" s="1"/>
      <c r="T213" s="1">
        <f>SUM(OSRRefT22_15x_0)</f>
        <v>50400</v>
      </c>
      <c r="U213" s="1"/>
      <c r="V213" s="5">
        <f t="shared" si="86"/>
        <v>6.0242070568732849E-3</v>
      </c>
      <c r="W213" s="1"/>
      <c r="X213" s="1">
        <f t="shared" si="87"/>
        <v>-1600</v>
      </c>
      <c r="Y213" s="1"/>
      <c r="Z213" s="5">
        <f t="shared" si="88"/>
        <v>-3.1746031746031744E-2</v>
      </c>
    </row>
    <row r="214" spans="1:26" s="24" customFormat="1" hidden="1" outlineLevel="2" x14ac:dyDescent="0.25">
      <c r="A214" s="26"/>
      <c r="B214" s="11" t="str">
        <f>CONCATENATE("          ", "6273", " - ", "RENT")</f>
        <v xml:space="preserve">          6273 - RENT</v>
      </c>
      <c r="C214" s="11"/>
      <c r="D214" s="6">
        <v>6100</v>
      </c>
      <c r="E214" s="2"/>
      <c r="F214" s="7">
        <f t="shared" si="81"/>
        <v>3.007294167352962E-2</v>
      </c>
      <c r="G214" s="2"/>
      <c r="H214" s="6">
        <v>6100</v>
      </c>
      <c r="I214" s="2"/>
      <c r="J214" s="7">
        <f t="shared" si="82"/>
        <v>9.0019406708358399E-3</v>
      </c>
      <c r="K214" s="2"/>
      <c r="L214" s="6">
        <f t="shared" si="83"/>
        <v>0</v>
      </c>
      <c r="M214" s="2"/>
      <c r="N214" s="7">
        <f t="shared" si="84"/>
        <v>0</v>
      </c>
      <c r="O214" s="11"/>
      <c r="P214" s="6">
        <v>48800</v>
      </c>
      <c r="Q214" s="2"/>
      <c r="R214" s="7">
        <f t="shared" si="85"/>
        <v>1.1959967811413192E-2</v>
      </c>
      <c r="S214" s="2"/>
      <c r="T214" s="6">
        <v>50400</v>
      </c>
      <c r="U214" s="2"/>
      <c r="V214" s="7">
        <f t="shared" si="86"/>
        <v>6.0242070568732849E-3</v>
      </c>
      <c r="W214" s="2"/>
      <c r="X214" s="6">
        <f t="shared" si="87"/>
        <v>-1600</v>
      </c>
      <c r="Y214" s="2"/>
      <c r="Z214" s="7">
        <f t="shared" si="88"/>
        <v>-3.1746031746031744E-2</v>
      </c>
    </row>
    <row r="215" spans="1:26" s="25" customFormat="1" outlineLevel="1" collapsed="1" x14ac:dyDescent="0.25">
      <c r="A215" s="27"/>
      <c r="B215" s="13" t="str">
        <f>CONCATENATE("     ","Repair and Maintenance                            ")</f>
        <v xml:space="preserve">     Repair and Maintenance                            </v>
      </c>
      <c r="C215" s="13"/>
      <c r="D215" s="1">
        <f>SUM(OSRRefD22_16x_0)</f>
        <v>16129.08</v>
      </c>
      <c r="E215" s="1"/>
      <c r="F215" s="5">
        <f t="shared" si="81"/>
        <v>7.9516210178310356E-2</v>
      </c>
      <c r="G215" s="1"/>
      <c r="H215" s="1">
        <f>SUM(OSRRefH22_16x_0)</f>
        <v>6641.84</v>
      </c>
      <c r="I215" s="1"/>
      <c r="J215" s="5">
        <f t="shared" si="82"/>
        <v>9.8015491188826742E-3</v>
      </c>
      <c r="K215" s="1"/>
      <c r="L215" s="1">
        <f t="shared" si="83"/>
        <v>9487.24</v>
      </c>
      <c r="M215" s="1"/>
      <c r="N215" s="5">
        <f t="shared" si="84"/>
        <v>1.4284053816412319</v>
      </c>
      <c r="O215" s="13"/>
      <c r="P215" s="1">
        <f>SUM(OSRRefP22_16x_0)</f>
        <v>128956.4</v>
      </c>
      <c r="Q215" s="1"/>
      <c r="R215" s="5">
        <f t="shared" si="85"/>
        <v>3.1604803136797623E-2</v>
      </c>
      <c r="S215" s="1"/>
      <c r="T215" s="1">
        <f>SUM(OSRRefT22_16x_0)</f>
        <v>108155.62</v>
      </c>
      <c r="U215" s="1"/>
      <c r="V215" s="5">
        <f t="shared" si="86"/>
        <v>1.2927616056438598E-2</v>
      </c>
      <c r="W215" s="1"/>
      <c r="X215" s="1">
        <f t="shared" si="87"/>
        <v>20800.78</v>
      </c>
      <c r="Y215" s="1"/>
      <c r="Z215" s="5">
        <f t="shared" si="88"/>
        <v>0.19232269206167926</v>
      </c>
    </row>
    <row r="216" spans="1:26" s="24" customFormat="1" hidden="1" outlineLevel="2" x14ac:dyDescent="0.25">
      <c r="A216" s="26"/>
      <c r="B216" s="11" t="str">
        <f>CONCATENATE("          ", "6371", " - ", "COMPUTER SOFTWARE MAINTENANCE")</f>
        <v xml:space="preserve">          6371 - COMPUTER SOFTWARE MAINTENANCE</v>
      </c>
      <c r="C216" s="11"/>
      <c r="D216" s="6">
        <v>1331.25</v>
      </c>
      <c r="E216" s="2"/>
      <c r="F216" s="7">
        <f t="shared" si="81"/>
        <v>6.5630497709649686E-3</v>
      </c>
      <c r="G216" s="2"/>
      <c r="H216" s="6">
        <v>601</v>
      </c>
      <c r="I216" s="2"/>
      <c r="J216" s="7">
        <f t="shared" si="82"/>
        <v>8.8691251527415408E-4</v>
      </c>
      <c r="K216" s="2"/>
      <c r="L216" s="6">
        <f t="shared" si="83"/>
        <v>730.25</v>
      </c>
      <c r="M216" s="2"/>
      <c r="N216" s="7">
        <f t="shared" si="84"/>
        <v>1.2150582362728786</v>
      </c>
      <c r="O216" s="11"/>
      <c r="P216" s="6">
        <v>59767.719999999994</v>
      </c>
      <c r="Q216" s="2"/>
      <c r="R216" s="7">
        <f t="shared" si="85"/>
        <v>1.4647950970523698E-2</v>
      </c>
      <c r="S216" s="2"/>
      <c r="T216" s="6">
        <v>15155.4</v>
      </c>
      <c r="U216" s="2"/>
      <c r="V216" s="7">
        <f t="shared" si="86"/>
        <v>1.8114934053519321E-3</v>
      </c>
      <c r="W216" s="2"/>
      <c r="X216" s="6">
        <f t="shared" si="87"/>
        <v>44612.319999999992</v>
      </c>
      <c r="Y216" s="2"/>
      <c r="Z216" s="7">
        <f t="shared" si="88"/>
        <v>2.9436583659949584</v>
      </c>
    </row>
    <row r="217" spans="1:26" s="24" customFormat="1" hidden="1" outlineLevel="2" x14ac:dyDescent="0.25">
      <c r="A217" s="26"/>
      <c r="B217" s="11" t="str">
        <f>CONCATENATE("          ", "6372", " - ", "COMPUTER HARDWARE MAINTENANCE")</f>
        <v xml:space="preserve">          6372 - COMPUTER HARDWARE MAINTENANCE</v>
      </c>
      <c r="C217" s="11"/>
      <c r="D217" s="6">
        <v>-1.1499999999999999</v>
      </c>
      <c r="E217" s="2"/>
      <c r="F217" s="7">
        <f t="shared" si="81"/>
        <v>-5.6694890040260759E-6</v>
      </c>
      <c r="G217" s="2"/>
      <c r="H217" s="6"/>
      <c r="I217" s="2"/>
      <c r="J217" s="7">
        <f t="shared" si="82"/>
        <v>0</v>
      </c>
      <c r="K217" s="2"/>
      <c r="L217" s="6">
        <f t="shared" si="83"/>
        <v>-1.1499999999999999</v>
      </c>
      <c r="M217" s="2"/>
      <c r="N217" s="7">
        <f t="shared" si="84"/>
        <v>0</v>
      </c>
      <c r="O217" s="11"/>
      <c r="P217" s="6">
        <v>-1.1499999999999999</v>
      </c>
      <c r="Q217" s="2"/>
      <c r="R217" s="7">
        <f t="shared" si="85"/>
        <v>-2.8184350375256494E-7</v>
      </c>
      <c r="S217" s="2"/>
      <c r="T217" s="6">
        <v>52.32</v>
      </c>
      <c r="U217" s="2"/>
      <c r="V217" s="7">
        <f t="shared" si="86"/>
        <v>6.2537006590398858E-6</v>
      </c>
      <c r="W217" s="2"/>
      <c r="X217" s="6">
        <f t="shared" si="87"/>
        <v>-53.47</v>
      </c>
      <c r="Y217" s="2"/>
      <c r="Z217" s="7">
        <f t="shared" si="88"/>
        <v>-1.0219801223241589</v>
      </c>
    </row>
    <row r="218" spans="1:26" s="24" customFormat="1" hidden="1" outlineLevel="2" x14ac:dyDescent="0.25">
      <c r="A218" s="26"/>
      <c r="B218" s="11" t="str">
        <f>CONCATENATE("          ", "6373", " - ", "MAINTENANCE CONTRACTS")</f>
        <v xml:space="preserve">          6373 - MAINTENANCE CONTRACTS</v>
      </c>
      <c r="C218" s="11"/>
      <c r="D218" s="6">
        <v>3372.5</v>
      </c>
      <c r="E218" s="2"/>
      <c r="F218" s="7">
        <f t="shared" si="81"/>
        <v>1.6626392753111254E-2</v>
      </c>
      <c r="G218" s="2"/>
      <c r="H218" s="6">
        <v>4914.58</v>
      </c>
      <c r="I218" s="2"/>
      <c r="J218" s="7">
        <f t="shared" si="82"/>
        <v>7.2525832101764595E-3</v>
      </c>
      <c r="K218" s="2"/>
      <c r="L218" s="6">
        <f t="shared" si="83"/>
        <v>-1542.08</v>
      </c>
      <c r="M218" s="2"/>
      <c r="N218" s="7">
        <f t="shared" si="84"/>
        <v>-0.31377655872933191</v>
      </c>
      <c r="O218" s="11"/>
      <c r="P218" s="6">
        <v>43426.68</v>
      </c>
      <c r="Q218" s="2"/>
      <c r="R218" s="7">
        <f t="shared" si="85"/>
        <v>1.0643067519601252E-2</v>
      </c>
      <c r="S218" s="2"/>
      <c r="T218" s="6">
        <v>57454.080000000002</v>
      </c>
      <c r="U218" s="2"/>
      <c r="V218" s="7">
        <f t="shared" si="86"/>
        <v>6.8673665512333781E-3</v>
      </c>
      <c r="W218" s="2"/>
      <c r="X218" s="6">
        <f t="shared" si="87"/>
        <v>-14027.400000000001</v>
      </c>
      <c r="Y218" s="2"/>
      <c r="Z218" s="7">
        <f t="shared" si="88"/>
        <v>-0.24414976273225505</v>
      </c>
    </row>
    <row r="219" spans="1:26" s="24" customFormat="1" hidden="1" outlineLevel="2" x14ac:dyDescent="0.25">
      <c r="A219" s="26"/>
      <c r="B219" s="11" t="str">
        <f>CONCATENATE("          ", "6375", " - ", "OUTSIDE REPAIRS &amp; MAINTENANCE")</f>
        <v xml:space="preserve">          6375 - OUTSIDE REPAIRS &amp; MAINTENANCE</v>
      </c>
      <c r="C219" s="11"/>
      <c r="D219" s="6">
        <v>11426.48</v>
      </c>
      <c r="E219" s="2"/>
      <c r="F219" s="7">
        <f t="shared" si="81"/>
        <v>5.633243714323815E-2</v>
      </c>
      <c r="G219" s="2"/>
      <c r="H219" s="6">
        <v>1126.26</v>
      </c>
      <c r="I219" s="2"/>
      <c r="J219" s="7">
        <f t="shared" si="82"/>
        <v>1.6620533934320612E-3</v>
      </c>
      <c r="K219" s="2"/>
      <c r="L219" s="6">
        <f t="shared" si="83"/>
        <v>10300.219999999999</v>
      </c>
      <c r="M219" s="2"/>
      <c r="N219" s="7">
        <f t="shared" si="84"/>
        <v>9.1455081419920798</v>
      </c>
      <c r="O219" s="11"/>
      <c r="P219" s="6">
        <v>25763.15</v>
      </c>
      <c r="Q219" s="2"/>
      <c r="R219" s="7">
        <f t="shared" si="85"/>
        <v>6.3140664901764308E-3</v>
      </c>
      <c r="S219" s="2"/>
      <c r="T219" s="6">
        <v>35493.82</v>
      </c>
      <c r="U219" s="2"/>
      <c r="V219" s="7">
        <f t="shared" si="86"/>
        <v>4.2425023991942484E-3</v>
      </c>
      <c r="W219" s="2"/>
      <c r="X219" s="6">
        <f t="shared" si="87"/>
        <v>-9730.6699999999983</v>
      </c>
      <c r="Y219" s="2"/>
      <c r="Z219" s="7">
        <f t="shared" si="88"/>
        <v>-0.27415110574178825</v>
      </c>
    </row>
    <row r="220" spans="1:26" s="25" customFormat="1" outlineLevel="1" collapsed="1" x14ac:dyDescent="0.25">
      <c r="A220" s="27"/>
      <c r="B220" s="13" t="str">
        <f>CONCATENATE("     ","Royalty &amp; Commissions                             ")</f>
        <v xml:space="preserve">     Royalty &amp; Commissions                             </v>
      </c>
      <c r="C220" s="13"/>
      <c r="D220" s="1">
        <f>SUM(OSRRefD22_17x_0)</f>
        <v>468.34</v>
      </c>
      <c r="E220" s="1"/>
      <c r="F220" s="5">
        <f t="shared" ref="F220:F223" si="89">IF(D$12=0,0,D220/D$12)</f>
        <v>2.3089117218657151E-3</v>
      </c>
      <c r="G220" s="1"/>
      <c r="H220" s="1">
        <f>SUM(OSRRefH22_17x_0)</f>
        <v>24310.91</v>
      </c>
      <c r="I220" s="1"/>
      <c r="J220" s="5">
        <f t="shared" ref="J220:J223" si="90">IF(H$12=0,0,H220/H$12)</f>
        <v>3.5876290077709795E-2</v>
      </c>
      <c r="K220" s="1"/>
      <c r="L220" s="1">
        <f t="shared" ref="L220:L223" si="91">+D220-H220</f>
        <v>-23842.57</v>
      </c>
      <c r="M220" s="1"/>
      <c r="N220" s="5">
        <f t="shared" ref="N220:N223" si="92">IF(H220=0,0,L220/H220)</f>
        <v>-0.98073539822244415</v>
      </c>
      <c r="O220" s="13"/>
      <c r="P220" s="1">
        <f>SUM(OSRRefP22_17x_0)</f>
        <v>36833.990000000005</v>
      </c>
      <c r="Q220" s="1"/>
      <c r="R220" s="5">
        <f t="shared" ref="R220:R223" si="93">IF(P$12=0,0,P220/P$12)</f>
        <v>9.0273224337277767E-3</v>
      </c>
      <c r="S220" s="1"/>
      <c r="T220" s="1">
        <f>SUM(OSRRefT22_17x_0)</f>
        <v>96403.07</v>
      </c>
      <c r="U220" s="1"/>
      <c r="V220" s="5">
        <f t="shared" ref="V220:V223" si="94">IF(T$12=0,0,T220/T$12)</f>
        <v>1.152285822615574E-2</v>
      </c>
      <c r="W220" s="1"/>
      <c r="X220" s="1">
        <f t="shared" ref="X220:X223" si="95">+P220-T220</f>
        <v>-59569.08</v>
      </c>
      <c r="Y220" s="1"/>
      <c r="Z220" s="5">
        <f t="shared" ref="Z220:Z223" si="96">IF(T220=0,0,X220/T220)</f>
        <v>-0.61791683605096803</v>
      </c>
    </row>
    <row r="221" spans="1:26" s="24" customFormat="1" hidden="1" outlineLevel="2" x14ac:dyDescent="0.25">
      <c r="A221" s="26"/>
      <c r="B221" s="11" t="str">
        <f>CONCATENATE("          ", "6253", " - ", "ROYALTY DUE ATHLETICS-LRG")</f>
        <v xml:space="preserve">          6253 - ROYALTY DUE ATHLETICS-LRG</v>
      </c>
      <c r="C221" s="11"/>
      <c r="D221" s="6"/>
      <c r="E221" s="2"/>
      <c r="F221" s="7">
        <f t="shared" si="89"/>
        <v>0</v>
      </c>
      <c r="G221" s="2"/>
      <c r="H221" s="6">
        <v>12278.49</v>
      </c>
      <c r="I221" s="2"/>
      <c r="J221" s="7">
        <f t="shared" si="90"/>
        <v>1.8119711230729696E-2</v>
      </c>
      <c r="K221" s="2"/>
      <c r="L221" s="6">
        <f t="shared" si="91"/>
        <v>-12278.49</v>
      </c>
      <c r="M221" s="2"/>
      <c r="N221" s="7">
        <f t="shared" si="92"/>
        <v>-1</v>
      </c>
      <c r="O221" s="11"/>
      <c r="P221" s="6">
        <v>26197.58</v>
      </c>
      <c r="Q221" s="2"/>
      <c r="R221" s="7">
        <f t="shared" si="93"/>
        <v>6.4205371626418449E-3</v>
      </c>
      <c r="S221" s="2"/>
      <c r="T221" s="6">
        <v>16645.439999999999</v>
      </c>
      <c r="U221" s="2"/>
      <c r="V221" s="7">
        <f t="shared" si="94"/>
        <v>1.9895947839833499E-3</v>
      </c>
      <c r="W221" s="2"/>
      <c r="X221" s="6">
        <f t="shared" si="95"/>
        <v>9552.1400000000031</v>
      </c>
      <c r="Y221" s="2"/>
      <c r="Z221" s="7">
        <f t="shared" si="96"/>
        <v>0.57385926716265856</v>
      </c>
    </row>
    <row r="222" spans="1:26" s="24" customFormat="1" hidden="1" outlineLevel="2" x14ac:dyDescent="0.25">
      <c r="A222" s="26"/>
      <c r="B222" s="11" t="str">
        <f>CONCATENATE("          ", "6254", " - ", "ROYALTY &amp; COMMISSIONS")</f>
        <v xml:space="preserve">          6254 - ROYALTY &amp; COMMISSIONS</v>
      </c>
      <c r="C222" s="11"/>
      <c r="D222" s="6"/>
      <c r="E222" s="2"/>
      <c r="F222" s="7">
        <f t="shared" si="89"/>
        <v>0</v>
      </c>
      <c r="G222" s="2"/>
      <c r="H222" s="6">
        <v>3471.1</v>
      </c>
      <c r="I222" s="2"/>
      <c r="J222" s="7">
        <f t="shared" si="90"/>
        <v>5.1223993873013582E-3</v>
      </c>
      <c r="K222" s="2"/>
      <c r="L222" s="6">
        <f t="shared" si="91"/>
        <v>-3471.1</v>
      </c>
      <c r="M222" s="2"/>
      <c r="N222" s="7">
        <f t="shared" si="92"/>
        <v>-1</v>
      </c>
      <c r="O222" s="11"/>
      <c r="P222" s="6"/>
      <c r="Q222" s="2"/>
      <c r="R222" s="7">
        <f t="shared" si="93"/>
        <v>0</v>
      </c>
      <c r="S222" s="2"/>
      <c r="T222" s="6">
        <v>6795.75</v>
      </c>
      <c r="U222" s="2"/>
      <c r="V222" s="7">
        <f t="shared" si="94"/>
        <v>8.1228184735608383E-4</v>
      </c>
      <c r="W222" s="2"/>
      <c r="X222" s="6">
        <f t="shared" si="95"/>
        <v>-6795.75</v>
      </c>
      <c r="Y222" s="2"/>
      <c r="Z222" s="7">
        <f t="shared" si="96"/>
        <v>-1</v>
      </c>
    </row>
    <row r="223" spans="1:26" s="24" customFormat="1" hidden="1" outlineLevel="2" x14ac:dyDescent="0.25">
      <c r="A223" s="26"/>
      <c r="B223" s="11" t="str">
        <f>CONCATENATE("          ", "6259", " - ", "ROYALTY &amp; COMMISSIONS")</f>
        <v xml:space="preserve">          6259 - ROYALTY &amp; COMMISSIONS</v>
      </c>
      <c r="C223" s="11"/>
      <c r="D223" s="6">
        <v>468.34</v>
      </c>
      <c r="E223" s="2"/>
      <c r="F223" s="7">
        <f t="shared" si="89"/>
        <v>2.3089117218657151E-3</v>
      </c>
      <c r="G223" s="2"/>
      <c r="H223" s="6">
        <v>8561.32</v>
      </c>
      <c r="I223" s="2"/>
      <c r="J223" s="7">
        <f t="shared" si="90"/>
        <v>1.2634179459678737E-2</v>
      </c>
      <c r="K223" s="2"/>
      <c r="L223" s="6">
        <f t="shared" si="91"/>
        <v>-8092.98</v>
      </c>
      <c r="M223" s="2"/>
      <c r="N223" s="7">
        <f t="shared" si="92"/>
        <v>-0.9452958188690529</v>
      </c>
      <c r="O223" s="11"/>
      <c r="P223" s="6">
        <v>10636.41</v>
      </c>
      <c r="Q223" s="2"/>
      <c r="R223" s="7">
        <f t="shared" si="93"/>
        <v>2.6067852710859301E-3</v>
      </c>
      <c r="S223" s="2"/>
      <c r="T223" s="6">
        <v>72961.88</v>
      </c>
      <c r="U223" s="2"/>
      <c r="V223" s="7">
        <f t="shared" si="94"/>
        <v>8.7209815948163048E-3</v>
      </c>
      <c r="W223" s="2"/>
      <c r="X223" s="6">
        <f t="shared" si="95"/>
        <v>-62325.47</v>
      </c>
      <c r="Y223" s="2"/>
      <c r="Z223" s="7">
        <f t="shared" si="96"/>
        <v>-0.85421962811265273</v>
      </c>
    </row>
    <row r="224" spans="1:26" s="25" customFormat="1" outlineLevel="1" collapsed="1" x14ac:dyDescent="0.25">
      <c r="A224" s="27"/>
      <c r="B224" s="13" t="str">
        <f>CONCATENATE("     ","Services                                          ")</f>
        <v xml:space="preserve">     Services                                          </v>
      </c>
      <c r="C224" s="13"/>
      <c r="D224" s="1">
        <f>SUM(OSRRefD22_18x_0)</f>
        <v>3932.57</v>
      </c>
      <c r="E224" s="1"/>
      <c r="F224" s="5">
        <f t="shared" ref="F224:F228" si="97">IF(D$12=0,0,D224/D$12)</f>
        <v>1.9387532497880718E-2</v>
      </c>
      <c r="G224" s="1"/>
      <c r="H224" s="1">
        <f>SUM(OSRRefH22_18x_0)</f>
        <v>4769.88</v>
      </c>
      <c r="I224" s="1"/>
      <c r="J224" s="5">
        <f t="shared" ref="J224:J228" si="98">IF(H$12=0,0,H224/H$12)</f>
        <v>7.0390453716404032E-3</v>
      </c>
      <c r="K224" s="1"/>
      <c r="L224" s="1">
        <f t="shared" ref="L224:L228" si="99">+D224-H224</f>
        <v>-837.31</v>
      </c>
      <c r="M224" s="1"/>
      <c r="N224" s="5">
        <f t="shared" ref="N224:N228" si="100">IF(H224=0,0,L224/H224)</f>
        <v>-0.17554110375942369</v>
      </c>
      <c r="O224" s="13"/>
      <c r="P224" s="1">
        <f>SUM(OSRRefP22_18x_0)</f>
        <v>28661.89</v>
      </c>
      <c r="Q224" s="1"/>
      <c r="R224" s="5">
        <f t="shared" ref="R224:R228" si="101">IF(P$12=0,0,P224/P$12)</f>
        <v>7.0244934798005254E-3</v>
      </c>
      <c r="S224" s="1"/>
      <c r="T224" s="1">
        <f>SUM(OSRRefT22_18x_0)</f>
        <v>37020.06</v>
      </c>
      <c r="U224" s="1"/>
      <c r="V224" s="5">
        <f t="shared" ref="V224:V228" si="102">IF(T$12=0,0,T224/T$12)</f>
        <v>4.4249306884498489E-3</v>
      </c>
      <c r="W224" s="1"/>
      <c r="X224" s="1">
        <f t="shared" ref="X224:X228" si="103">+P224-T224</f>
        <v>-8358.1699999999983</v>
      </c>
      <c r="Y224" s="1"/>
      <c r="Z224" s="5">
        <f t="shared" ref="Z224:Z228" si="104">IF(T224=0,0,X224/T224)</f>
        <v>-0.22577408032293839</v>
      </c>
    </row>
    <row r="225" spans="1:26" s="24" customFormat="1" hidden="1" outlineLevel="2" x14ac:dyDescent="0.25">
      <c r="A225" s="26"/>
      <c r="B225" s="11" t="str">
        <f>CONCATENATE("          ", "6282", " - ", "JANITORIAL/EXTERMINATOR EXPENS")</f>
        <v xml:space="preserve">          6282 - JANITORIAL/EXTERMINATOR EXPENS</v>
      </c>
      <c r="C225" s="11"/>
      <c r="D225" s="6"/>
      <c r="E225" s="2"/>
      <c r="F225" s="7">
        <f t="shared" si="97"/>
        <v>0</v>
      </c>
      <c r="G225" s="2"/>
      <c r="H225" s="6">
        <v>266.5</v>
      </c>
      <c r="I225" s="2"/>
      <c r="J225" s="7">
        <f t="shared" si="98"/>
        <v>3.932815063570084E-4</v>
      </c>
      <c r="K225" s="2"/>
      <c r="L225" s="6">
        <f t="shared" si="99"/>
        <v>-266.5</v>
      </c>
      <c r="M225" s="2"/>
      <c r="N225" s="7">
        <f t="shared" si="100"/>
        <v>-1</v>
      </c>
      <c r="O225" s="11"/>
      <c r="P225" s="6">
        <v>6953.12</v>
      </c>
      <c r="Q225" s="2"/>
      <c r="R225" s="7">
        <f t="shared" si="101"/>
        <v>1.7040797415756822E-3</v>
      </c>
      <c r="S225" s="2"/>
      <c r="T225" s="6">
        <v>2153.02</v>
      </c>
      <c r="U225" s="2"/>
      <c r="V225" s="7">
        <f t="shared" si="102"/>
        <v>2.5734599757121663E-4</v>
      </c>
      <c r="W225" s="2"/>
      <c r="X225" s="6">
        <f t="shared" si="103"/>
        <v>4800.1000000000004</v>
      </c>
      <c r="Y225" s="2"/>
      <c r="Z225" s="7">
        <f t="shared" si="104"/>
        <v>2.2294730192938292</v>
      </c>
    </row>
    <row r="226" spans="1:26" s="24" customFormat="1" hidden="1" outlineLevel="2" x14ac:dyDescent="0.25">
      <c r="A226" s="26"/>
      <c r="B226" s="11" t="str">
        <f>CONCATENATE("          ", "6283", " - ", "PLANT SERVICE")</f>
        <v xml:space="preserve">          6283 - PLANT SERVICE</v>
      </c>
      <c r="C226" s="11"/>
      <c r="D226" s="6"/>
      <c r="E226" s="2"/>
      <c r="F226" s="7">
        <f t="shared" si="97"/>
        <v>0</v>
      </c>
      <c r="G226" s="2"/>
      <c r="H226" s="6"/>
      <c r="I226" s="2"/>
      <c r="J226" s="7">
        <f t="shared" si="98"/>
        <v>0</v>
      </c>
      <c r="K226" s="2"/>
      <c r="L226" s="6">
        <f t="shared" si="99"/>
        <v>0</v>
      </c>
      <c r="M226" s="2"/>
      <c r="N226" s="7">
        <f t="shared" si="100"/>
        <v>0</v>
      </c>
      <c r="O226" s="11"/>
      <c r="P226" s="6">
        <v>171.31</v>
      </c>
      <c r="Q226" s="2"/>
      <c r="R226" s="7">
        <f t="shared" si="101"/>
        <v>4.1984878806827747E-5</v>
      </c>
      <c r="S226" s="2"/>
      <c r="T226" s="6">
        <v>541.98</v>
      </c>
      <c r="U226" s="2"/>
      <c r="V226" s="7">
        <f t="shared" si="102"/>
        <v>6.478174088659093E-5</v>
      </c>
      <c r="W226" s="2"/>
      <c r="X226" s="6">
        <f t="shared" si="103"/>
        <v>-370.67</v>
      </c>
      <c r="Y226" s="2"/>
      <c r="Z226" s="7">
        <f t="shared" si="104"/>
        <v>-0.68391822576478833</v>
      </c>
    </row>
    <row r="227" spans="1:26" s="24" customFormat="1" hidden="1" outlineLevel="2" x14ac:dyDescent="0.25">
      <c r="A227" s="26"/>
      <c r="B227" s="11" t="str">
        <f>CONCATENATE("          ", "6284", " - ", "TRASH REMOVAL EXPENSE")</f>
        <v xml:space="preserve">          6284 - TRASH REMOVAL EXPENSE</v>
      </c>
      <c r="C227" s="11"/>
      <c r="D227" s="6">
        <v>142.57</v>
      </c>
      <c r="E227" s="2"/>
      <c r="F227" s="7">
        <f t="shared" si="97"/>
        <v>7.0286873678608488E-4</v>
      </c>
      <c r="G227" s="2"/>
      <c r="H227" s="6">
        <v>134.82</v>
      </c>
      <c r="I227" s="2"/>
      <c r="J227" s="7">
        <f t="shared" si="98"/>
        <v>1.9895764610526032E-4</v>
      </c>
      <c r="K227" s="2"/>
      <c r="L227" s="6">
        <f t="shared" si="99"/>
        <v>7.75</v>
      </c>
      <c r="M227" s="2"/>
      <c r="N227" s="7">
        <f t="shared" si="100"/>
        <v>5.7484052811155616E-2</v>
      </c>
      <c r="O227" s="11"/>
      <c r="P227" s="6">
        <v>1155.58</v>
      </c>
      <c r="Q227" s="2"/>
      <c r="R227" s="7">
        <f t="shared" si="101"/>
        <v>2.8321105744903393E-4</v>
      </c>
      <c r="S227" s="2"/>
      <c r="T227" s="6">
        <v>1078.56</v>
      </c>
      <c r="U227" s="2"/>
      <c r="V227" s="7">
        <f t="shared" si="102"/>
        <v>1.2891803101708829E-4</v>
      </c>
      <c r="W227" s="2"/>
      <c r="X227" s="6">
        <f t="shared" si="103"/>
        <v>77.019999999999982</v>
      </c>
      <c r="Y227" s="2"/>
      <c r="Z227" s="7">
        <f t="shared" si="104"/>
        <v>7.1410028185729113E-2</v>
      </c>
    </row>
    <row r="228" spans="1:26" s="24" customFormat="1" hidden="1" outlineLevel="2" x14ac:dyDescent="0.25">
      <c r="A228" s="26"/>
      <c r="B228" s="11" t="str">
        <f>CONCATENATE("          ", "6285", " - ", "JANITORIAL SERVICES")</f>
        <v xml:space="preserve">          6285 - JANITORIAL SERVICES</v>
      </c>
      <c r="C228" s="11"/>
      <c r="D228" s="6">
        <v>3790</v>
      </c>
      <c r="E228" s="2"/>
      <c r="F228" s="7">
        <f t="shared" si="97"/>
        <v>1.8684663761094632E-2</v>
      </c>
      <c r="G228" s="2"/>
      <c r="H228" s="6">
        <v>4368.5600000000004</v>
      </c>
      <c r="I228" s="2"/>
      <c r="J228" s="7">
        <f t="shared" si="98"/>
        <v>6.4468062191781342E-3</v>
      </c>
      <c r="K228" s="2"/>
      <c r="L228" s="6">
        <f t="shared" si="99"/>
        <v>-578.5600000000004</v>
      </c>
      <c r="M228" s="2"/>
      <c r="N228" s="7">
        <f t="shared" si="100"/>
        <v>-0.13243723332173538</v>
      </c>
      <c r="O228" s="11"/>
      <c r="P228" s="6">
        <v>20381.88</v>
      </c>
      <c r="Q228" s="2"/>
      <c r="R228" s="7">
        <f t="shared" si="101"/>
        <v>4.9952178019689823E-3</v>
      </c>
      <c r="S228" s="2"/>
      <c r="T228" s="6">
        <v>33246.5</v>
      </c>
      <c r="U228" s="2"/>
      <c r="V228" s="7">
        <f t="shared" si="102"/>
        <v>3.9738849189749539E-3</v>
      </c>
      <c r="W228" s="2"/>
      <c r="X228" s="6">
        <f t="shared" si="103"/>
        <v>-12864.619999999999</v>
      </c>
      <c r="Y228" s="2"/>
      <c r="Z228" s="7">
        <f t="shared" si="104"/>
        <v>-0.38694659588227331</v>
      </c>
    </row>
    <row r="229" spans="1:26" s="25" customFormat="1" outlineLevel="1" collapsed="1" x14ac:dyDescent="0.25">
      <c r="A229" s="27"/>
      <c r="B229" s="13" t="str">
        <f>CONCATENATE("     ","Subscriptions &amp; Dues                              ")</f>
        <v xml:space="preserve">     Subscriptions &amp; Dues                              </v>
      </c>
      <c r="C229" s="13"/>
      <c r="D229" s="1">
        <f>SUM(OSRRefD22_19x_0)</f>
        <v>181.41</v>
      </c>
      <c r="E229" s="1"/>
      <c r="F229" s="5">
        <f t="shared" ref="F229:F231" si="105">IF(D$12=0,0,D229/D$12)</f>
        <v>8.9434956540901779E-4</v>
      </c>
      <c r="G229" s="1"/>
      <c r="H229" s="1">
        <f>SUM(OSRRefH22_19x_0)</f>
        <v>1504.37</v>
      </c>
      <c r="I229" s="1"/>
      <c r="J229" s="5">
        <f t="shared" ref="J229:J231" si="106">IF(H$12=0,0,H229/H$12)</f>
        <v>2.2200408995057888E-3</v>
      </c>
      <c r="K229" s="1"/>
      <c r="L229" s="1">
        <f t="shared" ref="L229:L231" si="107">+D229-H229</f>
        <v>-1322.9599999999998</v>
      </c>
      <c r="M229" s="1"/>
      <c r="N229" s="5">
        <f t="shared" ref="N229:N231" si="108">IF(H229=0,0,L229/H229)</f>
        <v>-0.87941131503552972</v>
      </c>
      <c r="O229" s="13"/>
      <c r="P229" s="1">
        <f>SUM(OSRRefP22_19x_0)</f>
        <v>4026.54</v>
      </c>
      <c r="Q229" s="1"/>
      <c r="R229" s="5">
        <f t="shared" ref="R229:R231" si="109">IF(P$12=0,0,P229/P$12)</f>
        <v>9.8682968834769833E-4</v>
      </c>
      <c r="S229" s="1"/>
      <c r="T229" s="1">
        <f>SUM(OSRRefT22_19x_0)</f>
        <v>4305.2299999999996</v>
      </c>
      <c r="U229" s="1"/>
      <c r="V229" s="5">
        <f t="shared" ref="V229:V231" si="110">IF(T$12=0,0,T229/T$12)</f>
        <v>5.1459517752901922E-4</v>
      </c>
      <c r="W229" s="1"/>
      <c r="X229" s="1">
        <f t="shared" ref="X229:X231" si="111">+P229-T229</f>
        <v>-278.6899999999996</v>
      </c>
      <c r="Y229" s="1"/>
      <c r="Z229" s="5">
        <f t="shared" ref="Z229:Z231" si="112">IF(T229=0,0,X229/T229)</f>
        <v>-6.4732894642098013E-2</v>
      </c>
    </row>
    <row r="230" spans="1:26" s="24" customFormat="1" hidden="1" outlineLevel="2" x14ac:dyDescent="0.25">
      <c r="A230" s="26"/>
      <c r="B230" s="11" t="str">
        <f>CONCATENATE("          ", "6258", " - ", "MEMBERSHIP DUES")</f>
        <v xml:space="preserve">          6258 - MEMBERSHIP DUES</v>
      </c>
      <c r="C230" s="11"/>
      <c r="D230" s="6">
        <v>181.41</v>
      </c>
      <c r="E230" s="2"/>
      <c r="F230" s="7">
        <f t="shared" si="105"/>
        <v>8.9434956540901779E-4</v>
      </c>
      <c r="G230" s="2"/>
      <c r="H230" s="6">
        <v>1504.37</v>
      </c>
      <c r="I230" s="2"/>
      <c r="J230" s="7">
        <f t="shared" si="106"/>
        <v>2.2200408995057888E-3</v>
      </c>
      <c r="K230" s="2"/>
      <c r="L230" s="6">
        <f t="shared" si="107"/>
        <v>-1322.9599999999998</v>
      </c>
      <c r="M230" s="2"/>
      <c r="N230" s="7">
        <f t="shared" si="108"/>
        <v>-0.87941131503552972</v>
      </c>
      <c r="O230" s="11"/>
      <c r="P230" s="6">
        <v>1873.73</v>
      </c>
      <c r="Q230" s="2"/>
      <c r="R230" s="7">
        <f t="shared" si="109"/>
        <v>4.5921619850982054E-4</v>
      </c>
      <c r="S230" s="2"/>
      <c r="T230" s="6">
        <v>3439.87</v>
      </c>
      <c r="U230" s="2"/>
      <c r="V230" s="7">
        <f t="shared" si="110"/>
        <v>4.1116049858584729E-4</v>
      </c>
      <c r="W230" s="2"/>
      <c r="X230" s="6">
        <f t="shared" si="111"/>
        <v>-1566.1399999999999</v>
      </c>
      <c r="Y230" s="2"/>
      <c r="Z230" s="7">
        <f t="shared" si="112"/>
        <v>-0.45529046155814024</v>
      </c>
    </row>
    <row r="231" spans="1:26" s="24" customFormat="1" hidden="1" outlineLevel="2" x14ac:dyDescent="0.25">
      <c r="A231" s="26"/>
      <c r="B231" s="11" t="str">
        <f>CONCATENATE("          ", "6275", " - ", "SUBSCRIPTIONS")</f>
        <v xml:space="preserve">          6275 - SUBSCRIPTIONS</v>
      </c>
      <c r="C231" s="11"/>
      <c r="D231" s="6"/>
      <c r="E231" s="2"/>
      <c r="F231" s="7">
        <f t="shared" si="105"/>
        <v>0</v>
      </c>
      <c r="G231" s="2"/>
      <c r="H231" s="6"/>
      <c r="I231" s="2"/>
      <c r="J231" s="7">
        <f t="shared" si="106"/>
        <v>0</v>
      </c>
      <c r="K231" s="2"/>
      <c r="L231" s="6">
        <f t="shared" si="107"/>
        <v>0</v>
      </c>
      <c r="M231" s="2"/>
      <c r="N231" s="7">
        <f t="shared" si="108"/>
        <v>0</v>
      </c>
      <c r="O231" s="11"/>
      <c r="P231" s="6">
        <v>2152.81</v>
      </c>
      <c r="Q231" s="2"/>
      <c r="R231" s="7">
        <f t="shared" si="109"/>
        <v>5.2761348983787774E-4</v>
      </c>
      <c r="S231" s="2"/>
      <c r="T231" s="6">
        <v>865.36</v>
      </c>
      <c r="U231" s="2"/>
      <c r="V231" s="7">
        <f t="shared" si="110"/>
        <v>1.0343467894317193E-4</v>
      </c>
      <c r="W231" s="2"/>
      <c r="X231" s="6">
        <f t="shared" si="111"/>
        <v>1287.4499999999998</v>
      </c>
      <c r="Y231" s="2"/>
      <c r="Z231" s="7">
        <f t="shared" si="112"/>
        <v>1.487762318572617</v>
      </c>
    </row>
    <row r="232" spans="1:26" s="25" customFormat="1" outlineLevel="1" collapsed="1" x14ac:dyDescent="0.25">
      <c r="A232" s="27"/>
      <c r="B232" s="13" t="str">
        <f>CONCATENATE("     ","Supplies                                          ")</f>
        <v xml:space="preserve">     Supplies                                          </v>
      </c>
      <c r="C232" s="13"/>
      <c r="D232" s="1">
        <f>SUM(OSRRefD22_20x_0)</f>
        <v>7904.01</v>
      </c>
      <c r="E232" s="1"/>
      <c r="F232" s="5">
        <f t="shared" ref="F232:F239" si="113">IF(D$12=0,0,D232/D$12)</f>
        <v>3.8966693724097522E-2</v>
      </c>
      <c r="G232" s="1"/>
      <c r="H232" s="1">
        <f>SUM(OSRRefH22_20x_0)</f>
        <v>9402.73</v>
      </c>
      <c r="I232" s="1"/>
      <c r="J232" s="5">
        <f t="shared" ref="J232:J239" si="114">IF(H$12=0,0,H232/H$12)</f>
        <v>1.387587173834234E-2</v>
      </c>
      <c r="K232" s="1"/>
      <c r="L232" s="1">
        <f t="shared" ref="L232:L239" si="115">+D232-H232</f>
        <v>-1498.7199999999993</v>
      </c>
      <c r="M232" s="1"/>
      <c r="N232" s="5">
        <f t="shared" ref="N232:N239" si="116">IF(H232=0,0,L232/H232)</f>
        <v>-0.15939200636410908</v>
      </c>
      <c r="O232" s="13"/>
      <c r="P232" s="1">
        <f>SUM(OSRRefP22_20x_0)</f>
        <v>98906.610000000015</v>
      </c>
      <c r="Q232" s="1"/>
      <c r="R232" s="5">
        <f t="shared" ref="R232:R239" si="117">IF(P$12=0,0,P232/P$12)</f>
        <v>2.4240161310163901E-2</v>
      </c>
      <c r="S232" s="1"/>
      <c r="T232" s="1">
        <f>SUM(OSRRefT22_20x_0)</f>
        <v>71276.070000000007</v>
      </c>
      <c r="U232" s="1"/>
      <c r="V232" s="5">
        <f t="shared" ref="V232:V239" si="118">IF(T$12=0,0,T232/T$12)</f>
        <v>8.5194802357181406E-3</v>
      </c>
      <c r="W232" s="1"/>
      <c r="X232" s="1">
        <f t="shared" ref="X232:X239" si="119">+P232-T232</f>
        <v>27630.540000000008</v>
      </c>
      <c r="Y232" s="1"/>
      <c r="Z232" s="5">
        <f t="shared" ref="Z232:Z239" si="120">IF(T232=0,0,X232/T232)</f>
        <v>0.38765521162993422</v>
      </c>
    </row>
    <row r="233" spans="1:26" s="24" customFormat="1" hidden="1" outlineLevel="2" x14ac:dyDescent="0.25">
      <c r="A233" s="26"/>
      <c r="B233" s="11" t="str">
        <f>CONCATENATE("          ", "6234", " - ", "EXPENDABLE SUPPLIES &amp; EQUIPMEN")</f>
        <v xml:space="preserve">          6234 - EXPENDABLE SUPPLIES &amp; EQUIPMEN</v>
      </c>
      <c r="C233" s="11"/>
      <c r="D233" s="6"/>
      <c r="E233" s="2"/>
      <c r="F233" s="7">
        <f t="shared" si="113"/>
        <v>0</v>
      </c>
      <c r="G233" s="2"/>
      <c r="H233" s="6"/>
      <c r="I233" s="2"/>
      <c r="J233" s="7">
        <f t="shared" si="114"/>
        <v>0</v>
      </c>
      <c r="K233" s="2"/>
      <c r="L233" s="6">
        <f t="shared" si="115"/>
        <v>0</v>
      </c>
      <c r="M233" s="2"/>
      <c r="N233" s="7">
        <f t="shared" si="116"/>
        <v>0</v>
      </c>
      <c r="O233" s="11"/>
      <c r="P233" s="6">
        <v>-52.84</v>
      </c>
      <c r="Q233" s="2"/>
      <c r="R233" s="7">
        <f t="shared" si="117"/>
        <v>-1.2950096294161335E-5</v>
      </c>
      <c r="S233" s="2"/>
      <c r="T233" s="6">
        <v>3160.95</v>
      </c>
      <c r="U233" s="2"/>
      <c r="V233" s="7">
        <f t="shared" si="118"/>
        <v>3.7782177175443664E-4</v>
      </c>
      <c r="W233" s="2"/>
      <c r="X233" s="6">
        <f t="shared" si="119"/>
        <v>-3213.79</v>
      </c>
      <c r="Y233" s="2"/>
      <c r="Z233" s="7">
        <f t="shared" si="120"/>
        <v>-1.016716493459245</v>
      </c>
    </row>
    <row r="234" spans="1:26" s="24" customFormat="1" hidden="1" outlineLevel="2" x14ac:dyDescent="0.25">
      <c r="A234" s="26"/>
      <c r="B234" s="11" t="str">
        <f>CONCATENATE("          ", "6235", " - ", "COVID-19 EXPENSES")</f>
        <v xml:space="preserve">          6235 - COVID-19 EXPENSES</v>
      </c>
      <c r="C234" s="11"/>
      <c r="D234" s="6">
        <v>2992.14</v>
      </c>
      <c r="E234" s="2"/>
      <c r="F234" s="7">
        <f t="shared" si="113"/>
        <v>1.4751221590005723E-2</v>
      </c>
      <c r="G234" s="2"/>
      <c r="H234" s="6"/>
      <c r="I234" s="2"/>
      <c r="J234" s="7">
        <f t="shared" si="114"/>
        <v>0</v>
      </c>
      <c r="K234" s="2"/>
      <c r="L234" s="6">
        <f t="shared" si="115"/>
        <v>2992.14</v>
      </c>
      <c r="M234" s="2"/>
      <c r="N234" s="7">
        <f t="shared" si="116"/>
        <v>0</v>
      </c>
      <c r="O234" s="11"/>
      <c r="P234" s="6">
        <v>37291.17</v>
      </c>
      <c r="Q234" s="2"/>
      <c r="R234" s="7">
        <f t="shared" si="117"/>
        <v>9.1393687059413385E-3</v>
      </c>
      <c r="S234" s="2"/>
      <c r="T234" s="6"/>
      <c r="U234" s="2"/>
      <c r="V234" s="7">
        <f t="shared" si="118"/>
        <v>0</v>
      </c>
      <c r="W234" s="2"/>
      <c r="X234" s="6">
        <f t="shared" si="119"/>
        <v>37291.17</v>
      </c>
      <c r="Y234" s="2"/>
      <c r="Z234" s="7">
        <f t="shared" si="120"/>
        <v>0</v>
      </c>
    </row>
    <row r="235" spans="1:26" s="24" customFormat="1" hidden="1" outlineLevel="2" x14ac:dyDescent="0.25">
      <c r="A235" s="26"/>
      <c r="B235" s="11" t="str">
        <f>CONCATENATE("          ", "6237", " - ", "JANITORIAL SUPPLIES")</f>
        <v xml:space="preserve">          6237 - JANITORIAL SUPPLIES</v>
      </c>
      <c r="C235" s="11"/>
      <c r="D235" s="6"/>
      <c r="E235" s="2"/>
      <c r="F235" s="7">
        <f t="shared" si="113"/>
        <v>0</v>
      </c>
      <c r="G235" s="2"/>
      <c r="H235" s="6">
        <v>570</v>
      </c>
      <c r="I235" s="2"/>
      <c r="J235" s="7">
        <f t="shared" si="114"/>
        <v>8.411649479305621E-4</v>
      </c>
      <c r="K235" s="2"/>
      <c r="L235" s="6">
        <f t="shared" si="115"/>
        <v>-570</v>
      </c>
      <c r="M235" s="2"/>
      <c r="N235" s="7">
        <f t="shared" si="116"/>
        <v>-1</v>
      </c>
      <c r="O235" s="11"/>
      <c r="P235" s="6">
        <v>2263.65</v>
      </c>
      <c r="Q235" s="2"/>
      <c r="R235" s="7">
        <f t="shared" si="117"/>
        <v>5.5477830197347283E-4</v>
      </c>
      <c r="S235" s="2"/>
      <c r="T235" s="6">
        <v>4352.13</v>
      </c>
      <c r="U235" s="2"/>
      <c r="V235" s="7">
        <f t="shared" si="118"/>
        <v>5.2020103687360972E-4</v>
      </c>
      <c r="W235" s="2"/>
      <c r="X235" s="6">
        <f t="shared" si="119"/>
        <v>-2088.48</v>
      </c>
      <c r="Y235" s="2"/>
      <c r="Z235" s="7">
        <f t="shared" si="120"/>
        <v>-0.47987537136988095</v>
      </c>
    </row>
    <row r="236" spans="1:26" s="24" customFormat="1" hidden="1" outlineLevel="2" x14ac:dyDescent="0.25">
      <c r="A236" s="26"/>
      <c r="B236" s="11" t="str">
        <f>CONCATENATE("          ", "6241", " - ", "OFFICE EXPENSE")</f>
        <v xml:space="preserve">          6241 - OFFICE EXPENSE</v>
      </c>
      <c r="C236" s="11"/>
      <c r="D236" s="6">
        <v>624.67999999999995</v>
      </c>
      <c r="E236" s="2"/>
      <c r="F236" s="7">
        <f t="shared" si="113"/>
        <v>3.0796664269869644E-3</v>
      </c>
      <c r="G236" s="2"/>
      <c r="H236" s="6">
        <v>221.01</v>
      </c>
      <c r="I236" s="2"/>
      <c r="J236" s="7">
        <f t="shared" si="114"/>
        <v>3.2615064060023425E-4</v>
      </c>
      <c r="K236" s="2"/>
      <c r="L236" s="6">
        <f t="shared" si="115"/>
        <v>403.66999999999996</v>
      </c>
      <c r="M236" s="2"/>
      <c r="N236" s="7">
        <f t="shared" si="116"/>
        <v>1.8264784398895977</v>
      </c>
      <c r="O236" s="11"/>
      <c r="P236" s="6">
        <v>9856.5499999999993</v>
      </c>
      <c r="Q236" s="2"/>
      <c r="R236" s="7">
        <f t="shared" si="117"/>
        <v>2.4156561625324731E-3</v>
      </c>
      <c r="S236" s="2"/>
      <c r="T236" s="6">
        <v>21734.53</v>
      </c>
      <c r="U236" s="2"/>
      <c r="V236" s="7">
        <f t="shared" si="118"/>
        <v>2.59788311515524E-3</v>
      </c>
      <c r="W236" s="2"/>
      <c r="X236" s="6">
        <f t="shared" si="119"/>
        <v>-11877.98</v>
      </c>
      <c r="Y236" s="2"/>
      <c r="Z236" s="7">
        <f t="shared" si="120"/>
        <v>-0.54650273090791479</v>
      </c>
    </row>
    <row r="237" spans="1:26" s="24" customFormat="1" hidden="1" outlineLevel="2" x14ac:dyDescent="0.25">
      <c r="A237" s="26"/>
      <c r="B237" s="11" t="str">
        <f>CONCATENATE("          ", "6243", " - ", "PAPER SUPPLIES")</f>
        <v xml:space="preserve">          6243 - PAPER SUPPLIES</v>
      </c>
      <c r="C237" s="11"/>
      <c r="D237" s="6"/>
      <c r="E237" s="2"/>
      <c r="F237" s="7">
        <f t="shared" si="113"/>
        <v>0</v>
      </c>
      <c r="G237" s="2"/>
      <c r="H237" s="6">
        <v>-285.27999999999997</v>
      </c>
      <c r="I237" s="2"/>
      <c r="J237" s="7">
        <f t="shared" si="114"/>
        <v>-4.2099567779935214E-4</v>
      </c>
      <c r="K237" s="2"/>
      <c r="L237" s="6">
        <f t="shared" si="115"/>
        <v>285.27999999999997</v>
      </c>
      <c r="M237" s="2"/>
      <c r="N237" s="7">
        <f t="shared" si="116"/>
        <v>-1</v>
      </c>
      <c r="O237" s="11"/>
      <c r="P237" s="6">
        <v>6173.4</v>
      </c>
      <c r="Q237" s="2"/>
      <c r="R237" s="7">
        <f t="shared" si="117"/>
        <v>1.5129849444052909E-3</v>
      </c>
      <c r="S237" s="2"/>
      <c r="T237" s="6">
        <v>11567.55</v>
      </c>
      <c r="U237" s="2"/>
      <c r="V237" s="7">
        <f t="shared" si="118"/>
        <v>1.382645165490765E-3</v>
      </c>
      <c r="W237" s="2"/>
      <c r="X237" s="6">
        <f t="shared" si="119"/>
        <v>-5394.15</v>
      </c>
      <c r="Y237" s="2"/>
      <c r="Z237" s="7">
        <f t="shared" si="120"/>
        <v>-0.46631741379981068</v>
      </c>
    </row>
    <row r="238" spans="1:26" s="24" customFormat="1" hidden="1" outlineLevel="2" x14ac:dyDescent="0.25">
      <c r="A238" s="26"/>
      <c r="B238" s="11" t="str">
        <f>CONCATENATE("          ", "6245", " - ", "PRINTING")</f>
        <v xml:space="preserve">          6245 - PRINTING</v>
      </c>
      <c r="C238" s="11"/>
      <c r="D238" s="6">
        <v>398.67</v>
      </c>
      <c r="E238" s="2"/>
      <c r="F238" s="7">
        <f t="shared" si="113"/>
        <v>1.9654392880305007E-3</v>
      </c>
      <c r="G238" s="2"/>
      <c r="H238" s="6">
        <v>3266.4</v>
      </c>
      <c r="I238" s="2"/>
      <c r="J238" s="7">
        <f t="shared" si="114"/>
        <v>4.8203178700357684E-3</v>
      </c>
      <c r="K238" s="2"/>
      <c r="L238" s="6">
        <f t="shared" si="115"/>
        <v>-2867.73</v>
      </c>
      <c r="M238" s="2"/>
      <c r="N238" s="7">
        <f t="shared" si="116"/>
        <v>-0.87794819985304917</v>
      </c>
      <c r="O238" s="11"/>
      <c r="P238" s="6">
        <v>906.94</v>
      </c>
      <c r="Q238" s="2"/>
      <c r="R238" s="7">
        <f t="shared" si="117"/>
        <v>2.222740411246533E-4</v>
      </c>
      <c r="S238" s="2"/>
      <c r="T238" s="6">
        <v>9786.6</v>
      </c>
      <c r="U238" s="2"/>
      <c r="V238" s="7">
        <f t="shared" si="118"/>
        <v>1.1697719202935731E-3</v>
      </c>
      <c r="W238" s="2"/>
      <c r="X238" s="6">
        <f t="shared" si="119"/>
        <v>-8879.66</v>
      </c>
      <c r="Y238" s="2"/>
      <c r="Z238" s="7">
        <f t="shared" si="120"/>
        <v>-0.90732838779555713</v>
      </c>
    </row>
    <row r="239" spans="1:26" s="24" customFormat="1" hidden="1" outlineLevel="2" x14ac:dyDescent="0.25">
      <c r="A239" s="26"/>
      <c r="B239" s="11" t="str">
        <f>CONCATENATE("          ", "6247", " - ", "STORE SUPPLIES")</f>
        <v xml:space="preserve">          6247 - STORE SUPPLIES</v>
      </c>
      <c r="C239" s="11"/>
      <c r="D239" s="6">
        <v>3888.52</v>
      </c>
      <c r="E239" s="2"/>
      <c r="F239" s="7">
        <f t="shared" si="113"/>
        <v>1.9170366419074329E-2</v>
      </c>
      <c r="G239" s="2"/>
      <c r="H239" s="6">
        <v>5630.6</v>
      </c>
      <c r="I239" s="2"/>
      <c r="J239" s="7">
        <f t="shared" si="114"/>
        <v>8.3092339575751278E-3</v>
      </c>
      <c r="K239" s="2"/>
      <c r="L239" s="6">
        <f t="shared" si="115"/>
        <v>-1742.0800000000004</v>
      </c>
      <c r="M239" s="2"/>
      <c r="N239" s="7">
        <f t="shared" si="116"/>
        <v>-0.30939509110929569</v>
      </c>
      <c r="O239" s="11"/>
      <c r="P239" s="6">
        <v>42467.740000000005</v>
      </c>
      <c r="Q239" s="2"/>
      <c r="R239" s="7">
        <f t="shared" si="117"/>
        <v>1.0408049250480831E-2</v>
      </c>
      <c r="S239" s="2"/>
      <c r="T239" s="6">
        <v>20674.310000000001</v>
      </c>
      <c r="U239" s="2"/>
      <c r="V239" s="7">
        <f t="shared" si="118"/>
        <v>2.4711572261505144E-3</v>
      </c>
      <c r="W239" s="2"/>
      <c r="X239" s="6">
        <f t="shared" si="119"/>
        <v>21793.430000000004</v>
      </c>
      <c r="Y239" s="2"/>
      <c r="Z239" s="7">
        <f t="shared" si="120"/>
        <v>1.0541309480219656</v>
      </c>
    </row>
    <row r="240" spans="1:26" s="25" customFormat="1" outlineLevel="1" collapsed="1" x14ac:dyDescent="0.25">
      <c r="A240" s="27"/>
      <c r="B240" s="13" t="str">
        <f>CONCATENATE("     ","Telephone/Data Lines                              ")</f>
        <v xml:space="preserve">     Telephone/Data Lines                              </v>
      </c>
      <c r="C240" s="13"/>
      <c r="D240" s="1">
        <f>SUM(OSRRefD22_21x_0)</f>
        <v>1238.5999999999999</v>
      </c>
      <c r="E240" s="1"/>
      <c r="F240" s="5">
        <f t="shared" ref="F240:F242" si="121">IF(D$12=0,0,D240/D$12)</f>
        <v>6.1062861568579978E-3</v>
      </c>
      <c r="G240" s="1"/>
      <c r="H240" s="1">
        <f>SUM(OSRRefH22_21x_0)</f>
        <v>2815.26</v>
      </c>
      <c r="I240" s="1"/>
      <c r="J240" s="5">
        <f t="shared" ref="J240:J242" si="122">IF(H$12=0,0,H240/H$12)</f>
        <v>4.1545579496684113E-3</v>
      </c>
      <c r="K240" s="1"/>
      <c r="L240" s="1">
        <f t="shared" ref="L240:L242" si="123">+D240-H240</f>
        <v>-1576.6600000000003</v>
      </c>
      <c r="M240" s="1"/>
      <c r="N240" s="5">
        <f t="shared" ref="N240:N242" si="124">IF(H240=0,0,L240/H240)</f>
        <v>-0.56004063567840989</v>
      </c>
      <c r="O240" s="13"/>
      <c r="P240" s="1">
        <f>SUM(OSRRefP22_21x_0)</f>
        <v>18428.599999999999</v>
      </c>
      <c r="Q240" s="1"/>
      <c r="R240" s="5">
        <f t="shared" ref="R240:R242" si="125">IF(P$12=0,0,P240/P$12)</f>
        <v>4.5165053854387118E-3</v>
      </c>
      <c r="S240" s="1"/>
      <c r="T240" s="1">
        <f>SUM(OSRRefT22_21x_0)</f>
        <v>21463.200000000001</v>
      </c>
      <c r="U240" s="1"/>
      <c r="V240" s="5">
        <f t="shared" ref="V240:V242" si="126">IF(T$12=0,0,T240/T$12)</f>
        <v>2.5654516052198944E-3</v>
      </c>
      <c r="W240" s="1"/>
      <c r="X240" s="1">
        <f t="shared" ref="X240:X242" si="127">+P240-T240</f>
        <v>-3034.6000000000022</v>
      </c>
      <c r="Y240" s="1"/>
      <c r="Z240" s="5">
        <f t="shared" ref="Z240:Z242" si="128">IF(T240=0,0,X240/T240)</f>
        <v>-0.14138618658913871</v>
      </c>
    </row>
    <row r="241" spans="1:26" s="24" customFormat="1" hidden="1" outlineLevel="2" x14ac:dyDescent="0.25">
      <c r="A241" s="26"/>
      <c r="B241" s="11" t="str">
        <f>CONCATENATE("          ", "6303", " - ", "DATA PHONE LINES")</f>
        <v xml:space="preserve">          6303 - DATA PHONE LINES</v>
      </c>
      <c r="C241" s="11"/>
      <c r="D241" s="6">
        <v>590</v>
      </c>
      <c r="E241" s="2"/>
      <c r="F241" s="7">
        <f t="shared" si="121"/>
        <v>2.9086943585872912E-3</v>
      </c>
      <c r="G241" s="2"/>
      <c r="H241" s="6">
        <v>295</v>
      </c>
      <c r="I241" s="2"/>
      <c r="J241" s="7">
        <f t="shared" si="122"/>
        <v>4.353397537535365E-4</v>
      </c>
      <c r="K241" s="2"/>
      <c r="L241" s="6">
        <f t="shared" si="123"/>
        <v>295</v>
      </c>
      <c r="M241" s="2"/>
      <c r="N241" s="7">
        <f t="shared" si="124"/>
        <v>1</v>
      </c>
      <c r="O241" s="11"/>
      <c r="P241" s="6">
        <v>2950</v>
      </c>
      <c r="Q241" s="2"/>
      <c r="R241" s="7">
        <f t="shared" si="125"/>
        <v>7.2298985745223188E-4</v>
      </c>
      <c r="S241" s="2"/>
      <c r="T241" s="6">
        <v>2360</v>
      </c>
      <c r="U241" s="2"/>
      <c r="V241" s="7">
        <f t="shared" si="126"/>
        <v>2.8208588599644744E-4</v>
      </c>
      <c r="W241" s="2"/>
      <c r="X241" s="6">
        <f t="shared" si="127"/>
        <v>590</v>
      </c>
      <c r="Y241" s="2"/>
      <c r="Z241" s="7">
        <f t="shared" si="128"/>
        <v>0.25</v>
      </c>
    </row>
    <row r="242" spans="1:26" s="24" customFormat="1" hidden="1" outlineLevel="2" x14ac:dyDescent="0.25">
      <c r="A242" s="26"/>
      <c r="B242" s="11" t="str">
        <f>CONCATENATE("          ", "6309", " - ", "TELEPHONE")</f>
        <v xml:space="preserve">          6309 - TELEPHONE</v>
      </c>
      <c r="C242" s="11"/>
      <c r="D242" s="6">
        <v>648.6</v>
      </c>
      <c r="E242" s="2"/>
      <c r="F242" s="7">
        <f t="shared" si="121"/>
        <v>3.197591798270707E-3</v>
      </c>
      <c r="G242" s="2"/>
      <c r="H242" s="6">
        <v>2520.2600000000002</v>
      </c>
      <c r="I242" s="2"/>
      <c r="J242" s="7">
        <f t="shared" si="122"/>
        <v>3.7192181959148749E-3</v>
      </c>
      <c r="K242" s="2"/>
      <c r="L242" s="6">
        <f t="shared" si="123"/>
        <v>-1871.6600000000003</v>
      </c>
      <c r="M242" s="2"/>
      <c r="N242" s="7">
        <f t="shared" si="124"/>
        <v>-0.74264560005713698</v>
      </c>
      <c r="O242" s="11"/>
      <c r="P242" s="6">
        <v>15478.6</v>
      </c>
      <c r="Q242" s="2"/>
      <c r="R242" s="7">
        <f t="shared" si="125"/>
        <v>3.7935155279864804E-3</v>
      </c>
      <c r="S242" s="2"/>
      <c r="T242" s="6">
        <v>19103.2</v>
      </c>
      <c r="U242" s="2"/>
      <c r="V242" s="7">
        <f t="shared" si="126"/>
        <v>2.2833657192234472E-3</v>
      </c>
      <c r="W242" s="2"/>
      <c r="X242" s="6">
        <f t="shared" si="127"/>
        <v>-3624.6000000000004</v>
      </c>
      <c r="Y242" s="2"/>
      <c r="Z242" s="7">
        <f t="shared" si="128"/>
        <v>-0.18973784496838228</v>
      </c>
    </row>
    <row r="243" spans="1:26" s="25" customFormat="1" outlineLevel="1" collapsed="1" x14ac:dyDescent="0.25">
      <c r="A243" s="27"/>
      <c r="B243" s="13" t="str">
        <f>CONCATENATE("     ","Training                                          ")</f>
        <v xml:space="preserve">     Training                                          </v>
      </c>
      <c r="C243" s="13"/>
      <c r="D243" s="1">
        <f>SUM(OSRRefD22_22x_0)</f>
        <v>750</v>
      </c>
      <c r="E243" s="1"/>
      <c r="F243" s="5">
        <f t="shared" ref="F243:F248" si="129">IF(D$12=0,0,D243/D$12)</f>
        <v>3.6974928287126581E-3</v>
      </c>
      <c r="G243" s="1"/>
      <c r="H243" s="1">
        <f>SUM(OSRRefH22_22x_0)</f>
        <v>6273.84</v>
      </c>
      <c r="I243" s="1"/>
      <c r="J243" s="5">
        <f t="shared" ref="J243:J248" si="130">IF(H$12=0,0,H243/H$12)</f>
        <v>9.258481222674874E-3</v>
      </c>
      <c r="K243" s="1"/>
      <c r="L243" s="1">
        <f t="shared" ref="L243:L248" si="131">+D243-H243</f>
        <v>-5523.84</v>
      </c>
      <c r="M243" s="1"/>
      <c r="N243" s="5">
        <f t="shared" ref="N243:N248" si="132">IF(H243=0,0,L243/H243)</f>
        <v>-0.8804559886767912</v>
      </c>
      <c r="O243" s="13"/>
      <c r="P243" s="1">
        <f>SUM(OSRRefP22_22x_0)</f>
        <v>895.63</v>
      </c>
      <c r="Q243" s="1"/>
      <c r="R243" s="5">
        <f t="shared" ref="R243:R248" si="133">IF(P$12=0,0,P243/P$12)</f>
        <v>2.1950217153557372E-4</v>
      </c>
      <c r="S243" s="1"/>
      <c r="T243" s="1">
        <f>SUM(OSRRefT22_22x_0)</f>
        <v>15893.729999999998</v>
      </c>
      <c r="U243" s="1"/>
      <c r="V243" s="5">
        <f t="shared" ref="V243:V248" si="134">IF(T$12=0,0,T243/T$12)</f>
        <v>1.8997444528975915E-3</v>
      </c>
      <c r="W243" s="1"/>
      <c r="X243" s="1">
        <f t="shared" ref="X243:X248" si="135">+P243-T243</f>
        <v>-14998.099999999999</v>
      </c>
      <c r="Y243" s="1"/>
      <c r="Z243" s="5">
        <f t="shared" ref="Z243:Z248" si="136">IF(T243=0,0,X243/T243)</f>
        <v>-0.9436488476902527</v>
      </c>
    </row>
    <row r="244" spans="1:26" s="24" customFormat="1" hidden="1" outlineLevel="2" x14ac:dyDescent="0.25">
      <c r="A244" s="26"/>
      <c r="B244" s="11" t="str">
        <f>CONCATENATE("          ", "6376", " - ", "TRAINING")</f>
        <v xml:space="preserve">          6376 - TRAINING</v>
      </c>
      <c r="C244" s="11"/>
      <c r="D244" s="6">
        <v>750</v>
      </c>
      <c r="E244" s="2"/>
      <c r="F244" s="7">
        <f t="shared" si="129"/>
        <v>3.6974928287126581E-3</v>
      </c>
      <c r="G244" s="2"/>
      <c r="H244" s="6">
        <v>6273.84</v>
      </c>
      <c r="I244" s="2"/>
      <c r="J244" s="7">
        <f t="shared" si="130"/>
        <v>9.258481222674874E-3</v>
      </c>
      <c r="K244" s="2"/>
      <c r="L244" s="6">
        <f t="shared" si="131"/>
        <v>-5523.84</v>
      </c>
      <c r="M244" s="2"/>
      <c r="N244" s="7">
        <f t="shared" si="132"/>
        <v>-0.8804559886767912</v>
      </c>
      <c r="O244" s="11"/>
      <c r="P244" s="6">
        <v>895.63</v>
      </c>
      <c r="Q244" s="2"/>
      <c r="R244" s="7">
        <f t="shared" si="133"/>
        <v>2.1950217153557372E-4</v>
      </c>
      <c r="S244" s="2"/>
      <c r="T244" s="6">
        <v>15893.729999999998</v>
      </c>
      <c r="U244" s="2"/>
      <c r="V244" s="7">
        <f t="shared" si="134"/>
        <v>1.8997444528975915E-3</v>
      </c>
      <c r="W244" s="2"/>
      <c r="X244" s="6">
        <f t="shared" si="135"/>
        <v>-14998.099999999999</v>
      </c>
      <c r="Y244" s="2"/>
      <c r="Z244" s="7">
        <f t="shared" si="136"/>
        <v>-0.9436488476902527</v>
      </c>
    </row>
    <row r="245" spans="1:26" s="25" customFormat="1" outlineLevel="1" collapsed="1" x14ac:dyDescent="0.25">
      <c r="A245" s="27"/>
      <c r="B245" s="13" t="str">
        <f>CONCATENATE("     ","Travel                                            ")</f>
        <v xml:space="preserve">     Travel                                            </v>
      </c>
      <c r="C245" s="13"/>
      <c r="D245" s="1">
        <f>SUM(OSRRefD22_23x_0)</f>
        <v>0</v>
      </c>
      <c r="E245" s="1"/>
      <c r="F245" s="5">
        <f t="shared" si="129"/>
        <v>0</v>
      </c>
      <c r="G245" s="1"/>
      <c r="H245" s="1">
        <f>SUM(OSRRefH22_23x_0)</f>
        <v>102.13</v>
      </c>
      <c r="I245" s="1"/>
      <c r="J245" s="5">
        <f t="shared" si="130"/>
        <v>1.5071609847745317E-4</v>
      </c>
      <c r="K245" s="1"/>
      <c r="L245" s="1">
        <f t="shared" si="131"/>
        <v>-102.13</v>
      </c>
      <c r="M245" s="1"/>
      <c r="N245" s="5">
        <f t="shared" si="132"/>
        <v>-1</v>
      </c>
      <c r="O245" s="13"/>
      <c r="P245" s="1">
        <f>SUM(OSRRefP22_23x_0)</f>
        <v>810.31000000000006</v>
      </c>
      <c r="Q245" s="1"/>
      <c r="R245" s="5">
        <f t="shared" si="133"/>
        <v>1.9859183437020953E-4</v>
      </c>
      <c r="S245" s="1"/>
      <c r="T245" s="1">
        <f>SUM(OSRRefT22_23x_0)</f>
        <v>1072.17</v>
      </c>
      <c r="U245" s="1"/>
      <c r="V245" s="5">
        <f t="shared" si="134"/>
        <v>1.2815424762237758E-4</v>
      </c>
      <c r="W245" s="1"/>
      <c r="X245" s="1">
        <f t="shared" si="135"/>
        <v>-261.86</v>
      </c>
      <c r="Y245" s="1"/>
      <c r="Z245" s="5">
        <f t="shared" si="136"/>
        <v>-0.24423365697603924</v>
      </c>
    </row>
    <row r="246" spans="1:26" s="24" customFormat="1" hidden="1" outlineLevel="2" x14ac:dyDescent="0.25">
      <c r="A246" s="26"/>
      <c r="B246" s="11" t="str">
        <f>CONCATENATE("          ", "6292", " - ", "TRAVEL/CONFERENCE")</f>
        <v xml:space="preserve">          6292 - TRAVEL/CONFERENCE</v>
      </c>
      <c r="C246" s="11"/>
      <c r="D246" s="6"/>
      <c r="E246" s="2"/>
      <c r="F246" s="7">
        <f t="shared" si="129"/>
        <v>0</v>
      </c>
      <c r="G246" s="2"/>
      <c r="H246" s="6">
        <v>47.96</v>
      </c>
      <c r="I246" s="2"/>
      <c r="J246" s="7">
        <f t="shared" si="130"/>
        <v>7.0775913864473257E-5</v>
      </c>
      <c r="K246" s="2"/>
      <c r="L246" s="6">
        <f t="shared" si="131"/>
        <v>-47.96</v>
      </c>
      <c r="M246" s="2"/>
      <c r="N246" s="7">
        <f t="shared" si="132"/>
        <v>-1</v>
      </c>
      <c r="O246" s="11"/>
      <c r="P246" s="6">
        <v>299.16000000000003</v>
      </c>
      <c r="Q246" s="2"/>
      <c r="R246" s="7">
        <f t="shared" si="133"/>
        <v>7.3318523984884648E-5</v>
      </c>
      <c r="S246" s="2"/>
      <c r="T246" s="6">
        <v>413.56</v>
      </c>
      <c r="U246" s="2"/>
      <c r="V246" s="7">
        <f t="shared" si="134"/>
        <v>4.943196568334356E-5</v>
      </c>
      <c r="W246" s="2"/>
      <c r="X246" s="6">
        <f t="shared" si="135"/>
        <v>-114.39999999999998</v>
      </c>
      <c r="Y246" s="2"/>
      <c r="Z246" s="7">
        <f t="shared" si="136"/>
        <v>-0.27662249734016825</v>
      </c>
    </row>
    <row r="247" spans="1:26" s="24" customFormat="1" hidden="1" outlineLevel="2" x14ac:dyDescent="0.25">
      <c r="A247" s="26"/>
      <c r="B247" s="11" t="str">
        <f>CONCATENATE("          ", "6294", " - ", "TRAVEL OPERATIONAL")</f>
        <v xml:space="preserve">          6294 - TRAVEL OPERATIONAL</v>
      </c>
      <c r="C247" s="11"/>
      <c r="D247" s="6"/>
      <c r="E247" s="2"/>
      <c r="F247" s="7">
        <f t="shared" si="129"/>
        <v>0</v>
      </c>
      <c r="G247" s="2"/>
      <c r="H247" s="6">
        <v>35.29</v>
      </c>
      <c r="I247" s="2"/>
      <c r="J247" s="7">
        <f t="shared" si="130"/>
        <v>5.2078440372753574E-5</v>
      </c>
      <c r="K247" s="2"/>
      <c r="L247" s="6">
        <f t="shared" si="131"/>
        <v>-35.29</v>
      </c>
      <c r="M247" s="2"/>
      <c r="N247" s="7">
        <f t="shared" si="132"/>
        <v>-1</v>
      </c>
      <c r="O247" s="11"/>
      <c r="P247" s="6">
        <v>451.26</v>
      </c>
      <c r="Q247" s="2"/>
      <c r="R247" s="7">
        <f t="shared" si="133"/>
        <v>1.105953908725065E-4</v>
      </c>
      <c r="S247" s="2"/>
      <c r="T247" s="6">
        <v>347.48</v>
      </c>
      <c r="U247" s="2"/>
      <c r="V247" s="7">
        <f t="shared" si="134"/>
        <v>4.1533560875443038E-5</v>
      </c>
      <c r="W247" s="2"/>
      <c r="X247" s="6">
        <f t="shared" si="135"/>
        <v>103.77999999999997</v>
      </c>
      <c r="Y247" s="2"/>
      <c r="Z247" s="7">
        <f t="shared" si="136"/>
        <v>0.29866467134799118</v>
      </c>
    </row>
    <row r="248" spans="1:26" s="24" customFormat="1" hidden="1" outlineLevel="2" x14ac:dyDescent="0.25">
      <c r="A248" s="26"/>
      <c r="B248" s="11" t="str">
        <f>CONCATENATE("          ", "6298", " - ", "VEHICLE MILEAGE")</f>
        <v xml:space="preserve">          6298 - VEHICLE MILEAGE</v>
      </c>
      <c r="C248" s="11"/>
      <c r="D248" s="6"/>
      <c r="E248" s="2"/>
      <c r="F248" s="7">
        <f t="shared" si="129"/>
        <v>0</v>
      </c>
      <c r="G248" s="2"/>
      <c r="H248" s="6">
        <v>18.88</v>
      </c>
      <c r="I248" s="2"/>
      <c r="J248" s="7">
        <f t="shared" si="130"/>
        <v>2.7861744240226335E-5</v>
      </c>
      <c r="K248" s="2"/>
      <c r="L248" s="6">
        <f t="shared" si="131"/>
        <v>-18.88</v>
      </c>
      <c r="M248" s="2"/>
      <c r="N248" s="7">
        <f t="shared" si="132"/>
        <v>-1</v>
      </c>
      <c r="O248" s="11"/>
      <c r="P248" s="6">
        <v>59.89</v>
      </c>
      <c r="Q248" s="2"/>
      <c r="R248" s="7">
        <f t="shared" si="133"/>
        <v>1.4677919512818364E-5</v>
      </c>
      <c r="S248" s="2"/>
      <c r="T248" s="6">
        <v>311.13</v>
      </c>
      <c r="U248" s="2"/>
      <c r="V248" s="7">
        <f t="shared" si="134"/>
        <v>3.7188721063590974E-5</v>
      </c>
      <c r="W248" s="2"/>
      <c r="X248" s="6">
        <f t="shared" si="135"/>
        <v>-251.24</v>
      </c>
      <c r="Y248" s="2"/>
      <c r="Z248" s="7">
        <f t="shared" si="136"/>
        <v>-0.80750811557869706</v>
      </c>
    </row>
    <row r="249" spans="1:26" s="25" customFormat="1" outlineLevel="1" collapsed="1" x14ac:dyDescent="0.25">
      <c r="A249" s="27"/>
      <c r="B249" s="13" t="str">
        <f>CONCATENATE("     ","Utilities                                         ")</f>
        <v xml:space="preserve">     Utilities                                         </v>
      </c>
      <c r="C249" s="13"/>
      <c r="D249" s="1">
        <f>SUM(OSRRefD22_24x_0)</f>
        <v>6161.14</v>
      </c>
      <c r="E249" s="1"/>
      <c r="F249" s="5">
        <f t="shared" ref="F249:F250" si="137">IF(D$12=0,0,D249/D$12)</f>
        <v>3.0374361288926278E-2</v>
      </c>
      <c r="G249" s="1"/>
      <c r="H249" s="1">
        <f>SUM(OSRRefH22_24x_0)</f>
        <v>8525.9699999999993</v>
      </c>
      <c r="I249" s="1"/>
      <c r="J249" s="5">
        <f t="shared" ref="J249:J250" si="138">IF(H$12=0,0,H249/H$12)</f>
        <v>1.2582012475627253E-2</v>
      </c>
      <c r="K249" s="1"/>
      <c r="L249" s="1">
        <f t="shared" ref="L249:L250" si="139">+D249-H249</f>
        <v>-2364.829999999999</v>
      </c>
      <c r="M249" s="1"/>
      <c r="N249" s="5">
        <f t="shared" ref="N249:N250" si="140">IF(H249=0,0,L249/H249)</f>
        <v>-0.27736785374567341</v>
      </c>
      <c r="O249" s="13"/>
      <c r="P249" s="1">
        <f>SUM(OSRRefP22_24x_0)</f>
        <v>49088.17</v>
      </c>
      <c r="Q249" s="1"/>
      <c r="R249" s="5">
        <f t="shared" ref="R249:R250" si="141">IF(P$12=0,0,P249/P$12)</f>
        <v>1.2030592891827433E-2</v>
      </c>
      <c r="S249" s="1"/>
      <c r="T249" s="1">
        <f>SUM(OSRRefT22_24x_0)</f>
        <v>46858.79</v>
      </c>
      <c r="U249" s="1"/>
      <c r="V249" s="5">
        <f t="shared" ref="V249:V250" si="142">IF(T$12=0,0,T249/T$12)</f>
        <v>5.6009335990980817E-3</v>
      </c>
      <c r="W249" s="1"/>
      <c r="X249" s="1">
        <f t="shared" ref="X249:X250" si="143">+P249-T249</f>
        <v>2229.3799999999974</v>
      </c>
      <c r="Y249" s="1"/>
      <c r="Z249" s="5">
        <f t="shared" ref="Z249:Z250" si="144">IF(T249=0,0,X249/T249)</f>
        <v>4.7576559275218103E-2</v>
      </c>
    </row>
    <row r="250" spans="1:26" s="24" customFormat="1" hidden="1" outlineLevel="2" x14ac:dyDescent="0.25">
      <c r="A250" s="26"/>
      <c r="B250" s="11" t="str">
        <f>CONCATENATE("          ", "6274", " - ", "UTILITIES")</f>
        <v xml:space="preserve">          6274 - UTILITIES</v>
      </c>
      <c r="C250" s="11"/>
      <c r="D250" s="6">
        <v>6161.14</v>
      </c>
      <c r="E250" s="2"/>
      <c r="F250" s="7">
        <f t="shared" si="137"/>
        <v>3.0374361288926278E-2</v>
      </c>
      <c r="G250" s="2"/>
      <c r="H250" s="6">
        <v>8525.9699999999993</v>
      </c>
      <c r="I250" s="2"/>
      <c r="J250" s="7">
        <f t="shared" si="138"/>
        <v>1.2582012475627253E-2</v>
      </c>
      <c r="K250" s="2"/>
      <c r="L250" s="6">
        <f t="shared" si="139"/>
        <v>-2364.829999999999</v>
      </c>
      <c r="M250" s="2"/>
      <c r="N250" s="7">
        <f t="shared" si="140"/>
        <v>-0.27736785374567341</v>
      </c>
      <c r="O250" s="11"/>
      <c r="P250" s="6">
        <v>49088.17</v>
      </c>
      <c r="Q250" s="2"/>
      <c r="R250" s="7">
        <f t="shared" si="141"/>
        <v>1.2030592891827433E-2</v>
      </c>
      <c r="S250" s="2"/>
      <c r="T250" s="6">
        <v>46858.79</v>
      </c>
      <c r="U250" s="2"/>
      <c r="V250" s="7">
        <f t="shared" si="142"/>
        <v>5.6009335990980817E-3</v>
      </c>
      <c r="W250" s="2"/>
      <c r="X250" s="6">
        <f t="shared" si="143"/>
        <v>2229.3799999999974</v>
      </c>
      <c r="Y250" s="2"/>
      <c r="Z250" s="7">
        <f t="shared" si="144"/>
        <v>4.7576559275218103E-2</v>
      </c>
    </row>
    <row r="251" spans="1:26" s="52" customFormat="1" x14ac:dyDescent="0.25">
      <c r="A251" s="37"/>
      <c r="B251" s="37"/>
      <c r="C251" s="37"/>
      <c r="D251" s="1"/>
      <c r="E251" s="1"/>
      <c r="F251" s="5"/>
      <c r="G251" s="1"/>
      <c r="H251" s="1"/>
      <c r="I251" s="1"/>
      <c r="J251" s="5"/>
      <c r="K251" s="1"/>
      <c r="L251" s="1"/>
      <c r="M251" s="1"/>
      <c r="N251" s="5"/>
      <c r="O251" s="37"/>
      <c r="P251" s="1"/>
      <c r="Q251" s="1"/>
      <c r="R251" s="5"/>
      <c r="S251" s="1"/>
      <c r="T251" s="1"/>
      <c r="U251" s="1"/>
      <c r="V251" s="5"/>
      <c r="W251" s="1"/>
      <c r="X251" s="1"/>
      <c r="Y251" s="1"/>
      <c r="Z251" s="5"/>
    </row>
    <row r="252" spans="1:26" s="23" customFormat="1" collapsed="1" x14ac:dyDescent="0.25">
      <c r="A252" s="10"/>
      <c r="B252" s="28" t="s">
        <v>0</v>
      </c>
      <c r="C252" s="10"/>
      <c r="D252" s="4">
        <f>SUM(OSRRefD25x_0)</f>
        <v>196876.80000000002</v>
      </c>
      <c r="E252" s="4"/>
      <c r="F252" s="12">
        <f t="shared" ref="F252:F261" si="145">IF(D$12=0,0,D252/D$12)</f>
        <v>0.97060074151986175</v>
      </c>
      <c r="G252" s="4"/>
      <c r="H252" s="4">
        <f>SUM(OSRRefH25x_0)</f>
        <v>170622.77000000002</v>
      </c>
      <c r="I252" s="4"/>
      <c r="J252" s="12">
        <f t="shared" ref="J252:J261" si="146">IF(H$12=0,0,H252/H$12)</f>
        <v>0.25179279551371631</v>
      </c>
      <c r="K252" s="4"/>
      <c r="L252" s="4">
        <f t="shared" ref="L252:L261" si="147">+D252-H252</f>
        <v>26254.03</v>
      </c>
      <c r="M252" s="4"/>
      <c r="N252" s="12">
        <f t="shared" ref="N252:N261" si="148">IF(H252=0,0,L252/H252)</f>
        <v>0.1538717839359893</v>
      </c>
      <c r="O252" s="10"/>
      <c r="P252" s="4">
        <f>SUM(OSRRefP25x_0)</f>
        <v>773255.40999999992</v>
      </c>
      <c r="Q252" s="4"/>
      <c r="R252" s="12">
        <f t="shared" ref="R252:R261" si="149">IF(P$12=0,0,P252/P$12)</f>
        <v>0.18951044700002273</v>
      </c>
      <c r="S252" s="4"/>
      <c r="T252" s="4">
        <f>SUM(OSRRefT25x_0)</f>
        <v>637369.49</v>
      </c>
      <c r="U252" s="4"/>
      <c r="V252" s="12">
        <f t="shared" ref="V252:V261" si="150">IF(T$12=0,0,T252/T$12)</f>
        <v>7.6183448005827908E-2</v>
      </c>
      <c r="W252" s="4"/>
      <c r="X252" s="4">
        <f t="shared" ref="X252:X261" si="151">+P252-T252</f>
        <v>135885.91999999993</v>
      </c>
      <c r="Y252" s="4"/>
      <c r="Z252" s="12">
        <f t="shared" ref="Z252:Z261" si="152">IF(T252=0,0,X252/T252)</f>
        <v>0.21319803054896763</v>
      </c>
    </row>
    <row r="253" spans="1:26" s="24" customFormat="1" hidden="1" outlineLevel="1" x14ac:dyDescent="0.25">
      <c r="A253" s="44"/>
      <c r="B253" s="11" t="str">
        <f>CONCATENATE("          ", "4098", " - ", "TAXABLE SALES-GRAD RENTALS")</f>
        <v xml:space="preserve">          4098 - TAXABLE SALES-GRAD RENTALS</v>
      </c>
      <c r="C253" s="11"/>
      <c r="D253" s="2">
        <f t="shared" ref="D253:D255" si="153">0</f>
        <v>0</v>
      </c>
      <c r="E253" s="2"/>
      <c r="F253" s="19">
        <f t="shared" si="145"/>
        <v>0</v>
      </c>
      <c r="G253" s="2"/>
      <c r="H253" s="2">
        <f>--110</f>
        <v>110</v>
      </c>
      <c r="I253" s="2"/>
      <c r="J253" s="19">
        <f t="shared" si="146"/>
        <v>1.6233007767081024E-4</v>
      </c>
      <c r="K253" s="2"/>
      <c r="L253" s="2">
        <f t="shared" si="147"/>
        <v>-110</v>
      </c>
      <c r="M253" s="2"/>
      <c r="N253" s="19">
        <f t="shared" si="148"/>
        <v>-1</v>
      </c>
      <c r="O253" s="11"/>
      <c r="P253" s="2">
        <f t="shared" ref="P253:P255" si="154">0</f>
        <v>0</v>
      </c>
      <c r="Q253" s="2"/>
      <c r="R253" s="19">
        <f t="shared" si="149"/>
        <v>0</v>
      </c>
      <c r="S253" s="2"/>
      <c r="T253" s="2">
        <f>--2056.85</f>
        <v>2056.85</v>
      </c>
      <c r="U253" s="2"/>
      <c r="V253" s="19">
        <f t="shared" si="150"/>
        <v>2.4585099771686143E-4</v>
      </c>
      <c r="W253" s="2"/>
      <c r="X253" s="2">
        <f t="shared" si="151"/>
        <v>-2056.85</v>
      </c>
      <c r="Y253" s="2"/>
      <c r="Z253" s="19">
        <f t="shared" si="152"/>
        <v>-1</v>
      </c>
    </row>
    <row r="254" spans="1:26" s="24" customFormat="1" hidden="1" outlineLevel="1" x14ac:dyDescent="0.25">
      <c r="A254" s="44"/>
      <c r="B254" s="11" t="str">
        <f>CONCATENATE("          ", "4197", " - ", "NON-TAXABLE SALES-RETURNED CHE")</f>
        <v xml:space="preserve">          4197 - NON-TAXABLE SALES-RETURNED CHE</v>
      </c>
      <c r="C254" s="11"/>
      <c r="D254" s="2">
        <f t="shared" si="153"/>
        <v>0</v>
      </c>
      <c r="E254" s="2"/>
      <c r="F254" s="19">
        <f t="shared" si="145"/>
        <v>0</v>
      </c>
      <c r="G254" s="2"/>
      <c r="H254" s="2">
        <f t="shared" ref="H254:H255" si="155">0</f>
        <v>0</v>
      </c>
      <c r="I254" s="2"/>
      <c r="J254" s="19">
        <f t="shared" si="146"/>
        <v>0</v>
      </c>
      <c r="K254" s="2"/>
      <c r="L254" s="2">
        <f t="shared" si="147"/>
        <v>0</v>
      </c>
      <c r="M254" s="2"/>
      <c r="N254" s="19">
        <f t="shared" si="148"/>
        <v>0</v>
      </c>
      <c r="O254" s="11"/>
      <c r="P254" s="2">
        <f t="shared" si="154"/>
        <v>0</v>
      </c>
      <c r="Q254" s="2"/>
      <c r="R254" s="19">
        <f t="shared" si="149"/>
        <v>0</v>
      </c>
      <c r="S254" s="2"/>
      <c r="T254" s="2">
        <f>--30</f>
        <v>30</v>
      </c>
      <c r="U254" s="2"/>
      <c r="V254" s="19">
        <f t="shared" si="150"/>
        <v>3.5858375338531457E-6</v>
      </c>
      <c r="W254" s="2"/>
      <c r="X254" s="2">
        <f t="shared" si="151"/>
        <v>-30</v>
      </c>
      <c r="Y254" s="2"/>
      <c r="Z254" s="19">
        <f t="shared" si="152"/>
        <v>-1</v>
      </c>
    </row>
    <row r="255" spans="1:26" s="24" customFormat="1" hidden="1" outlineLevel="1" x14ac:dyDescent="0.25">
      <c r="A255" s="44"/>
      <c r="B255" s="11" t="str">
        <f>CONCATENATE("          ", "4198", " - ", "NON-TAXABLE SALES-GRAD RENTALS")</f>
        <v xml:space="preserve">          4198 - NON-TAXABLE SALES-GRAD RENTALS</v>
      </c>
      <c r="C255" s="11"/>
      <c r="D255" s="2">
        <f t="shared" si="153"/>
        <v>0</v>
      </c>
      <c r="E255" s="2"/>
      <c r="F255" s="19">
        <f t="shared" si="145"/>
        <v>0</v>
      </c>
      <c r="G255" s="2"/>
      <c r="H255" s="2">
        <f t="shared" si="155"/>
        <v>0</v>
      </c>
      <c r="I255" s="2"/>
      <c r="J255" s="19">
        <f t="shared" si="146"/>
        <v>0</v>
      </c>
      <c r="K255" s="2"/>
      <c r="L255" s="2">
        <f t="shared" si="147"/>
        <v>0</v>
      </c>
      <c r="M255" s="2"/>
      <c r="N255" s="19">
        <f t="shared" si="148"/>
        <v>0</v>
      </c>
      <c r="O255" s="11"/>
      <c r="P255" s="2">
        <f t="shared" si="154"/>
        <v>0</v>
      </c>
      <c r="Q255" s="2"/>
      <c r="R255" s="19">
        <f t="shared" si="149"/>
        <v>0</v>
      </c>
      <c r="S255" s="2"/>
      <c r="T255" s="2">
        <f>--3732.1</f>
        <v>3732.1</v>
      </c>
      <c r="U255" s="2"/>
      <c r="V255" s="19">
        <f t="shared" si="150"/>
        <v>4.4609014200311083E-4</v>
      </c>
      <c r="W255" s="2"/>
      <c r="X255" s="2">
        <f t="shared" si="151"/>
        <v>-3732.1</v>
      </c>
      <c r="Y255" s="2"/>
      <c r="Z255" s="19">
        <f t="shared" si="152"/>
        <v>-1</v>
      </c>
    </row>
    <row r="256" spans="1:26" s="24" customFormat="1" hidden="1" outlineLevel="1" x14ac:dyDescent="0.25">
      <c r="A256" s="44"/>
      <c r="B256" s="11" t="str">
        <f>CONCATENATE("          ", "9150", " - ", "MISC. INCOME")</f>
        <v xml:space="preserve">          9150 - MISC. INCOME</v>
      </c>
      <c r="C256" s="11"/>
      <c r="D256" s="2">
        <f>--52128.38</f>
        <v>52128.38</v>
      </c>
      <c r="E256" s="2"/>
      <c r="F256" s="19">
        <f t="shared" si="145"/>
        <v>0.25699241496321112</v>
      </c>
      <c r="G256" s="2"/>
      <c r="H256" s="2">
        <f>--77055.16</f>
        <v>77055.16</v>
      </c>
      <c r="I256" s="2"/>
      <c r="J256" s="19">
        <f t="shared" si="146"/>
        <v>0.11371245552487919</v>
      </c>
      <c r="K256" s="2"/>
      <c r="L256" s="2">
        <f t="shared" si="147"/>
        <v>-24926.780000000006</v>
      </c>
      <c r="M256" s="2"/>
      <c r="N256" s="19">
        <f t="shared" si="148"/>
        <v>-0.32349267719384406</v>
      </c>
      <c r="O256" s="11"/>
      <c r="P256" s="2">
        <f>--300611.5</f>
        <v>300611.5</v>
      </c>
      <c r="Q256" s="2"/>
      <c r="R256" s="19">
        <f t="shared" si="149"/>
        <v>7.3674259502881909E-2</v>
      </c>
      <c r="S256" s="2"/>
      <c r="T256" s="2">
        <f>--363408.14</f>
        <v>363408.14</v>
      </c>
      <c r="U256" s="2"/>
      <c r="V256" s="19">
        <f t="shared" si="150"/>
        <v>4.343741828399196E-2</v>
      </c>
      <c r="W256" s="2"/>
      <c r="X256" s="2">
        <f t="shared" si="151"/>
        <v>-62796.640000000014</v>
      </c>
      <c r="Y256" s="2"/>
      <c r="Z256" s="19">
        <f t="shared" si="152"/>
        <v>-0.17279921137704843</v>
      </c>
    </row>
    <row r="257" spans="1:26" s="24" customFormat="1" hidden="1" outlineLevel="1" x14ac:dyDescent="0.25">
      <c r="A257" s="44"/>
      <c r="B257" s="11" t="str">
        <f>CONCATENATE("          ", "9151", " - ", "MISC. INCOME")</f>
        <v xml:space="preserve">          9151 - MISC. INCOME</v>
      </c>
      <c r="C257" s="11"/>
      <c r="D257" s="2">
        <f>--148653.31</f>
        <v>148653.31</v>
      </c>
      <c r="E257" s="2"/>
      <c r="F257" s="19">
        <f t="shared" si="145"/>
        <v>0.73285939691919955</v>
      </c>
      <c r="G257" s="2"/>
      <c r="H257" s="2">
        <f>--70124.28</f>
        <v>70124.28</v>
      </c>
      <c r="I257" s="2"/>
      <c r="J257" s="19">
        <f t="shared" si="146"/>
        <v>0.10348436199099677</v>
      </c>
      <c r="K257" s="2"/>
      <c r="L257" s="2">
        <f t="shared" si="147"/>
        <v>78529.03</v>
      </c>
      <c r="M257" s="2"/>
      <c r="N257" s="19">
        <f t="shared" si="148"/>
        <v>1.1198550630395063</v>
      </c>
      <c r="O257" s="11"/>
      <c r="P257" s="2">
        <f>--297910.7</f>
        <v>297910.7</v>
      </c>
      <c r="Q257" s="2"/>
      <c r="R257" s="19">
        <f t="shared" si="149"/>
        <v>7.3012343907286323E-2</v>
      </c>
      <c r="S257" s="2"/>
      <c r="T257" s="2">
        <f>--156077.66</f>
        <v>156077.66</v>
      </c>
      <c r="U257" s="2"/>
      <c r="V257" s="19">
        <f t="shared" si="150"/>
        <v>1.8655637714132325E-2</v>
      </c>
      <c r="W257" s="2"/>
      <c r="X257" s="2">
        <f t="shared" si="151"/>
        <v>141833.04</v>
      </c>
      <c r="Y257" s="2"/>
      <c r="Z257" s="19">
        <f t="shared" si="152"/>
        <v>0.90873376753598178</v>
      </c>
    </row>
    <row r="258" spans="1:26" s="24" customFormat="1" hidden="1" outlineLevel="1" x14ac:dyDescent="0.25">
      <c r="A258" s="44"/>
      <c r="B258" s="11" t="str">
        <f>CONCATENATE("          ", "9152", " - ", "MISC. INCOME")</f>
        <v xml:space="preserve">          9152 - MISC. INCOME</v>
      </c>
      <c r="C258" s="11"/>
      <c r="D258" s="2">
        <f>--81.19</f>
        <v>81.19</v>
      </c>
      <c r="E258" s="2"/>
      <c r="F258" s="19">
        <f t="shared" si="145"/>
        <v>4.0026592368424098E-4</v>
      </c>
      <c r="G258" s="2"/>
      <c r="H258" s="2">
        <f t="shared" ref="H258:H260" si="156">0</f>
        <v>0</v>
      </c>
      <c r="I258" s="2"/>
      <c r="J258" s="19">
        <f t="shared" si="146"/>
        <v>0</v>
      </c>
      <c r="K258" s="2"/>
      <c r="L258" s="2">
        <f t="shared" si="147"/>
        <v>81.19</v>
      </c>
      <c r="M258" s="2"/>
      <c r="N258" s="19">
        <f t="shared" si="148"/>
        <v>0</v>
      </c>
      <c r="O258" s="11"/>
      <c r="P258" s="2">
        <f>--3313.45</f>
        <v>3313.45</v>
      </c>
      <c r="Q258" s="2"/>
      <c r="R258" s="19">
        <f t="shared" si="149"/>
        <v>8.1206465870342301E-4</v>
      </c>
      <c r="S258" s="2"/>
      <c r="T258" s="2">
        <f>--4699.86</f>
        <v>4699.8599999999997</v>
      </c>
      <c r="U258" s="2"/>
      <c r="V258" s="19">
        <f t="shared" si="150"/>
        <v>5.6176447972850147E-4</v>
      </c>
      <c r="W258" s="2"/>
      <c r="X258" s="2">
        <f t="shared" si="151"/>
        <v>-1386.4099999999999</v>
      </c>
      <c r="Y258" s="2"/>
      <c r="Z258" s="19">
        <f t="shared" si="152"/>
        <v>-0.29498963798921668</v>
      </c>
    </row>
    <row r="259" spans="1:26" s="24" customFormat="1" hidden="1" outlineLevel="1" x14ac:dyDescent="0.25">
      <c r="A259" s="44"/>
      <c r="B259" s="11" t="str">
        <f>CONCATENATE("          ", "9153", " - ", "MISC. INCOME")</f>
        <v xml:space="preserve">          9153 - MISC. INCOME</v>
      </c>
      <c r="C259" s="11"/>
      <c r="D259" s="2">
        <f t="shared" ref="D259:D260" si="157">0</f>
        <v>0</v>
      </c>
      <c r="E259" s="2"/>
      <c r="F259" s="19">
        <f t="shared" si="145"/>
        <v>0</v>
      </c>
      <c r="G259" s="2"/>
      <c r="H259" s="2">
        <f t="shared" si="156"/>
        <v>0</v>
      </c>
      <c r="I259" s="2"/>
      <c r="J259" s="19">
        <f t="shared" si="146"/>
        <v>0</v>
      </c>
      <c r="K259" s="2"/>
      <c r="L259" s="2">
        <f t="shared" si="147"/>
        <v>0</v>
      </c>
      <c r="M259" s="2"/>
      <c r="N259" s="19">
        <f t="shared" si="148"/>
        <v>0</v>
      </c>
      <c r="O259" s="11"/>
      <c r="P259" s="2">
        <f t="shared" ref="P259:P260" si="158">0</f>
        <v>0</v>
      </c>
      <c r="Q259" s="2"/>
      <c r="R259" s="19">
        <f t="shared" si="149"/>
        <v>0</v>
      </c>
      <c r="S259" s="2"/>
      <c r="T259" s="2">
        <f>--450</f>
        <v>450</v>
      </c>
      <c r="U259" s="2"/>
      <c r="V259" s="19">
        <f t="shared" si="150"/>
        <v>5.3787563007797181E-5</v>
      </c>
      <c r="W259" s="2"/>
      <c r="X259" s="2">
        <f t="shared" si="151"/>
        <v>-450</v>
      </c>
      <c r="Y259" s="2"/>
      <c r="Z259" s="19">
        <f t="shared" si="152"/>
        <v>-1</v>
      </c>
    </row>
    <row r="260" spans="1:26" s="24" customFormat="1" hidden="1" outlineLevel="1" x14ac:dyDescent="0.25">
      <c r="A260" s="44"/>
      <c r="B260" s="11" t="str">
        <f>CONCATENATE("          ", "9160", " - ", "MISC. INCOME")</f>
        <v xml:space="preserve">          9160 - MISC. INCOME</v>
      </c>
      <c r="C260" s="11"/>
      <c r="D260" s="2">
        <f t="shared" si="157"/>
        <v>0</v>
      </c>
      <c r="E260" s="2"/>
      <c r="F260" s="19">
        <f t="shared" si="145"/>
        <v>0</v>
      </c>
      <c r="G260" s="2"/>
      <c r="H260" s="2">
        <f t="shared" si="156"/>
        <v>0</v>
      </c>
      <c r="I260" s="2"/>
      <c r="J260" s="19">
        <f t="shared" si="146"/>
        <v>0</v>
      </c>
      <c r="K260" s="2"/>
      <c r="L260" s="2">
        <f t="shared" si="147"/>
        <v>0</v>
      </c>
      <c r="M260" s="2"/>
      <c r="N260" s="19">
        <f t="shared" si="148"/>
        <v>0</v>
      </c>
      <c r="O260" s="11"/>
      <c r="P260" s="2">
        <f t="shared" si="158"/>
        <v>0</v>
      </c>
      <c r="Q260" s="2"/>
      <c r="R260" s="19">
        <f t="shared" si="149"/>
        <v>0</v>
      </c>
      <c r="S260" s="2"/>
      <c r="T260" s="2">
        <f>--22475</f>
        <v>22475</v>
      </c>
      <c r="U260" s="2"/>
      <c r="V260" s="19">
        <f t="shared" si="150"/>
        <v>2.6863899524449814E-3</v>
      </c>
      <c r="W260" s="2"/>
      <c r="X260" s="2">
        <f t="shared" si="151"/>
        <v>-22475</v>
      </c>
      <c r="Y260" s="2"/>
      <c r="Z260" s="19">
        <f t="shared" si="152"/>
        <v>-1</v>
      </c>
    </row>
    <row r="261" spans="1:26" s="24" customFormat="1" hidden="1" outlineLevel="1" x14ac:dyDescent="0.25">
      <c r="A261" s="44"/>
      <c r="B261" s="11" t="str">
        <f>CONCATENATE("          ", "9163", " - ", "MISC. INCOME")</f>
        <v xml:space="preserve">          9163 - MISC. INCOME</v>
      </c>
      <c r="C261" s="11"/>
      <c r="D261" s="2">
        <f>-3986.08</f>
        <v>-3986.08</v>
      </c>
      <c r="E261" s="2"/>
      <c r="F261" s="19">
        <f t="shared" si="145"/>
        <v>-1.9651336286233272E-2</v>
      </c>
      <c r="G261" s="2"/>
      <c r="H261" s="2">
        <f>--23333.33</f>
        <v>23333.33</v>
      </c>
      <c r="I261" s="2"/>
      <c r="J261" s="19">
        <f t="shared" si="146"/>
        <v>3.4433647920169515E-2</v>
      </c>
      <c r="K261" s="2"/>
      <c r="L261" s="2">
        <f t="shared" si="147"/>
        <v>-27319.410000000003</v>
      </c>
      <c r="M261" s="2"/>
      <c r="N261" s="19">
        <f t="shared" si="148"/>
        <v>-1.1708320244045749</v>
      </c>
      <c r="O261" s="11"/>
      <c r="P261" s="2">
        <f>--171419.76</f>
        <v>171419.76</v>
      </c>
      <c r="Q261" s="2"/>
      <c r="R261" s="19">
        <f t="shared" si="149"/>
        <v>4.2011778931151121E-2</v>
      </c>
      <c r="S261" s="2"/>
      <c r="T261" s="2">
        <f>--84439.88</f>
        <v>84439.88</v>
      </c>
      <c r="U261" s="2"/>
      <c r="V261" s="19">
        <f t="shared" si="150"/>
        <v>1.0092923035268519E-2</v>
      </c>
      <c r="W261" s="2"/>
      <c r="X261" s="2">
        <f t="shared" si="151"/>
        <v>86979.88</v>
      </c>
      <c r="Y261" s="2"/>
      <c r="Z261" s="19">
        <f t="shared" si="152"/>
        <v>1.0300805733025675</v>
      </c>
    </row>
    <row r="262" spans="1:26" x14ac:dyDescent="0.25">
      <c r="A262" s="9"/>
      <c r="B262" s="10"/>
      <c r="C262" s="10"/>
      <c r="D262" s="3"/>
      <c r="E262" s="3"/>
      <c r="F262" s="8"/>
      <c r="G262" s="3"/>
      <c r="H262" s="3"/>
      <c r="I262" s="3"/>
      <c r="J262" s="8"/>
      <c r="K262" s="3"/>
      <c r="L262" s="3"/>
      <c r="M262" s="3"/>
      <c r="N262" s="8"/>
      <c r="O262" s="10"/>
      <c r="P262" s="3"/>
      <c r="Q262" s="3"/>
      <c r="R262" s="8"/>
      <c r="S262" s="3"/>
      <c r="T262" s="3"/>
      <c r="U262" s="3"/>
      <c r="V262" s="8"/>
      <c r="W262" s="3"/>
      <c r="X262" s="3"/>
      <c r="Y262" s="3"/>
      <c r="Z262" s="8"/>
    </row>
    <row r="263" spans="1:26" s="23" customFormat="1" x14ac:dyDescent="0.25">
      <c r="A263" s="10"/>
      <c r="B263" s="29" t="s">
        <v>3</v>
      </c>
      <c r="C263" s="29"/>
      <c r="D263" s="22">
        <f>+D161-D163+D252</f>
        <v>33727.47</v>
      </c>
      <c r="E263" s="14"/>
      <c r="F263" s="20">
        <f>IF(D$12=0,0,D263/D$12)</f>
        <v>0.16627610460749509</v>
      </c>
      <c r="G263" s="14"/>
      <c r="H263" s="22">
        <f>+H161-H163+H252</f>
        <v>-24994.450000000244</v>
      </c>
      <c r="I263" s="14"/>
      <c r="J263" s="20">
        <f>IF(H$12=0,0,H263/H$12)</f>
        <v>-3.6885009180356566E-2</v>
      </c>
      <c r="K263" s="16"/>
      <c r="L263" s="22">
        <f>+D263-H263</f>
        <v>58721.920000000246</v>
      </c>
      <c r="M263" s="16"/>
      <c r="N263" s="20">
        <f>IF(H263=0,0,L263/H263)</f>
        <v>-2.3493983664373359</v>
      </c>
      <c r="O263" s="28"/>
      <c r="P263" s="22">
        <f>+P161-P163+P252</f>
        <v>74932.259999998147</v>
      </c>
      <c r="Q263" s="14"/>
      <c r="R263" s="20">
        <f>IF(P$12=0,0,P263/P$12)</f>
        <v>1.8364496263041437E-2</v>
      </c>
      <c r="S263" s="14"/>
      <c r="T263" s="22">
        <f>+T161-T163+T252</f>
        <v>1010336.1200000008</v>
      </c>
      <c r="U263" s="14"/>
      <c r="V263" s="20">
        <f>IF(T$12=0,0,T263/T$12)</f>
        <v>0.12076337269678529</v>
      </c>
      <c r="W263" s="16"/>
      <c r="X263" s="22">
        <f>+P263-T263</f>
        <v>-935403.86000000266</v>
      </c>
      <c r="Y263" s="16"/>
      <c r="Z263" s="20">
        <f>IF(T263=0,0,X263/T263)</f>
        <v>-0.92583432531344312</v>
      </c>
    </row>
    <row r="264" spans="1:26" x14ac:dyDescent="0.25">
      <c r="A264" s="9"/>
      <c r="B264" s="10"/>
      <c r="C264" s="9"/>
      <c r="D264" s="3"/>
      <c r="E264" s="3"/>
      <c r="F264" s="8"/>
      <c r="G264" s="3"/>
      <c r="H264" s="3"/>
      <c r="I264" s="3"/>
      <c r="J264" s="8"/>
      <c r="K264" s="3"/>
      <c r="L264" s="3"/>
      <c r="M264" s="3"/>
      <c r="N264" s="8"/>
      <c r="P264" s="3"/>
      <c r="Q264" s="3"/>
      <c r="R264" s="8"/>
      <c r="S264" s="3"/>
      <c r="T264" s="3"/>
      <c r="U264" s="3"/>
      <c r="V264" s="8"/>
      <c r="W264" s="3"/>
      <c r="X264" s="3"/>
      <c r="Y264" s="3"/>
      <c r="Z264" s="8"/>
    </row>
    <row r="265" spans="1:26" s="23" customFormat="1" x14ac:dyDescent="0.25">
      <c r="A265" s="51"/>
      <c r="B265" s="10" t="s">
        <v>13</v>
      </c>
      <c r="C265" s="10"/>
      <c r="D265" s="4">
        <v>104183.44</v>
      </c>
      <c r="E265" s="4"/>
      <c r="F265" s="12">
        <f>IF(D$12=0,0,D265/D$12)</f>
        <v>0.51362336302748735</v>
      </c>
      <c r="G265" s="4"/>
      <c r="H265" s="4">
        <v>50872.33</v>
      </c>
      <c r="I265" s="4"/>
      <c r="J265" s="12">
        <f>IF(H$12=0,0,H265/H$12)</f>
        <v>7.5073720729046264E-2</v>
      </c>
      <c r="K265" s="4"/>
      <c r="L265" s="4">
        <f>+D265-H265</f>
        <v>53311.11</v>
      </c>
      <c r="M265" s="4"/>
      <c r="N265" s="12">
        <f>IF(H265=0,0,L265/H265)</f>
        <v>1.0479392235425427</v>
      </c>
      <c r="O265" s="10"/>
      <c r="P265" s="4">
        <v>808041.09</v>
      </c>
      <c r="Q265" s="4"/>
      <c r="R265" s="12">
        <f>IF(P$12=0,0,P265/P$12)</f>
        <v>0.19803576694055799</v>
      </c>
      <c r="S265" s="4"/>
      <c r="T265" s="4">
        <v>852685.94</v>
      </c>
      <c r="U265" s="4"/>
      <c r="V265" s="12">
        <f>IF(T$12=0,0,T265/T$12)</f>
        <v>0.1019197749413617</v>
      </c>
      <c r="W265" s="4"/>
      <c r="X265" s="4">
        <f>+P265-T265</f>
        <v>-44644.849999999977</v>
      </c>
      <c r="Y265" s="4"/>
      <c r="Z265" s="12">
        <f>IF(T265=0,0,X265/T265)</f>
        <v>-5.2357905655158313E-2</v>
      </c>
    </row>
    <row r="266" spans="1:26" x14ac:dyDescent="0.25">
      <c r="A266" s="9"/>
      <c r="B266" s="10"/>
      <c r="C266" s="10"/>
      <c r="D266" s="3"/>
      <c r="E266" s="3"/>
      <c r="F266" s="8"/>
      <c r="G266" s="3"/>
      <c r="H266" s="3"/>
      <c r="I266" s="3"/>
      <c r="J266" s="8"/>
      <c r="K266" s="3"/>
      <c r="L266" s="3"/>
      <c r="M266" s="3"/>
      <c r="N266" s="8"/>
      <c r="O266" s="10"/>
      <c r="P266" s="3"/>
      <c r="Q266" s="3"/>
      <c r="R266" s="8"/>
      <c r="S266" s="3"/>
      <c r="T266" s="3"/>
      <c r="U266" s="3"/>
      <c r="V266" s="8"/>
      <c r="W266" s="3"/>
      <c r="X266" s="3"/>
      <c r="Y266" s="3"/>
      <c r="Z266" s="8"/>
    </row>
    <row r="267" spans="1:26" s="23" customFormat="1" ht="15.75" thickBot="1" x14ac:dyDescent="0.3">
      <c r="A267" s="10"/>
      <c r="B267" s="29" t="s">
        <v>4</v>
      </c>
      <c r="C267" s="29"/>
      <c r="D267" s="35">
        <f>+D263-D265</f>
        <v>-70455.97</v>
      </c>
      <c r="E267" s="14"/>
      <c r="F267" s="36">
        <f>IF(D$12=0,0,D267/D$12)</f>
        <v>-0.34734725841999226</v>
      </c>
      <c r="G267" s="14"/>
      <c r="H267" s="35">
        <f>+H263-H265</f>
        <v>-75866.780000000246</v>
      </c>
      <c r="I267" s="14"/>
      <c r="J267" s="36">
        <f>IF(H$12=0,0,H267/H$12)</f>
        <v>-0.11195872990940284</v>
      </c>
      <c r="K267" s="16"/>
      <c r="L267" s="35">
        <f>D267-H267</f>
        <v>5410.8100000002451</v>
      </c>
      <c r="M267" s="16"/>
      <c r="N267" s="36">
        <f>IF(H267=0,0,L267/H267)</f>
        <v>-7.1319884671528527E-2</v>
      </c>
      <c r="O267" s="28"/>
      <c r="P267" s="35">
        <f>+P263-P265</f>
        <v>-733108.83000000182</v>
      </c>
      <c r="Q267" s="14"/>
      <c r="R267" s="36">
        <f>IF(P$12=0,0,P267/P$12)</f>
        <v>-0.17967127067751656</v>
      </c>
      <c r="S267" s="14"/>
      <c r="T267" s="35">
        <f>+T263-T265</f>
        <v>157650.18000000087</v>
      </c>
      <c r="U267" s="14"/>
      <c r="V267" s="36">
        <f>IF(T$12=0,0,T267/T$12)</f>
        <v>1.8843597755423588E-2</v>
      </c>
      <c r="W267" s="16"/>
      <c r="X267" s="35">
        <f>P267-T267</f>
        <v>-890759.01000000269</v>
      </c>
      <c r="Y267" s="16"/>
      <c r="Z267" s="36">
        <f>IF(T267=0,0,X267/T267)</f>
        <v>-5.6502251377067747</v>
      </c>
    </row>
    <row r="268" spans="1:26" ht="15.75" thickTop="1" x14ac:dyDescent="0.25">
      <c r="A268" s="9"/>
      <c r="B268" s="9"/>
      <c r="C268" s="9"/>
      <c r="D268" s="3"/>
      <c r="E268" s="3"/>
      <c r="F268" s="8"/>
      <c r="G268" s="3"/>
      <c r="H268" s="3"/>
      <c r="I268" s="3"/>
      <c r="J268" s="8"/>
      <c r="K268" s="3"/>
      <c r="L268" s="3"/>
      <c r="M268" s="3"/>
      <c r="N268" s="8"/>
      <c r="P268" s="3"/>
      <c r="Q268" s="3"/>
      <c r="R268" s="8"/>
      <c r="S268" s="3"/>
      <c r="T268" s="3"/>
      <c r="U268" s="3"/>
      <c r="V268" s="8"/>
      <c r="W268" s="3"/>
      <c r="X268" s="3"/>
      <c r="Y268" s="3"/>
      <c r="Z268" s="8"/>
    </row>
    <row r="269" spans="1:26" x14ac:dyDescent="0.25">
      <c r="A269" s="9"/>
      <c r="B269" s="9"/>
      <c r="C269" s="9"/>
      <c r="D269" s="3"/>
      <c r="E269" s="3"/>
      <c r="F269" s="8"/>
      <c r="G269" s="3"/>
      <c r="H269" s="3"/>
      <c r="I269" s="3"/>
      <c r="J269" s="8"/>
      <c r="K269" s="3"/>
      <c r="L269" s="3"/>
      <c r="M269" s="3"/>
      <c r="N269" s="8"/>
      <c r="P269" s="3"/>
      <c r="Q269" s="3"/>
      <c r="R269" s="8"/>
      <c r="S269" s="3"/>
      <c r="T269" s="3"/>
      <c r="U269" s="3"/>
      <c r="V269" s="8"/>
      <c r="W269" s="3"/>
      <c r="X269" s="3"/>
      <c r="Y269" s="3"/>
      <c r="Z269" s="8"/>
    </row>
    <row r="270" spans="1:26" s="23" customFormat="1" ht="15.75" thickBot="1" x14ac:dyDescent="0.3">
      <c r="A270" s="10"/>
      <c r="B270" s="29" t="s">
        <v>5</v>
      </c>
      <c r="C270" s="29"/>
      <c r="D270" s="31">
        <f>SUM(D267:D269)</f>
        <v>-70455.97</v>
      </c>
      <c r="E270" s="14"/>
      <c r="F270" s="33">
        <f>IF(D$12=0,0,D270/D$12)</f>
        <v>-0.34734725841999226</v>
      </c>
      <c r="G270" s="14"/>
      <c r="H270" s="31">
        <f>SUM(H267:H269)</f>
        <v>-75866.780000000246</v>
      </c>
      <c r="I270" s="14"/>
      <c r="J270" s="33">
        <f>IF(H$12=0,0,H270/H$12)</f>
        <v>-0.11195872990940284</v>
      </c>
      <c r="K270" s="16"/>
      <c r="L270" s="31">
        <f>+D270-H270</f>
        <v>5410.8100000002451</v>
      </c>
      <c r="M270" s="16"/>
      <c r="N270" s="33">
        <f>IF(H270=0,0,L270/H270)</f>
        <v>-7.1319884671528527E-2</v>
      </c>
      <c r="O270" s="28"/>
      <c r="P270" s="31">
        <f>SUM(P267:P269)</f>
        <v>-733108.83000000182</v>
      </c>
      <c r="Q270" s="14"/>
      <c r="R270" s="33">
        <f>IF(P$12=0,0,P270/P$12)</f>
        <v>-0.17967127067751656</v>
      </c>
      <c r="S270" s="14"/>
      <c r="T270" s="31">
        <f>SUM(T267:T269)</f>
        <v>157650.18000000087</v>
      </c>
      <c r="U270" s="14"/>
      <c r="V270" s="33">
        <f>IF(T$12=0,0,T270/T$12)</f>
        <v>1.8843597755423588E-2</v>
      </c>
      <c r="W270" s="16"/>
      <c r="X270" s="31">
        <f>+P270-T270</f>
        <v>-890759.01000000269</v>
      </c>
      <c r="Y270" s="16"/>
      <c r="Z270" s="33">
        <f>IF(T270=0,0,X270/T270)</f>
        <v>-5.6502251377067747</v>
      </c>
    </row>
    <row r="271" spans="1:26" ht="15.75" thickTop="1" x14ac:dyDescent="0.25">
      <c r="A271" s="9"/>
      <c r="C271" s="9"/>
      <c r="D271" s="18"/>
      <c r="E271" s="18"/>
      <c r="G271" s="18"/>
      <c r="H271" s="18"/>
      <c r="I271" s="18"/>
      <c r="J271" s="43"/>
      <c r="K271" s="18"/>
      <c r="L271" s="18"/>
      <c r="M271" s="18"/>
      <c r="P271" s="18"/>
      <c r="Q271" s="18"/>
      <c r="R271" s="43"/>
      <c r="S271" s="18"/>
      <c r="T271" s="18"/>
      <c r="U271" s="18"/>
      <c r="V271" s="43"/>
      <c r="W271" s="18"/>
      <c r="X271" s="18"/>
    </row>
    <row r="272" spans="1:26" x14ac:dyDescent="0.25">
      <c r="A272" s="9"/>
      <c r="B272" s="56">
        <v>44267.667796608795</v>
      </c>
      <c r="D272" s="18"/>
      <c r="E272" s="18"/>
      <c r="G272" s="18"/>
      <c r="H272" s="18"/>
      <c r="I272" s="18"/>
      <c r="J272" s="43"/>
      <c r="K272" s="18"/>
      <c r="L272" s="18"/>
      <c r="M272" s="18"/>
      <c r="P272" s="18"/>
      <c r="Q272" s="18"/>
      <c r="R272" s="43"/>
      <c r="S272" s="18"/>
      <c r="T272" s="18"/>
      <c r="U272" s="18"/>
      <c r="V272" s="43"/>
      <c r="W272" s="18"/>
      <c r="X272" s="18"/>
    </row>
    <row r="273" spans="1:24" x14ac:dyDescent="0.25">
      <c r="A273" s="9"/>
      <c r="B273" s="54" t="s">
        <v>313</v>
      </c>
      <c r="D273" s="18"/>
      <c r="E273" s="18"/>
      <c r="G273" s="18"/>
      <c r="H273" s="18"/>
      <c r="I273" s="18"/>
      <c r="J273" s="43"/>
      <c r="K273" s="18"/>
      <c r="L273" s="18"/>
      <c r="M273" s="18"/>
      <c r="P273" s="18"/>
      <c r="Q273" s="18"/>
      <c r="R273" s="43"/>
      <c r="S273" s="18"/>
      <c r="T273" s="18"/>
      <c r="U273" s="18"/>
      <c r="V273" s="43"/>
      <c r="W273" s="18"/>
      <c r="X273" s="18"/>
    </row>
    <row r="274" spans="1:24" x14ac:dyDescent="0.25">
      <c r="A274" s="9"/>
      <c r="B274" s="58"/>
      <c r="D274" s="18"/>
      <c r="E274" s="18"/>
      <c r="G274" s="18"/>
      <c r="H274" s="18"/>
      <c r="I274" s="18"/>
      <c r="J274" s="43"/>
      <c r="K274" s="18"/>
      <c r="L274" s="18"/>
      <c r="M274" s="18"/>
      <c r="P274" s="18"/>
      <c r="Q274" s="18"/>
      <c r="R274" s="43"/>
      <c r="S274" s="18"/>
      <c r="T274" s="18"/>
      <c r="U274" s="18"/>
      <c r="V274" s="43"/>
      <c r="W274" s="18"/>
      <c r="X274" s="18"/>
    </row>
    <row r="275" spans="1:24" x14ac:dyDescent="0.25">
      <c r="D275" s="18"/>
      <c r="E275" s="18"/>
      <c r="G275" s="18"/>
      <c r="H275" s="18"/>
      <c r="I275" s="18"/>
      <c r="J275" s="43"/>
      <c r="K275" s="18"/>
      <c r="L275" s="18"/>
      <c r="M275" s="18"/>
      <c r="P275" s="18"/>
      <c r="Q275" s="18"/>
      <c r="R275" s="43"/>
      <c r="S275" s="18"/>
      <c r="T275" s="18"/>
      <c r="U275" s="18"/>
      <c r="V275" s="43"/>
      <c r="W275" s="18"/>
      <c r="X275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295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30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311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388775.0199999999</v>
      </c>
      <c r="E12" s="4"/>
      <c r="F12" s="12"/>
      <c r="G12" s="4"/>
      <c r="H12" s="4">
        <f>SUM(OSRRefH13x_0)</f>
        <v>803158.21999999962</v>
      </c>
      <c r="I12" s="4"/>
      <c r="J12" s="12"/>
      <c r="K12" s="4"/>
      <c r="L12" s="4">
        <f t="shared" ref="L12:L125" si="0">+D12-H12</f>
        <v>-414383.19999999972</v>
      </c>
      <c r="M12" s="4"/>
      <c r="N12" s="12">
        <f t="shared" ref="N12:N125" si="1">IF(H12=0,0,L12/H12)</f>
        <v>-0.51594217637466244</v>
      </c>
      <c r="O12" s="10"/>
      <c r="P12" s="4">
        <f>SUM(OSRRefP13x_0)</f>
        <v>5670749.7400000012</v>
      </c>
      <c r="Q12" s="4"/>
      <c r="R12" s="12"/>
      <c r="S12" s="4"/>
      <c r="T12" s="4">
        <f>SUM(OSRRefT13x_0)</f>
        <v>10290278.879999999</v>
      </c>
      <c r="U12" s="4"/>
      <c r="V12" s="12"/>
      <c r="W12" s="4"/>
      <c r="X12" s="4">
        <f t="shared" ref="X12:X125" si="2">+P12-T12</f>
        <v>-4619529.1399999978</v>
      </c>
      <c r="Y12" s="4"/>
      <c r="Z12" s="12">
        <f t="shared" ref="Z12:Z125" si="3">IF(T12=0,0,X12/T12)</f>
        <v>-0.44892166615410506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-7402.1</f>
        <v>-7402.1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-7402.1</v>
      </c>
      <c r="M13" s="2"/>
      <c r="N13" s="19">
        <f t="shared" si="1"/>
        <v>0</v>
      </c>
      <c r="O13" s="11"/>
      <c r="P13" s="2">
        <f>-111058.09</f>
        <v>-111058.09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-111058.09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--34627.67</f>
        <v>34627.67</v>
      </c>
      <c r="E14" s="2"/>
      <c r="F14" s="19"/>
      <c r="G14" s="2"/>
      <c r="H14" s="2">
        <f>--104784.96</f>
        <v>104784.96000000001</v>
      </c>
      <c r="I14" s="2"/>
      <c r="J14" s="19"/>
      <c r="K14" s="2"/>
      <c r="L14" s="2">
        <f t="shared" si="0"/>
        <v>-70157.290000000008</v>
      </c>
      <c r="M14" s="2"/>
      <c r="N14" s="19">
        <f t="shared" si="1"/>
        <v>-0.66953587614100352</v>
      </c>
      <c r="O14" s="11"/>
      <c r="P14" s="2">
        <f>--1224724.01</f>
        <v>1224724.01</v>
      </c>
      <c r="Q14" s="2"/>
      <c r="R14" s="19"/>
      <c r="S14" s="2"/>
      <c r="T14" s="2">
        <f>--2390761.72</f>
        <v>2390761.7200000002</v>
      </c>
      <c r="U14" s="2"/>
      <c r="V14" s="19"/>
      <c r="W14" s="2"/>
      <c r="X14" s="2">
        <f t="shared" si="2"/>
        <v>-1166037.7100000002</v>
      </c>
      <c r="Y14" s="2"/>
      <c r="Z14" s="19">
        <f t="shared" si="3"/>
        <v>-0.48772644310199181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--12732.98</f>
        <v>12732.98</v>
      </c>
      <c r="E15" s="2"/>
      <c r="F15" s="19"/>
      <c r="G15" s="2"/>
      <c r="H15" s="2">
        <f>--46558.78</f>
        <v>46558.78</v>
      </c>
      <c r="I15" s="2"/>
      <c r="J15" s="19"/>
      <c r="K15" s="2"/>
      <c r="L15" s="2">
        <f t="shared" si="0"/>
        <v>-33825.800000000003</v>
      </c>
      <c r="M15" s="2"/>
      <c r="N15" s="19">
        <f t="shared" si="1"/>
        <v>-0.72651817766702653</v>
      </c>
      <c r="O15" s="11"/>
      <c r="P15" s="2">
        <f>--575134.48</f>
        <v>575134.48</v>
      </c>
      <c r="Q15" s="2"/>
      <c r="R15" s="19"/>
      <c r="S15" s="2"/>
      <c r="T15" s="2">
        <f>--1239973.19</f>
        <v>1239973.19</v>
      </c>
      <c r="U15" s="2"/>
      <c r="V15" s="19"/>
      <c r="W15" s="2"/>
      <c r="X15" s="2">
        <f t="shared" si="2"/>
        <v>-664838.71</v>
      </c>
      <c r="Y15" s="2"/>
      <c r="Z15" s="19">
        <f t="shared" si="3"/>
        <v>-0.53617184255411199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--40</f>
        <v>40</v>
      </c>
      <c r="E16" s="2"/>
      <c r="F16" s="19"/>
      <c r="G16" s="2"/>
      <c r="H16" s="2">
        <f>--1344.88</f>
        <v>1344.88</v>
      </c>
      <c r="I16" s="2"/>
      <c r="J16" s="19"/>
      <c r="K16" s="2"/>
      <c r="L16" s="2">
        <f t="shared" si="0"/>
        <v>-1304.8800000000001</v>
      </c>
      <c r="M16" s="2"/>
      <c r="N16" s="19">
        <f t="shared" si="1"/>
        <v>-0.97025756944857533</v>
      </c>
      <c r="O16" s="11"/>
      <c r="P16" s="2">
        <f>--17927.89</f>
        <v>17927.89</v>
      </c>
      <c r="Q16" s="2"/>
      <c r="R16" s="19"/>
      <c r="S16" s="2"/>
      <c r="T16" s="2">
        <f>--33616.89</f>
        <v>33616.89</v>
      </c>
      <c r="U16" s="2"/>
      <c r="V16" s="19"/>
      <c r="W16" s="2"/>
      <c r="X16" s="2">
        <f t="shared" si="2"/>
        <v>-15689</v>
      </c>
      <c r="Y16" s="2"/>
      <c r="Z16" s="19">
        <f t="shared" si="3"/>
        <v>-0.46669992375856306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ref="D17:D18" si="4">0</f>
        <v>0</v>
      </c>
      <c r="E17" s="2"/>
      <c r="F17" s="19"/>
      <c r="G17" s="2"/>
      <c r="H17" s="2">
        <f>--993.89</f>
        <v>993.89</v>
      </c>
      <c r="I17" s="2"/>
      <c r="J17" s="19"/>
      <c r="K17" s="2"/>
      <c r="L17" s="2">
        <f t="shared" si="0"/>
        <v>-993.89</v>
      </c>
      <c r="M17" s="2"/>
      <c r="N17" s="19">
        <f t="shared" si="1"/>
        <v>-1</v>
      </c>
      <c r="O17" s="11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--785.66</f>
        <v>785.66</v>
      </c>
      <c r="I18" s="2"/>
      <c r="J18" s="19"/>
      <c r="K18" s="2"/>
      <c r="L18" s="2">
        <f t="shared" si="0"/>
        <v>-785.66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f>--798.88</f>
        <v>798.88</v>
      </c>
      <c r="U18" s="2"/>
      <c r="V18" s="19"/>
      <c r="W18" s="2"/>
      <c r="X18" s="2">
        <f t="shared" si="2"/>
        <v>-798.88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--242.29</f>
        <v>242.29</v>
      </c>
      <c r="E19" s="2"/>
      <c r="F19" s="19"/>
      <c r="G19" s="2"/>
      <c r="H19" s="2">
        <f>--772.36</f>
        <v>772.36</v>
      </c>
      <c r="I19" s="2"/>
      <c r="J19" s="19"/>
      <c r="K19" s="2"/>
      <c r="L19" s="2">
        <f t="shared" si="0"/>
        <v>-530.07000000000005</v>
      </c>
      <c r="M19" s="2"/>
      <c r="N19" s="19">
        <f t="shared" si="1"/>
        <v>-0.68629913511833862</v>
      </c>
      <c r="O19" s="11"/>
      <c r="P19" s="2">
        <f>--1172.81</f>
        <v>1172.81</v>
      </c>
      <c r="Q19" s="2"/>
      <c r="R19" s="19"/>
      <c r="S19" s="2"/>
      <c r="T19" s="2">
        <f>--2282.25</f>
        <v>2282.25</v>
      </c>
      <c r="U19" s="2"/>
      <c r="V19" s="19"/>
      <c r="W19" s="2"/>
      <c r="X19" s="2">
        <f t="shared" si="2"/>
        <v>-1109.44</v>
      </c>
      <c r="Y19" s="2"/>
      <c r="Z19" s="19">
        <f t="shared" si="3"/>
        <v>-0.48611677073063864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--31.84</f>
        <v>31.84</v>
      </c>
      <c r="E20" s="2"/>
      <c r="F20" s="19"/>
      <c r="G20" s="2"/>
      <c r="H20" s="2">
        <f>--51.77</f>
        <v>51.77</v>
      </c>
      <c r="I20" s="2"/>
      <c r="J20" s="19"/>
      <c r="K20" s="2"/>
      <c r="L20" s="2">
        <f t="shared" si="0"/>
        <v>-19.930000000000003</v>
      </c>
      <c r="M20" s="2"/>
      <c r="N20" s="19">
        <f t="shared" si="1"/>
        <v>-0.38497199150086925</v>
      </c>
      <c r="O20" s="11"/>
      <c r="P20" s="2">
        <f>--411.88</f>
        <v>411.88</v>
      </c>
      <c r="Q20" s="2"/>
      <c r="R20" s="19"/>
      <c r="S20" s="2"/>
      <c r="T20" s="2">
        <f>--1151.94</f>
        <v>1151.94</v>
      </c>
      <c r="U20" s="2"/>
      <c r="V20" s="19"/>
      <c r="W20" s="2"/>
      <c r="X20" s="2">
        <f t="shared" si="2"/>
        <v>-740.06000000000006</v>
      </c>
      <c r="Y20" s="2"/>
      <c r="Z20" s="19">
        <f t="shared" si="3"/>
        <v>-0.64244665520773658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0</f>
        <v>0</v>
      </c>
      <c r="E21" s="2"/>
      <c r="F21" s="19"/>
      <c r="G21" s="2"/>
      <c r="H21" s="2">
        <f>--16.47</f>
        <v>16.47</v>
      </c>
      <c r="I21" s="2"/>
      <c r="J21" s="19"/>
      <c r="K21" s="2"/>
      <c r="L21" s="2">
        <f t="shared" si="0"/>
        <v>-16.47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--271.59</f>
        <v>271.58999999999997</v>
      </c>
      <c r="U21" s="2"/>
      <c r="V21" s="19"/>
      <c r="W21" s="2"/>
      <c r="X21" s="2">
        <f t="shared" si="2"/>
        <v>-271.58999999999997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--41.7</f>
        <v>41.7</v>
      </c>
      <c r="E22" s="2"/>
      <c r="F22" s="19"/>
      <c r="G22" s="2"/>
      <c r="H22" s="2">
        <f>--469.81</f>
        <v>469.81</v>
      </c>
      <c r="I22" s="2"/>
      <c r="J22" s="19"/>
      <c r="K22" s="2"/>
      <c r="L22" s="2">
        <f t="shared" si="0"/>
        <v>-428.11</v>
      </c>
      <c r="M22" s="2"/>
      <c r="N22" s="19">
        <f t="shared" si="1"/>
        <v>-0.91124071433132547</v>
      </c>
      <c r="O22" s="11"/>
      <c r="P22" s="2">
        <f>--332.84</f>
        <v>332.84</v>
      </c>
      <c r="Q22" s="2"/>
      <c r="R22" s="19"/>
      <c r="S22" s="2"/>
      <c r="T22" s="2">
        <f>--4097.71</f>
        <v>4097.71</v>
      </c>
      <c r="U22" s="2"/>
      <c r="V22" s="19"/>
      <c r="W22" s="2"/>
      <c r="X22" s="2">
        <f t="shared" si="2"/>
        <v>-3764.87</v>
      </c>
      <c r="Y22" s="2"/>
      <c r="Z22" s="19">
        <f t="shared" si="3"/>
        <v>-0.91877414458319395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ref="D23:D24" si="5">0</f>
        <v>0</v>
      </c>
      <c r="E23" s="2"/>
      <c r="F23" s="19"/>
      <c r="G23" s="2"/>
      <c r="H23" s="2">
        <f>--8.97</f>
        <v>8.9700000000000006</v>
      </c>
      <c r="I23" s="2"/>
      <c r="J23" s="19"/>
      <c r="K23" s="2"/>
      <c r="L23" s="2">
        <f t="shared" si="0"/>
        <v>-8.9700000000000006</v>
      </c>
      <c r="M23" s="2"/>
      <c r="N23" s="19">
        <f t="shared" si="1"/>
        <v>-1</v>
      </c>
      <c r="O23" s="11"/>
      <c r="P23" s="2">
        <f t="shared" ref="P23:P24" si="6">0</f>
        <v>0</v>
      </c>
      <c r="Q23" s="2"/>
      <c r="R23" s="19"/>
      <c r="S23" s="2"/>
      <c r="T23" s="2">
        <f>--42.85</f>
        <v>42.85</v>
      </c>
      <c r="U23" s="2"/>
      <c r="V23" s="19"/>
      <c r="W23" s="2"/>
      <c r="X23" s="2">
        <f t="shared" si="2"/>
        <v>-42.85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5"/>
        <v>0</v>
      </c>
      <c r="E24" s="2"/>
      <c r="F24" s="19"/>
      <c r="G24" s="2"/>
      <c r="H24" s="2">
        <f>--11343.24</f>
        <v>11343.24</v>
      </c>
      <c r="I24" s="2"/>
      <c r="J24" s="19"/>
      <c r="K24" s="2"/>
      <c r="L24" s="2">
        <f t="shared" si="0"/>
        <v>-11343.24</v>
      </c>
      <c r="M24" s="2"/>
      <c r="N24" s="19">
        <f t="shared" si="1"/>
        <v>-1</v>
      </c>
      <c r="O24" s="11"/>
      <c r="P24" s="2">
        <f t="shared" si="6"/>
        <v>0</v>
      </c>
      <c r="Q24" s="2"/>
      <c r="R24" s="19"/>
      <c r="S24" s="2"/>
      <c r="T24" s="2">
        <f>--51783.69</f>
        <v>51783.69</v>
      </c>
      <c r="U24" s="2"/>
      <c r="V24" s="19"/>
      <c r="W24" s="2"/>
      <c r="X24" s="2">
        <f t="shared" si="2"/>
        <v>-51783.69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--41.38</f>
        <v>41.38</v>
      </c>
      <c r="E25" s="2"/>
      <c r="F25" s="19"/>
      <c r="G25" s="2"/>
      <c r="H25" s="2">
        <f>--11784.71</f>
        <v>11784.71</v>
      </c>
      <c r="I25" s="2"/>
      <c r="J25" s="19"/>
      <c r="K25" s="2"/>
      <c r="L25" s="2">
        <f t="shared" si="0"/>
        <v>-11743.33</v>
      </c>
      <c r="M25" s="2"/>
      <c r="N25" s="19">
        <f t="shared" si="1"/>
        <v>-0.99648867048913392</v>
      </c>
      <c r="O25" s="11"/>
      <c r="P25" s="2">
        <f>--448.38</f>
        <v>448.38</v>
      </c>
      <c r="Q25" s="2"/>
      <c r="R25" s="19"/>
      <c r="S25" s="2"/>
      <c r="T25" s="2">
        <f>--75474.2</f>
        <v>75474.2</v>
      </c>
      <c r="U25" s="2"/>
      <c r="V25" s="19"/>
      <c r="W25" s="2"/>
      <c r="X25" s="2">
        <f t="shared" si="2"/>
        <v>-75025.819999999992</v>
      </c>
      <c r="Y25" s="2"/>
      <c r="Z25" s="19">
        <f t="shared" si="3"/>
        <v>-0.99405916193878163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--5808.1</f>
        <v>5808.1</v>
      </c>
      <c r="E26" s="2"/>
      <c r="F26" s="19"/>
      <c r="G26" s="2"/>
      <c r="H26" s="2">
        <f>--30046.01</f>
        <v>30046.01</v>
      </c>
      <c r="I26" s="2"/>
      <c r="J26" s="19"/>
      <c r="K26" s="2"/>
      <c r="L26" s="2">
        <f t="shared" si="0"/>
        <v>-24237.909999999996</v>
      </c>
      <c r="M26" s="2"/>
      <c r="N26" s="19">
        <f t="shared" si="1"/>
        <v>-0.80669313496201323</v>
      </c>
      <c r="O26" s="11"/>
      <c r="P26" s="2">
        <f>--54484.32</f>
        <v>54484.32</v>
      </c>
      <c r="Q26" s="2"/>
      <c r="R26" s="19"/>
      <c r="S26" s="2"/>
      <c r="T26" s="2">
        <f>--261693.33</f>
        <v>261693.33</v>
      </c>
      <c r="U26" s="2"/>
      <c r="V26" s="19"/>
      <c r="W26" s="2"/>
      <c r="X26" s="2">
        <f t="shared" si="2"/>
        <v>-207209.00999999998</v>
      </c>
      <c r="Y26" s="2"/>
      <c r="Z26" s="19">
        <f t="shared" si="3"/>
        <v>-0.79180088388190861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--1924.8</f>
        <v>1924.8</v>
      </c>
      <c r="E27" s="2"/>
      <c r="F27" s="19"/>
      <c r="G27" s="2"/>
      <c r="H27" s="2">
        <f>--42663.45</f>
        <v>42663.45</v>
      </c>
      <c r="I27" s="2"/>
      <c r="J27" s="19"/>
      <c r="K27" s="2"/>
      <c r="L27" s="2">
        <f t="shared" si="0"/>
        <v>-40738.649999999994</v>
      </c>
      <c r="M27" s="2"/>
      <c r="N27" s="19">
        <f t="shared" si="1"/>
        <v>-0.95488409868400226</v>
      </c>
      <c r="O27" s="11"/>
      <c r="P27" s="2">
        <f>--40876.62</f>
        <v>40876.620000000003</v>
      </c>
      <c r="Q27" s="2"/>
      <c r="R27" s="19"/>
      <c r="S27" s="2"/>
      <c r="T27" s="2">
        <f>--275336.23</f>
        <v>275336.23</v>
      </c>
      <c r="U27" s="2"/>
      <c r="V27" s="19"/>
      <c r="W27" s="2"/>
      <c r="X27" s="2">
        <f t="shared" si="2"/>
        <v>-234459.61</v>
      </c>
      <c r="Y27" s="2"/>
      <c r="Z27" s="19">
        <f t="shared" si="3"/>
        <v>-0.85153926165110927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--593.6</f>
        <v>593.6</v>
      </c>
      <c r="E28" s="2"/>
      <c r="F28" s="19"/>
      <c r="G28" s="2"/>
      <c r="H28" s="2">
        <f>--92.07</f>
        <v>92.07</v>
      </c>
      <c r="I28" s="2"/>
      <c r="J28" s="19"/>
      <c r="K28" s="2"/>
      <c r="L28" s="2">
        <f t="shared" si="0"/>
        <v>501.53000000000003</v>
      </c>
      <c r="M28" s="2"/>
      <c r="N28" s="19">
        <f t="shared" si="1"/>
        <v>5.4472683827522541</v>
      </c>
      <c r="O28" s="11"/>
      <c r="P28" s="2">
        <f>--3180.84</f>
        <v>3180.84</v>
      </c>
      <c r="Q28" s="2"/>
      <c r="R28" s="19"/>
      <c r="S28" s="2"/>
      <c r="T28" s="2">
        <f>--442.04</f>
        <v>442.04</v>
      </c>
      <c r="U28" s="2"/>
      <c r="V28" s="19"/>
      <c r="W28" s="2"/>
      <c r="X28" s="2">
        <f t="shared" si="2"/>
        <v>2738.8</v>
      </c>
      <c r="Y28" s="2"/>
      <c r="Z28" s="19">
        <f t="shared" si="3"/>
        <v>6.1958193828612798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ref="D29:D33" si="7">0</f>
        <v>0</v>
      </c>
      <c r="E29" s="2"/>
      <c r="F29" s="19"/>
      <c r="G29" s="2"/>
      <c r="H29" s="2">
        <f>--555.66</f>
        <v>555.66</v>
      </c>
      <c r="I29" s="2"/>
      <c r="J29" s="19"/>
      <c r="K29" s="2"/>
      <c r="L29" s="2">
        <f t="shared" si="0"/>
        <v>-555.66</v>
      </c>
      <c r="M29" s="2"/>
      <c r="N29" s="19">
        <f t="shared" si="1"/>
        <v>-1</v>
      </c>
      <c r="O29" s="11"/>
      <c r="P29" s="2">
        <f t="shared" ref="P29:P30" si="8">0</f>
        <v>0</v>
      </c>
      <c r="Q29" s="2"/>
      <c r="R29" s="19"/>
      <c r="S29" s="2"/>
      <c r="T29" s="2">
        <f>--1664.25</f>
        <v>1664.25</v>
      </c>
      <c r="U29" s="2"/>
      <c r="V29" s="19"/>
      <c r="W29" s="2"/>
      <c r="X29" s="2">
        <f t="shared" si="2"/>
        <v>-1664.25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7"/>
        <v>0</v>
      </c>
      <c r="E30" s="2"/>
      <c r="F30" s="19"/>
      <c r="G30" s="2"/>
      <c r="H30" s="2">
        <f>--33.83</f>
        <v>33.83</v>
      </c>
      <c r="I30" s="2"/>
      <c r="J30" s="19"/>
      <c r="K30" s="2"/>
      <c r="L30" s="2">
        <f t="shared" si="0"/>
        <v>-33.83</v>
      </c>
      <c r="M30" s="2"/>
      <c r="N30" s="19">
        <f t="shared" si="1"/>
        <v>-1</v>
      </c>
      <c r="O30" s="11"/>
      <c r="P30" s="2">
        <f t="shared" si="8"/>
        <v>0</v>
      </c>
      <c r="Q30" s="2"/>
      <c r="R30" s="19"/>
      <c r="S30" s="2"/>
      <c r="T30" s="2">
        <f>--179.98</f>
        <v>179.98</v>
      </c>
      <c r="U30" s="2"/>
      <c r="V30" s="19"/>
      <c r="W30" s="2"/>
      <c r="X30" s="2">
        <f t="shared" si="2"/>
        <v>-179.98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7"/>
        <v>0</v>
      </c>
      <c r="E31" s="2"/>
      <c r="F31" s="19"/>
      <c r="G31" s="2"/>
      <c r="H31" s="2">
        <f>--1452.19</f>
        <v>1452.19</v>
      </c>
      <c r="I31" s="2"/>
      <c r="J31" s="19"/>
      <c r="K31" s="2"/>
      <c r="L31" s="2">
        <f t="shared" si="0"/>
        <v>-1452.19</v>
      </c>
      <c r="M31" s="2"/>
      <c r="N31" s="19">
        <f t="shared" si="1"/>
        <v>-1</v>
      </c>
      <c r="O31" s="11"/>
      <c r="P31" s="2">
        <f>--6.78</f>
        <v>6.78</v>
      </c>
      <c r="Q31" s="2"/>
      <c r="R31" s="19"/>
      <c r="S31" s="2"/>
      <c r="T31" s="2">
        <f>--7203.43</f>
        <v>7203.43</v>
      </c>
      <c r="U31" s="2"/>
      <c r="V31" s="19"/>
      <c r="W31" s="2"/>
      <c r="X31" s="2">
        <f t="shared" si="2"/>
        <v>-7196.6500000000005</v>
      </c>
      <c r="Y31" s="2"/>
      <c r="Z31" s="19">
        <f t="shared" si="3"/>
        <v>-0.99905878171926432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7"/>
        <v>0</v>
      </c>
      <c r="E32" s="2"/>
      <c r="F32" s="19"/>
      <c r="G32" s="2"/>
      <c r="H32" s="2">
        <f>--442.03</f>
        <v>442.03</v>
      </c>
      <c r="I32" s="2"/>
      <c r="J32" s="19"/>
      <c r="K32" s="2"/>
      <c r="L32" s="2">
        <f t="shared" si="0"/>
        <v>-442.03</v>
      </c>
      <c r="M32" s="2"/>
      <c r="N32" s="19">
        <f t="shared" si="1"/>
        <v>-1</v>
      </c>
      <c r="O32" s="11"/>
      <c r="P32" s="2">
        <f t="shared" ref="P32:P33" si="9">0</f>
        <v>0</v>
      </c>
      <c r="Q32" s="2"/>
      <c r="R32" s="19"/>
      <c r="S32" s="2"/>
      <c r="T32" s="2">
        <f>--1880.52</f>
        <v>1880.52</v>
      </c>
      <c r="U32" s="2"/>
      <c r="V32" s="19"/>
      <c r="W32" s="2"/>
      <c r="X32" s="2">
        <f t="shared" si="2"/>
        <v>-1880.52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7"/>
        <v>0</v>
      </c>
      <c r="E33" s="2"/>
      <c r="F33" s="19"/>
      <c r="G33" s="2"/>
      <c r="H33" s="2">
        <f>--74.61</f>
        <v>74.61</v>
      </c>
      <c r="I33" s="2"/>
      <c r="J33" s="19"/>
      <c r="K33" s="2"/>
      <c r="L33" s="2">
        <f t="shared" si="0"/>
        <v>-74.61</v>
      </c>
      <c r="M33" s="2"/>
      <c r="N33" s="19">
        <f t="shared" si="1"/>
        <v>-1</v>
      </c>
      <c r="O33" s="11"/>
      <c r="P33" s="2">
        <f t="shared" si="9"/>
        <v>0</v>
      </c>
      <c r="Q33" s="2"/>
      <c r="R33" s="19"/>
      <c r="S33" s="2"/>
      <c r="T33" s="2">
        <f>--488.71</f>
        <v>488.71</v>
      </c>
      <c r="U33" s="2"/>
      <c r="V33" s="19"/>
      <c r="W33" s="2"/>
      <c r="X33" s="2">
        <f t="shared" si="2"/>
        <v>-488.71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--73245.08</f>
        <v>73245.08</v>
      </c>
      <c r="E34" s="2"/>
      <c r="F34" s="19"/>
      <c r="G34" s="2"/>
      <c r="H34" s="2">
        <f>--197676.23</f>
        <v>197676.23</v>
      </c>
      <c r="I34" s="2"/>
      <c r="J34" s="19"/>
      <c r="K34" s="2"/>
      <c r="L34" s="2">
        <f t="shared" si="0"/>
        <v>-124431.15000000001</v>
      </c>
      <c r="M34" s="2"/>
      <c r="N34" s="19">
        <f t="shared" si="1"/>
        <v>-0.62946946124984271</v>
      </c>
      <c r="O34" s="11"/>
      <c r="P34" s="2">
        <f>--671347.98</f>
        <v>671347.98</v>
      </c>
      <c r="Q34" s="2"/>
      <c r="R34" s="19"/>
      <c r="S34" s="2"/>
      <c r="T34" s="2">
        <f>--1682295.22</f>
        <v>1682295.22</v>
      </c>
      <c r="U34" s="2"/>
      <c r="V34" s="19"/>
      <c r="W34" s="2"/>
      <c r="X34" s="2">
        <f t="shared" si="2"/>
        <v>-1010947.24</v>
      </c>
      <c r="Y34" s="2"/>
      <c r="Z34" s="19">
        <f t="shared" si="3"/>
        <v>-0.60093331300079422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--27100.04</f>
        <v>27100.04</v>
      </c>
      <c r="E35" s="2"/>
      <c r="F35" s="19"/>
      <c r="G35" s="2"/>
      <c r="H35" s="2">
        <f>--41252.71</f>
        <v>41252.71</v>
      </c>
      <c r="I35" s="2"/>
      <c r="J35" s="19"/>
      <c r="K35" s="2"/>
      <c r="L35" s="2">
        <f t="shared" si="0"/>
        <v>-14152.669999999998</v>
      </c>
      <c r="M35" s="2"/>
      <c r="N35" s="19">
        <f t="shared" si="1"/>
        <v>-0.34307249147995367</v>
      </c>
      <c r="O35" s="11"/>
      <c r="P35" s="2">
        <f>--276199.31</f>
        <v>276199.31</v>
      </c>
      <c r="Q35" s="2"/>
      <c r="R35" s="19"/>
      <c r="S35" s="2"/>
      <c r="T35" s="2">
        <f>--441821.19</f>
        <v>441821.19</v>
      </c>
      <c r="U35" s="2"/>
      <c r="V35" s="19"/>
      <c r="W35" s="2"/>
      <c r="X35" s="2">
        <f t="shared" si="2"/>
        <v>-165621.88</v>
      </c>
      <c r="Y35" s="2"/>
      <c r="Z35" s="19">
        <f t="shared" si="3"/>
        <v>-0.37486178514887436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--4794.04</f>
        <v>4794.04</v>
      </c>
      <c r="E36" s="2"/>
      <c r="F36" s="19"/>
      <c r="G36" s="2"/>
      <c r="H36" s="2">
        <f>--26570.92</f>
        <v>26570.92</v>
      </c>
      <c r="I36" s="2"/>
      <c r="J36" s="19"/>
      <c r="K36" s="2"/>
      <c r="L36" s="2">
        <f t="shared" si="0"/>
        <v>-21776.879999999997</v>
      </c>
      <c r="M36" s="2"/>
      <c r="N36" s="19">
        <f t="shared" si="1"/>
        <v>-0.81957568650238677</v>
      </c>
      <c r="O36" s="11"/>
      <c r="P36" s="2">
        <f>--78994.92</f>
        <v>78994.92</v>
      </c>
      <c r="Q36" s="2"/>
      <c r="R36" s="19"/>
      <c r="S36" s="2"/>
      <c r="T36" s="2">
        <f>--259566.14</f>
        <v>259566.14</v>
      </c>
      <c r="U36" s="2"/>
      <c r="V36" s="19"/>
      <c r="W36" s="2"/>
      <c r="X36" s="2">
        <f t="shared" si="2"/>
        <v>-180571.22000000003</v>
      </c>
      <c r="Y36" s="2"/>
      <c r="Z36" s="19">
        <f t="shared" si="3"/>
        <v>-0.69566554404977488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--6195.85</f>
        <v>6195.85</v>
      </c>
      <c r="E37" s="2"/>
      <c r="F37" s="19"/>
      <c r="G37" s="2"/>
      <c r="H37" s="2">
        <f>--53271</f>
        <v>53271</v>
      </c>
      <c r="I37" s="2"/>
      <c r="J37" s="19"/>
      <c r="K37" s="2"/>
      <c r="L37" s="2">
        <f t="shared" si="0"/>
        <v>-47075.15</v>
      </c>
      <c r="M37" s="2"/>
      <c r="N37" s="19">
        <f t="shared" si="1"/>
        <v>-0.88369187738168986</v>
      </c>
      <c r="O37" s="11"/>
      <c r="P37" s="2">
        <f>--124150.66</f>
        <v>124150.66</v>
      </c>
      <c r="Q37" s="2"/>
      <c r="R37" s="19"/>
      <c r="S37" s="2"/>
      <c r="T37" s="2">
        <f>--75901.71</f>
        <v>75901.710000000006</v>
      </c>
      <c r="U37" s="2"/>
      <c r="V37" s="19"/>
      <c r="W37" s="2"/>
      <c r="X37" s="2">
        <f t="shared" si="2"/>
        <v>48248.95</v>
      </c>
      <c r="Y37" s="2"/>
      <c r="Z37" s="19">
        <f t="shared" si="3"/>
        <v>0.63567671927285951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--2036.78</f>
        <v>2036.78</v>
      </c>
      <c r="E38" s="2"/>
      <c r="F38" s="19"/>
      <c r="G38" s="2"/>
      <c r="H38" s="2">
        <f>--9848.33</f>
        <v>9848.33</v>
      </c>
      <c r="I38" s="2"/>
      <c r="J38" s="19"/>
      <c r="K38" s="2"/>
      <c r="L38" s="2">
        <f t="shared" si="0"/>
        <v>-7811.55</v>
      </c>
      <c r="M38" s="2"/>
      <c r="N38" s="19">
        <f t="shared" si="1"/>
        <v>-0.79318524054332051</v>
      </c>
      <c r="O38" s="11"/>
      <c r="P38" s="2">
        <f>--29572.4</f>
        <v>29572.400000000001</v>
      </c>
      <c r="Q38" s="2"/>
      <c r="R38" s="19"/>
      <c r="S38" s="2"/>
      <c r="T38" s="2">
        <f>--62934.49</f>
        <v>62934.49</v>
      </c>
      <c r="U38" s="2"/>
      <c r="V38" s="19"/>
      <c r="W38" s="2"/>
      <c r="X38" s="2">
        <f t="shared" si="2"/>
        <v>-33362.089999999997</v>
      </c>
      <c r="Y38" s="2"/>
      <c r="Z38" s="19">
        <f t="shared" si="3"/>
        <v>-0.53010821252384821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--10039.9</f>
        <v>10039.9</v>
      </c>
      <c r="E39" s="2"/>
      <c r="F39" s="19"/>
      <c r="G39" s="2"/>
      <c r="H39" s="2">
        <f>--815.01</f>
        <v>815.01</v>
      </c>
      <c r="I39" s="2"/>
      <c r="J39" s="19"/>
      <c r="K39" s="2"/>
      <c r="L39" s="2">
        <f t="shared" si="0"/>
        <v>9224.89</v>
      </c>
      <c r="M39" s="2"/>
      <c r="N39" s="19">
        <f t="shared" si="1"/>
        <v>11.31874455528153</v>
      </c>
      <c r="O39" s="11"/>
      <c r="P39" s="2">
        <f>--135489.57</f>
        <v>135489.57</v>
      </c>
      <c r="Q39" s="2"/>
      <c r="R39" s="19"/>
      <c r="S39" s="2"/>
      <c r="T39" s="2">
        <f>--70553.04</f>
        <v>70553.039999999994</v>
      </c>
      <c r="U39" s="2"/>
      <c r="V39" s="19"/>
      <c r="W39" s="2"/>
      <c r="X39" s="2">
        <f t="shared" si="2"/>
        <v>64936.530000000013</v>
      </c>
      <c r="Y39" s="2"/>
      <c r="Z39" s="19">
        <f t="shared" si="3"/>
        <v>0.92039308299117972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0</f>
        <v>0</v>
      </c>
      <c r="E40" s="2"/>
      <c r="F40" s="19"/>
      <c r="G40" s="2"/>
      <c r="H40" s="2">
        <f>--208.95</f>
        <v>208.95</v>
      </c>
      <c r="I40" s="2"/>
      <c r="J40" s="19"/>
      <c r="K40" s="2"/>
      <c r="L40" s="2">
        <f t="shared" si="0"/>
        <v>-208.95</v>
      </c>
      <c r="M40" s="2"/>
      <c r="N40" s="19">
        <f t="shared" si="1"/>
        <v>-1</v>
      </c>
      <c r="O40" s="11"/>
      <c r="P40" s="2">
        <f>0</f>
        <v>0</v>
      </c>
      <c r="Q40" s="2"/>
      <c r="R40" s="19"/>
      <c r="S40" s="2"/>
      <c r="T40" s="2">
        <f>--2185.99</f>
        <v>2185.9899999999998</v>
      </c>
      <c r="U40" s="2"/>
      <c r="V40" s="19"/>
      <c r="W40" s="2"/>
      <c r="X40" s="2">
        <f t="shared" si="2"/>
        <v>-2185.9899999999998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--64.79</f>
        <v>64.790000000000006</v>
      </c>
      <c r="E41" s="2"/>
      <c r="F41" s="19"/>
      <c r="G41" s="2"/>
      <c r="H41" s="2">
        <f>--25041.87</f>
        <v>25041.87</v>
      </c>
      <c r="I41" s="2"/>
      <c r="J41" s="19"/>
      <c r="K41" s="2"/>
      <c r="L41" s="2">
        <f t="shared" si="0"/>
        <v>-24977.079999999998</v>
      </c>
      <c r="M41" s="2"/>
      <c r="N41" s="19">
        <f t="shared" si="1"/>
        <v>-0.99741273315451273</v>
      </c>
      <c r="O41" s="11"/>
      <c r="P41" s="2">
        <f>--59334.8</f>
        <v>59334.8</v>
      </c>
      <c r="Q41" s="2"/>
      <c r="R41" s="19"/>
      <c r="S41" s="2"/>
      <c r="T41" s="2">
        <f>--299332.15</f>
        <v>299332.15000000002</v>
      </c>
      <c r="U41" s="2"/>
      <c r="V41" s="19"/>
      <c r="W41" s="2"/>
      <c r="X41" s="2">
        <f t="shared" si="2"/>
        <v>-239997.35000000003</v>
      </c>
      <c r="Y41" s="2"/>
      <c r="Z41" s="19">
        <f t="shared" si="3"/>
        <v>-0.80177605379174943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--165815.3</f>
        <v>165815.29999999999</v>
      </c>
      <c r="E42" s="2"/>
      <c r="F42" s="19"/>
      <c r="G42" s="2"/>
      <c r="H42" s="2">
        <f>--76509.05</f>
        <v>76509.05</v>
      </c>
      <c r="I42" s="2"/>
      <c r="J42" s="19"/>
      <c r="K42" s="2"/>
      <c r="L42" s="2">
        <f t="shared" si="0"/>
        <v>89306.249999999985</v>
      </c>
      <c r="M42" s="2"/>
      <c r="N42" s="19">
        <f t="shared" si="1"/>
        <v>1.1672638727052549</v>
      </c>
      <c r="O42" s="11"/>
      <c r="P42" s="2">
        <f>--1250838.47</f>
        <v>1250838.47</v>
      </c>
      <c r="Q42" s="2"/>
      <c r="R42" s="19"/>
      <c r="S42" s="2"/>
      <c r="T42" s="2">
        <f>--1583841.53</f>
        <v>1583841.53</v>
      </c>
      <c r="U42" s="2"/>
      <c r="V42" s="19"/>
      <c r="W42" s="2"/>
      <c r="X42" s="2">
        <f t="shared" si="2"/>
        <v>-333003.06000000006</v>
      </c>
      <c r="Y42" s="2"/>
      <c r="Z42" s="19">
        <f t="shared" si="3"/>
        <v>-0.21025023886070221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--3521.24</f>
        <v>3521.24</v>
      </c>
      <c r="E43" s="2"/>
      <c r="F43" s="19"/>
      <c r="G43" s="2"/>
      <c r="H43" s="2">
        <f>--10952.82</f>
        <v>10952.82</v>
      </c>
      <c r="I43" s="2"/>
      <c r="J43" s="19"/>
      <c r="K43" s="2"/>
      <c r="L43" s="2">
        <f t="shared" si="0"/>
        <v>-7431.58</v>
      </c>
      <c r="M43" s="2"/>
      <c r="N43" s="19">
        <f t="shared" si="1"/>
        <v>-0.67850836588202856</v>
      </c>
      <c r="O43" s="11"/>
      <c r="P43" s="2">
        <f>--96808.82</f>
        <v>96808.82</v>
      </c>
      <c r="Q43" s="2"/>
      <c r="R43" s="19"/>
      <c r="S43" s="2"/>
      <c r="T43" s="2">
        <f>--96131.44</f>
        <v>96131.44</v>
      </c>
      <c r="U43" s="2"/>
      <c r="V43" s="19"/>
      <c r="W43" s="2"/>
      <c r="X43" s="2">
        <f t="shared" si="2"/>
        <v>677.38000000000466</v>
      </c>
      <c r="Y43" s="2"/>
      <c r="Z43" s="19">
        <f t="shared" si="3"/>
        <v>7.0463939789105895E-3</v>
      </c>
    </row>
    <row r="44" spans="1:26" s="24" customFormat="1" hidden="1" outlineLevel="1" x14ac:dyDescent="0.25">
      <c r="A44" s="44"/>
      <c r="B44" s="11" t="str">
        <f>CONCATENATE("          ", "4084", " - ", "TAXABLE SALES-SOFTWARE LICENSE")</f>
        <v xml:space="preserve">          4084 - TAXABLE SALES-SOFTWARE LICENSE</v>
      </c>
      <c r="C44" s="11"/>
      <c r="D44" s="2">
        <f t="shared" ref="D44:D45" si="10">0</f>
        <v>0</v>
      </c>
      <c r="E44" s="2"/>
      <c r="F44" s="19"/>
      <c r="G44" s="2"/>
      <c r="H44" s="2">
        <f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0</f>
        <v>0</v>
      </c>
      <c r="Q44" s="2"/>
      <c r="R44" s="19"/>
      <c r="S44" s="2"/>
      <c r="T44" s="2">
        <f>--129</f>
        <v>129</v>
      </c>
      <c r="U44" s="2"/>
      <c r="V44" s="19"/>
      <c r="W44" s="2"/>
      <c r="X44" s="2">
        <f t="shared" si="2"/>
        <v>-129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"4085", " - ", "TAXABLE SALES-SOFTWARE")</f>
        <v xml:space="preserve">          4085 - TAXABLE SALES-SOFTWARE</v>
      </c>
      <c r="C45" s="11"/>
      <c r="D45" s="2">
        <f t="shared" si="10"/>
        <v>0</v>
      </c>
      <c r="E45" s="2"/>
      <c r="F45" s="19"/>
      <c r="G45" s="2"/>
      <c r="H45" s="2">
        <f>--149.99</f>
        <v>149.99</v>
      </c>
      <c r="I45" s="2"/>
      <c r="J45" s="19"/>
      <c r="K45" s="2"/>
      <c r="L45" s="2">
        <f t="shared" si="0"/>
        <v>-149.99</v>
      </c>
      <c r="M45" s="2"/>
      <c r="N45" s="19">
        <f t="shared" si="1"/>
        <v>-1</v>
      </c>
      <c r="O45" s="11"/>
      <c r="P45" s="2">
        <f>--2878.93</f>
        <v>2878.93</v>
      </c>
      <c r="Q45" s="2"/>
      <c r="R45" s="19"/>
      <c r="S45" s="2"/>
      <c r="T45" s="2">
        <f>--4557.93</f>
        <v>4557.93</v>
      </c>
      <c r="U45" s="2"/>
      <c r="V45" s="19"/>
      <c r="W45" s="2"/>
      <c r="X45" s="2">
        <f t="shared" si="2"/>
        <v>-1679.0000000000005</v>
      </c>
      <c r="Y45" s="2"/>
      <c r="Z45" s="19">
        <f t="shared" si="3"/>
        <v>-0.3683689745125529</v>
      </c>
    </row>
    <row r="46" spans="1:26" s="24" customFormat="1" hidden="1" outlineLevel="1" x14ac:dyDescent="0.25">
      <c r="A46" s="44"/>
      <c r="B46" s="11" t="str">
        <f>CONCATENATE("          ", "4086", " - ", "TAXABLE SALES-COMPUTER SUPPLIE")</f>
        <v xml:space="preserve">          4086 - TAXABLE SALES-COMPUTER SUPPLIE</v>
      </c>
      <c r="C46" s="11"/>
      <c r="D46" s="2">
        <f>--1077.33</f>
        <v>1077.33</v>
      </c>
      <c r="E46" s="2"/>
      <c r="F46" s="19"/>
      <c r="G46" s="2"/>
      <c r="H46" s="2">
        <f>--5885.2</f>
        <v>5885.2</v>
      </c>
      <c r="I46" s="2"/>
      <c r="J46" s="19"/>
      <c r="K46" s="2"/>
      <c r="L46" s="2">
        <f t="shared" si="0"/>
        <v>-4807.87</v>
      </c>
      <c r="M46" s="2"/>
      <c r="N46" s="19">
        <f t="shared" si="1"/>
        <v>-0.81694249983008227</v>
      </c>
      <c r="O46" s="11"/>
      <c r="P46" s="2">
        <f>--58947.17</f>
        <v>58947.17</v>
      </c>
      <c r="Q46" s="2"/>
      <c r="R46" s="19"/>
      <c r="S46" s="2"/>
      <c r="T46" s="2">
        <f>--47022.07</f>
        <v>47022.07</v>
      </c>
      <c r="U46" s="2"/>
      <c r="V46" s="19"/>
      <c r="W46" s="2"/>
      <c r="X46" s="2">
        <f t="shared" si="2"/>
        <v>11925.099999999999</v>
      </c>
      <c r="Y46" s="2"/>
      <c r="Z46" s="19">
        <f t="shared" si="3"/>
        <v>0.25360644480347205</v>
      </c>
    </row>
    <row r="47" spans="1:26" s="24" customFormat="1" hidden="1" outlineLevel="1" x14ac:dyDescent="0.25">
      <c r="A47" s="44"/>
      <c r="B47" s="11" t="str">
        <f>CONCATENATE("          ", "4088", " - ", "TAXABLE SALES-MUSIC")</f>
        <v xml:space="preserve">          4088 - TAXABLE SALES-MUSIC</v>
      </c>
      <c r="C47" s="11"/>
      <c r="D47" s="2">
        <f t="shared" ref="D47:D48" si="11">0</f>
        <v>0</v>
      </c>
      <c r="E47" s="2"/>
      <c r="F47" s="19"/>
      <c r="G47" s="2"/>
      <c r="H47" s="2">
        <f>--38.96</f>
        <v>38.96</v>
      </c>
      <c r="I47" s="2"/>
      <c r="J47" s="19"/>
      <c r="K47" s="2"/>
      <c r="L47" s="2">
        <f t="shared" si="0"/>
        <v>-38.96</v>
      </c>
      <c r="M47" s="2"/>
      <c r="N47" s="19">
        <f t="shared" si="1"/>
        <v>-1</v>
      </c>
      <c r="O47" s="11"/>
      <c r="P47" s="2">
        <f t="shared" ref="P47:P48" si="12">0</f>
        <v>0</v>
      </c>
      <c r="Q47" s="2"/>
      <c r="R47" s="19"/>
      <c r="S47" s="2"/>
      <c r="T47" s="2">
        <f>--1094.84</f>
        <v>1094.8399999999999</v>
      </c>
      <c r="U47" s="2"/>
      <c r="V47" s="19"/>
      <c r="W47" s="2"/>
      <c r="X47" s="2">
        <f t="shared" si="2"/>
        <v>-1094.8399999999999</v>
      </c>
      <c r="Y47" s="2"/>
      <c r="Z47" s="19">
        <f t="shared" si="3"/>
        <v>-1</v>
      </c>
    </row>
    <row r="48" spans="1:26" s="24" customFormat="1" hidden="1" outlineLevel="1" x14ac:dyDescent="0.25">
      <c r="A48" s="44"/>
      <c r="B48" s="11" t="str">
        <f>CONCATENATE("          ", "4092", " - ", "TAXABLE SALES-GRAD MERCH")</f>
        <v xml:space="preserve">          4092 - TAXABLE SALES-GRAD MERCH</v>
      </c>
      <c r="C48" s="11"/>
      <c r="D48" s="2">
        <f t="shared" si="11"/>
        <v>0</v>
      </c>
      <c r="E48" s="2"/>
      <c r="F48" s="19"/>
      <c r="G48" s="2"/>
      <c r="H48" s="2">
        <f t="shared" ref="H48:H49" si="13">0</f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 t="shared" si="12"/>
        <v>0</v>
      </c>
      <c r="Q48" s="2"/>
      <c r="R48" s="19"/>
      <c r="S48" s="2"/>
      <c r="T48" s="2">
        <f>--7659.37</f>
        <v>7659.37</v>
      </c>
      <c r="U48" s="2"/>
      <c r="V48" s="19"/>
      <c r="W48" s="2"/>
      <c r="X48" s="2">
        <f t="shared" si="2"/>
        <v>-7659.37</v>
      </c>
      <c r="Y48" s="2"/>
      <c r="Z48" s="19">
        <f t="shared" si="3"/>
        <v>-1</v>
      </c>
    </row>
    <row r="49" spans="1:26" s="24" customFormat="1" hidden="1" outlineLevel="1" x14ac:dyDescent="0.25">
      <c r="A49" s="44"/>
      <c r="B49" s="11" t="str">
        <f>CONCATENATE("          ", "4095", " - ", "TAXABLE SALES-CUSTOMER SERVICE")</f>
        <v xml:space="preserve">          4095 - TAXABLE SALES-CUSTOMER SERVICE</v>
      </c>
      <c r="C49" s="11"/>
      <c r="D49" s="2">
        <f>--139.85</f>
        <v>139.85</v>
      </c>
      <c r="E49" s="2"/>
      <c r="F49" s="19"/>
      <c r="G49" s="2"/>
      <c r="H49" s="2">
        <f t="shared" si="13"/>
        <v>0</v>
      </c>
      <c r="I49" s="2"/>
      <c r="J49" s="19"/>
      <c r="K49" s="2"/>
      <c r="L49" s="2">
        <f t="shared" si="0"/>
        <v>139.85</v>
      </c>
      <c r="M49" s="2"/>
      <c r="N49" s="19">
        <f t="shared" si="1"/>
        <v>0</v>
      </c>
      <c r="O49" s="11"/>
      <c r="P49" s="2">
        <f>--139.85</f>
        <v>139.85</v>
      </c>
      <c r="Q49" s="2"/>
      <c r="R49" s="19"/>
      <c r="S49" s="2"/>
      <c r="T49" s="2">
        <f>--309.26</f>
        <v>309.26</v>
      </c>
      <c r="U49" s="2"/>
      <c r="V49" s="19"/>
      <c r="W49" s="2"/>
      <c r="X49" s="2">
        <f t="shared" si="2"/>
        <v>-169.41</v>
      </c>
      <c r="Y49" s="2"/>
      <c r="Z49" s="19">
        <f t="shared" si="3"/>
        <v>-0.54779150229580287</v>
      </c>
    </row>
    <row r="50" spans="1:26" s="24" customFormat="1" hidden="1" outlineLevel="1" x14ac:dyDescent="0.25">
      <c r="A50" s="44"/>
      <c r="B50" s="11" t="str">
        <f>CONCATENATE("          ", "4100", " - ", "NON-TAXABLE SALES")</f>
        <v xml:space="preserve">          4100 - NON-TAXABLE SALES</v>
      </c>
      <c r="C50" s="11"/>
      <c r="D50" s="2">
        <f>--5617.7</f>
        <v>5617.7</v>
      </c>
      <c r="E50" s="2"/>
      <c r="F50" s="19"/>
      <c r="G50" s="2"/>
      <c r="H50" s="2">
        <f>--22519.96</f>
        <v>22519.96</v>
      </c>
      <c r="I50" s="2"/>
      <c r="J50" s="19"/>
      <c r="K50" s="2"/>
      <c r="L50" s="2">
        <f t="shared" si="0"/>
        <v>-16902.259999999998</v>
      </c>
      <c r="M50" s="2"/>
      <c r="N50" s="19">
        <f t="shared" si="1"/>
        <v>-0.75054573809189706</v>
      </c>
      <c r="O50" s="11"/>
      <c r="P50" s="2">
        <f>--284173.56</f>
        <v>284173.56</v>
      </c>
      <c r="Q50" s="2"/>
      <c r="R50" s="19"/>
      <c r="S50" s="2"/>
      <c r="T50" s="2">
        <f>--572740.12</f>
        <v>572740.12</v>
      </c>
      <c r="U50" s="2"/>
      <c r="V50" s="19"/>
      <c r="W50" s="2"/>
      <c r="X50" s="2">
        <f t="shared" si="2"/>
        <v>-288566.56</v>
      </c>
      <c r="Y50" s="2"/>
      <c r="Z50" s="19">
        <f t="shared" si="3"/>
        <v>-0.50383507270278183</v>
      </c>
    </row>
    <row r="51" spans="1:26" s="24" customFormat="1" hidden="1" outlineLevel="1" x14ac:dyDescent="0.25">
      <c r="A51" s="44"/>
      <c r="B51" s="11" t="str">
        <f>CONCATENATE("          ", "4101", " - ", "NON-TAXABLE SALES-NEW TEXT")</f>
        <v xml:space="preserve">          4101 - NON-TAXABLE SALES-NEW TEXT</v>
      </c>
      <c r="C51" s="11"/>
      <c r="D51" s="2">
        <f>--6785.91</f>
        <v>6785.91</v>
      </c>
      <c r="E51" s="2"/>
      <c r="F51" s="19"/>
      <c r="G51" s="2"/>
      <c r="H51" s="2">
        <f>--7332.54</f>
        <v>7332.54</v>
      </c>
      <c r="I51" s="2"/>
      <c r="J51" s="19"/>
      <c r="K51" s="2"/>
      <c r="L51" s="2">
        <f t="shared" si="0"/>
        <v>-546.63000000000011</v>
      </c>
      <c r="M51" s="2"/>
      <c r="N51" s="19">
        <f t="shared" si="1"/>
        <v>-7.45485193398195E-2</v>
      </c>
      <c r="O51" s="11"/>
      <c r="P51" s="2">
        <f>--111011.54</f>
        <v>111011.54</v>
      </c>
      <c r="Q51" s="2"/>
      <c r="R51" s="19"/>
      <c r="S51" s="2"/>
      <c r="T51" s="2">
        <f>--139737.77</f>
        <v>139737.76999999999</v>
      </c>
      <c r="U51" s="2"/>
      <c r="V51" s="19"/>
      <c r="W51" s="2"/>
      <c r="X51" s="2">
        <f t="shared" si="2"/>
        <v>-28726.229999999996</v>
      </c>
      <c r="Y51" s="2"/>
      <c r="Z51" s="19">
        <f t="shared" si="3"/>
        <v>-0.20557240894856127</v>
      </c>
    </row>
    <row r="52" spans="1:26" s="24" customFormat="1" hidden="1" outlineLevel="1" x14ac:dyDescent="0.25">
      <c r="A52" s="44"/>
      <c r="B52" s="11" t="str">
        <f>CONCATENATE("          ", "4102", " - ", "NON-TAXABLE SALES-USED TEXT")</f>
        <v xml:space="preserve">          4102 - NON-TAXABLE SALES-USED TEXT</v>
      </c>
      <c r="C52" s="11"/>
      <c r="D52" s="2">
        <f>--3426.05</f>
        <v>3426.05</v>
      </c>
      <c r="E52" s="2"/>
      <c r="F52" s="19"/>
      <c r="G52" s="2"/>
      <c r="H52" s="2">
        <f>--1850.06</f>
        <v>1850.06</v>
      </c>
      <c r="I52" s="2"/>
      <c r="J52" s="19"/>
      <c r="K52" s="2"/>
      <c r="L52" s="2">
        <f t="shared" si="0"/>
        <v>1575.9900000000002</v>
      </c>
      <c r="M52" s="2"/>
      <c r="N52" s="19">
        <f t="shared" si="1"/>
        <v>0.85185885863161215</v>
      </c>
      <c r="O52" s="11"/>
      <c r="P52" s="2">
        <f>--46387.37</f>
        <v>46387.37</v>
      </c>
      <c r="Q52" s="2"/>
      <c r="R52" s="19"/>
      <c r="S52" s="2"/>
      <c r="T52" s="2">
        <f>--68466.86</f>
        <v>68466.86</v>
      </c>
      <c r="U52" s="2"/>
      <c r="V52" s="19"/>
      <c r="W52" s="2"/>
      <c r="X52" s="2">
        <f t="shared" si="2"/>
        <v>-22079.489999999998</v>
      </c>
      <c r="Y52" s="2"/>
      <c r="Z52" s="19">
        <f t="shared" si="3"/>
        <v>-0.32248433767811169</v>
      </c>
    </row>
    <row r="53" spans="1:26" s="24" customFormat="1" hidden="1" outlineLevel="1" x14ac:dyDescent="0.25">
      <c r="A53" s="44"/>
      <c r="B53" s="11" t="str">
        <f>CONCATENATE("          ", "4103", " - ", "NON-TAXABLE SALES-RENTAL TEXT")</f>
        <v xml:space="preserve">          4103 - NON-TAXABLE SALES-RENTAL TEXT</v>
      </c>
      <c r="C53" s="11"/>
      <c r="D53" s="2">
        <f>0</f>
        <v>0</v>
      </c>
      <c r="E53" s="2"/>
      <c r="F53" s="19"/>
      <c r="G53" s="2"/>
      <c r="H53" s="2">
        <f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--1138.95</f>
        <v>1138.95</v>
      </c>
      <c r="Q53" s="2"/>
      <c r="R53" s="19"/>
      <c r="S53" s="2"/>
      <c r="T53" s="2">
        <f>--664.97</f>
        <v>664.97</v>
      </c>
      <c r="U53" s="2"/>
      <c r="V53" s="19"/>
      <c r="W53" s="2"/>
      <c r="X53" s="2">
        <f t="shared" si="2"/>
        <v>473.98</v>
      </c>
      <c r="Y53" s="2"/>
      <c r="Z53" s="19">
        <f t="shared" si="3"/>
        <v>0.71278403537001667</v>
      </c>
    </row>
    <row r="54" spans="1:26" s="24" customFormat="1" hidden="1" outlineLevel="1" x14ac:dyDescent="0.25">
      <c r="A54" s="44"/>
      <c r="B54" s="11" t="str">
        <f>CONCATENATE("          ", "4104", " - ", "NON-TAXABLE SALES-DIGITAL TEXT")</f>
        <v xml:space="preserve">          4104 - NON-TAXABLE SALES-DIGITAL TEXT</v>
      </c>
      <c r="C54" s="11"/>
      <c r="D54" s="2">
        <f>--17705.92</f>
        <v>17705.919999999998</v>
      </c>
      <c r="E54" s="2"/>
      <c r="F54" s="19"/>
      <c r="G54" s="2"/>
      <c r="H54" s="2">
        <f>--21322.38</f>
        <v>21322.38</v>
      </c>
      <c r="I54" s="2"/>
      <c r="J54" s="19"/>
      <c r="K54" s="2"/>
      <c r="L54" s="2">
        <f t="shared" si="0"/>
        <v>-3616.4600000000028</v>
      </c>
      <c r="M54" s="2"/>
      <c r="N54" s="19">
        <f t="shared" si="1"/>
        <v>-0.16960864593914951</v>
      </c>
      <c r="O54" s="11"/>
      <c r="P54" s="2">
        <f>--475874.05</f>
        <v>475874.05</v>
      </c>
      <c r="Q54" s="2"/>
      <c r="R54" s="19"/>
      <c r="S54" s="2"/>
      <c r="T54" s="2">
        <f>--523390.34</f>
        <v>523390.34</v>
      </c>
      <c r="U54" s="2"/>
      <c r="V54" s="19"/>
      <c r="W54" s="2"/>
      <c r="X54" s="2">
        <f t="shared" si="2"/>
        <v>-47516.290000000037</v>
      </c>
      <c r="Y54" s="2"/>
      <c r="Z54" s="19">
        <f t="shared" si="3"/>
        <v>-9.0785569332441321E-2</v>
      </c>
    </row>
    <row r="55" spans="1:26" s="24" customFormat="1" hidden="1" outlineLevel="1" x14ac:dyDescent="0.25">
      <c r="A55" s="44"/>
      <c r="B55" s="11" t="str">
        <f>CONCATENATE("          ", "4111", " - ", "NON-TAXABLE SALES-NO VALUE TEX")</f>
        <v xml:space="preserve">          4111 - NON-TAXABLE SALES-NO VALUE TEX</v>
      </c>
      <c r="C55" s="11"/>
      <c r="D55" s="2">
        <f>0</f>
        <v>0</v>
      </c>
      <c r="E55" s="2"/>
      <c r="F55" s="19"/>
      <c r="G55" s="2"/>
      <c r="H55" s="2">
        <f>--1651.49</f>
        <v>1651.49</v>
      </c>
      <c r="I55" s="2"/>
      <c r="J55" s="19"/>
      <c r="K55" s="2"/>
      <c r="L55" s="2">
        <f t="shared" si="0"/>
        <v>-1651.49</v>
      </c>
      <c r="M55" s="2"/>
      <c r="N55" s="19">
        <f t="shared" si="1"/>
        <v>-1</v>
      </c>
      <c r="O55" s="11"/>
      <c r="P55" s="2">
        <f>0</f>
        <v>0</v>
      </c>
      <c r="Q55" s="2"/>
      <c r="R55" s="19"/>
      <c r="S55" s="2"/>
      <c r="T55" s="2">
        <f>--14359.99</f>
        <v>14359.99</v>
      </c>
      <c r="U55" s="2"/>
      <c r="V55" s="19"/>
      <c r="W55" s="2"/>
      <c r="X55" s="2">
        <f t="shared" si="2"/>
        <v>-14359.99</v>
      </c>
      <c r="Y55" s="2"/>
      <c r="Z55" s="19">
        <f t="shared" si="3"/>
        <v>-1</v>
      </c>
    </row>
    <row r="56" spans="1:26" s="24" customFormat="1" hidden="1" outlineLevel="1" x14ac:dyDescent="0.25">
      <c r="A56" s="44"/>
      <c r="B56" s="11" t="str">
        <f>CONCATENATE("          ", "4113", " - ", "NON-TAXABLE SALES-TRADE BOOKS")</f>
        <v xml:space="preserve">          4113 - NON-TAXABLE SALES-TRADE BOOKS</v>
      </c>
      <c r="C56" s="11"/>
      <c r="D56" s="2">
        <f>--3150</f>
        <v>3150</v>
      </c>
      <c r="E56" s="2"/>
      <c r="F56" s="19"/>
      <c r="G56" s="2"/>
      <c r="H56" s="2">
        <f>--2215.2</f>
        <v>2215.1999999999998</v>
      </c>
      <c r="I56" s="2"/>
      <c r="J56" s="19"/>
      <c r="K56" s="2"/>
      <c r="L56" s="2">
        <f t="shared" si="0"/>
        <v>934.80000000000018</v>
      </c>
      <c r="M56" s="2"/>
      <c r="N56" s="19">
        <f t="shared" si="1"/>
        <v>0.42199349945828829</v>
      </c>
      <c r="O56" s="11"/>
      <c r="P56" s="2">
        <f>--10139.25</f>
        <v>10139.25</v>
      </c>
      <c r="Q56" s="2"/>
      <c r="R56" s="19"/>
      <c r="S56" s="2"/>
      <c r="T56" s="2">
        <f>--3361.92</f>
        <v>3361.92</v>
      </c>
      <c r="U56" s="2"/>
      <c r="V56" s="19"/>
      <c r="W56" s="2"/>
      <c r="X56" s="2">
        <f t="shared" si="2"/>
        <v>6777.33</v>
      </c>
      <c r="Y56" s="2"/>
      <c r="Z56" s="19">
        <f t="shared" si="3"/>
        <v>2.0159105511136493</v>
      </c>
    </row>
    <row r="57" spans="1:26" s="24" customFormat="1" hidden="1" outlineLevel="1" x14ac:dyDescent="0.25">
      <c r="A57" s="44"/>
      <c r="B57" s="11" t="str">
        <f>CONCATENATE("          ", "4118", " - ", "NON-TAXABLE SALES-STUDY GUIDES")</f>
        <v xml:space="preserve">          4118 - NON-TAXABLE SALES-STUDY GUIDES</v>
      </c>
      <c r="C57" s="11"/>
      <c r="D57" s="2">
        <f t="shared" ref="D57:D59" si="14">0</f>
        <v>0</v>
      </c>
      <c r="E57" s="2"/>
      <c r="F57" s="19"/>
      <c r="G57" s="2"/>
      <c r="H57" s="2">
        <f>--19.99</f>
        <v>19.989999999999998</v>
      </c>
      <c r="I57" s="2"/>
      <c r="J57" s="19"/>
      <c r="K57" s="2"/>
      <c r="L57" s="2">
        <f t="shared" si="0"/>
        <v>-19.989999999999998</v>
      </c>
      <c r="M57" s="2"/>
      <c r="N57" s="19">
        <f t="shared" si="1"/>
        <v>-1</v>
      </c>
      <c r="O57" s="11"/>
      <c r="P57" s="2">
        <f>--771.73</f>
        <v>771.73</v>
      </c>
      <c r="Q57" s="2"/>
      <c r="R57" s="19"/>
      <c r="S57" s="2"/>
      <c r="T57" s="2">
        <f>--61.9</f>
        <v>61.9</v>
      </c>
      <c r="U57" s="2"/>
      <c r="V57" s="19"/>
      <c r="W57" s="2"/>
      <c r="X57" s="2">
        <f t="shared" si="2"/>
        <v>709.83</v>
      </c>
      <c r="Y57" s="2"/>
      <c r="Z57" s="19">
        <f t="shared" si="3"/>
        <v>11.467366720516964</v>
      </c>
    </row>
    <row r="58" spans="1:26" s="24" customFormat="1" hidden="1" outlineLevel="1" x14ac:dyDescent="0.25">
      <c r="A58" s="44"/>
      <c r="B58" s="11" t="str">
        <f>CONCATENATE("          ", "4125", " - ", "NON-TAXABLE SALES-TEST FORMS")</f>
        <v xml:space="preserve">          4125 - NON-TAXABLE SALES-TEST FORMS</v>
      </c>
      <c r="C58" s="11"/>
      <c r="D58" s="2">
        <f t="shared" si="14"/>
        <v>0</v>
      </c>
      <c r="E58" s="2"/>
      <c r="F58" s="19"/>
      <c r="G58" s="2"/>
      <c r="H58" s="2">
        <f>--40.39</f>
        <v>40.39</v>
      </c>
      <c r="I58" s="2"/>
      <c r="J58" s="19"/>
      <c r="K58" s="2"/>
      <c r="L58" s="2">
        <f t="shared" si="0"/>
        <v>-40.39</v>
      </c>
      <c r="M58" s="2"/>
      <c r="N58" s="19">
        <f t="shared" si="1"/>
        <v>-1</v>
      </c>
      <c r="O58" s="11"/>
      <c r="P58" s="2">
        <f>0</f>
        <v>0</v>
      </c>
      <c r="Q58" s="2"/>
      <c r="R58" s="19"/>
      <c r="S58" s="2"/>
      <c r="T58" s="2">
        <f>--263.07</f>
        <v>263.07</v>
      </c>
      <c r="U58" s="2"/>
      <c r="V58" s="19"/>
      <c r="W58" s="2"/>
      <c r="X58" s="2">
        <f t="shared" si="2"/>
        <v>-263.07</v>
      </c>
      <c r="Y58" s="2"/>
      <c r="Z58" s="19">
        <f t="shared" si="3"/>
        <v>-1</v>
      </c>
    </row>
    <row r="59" spans="1:26" s="24" customFormat="1" hidden="1" outlineLevel="1" x14ac:dyDescent="0.25">
      <c r="A59" s="44"/>
      <c r="B59" s="11" t="str">
        <f>CONCATENATE("          ", "4126", " - ", "NON-TAXABLE SALES-WRITING INST")</f>
        <v xml:space="preserve">          4126 - NON-TAXABLE SALES-WRITING INST</v>
      </c>
      <c r="C59" s="11"/>
      <c r="D59" s="2">
        <f t="shared" si="14"/>
        <v>0</v>
      </c>
      <c r="E59" s="2"/>
      <c r="F59" s="19"/>
      <c r="G59" s="2"/>
      <c r="H59" s="2">
        <f>--349.94</f>
        <v>349.94</v>
      </c>
      <c r="I59" s="2"/>
      <c r="J59" s="19"/>
      <c r="K59" s="2"/>
      <c r="L59" s="2">
        <f t="shared" si="0"/>
        <v>-349.94</v>
      </c>
      <c r="M59" s="2"/>
      <c r="N59" s="19">
        <f t="shared" si="1"/>
        <v>-1</v>
      </c>
      <c r="O59" s="11"/>
      <c r="P59" s="2">
        <f>--52.68</f>
        <v>52.68</v>
      </c>
      <c r="Q59" s="2"/>
      <c r="R59" s="19"/>
      <c r="S59" s="2"/>
      <c r="T59" s="2">
        <f>--2906.58</f>
        <v>2906.58</v>
      </c>
      <c r="U59" s="2"/>
      <c r="V59" s="19"/>
      <c r="W59" s="2"/>
      <c r="X59" s="2">
        <f t="shared" si="2"/>
        <v>-2853.9</v>
      </c>
      <c r="Y59" s="2"/>
      <c r="Z59" s="19">
        <f t="shared" si="3"/>
        <v>-0.98187560638275917</v>
      </c>
    </row>
    <row r="60" spans="1:26" s="24" customFormat="1" hidden="1" outlineLevel="1" x14ac:dyDescent="0.25">
      <c r="A60" s="44"/>
      <c r="B60" s="11" t="str">
        <f>CONCATENATE("          ", "4127", " - ", "NON-TAXABLE SALES-SCHOOL SUPPL")</f>
        <v xml:space="preserve">          4127 - NON-TAXABLE SALES-SCHOOL SUPPL</v>
      </c>
      <c r="C60" s="11"/>
      <c r="D60" s="2">
        <f>--472.19</f>
        <v>472.19</v>
      </c>
      <c r="E60" s="2"/>
      <c r="F60" s="19"/>
      <c r="G60" s="2"/>
      <c r="H60" s="2">
        <f>--527.81</f>
        <v>527.80999999999995</v>
      </c>
      <c r="I60" s="2"/>
      <c r="J60" s="19"/>
      <c r="K60" s="2"/>
      <c r="L60" s="2">
        <f t="shared" si="0"/>
        <v>-55.619999999999948</v>
      </c>
      <c r="M60" s="2"/>
      <c r="N60" s="19">
        <f t="shared" si="1"/>
        <v>-0.10537882950304078</v>
      </c>
      <c r="O60" s="11"/>
      <c r="P60" s="2">
        <f>--6217.36</f>
        <v>6217.36</v>
      </c>
      <c r="Q60" s="2"/>
      <c r="R60" s="19"/>
      <c r="S60" s="2"/>
      <c r="T60" s="2">
        <f>--4662.41</f>
        <v>4662.41</v>
      </c>
      <c r="U60" s="2"/>
      <c r="V60" s="19"/>
      <c r="W60" s="2"/>
      <c r="X60" s="2">
        <f t="shared" si="2"/>
        <v>1554.9499999999998</v>
      </c>
      <c r="Y60" s="2"/>
      <c r="Z60" s="19">
        <f t="shared" si="3"/>
        <v>0.33350777816622729</v>
      </c>
    </row>
    <row r="61" spans="1:26" s="24" customFormat="1" hidden="1" outlineLevel="1" x14ac:dyDescent="0.25">
      <c r="A61" s="44"/>
      <c r="B61" s="11" t="str">
        <f>CONCATENATE("          ", "4128", " - ", "NON-TAXABLE SALES-ART/TECH")</f>
        <v xml:space="preserve">          4128 - NON-TAXABLE SALES-ART/TECH</v>
      </c>
      <c r="C61" s="11"/>
      <c r="D61" s="2">
        <f>--9.08</f>
        <v>9.08</v>
      </c>
      <c r="E61" s="2"/>
      <c r="F61" s="19"/>
      <c r="G61" s="2"/>
      <c r="H61" s="2">
        <f>--147.48</f>
        <v>147.47999999999999</v>
      </c>
      <c r="I61" s="2"/>
      <c r="J61" s="19"/>
      <c r="K61" s="2"/>
      <c r="L61" s="2">
        <f t="shared" si="0"/>
        <v>-138.39999999999998</v>
      </c>
      <c r="M61" s="2"/>
      <c r="N61" s="19">
        <f t="shared" si="1"/>
        <v>-0.93843232980743141</v>
      </c>
      <c r="O61" s="11"/>
      <c r="P61" s="2">
        <f>--38.58</f>
        <v>38.58</v>
      </c>
      <c r="Q61" s="2"/>
      <c r="R61" s="19"/>
      <c r="S61" s="2"/>
      <c r="T61" s="2">
        <f>--678.5</f>
        <v>678.5</v>
      </c>
      <c r="U61" s="2"/>
      <c r="V61" s="19"/>
      <c r="W61" s="2"/>
      <c r="X61" s="2">
        <f t="shared" si="2"/>
        <v>-639.91999999999996</v>
      </c>
      <c r="Y61" s="2"/>
      <c r="Z61" s="19">
        <f t="shared" si="3"/>
        <v>-0.94313927781871765</v>
      </c>
    </row>
    <row r="62" spans="1:26" s="24" customFormat="1" hidden="1" outlineLevel="1" x14ac:dyDescent="0.25">
      <c r="A62" s="44"/>
      <c r="B62" s="11" t="str">
        <f>CONCATENATE("          ", "4131", " - ", "NON-TAXABLE SALES-FOOD")</f>
        <v xml:space="preserve">          4131 - NON-TAXABLE SALES-FOOD</v>
      </c>
      <c r="C62" s="11"/>
      <c r="D62" s="2">
        <f>--934.88</f>
        <v>934.88</v>
      </c>
      <c r="E62" s="2"/>
      <c r="F62" s="19"/>
      <c r="G62" s="2"/>
      <c r="H62" s="2">
        <f>--10371.21</f>
        <v>10371.209999999999</v>
      </c>
      <c r="I62" s="2"/>
      <c r="J62" s="19"/>
      <c r="K62" s="2"/>
      <c r="L62" s="2">
        <f t="shared" si="0"/>
        <v>-9436.33</v>
      </c>
      <c r="M62" s="2"/>
      <c r="N62" s="19">
        <f t="shared" si="1"/>
        <v>-0.90985815541291715</v>
      </c>
      <c r="O62" s="11"/>
      <c r="P62" s="2">
        <f>--9575.15</f>
        <v>9575.15</v>
      </c>
      <c r="Q62" s="2"/>
      <c r="R62" s="19"/>
      <c r="S62" s="2"/>
      <c r="T62" s="2">
        <f>--53401.55</f>
        <v>53401.55</v>
      </c>
      <c r="U62" s="2"/>
      <c r="V62" s="19"/>
      <c r="W62" s="2"/>
      <c r="X62" s="2">
        <f t="shared" si="2"/>
        <v>-43826.400000000001</v>
      </c>
      <c r="Y62" s="2"/>
      <c r="Z62" s="19">
        <f t="shared" si="3"/>
        <v>-0.82069527944413601</v>
      </c>
    </row>
    <row r="63" spans="1:26" s="24" customFormat="1" hidden="1" outlineLevel="1" x14ac:dyDescent="0.25">
      <c r="A63" s="44"/>
      <c r="B63" s="11" t="str">
        <f>CONCATENATE("          ", "4132", " - ", "NON-TAXABLE SALES-JUICE")</f>
        <v xml:space="preserve">          4132 - NON-TAXABLE SALES-JUICE</v>
      </c>
      <c r="C63" s="11"/>
      <c r="D63" s="2">
        <f t="shared" ref="D63:D67" si="15">0</f>
        <v>0</v>
      </c>
      <c r="E63" s="2"/>
      <c r="F63" s="19"/>
      <c r="G63" s="2"/>
      <c r="H63" s="2">
        <f>--2501.74</f>
        <v>2501.7399999999998</v>
      </c>
      <c r="I63" s="2"/>
      <c r="J63" s="19"/>
      <c r="K63" s="2"/>
      <c r="L63" s="2">
        <f t="shared" si="0"/>
        <v>-2501.7399999999998</v>
      </c>
      <c r="M63" s="2"/>
      <c r="N63" s="19">
        <f t="shared" si="1"/>
        <v>-1</v>
      </c>
      <c r="O63" s="11"/>
      <c r="P63" s="2">
        <f>--22.49</f>
        <v>22.49</v>
      </c>
      <c r="Q63" s="2"/>
      <c r="R63" s="19"/>
      <c r="S63" s="2"/>
      <c r="T63" s="2">
        <f>--15049.17</f>
        <v>15049.17</v>
      </c>
      <c r="U63" s="2"/>
      <c r="V63" s="19"/>
      <c r="W63" s="2"/>
      <c r="X63" s="2">
        <f t="shared" si="2"/>
        <v>-15026.68</v>
      </c>
      <c r="Y63" s="2"/>
      <c r="Z63" s="19">
        <f t="shared" si="3"/>
        <v>-0.99850556542320945</v>
      </c>
    </row>
    <row r="64" spans="1:26" s="24" customFormat="1" hidden="1" outlineLevel="1" x14ac:dyDescent="0.25">
      <c r="A64" s="44"/>
      <c r="B64" s="11" t="str">
        <f>CONCATENATE("          ", "4133", " - ", "NON-TAXABLE SALES-CANDY")</f>
        <v xml:space="preserve">          4133 - NON-TAXABLE SALES-CANDY</v>
      </c>
      <c r="C64" s="11"/>
      <c r="D64" s="2">
        <f t="shared" si="15"/>
        <v>0</v>
      </c>
      <c r="E64" s="2"/>
      <c r="F64" s="19"/>
      <c r="G64" s="2"/>
      <c r="H64" s="2">
        <f>--3264.8</f>
        <v>3264.8</v>
      </c>
      <c r="I64" s="2"/>
      <c r="J64" s="19"/>
      <c r="K64" s="2"/>
      <c r="L64" s="2">
        <f t="shared" si="0"/>
        <v>-3264.8</v>
      </c>
      <c r="M64" s="2"/>
      <c r="N64" s="19">
        <f t="shared" si="1"/>
        <v>-1</v>
      </c>
      <c r="O64" s="11"/>
      <c r="P64" s="2">
        <f>--80.71</f>
        <v>80.709999999999994</v>
      </c>
      <c r="Q64" s="2"/>
      <c r="R64" s="19"/>
      <c r="S64" s="2"/>
      <c r="T64" s="2">
        <f>--16822.98</f>
        <v>16822.98</v>
      </c>
      <c r="U64" s="2"/>
      <c r="V64" s="19"/>
      <c r="W64" s="2"/>
      <c r="X64" s="2">
        <f t="shared" si="2"/>
        <v>-16742.27</v>
      </c>
      <c r="Y64" s="2"/>
      <c r="Z64" s="19">
        <f t="shared" si="3"/>
        <v>-0.99520239577054725</v>
      </c>
    </row>
    <row r="65" spans="1:26" s="24" customFormat="1" hidden="1" outlineLevel="1" x14ac:dyDescent="0.25">
      <c r="A65" s="44"/>
      <c r="B65" s="11" t="str">
        <f>CONCATENATE("          ", "4134", " - ", "NON-TAXABLE SALES-SODA")</f>
        <v xml:space="preserve">          4134 - NON-TAXABLE SALES-SODA</v>
      </c>
      <c r="C65" s="11"/>
      <c r="D65" s="2">
        <f t="shared" si="15"/>
        <v>0</v>
      </c>
      <c r="E65" s="2"/>
      <c r="F65" s="19"/>
      <c r="G65" s="2"/>
      <c r="H65" s="2">
        <f>--1.89</f>
        <v>1.89</v>
      </c>
      <c r="I65" s="2"/>
      <c r="J65" s="19"/>
      <c r="K65" s="2"/>
      <c r="L65" s="2">
        <f t="shared" si="0"/>
        <v>-1.89</v>
      </c>
      <c r="M65" s="2"/>
      <c r="N65" s="19">
        <f t="shared" si="1"/>
        <v>-1</v>
      </c>
      <c r="O65" s="11"/>
      <c r="P65" s="2">
        <f>--45.53</f>
        <v>45.53</v>
      </c>
      <c r="Q65" s="2"/>
      <c r="R65" s="19"/>
      <c r="S65" s="2"/>
      <c r="T65" s="2">
        <f>--1.89</f>
        <v>1.89</v>
      </c>
      <c r="U65" s="2"/>
      <c r="V65" s="19"/>
      <c r="W65" s="2"/>
      <c r="X65" s="2">
        <f t="shared" si="2"/>
        <v>43.64</v>
      </c>
      <c r="Y65" s="2"/>
      <c r="Z65" s="19">
        <f t="shared" si="3"/>
        <v>23.089947089947092</v>
      </c>
    </row>
    <row r="66" spans="1:26" s="24" customFormat="1" hidden="1" outlineLevel="1" x14ac:dyDescent="0.25">
      <c r="A66" s="44"/>
      <c r="B66" s="11" t="str">
        <f>CONCATENATE("          ", "4135", " - ", "NON-TAXABLE SALES")</f>
        <v xml:space="preserve">          4135 - NON-TAXABLE SALES</v>
      </c>
      <c r="C66" s="11"/>
      <c r="D66" s="2">
        <f t="shared" si="15"/>
        <v>0</v>
      </c>
      <c r="E66" s="2"/>
      <c r="F66" s="19"/>
      <c r="G66" s="2"/>
      <c r="H66" s="2">
        <f>--21.54</f>
        <v>21.54</v>
      </c>
      <c r="I66" s="2"/>
      <c r="J66" s="19"/>
      <c r="K66" s="2"/>
      <c r="L66" s="2">
        <f t="shared" si="0"/>
        <v>-21.54</v>
      </c>
      <c r="M66" s="2"/>
      <c r="N66" s="19">
        <f t="shared" si="1"/>
        <v>-1</v>
      </c>
      <c r="O66" s="11"/>
      <c r="P66" s="2">
        <f>0</f>
        <v>0</v>
      </c>
      <c r="Q66" s="2"/>
      <c r="R66" s="19"/>
      <c r="S66" s="2"/>
      <c r="T66" s="2">
        <f>--161.4</f>
        <v>161.4</v>
      </c>
      <c r="U66" s="2"/>
      <c r="V66" s="19"/>
      <c r="W66" s="2"/>
      <c r="X66" s="2">
        <f t="shared" si="2"/>
        <v>-161.4</v>
      </c>
      <c r="Y66" s="2"/>
      <c r="Z66" s="19">
        <f t="shared" si="3"/>
        <v>-1</v>
      </c>
    </row>
    <row r="67" spans="1:26" s="24" customFormat="1" hidden="1" outlineLevel="1" x14ac:dyDescent="0.25">
      <c r="A67" s="44"/>
      <c r="B67" s="11" t="str">
        <f>CONCATENATE("          ", "4137", " - ", "NON-TAXABLE SALES-WATER")</f>
        <v xml:space="preserve">          4137 - NON-TAXABLE SALES-WATER</v>
      </c>
      <c r="C67" s="11"/>
      <c r="D67" s="2">
        <f t="shared" si="15"/>
        <v>0</v>
      </c>
      <c r="E67" s="2"/>
      <c r="F67" s="19"/>
      <c r="G67" s="2"/>
      <c r="H67" s="2">
        <f>--1339.6</f>
        <v>1339.6</v>
      </c>
      <c r="I67" s="2"/>
      <c r="J67" s="19"/>
      <c r="K67" s="2"/>
      <c r="L67" s="2">
        <f t="shared" si="0"/>
        <v>-1339.6</v>
      </c>
      <c r="M67" s="2"/>
      <c r="N67" s="19">
        <f t="shared" si="1"/>
        <v>-1</v>
      </c>
      <c r="O67" s="11"/>
      <c r="P67" s="2">
        <f>--68.25</f>
        <v>68.25</v>
      </c>
      <c r="Q67" s="2"/>
      <c r="R67" s="19"/>
      <c r="S67" s="2"/>
      <c r="T67" s="2">
        <f>--7888.56</f>
        <v>7888.56</v>
      </c>
      <c r="U67" s="2"/>
      <c r="V67" s="19"/>
      <c r="W67" s="2"/>
      <c r="X67" s="2">
        <f t="shared" si="2"/>
        <v>-7820.31</v>
      </c>
      <c r="Y67" s="2"/>
      <c r="Z67" s="19">
        <f t="shared" si="3"/>
        <v>-0.99134823085582158</v>
      </c>
    </row>
    <row r="68" spans="1:26" s="24" customFormat="1" hidden="1" outlineLevel="1" x14ac:dyDescent="0.25">
      <c r="A68" s="44"/>
      <c r="B68" s="11" t="str">
        <f>CONCATENATE("          ", "4140", " - ", "NON-TAXABLE SALES-LOGO CLOTHIN")</f>
        <v xml:space="preserve">          4140 - NON-TAXABLE SALES-LOGO CLOTHIN</v>
      </c>
      <c r="C68" s="11"/>
      <c r="D68" s="2">
        <f>--1947.86</f>
        <v>1947.86</v>
      </c>
      <c r="E68" s="2"/>
      <c r="F68" s="19"/>
      <c r="G68" s="2"/>
      <c r="H68" s="2">
        <f>0</f>
        <v>0</v>
      </c>
      <c r="I68" s="2"/>
      <c r="J68" s="19"/>
      <c r="K68" s="2"/>
      <c r="L68" s="2">
        <f t="shared" si="0"/>
        <v>1947.86</v>
      </c>
      <c r="M68" s="2"/>
      <c r="N68" s="19">
        <f t="shared" si="1"/>
        <v>0</v>
      </c>
      <c r="O68" s="11"/>
      <c r="P68" s="2">
        <f>--115125.28</f>
        <v>115125.28</v>
      </c>
      <c r="Q68" s="2"/>
      <c r="R68" s="19"/>
      <c r="S68" s="2"/>
      <c r="T68" s="2">
        <f>--42582.67</f>
        <v>42582.67</v>
      </c>
      <c r="U68" s="2"/>
      <c r="V68" s="19"/>
      <c r="W68" s="2"/>
      <c r="X68" s="2">
        <f t="shared" si="2"/>
        <v>72542.61</v>
      </c>
      <c r="Y68" s="2"/>
      <c r="Z68" s="19">
        <f t="shared" si="3"/>
        <v>1.7035711945728158</v>
      </c>
    </row>
    <row r="69" spans="1:26" s="24" customFormat="1" hidden="1" outlineLevel="1" x14ac:dyDescent="0.25">
      <c r="A69" s="44"/>
      <c r="B69" s="11" t="str">
        <f>CONCATENATE("          ", "4141", " - ", "NON-TAXABLE SALES-LOGO GIFTS")</f>
        <v xml:space="preserve">          4141 - NON-TAXABLE SALES-LOGO GIFTS</v>
      </c>
      <c r="C69" s="11"/>
      <c r="D69" s="2">
        <f>--671.25</f>
        <v>671.25</v>
      </c>
      <c r="E69" s="2"/>
      <c r="F69" s="19"/>
      <c r="G69" s="2"/>
      <c r="H69" s="2">
        <f>--6423.17</f>
        <v>6423.17</v>
      </c>
      <c r="I69" s="2"/>
      <c r="J69" s="19"/>
      <c r="K69" s="2"/>
      <c r="L69" s="2">
        <f t="shared" si="0"/>
        <v>-5751.92</v>
      </c>
      <c r="M69" s="2"/>
      <c r="N69" s="19">
        <f t="shared" si="1"/>
        <v>-0.89549552635225282</v>
      </c>
      <c r="O69" s="11"/>
      <c r="P69" s="2">
        <f>--8513.02</f>
        <v>8513.02</v>
      </c>
      <c r="Q69" s="2"/>
      <c r="R69" s="19"/>
      <c r="S69" s="2"/>
      <c r="T69" s="2">
        <f>--10672.17</f>
        <v>10672.17</v>
      </c>
      <c r="U69" s="2"/>
      <c r="V69" s="19"/>
      <c r="W69" s="2"/>
      <c r="X69" s="2">
        <f t="shared" si="2"/>
        <v>-2159.1499999999996</v>
      </c>
      <c r="Y69" s="2"/>
      <c r="Z69" s="19">
        <f t="shared" si="3"/>
        <v>-0.2023159301248012</v>
      </c>
    </row>
    <row r="70" spans="1:26" s="24" customFormat="1" hidden="1" outlineLevel="1" x14ac:dyDescent="0.25">
      <c r="A70" s="44"/>
      <c r="B70" s="11" t="str">
        <f>CONCATENATE("          ", "4142", " - ", "NON-TAXABLE SALES-EVERYDAY GIF")</f>
        <v xml:space="preserve">          4142 - NON-TAXABLE SALES-EVERYDAY GIF</v>
      </c>
      <c r="C70" s="11"/>
      <c r="D70" s="2">
        <f>--4.58</f>
        <v>4.58</v>
      </c>
      <c r="E70" s="2"/>
      <c r="F70" s="19"/>
      <c r="G70" s="2"/>
      <c r="H70" s="2">
        <f>--1257.56</f>
        <v>1257.56</v>
      </c>
      <c r="I70" s="2"/>
      <c r="J70" s="19"/>
      <c r="K70" s="2"/>
      <c r="L70" s="2">
        <f t="shared" si="0"/>
        <v>-1252.98</v>
      </c>
      <c r="M70" s="2"/>
      <c r="N70" s="19">
        <f t="shared" si="1"/>
        <v>-0.9963580266547919</v>
      </c>
      <c r="O70" s="11"/>
      <c r="P70" s="2">
        <f>--2264.47</f>
        <v>2264.4699999999998</v>
      </c>
      <c r="Q70" s="2"/>
      <c r="R70" s="19"/>
      <c r="S70" s="2"/>
      <c r="T70" s="2">
        <f>--13692.85</f>
        <v>13692.85</v>
      </c>
      <c r="U70" s="2"/>
      <c r="V70" s="19"/>
      <c r="W70" s="2"/>
      <c r="X70" s="2">
        <f t="shared" si="2"/>
        <v>-11428.380000000001</v>
      </c>
      <c r="Y70" s="2"/>
      <c r="Z70" s="19">
        <f t="shared" si="3"/>
        <v>-0.8346239095586383</v>
      </c>
    </row>
    <row r="71" spans="1:26" s="24" customFormat="1" hidden="1" outlineLevel="1" x14ac:dyDescent="0.25">
      <c r="A71" s="44"/>
      <c r="B71" s="11" t="str">
        <f>CONCATENATE("          ", "4143", " - ", "NON-TAXABLE SALES-CARDS")</f>
        <v xml:space="preserve">          4143 - NON-TAXABLE SALES-CARDS</v>
      </c>
      <c r="C71" s="11"/>
      <c r="D71" s="2">
        <f>--149.92</f>
        <v>149.91999999999999</v>
      </c>
      <c r="E71" s="2"/>
      <c r="F71" s="19"/>
      <c r="G71" s="2"/>
      <c r="H71" s="2">
        <f>--9.99</f>
        <v>9.99</v>
      </c>
      <c r="I71" s="2"/>
      <c r="J71" s="19"/>
      <c r="K71" s="2"/>
      <c r="L71" s="2">
        <f t="shared" si="0"/>
        <v>139.92999999999998</v>
      </c>
      <c r="M71" s="2"/>
      <c r="N71" s="19">
        <f t="shared" si="1"/>
        <v>14.007007007007005</v>
      </c>
      <c r="O71" s="11"/>
      <c r="P71" s="2">
        <f>--2119.66</f>
        <v>2119.66</v>
      </c>
      <c r="Q71" s="2"/>
      <c r="R71" s="19"/>
      <c r="S71" s="2"/>
      <c r="T71" s="2">
        <f>--9.99</f>
        <v>9.99</v>
      </c>
      <c r="U71" s="2"/>
      <c r="V71" s="19"/>
      <c r="W71" s="2"/>
      <c r="X71" s="2">
        <f t="shared" si="2"/>
        <v>2109.67</v>
      </c>
      <c r="Y71" s="2"/>
      <c r="Z71" s="19">
        <f t="shared" si="3"/>
        <v>211.17817817817817</v>
      </c>
    </row>
    <row r="72" spans="1:26" s="24" customFormat="1" hidden="1" outlineLevel="1" x14ac:dyDescent="0.25">
      <c r="A72" s="44"/>
      <c r="B72" s="11" t="str">
        <f>CONCATENATE("          ", "4144", " - ", "NON-TAXABLE SALES-ACCESSORIES")</f>
        <v xml:space="preserve">          4144 - NON-TAXABLE SALES-ACCESSORIES</v>
      </c>
      <c r="C72" s="11"/>
      <c r="D72" s="2">
        <f>--39.95</f>
        <v>39.950000000000003</v>
      </c>
      <c r="E72" s="2"/>
      <c r="F72" s="19"/>
      <c r="G72" s="2"/>
      <c r="H72" s="2">
        <f>--922.94</f>
        <v>922.94</v>
      </c>
      <c r="I72" s="2"/>
      <c r="J72" s="19"/>
      <c r="K72" s="2"/>
      <c r="L72" s="2">
        <f t="shared" si="0"/>
        <v>-882.99</v>
      </c>
      <c r="M72" s="2"/>
      <c r="N72" s="19">
        <f t="shared" si="1"/>
        <v>-0.9567144126378746</v>
      </c>
      <c r="O72" s="11"/>
      <c r="P72" s="2">
        <f>--649.35</f>
        <v>649.35</v>
      </c>
      <c r="Q72" s="2"/>
      <c r="R72" s="19"/>
      <c r="S72" s="2"/>
      <c r="T72" s="2">
        <f>--1890.27</f>
        <v>1890.27</v>
      </c>
      <c r="U72" s="2"/>
      <c r="V72" s="19"/>
      <c r="W72" s="2"/>
      <c r="X72" s="2">
        <f t="shared" si="2"/>
        <v>-1240.92</v>
      </c>
      <c r="Y72" s="2"/>
      <c r="Z72" s="19">
        <f t="shared" si="3"/>
        <v>-0.65647764605056425</v>
      </c>
    </row>
    <row r="73" spans="1:26" s="24" customFormat="1" hidden="1" outlineLevel="1" x14ac:dyDescent="0.25">
      <c r="A73" s="44"/>
      <c r="B73" s="11" t="str">
        <f>CONCATENATE("          ", "4145", " - ", "NON-TAXABLE SALES-SPECIAL ORDE")</f>
        <v xml:space="preserve">          4145 - NON-TAXABLE SALES-SPECIAL ORDE</v>
      </c>
      <c r="C73" s="11"/>
      <c r="D73" s="2">
        <f>0</f>
        <v>0</v>
      </c>
      <c r="E73" s="2"/>
      <c r="F73" s="19"/>
      <c r="G73" s="2"/>
      <c r="H73" s="2">
        <f>0</f>
        <v>0</v>
      </c>
      <c r="I73" s="2"/>
      <c r="J73" s="19"/>
      <c r="K73" s="2"/>
      <c r="L73" s="2">
        <f t="shared" si="0"/>
        <v>0</v>
      </c>
      <c r="M73" s="2"/>
      <c r="N73" s="19">
        <f t="shared" si="1"/>
        <v>0</v>
      </c>
      <c r="O73" s="11"/>
      <c r="P73" s="2">
        <f>--53716.09</f>
        <v>53716.09</v>
      </c>
      <c r="Q73" s="2"/>
      <c r="R73" s="19"/>
      <c r="S73" s="2"/>
      <c r="T73" s="2">
        <f>--140</f>
        <v>140</v>
      </c>
      <c r="U73" s="2"/>
      <c r="V73" s="19"/>
      <c r="W73" s="2"/>
      <c r="X73" s="2">
        <f t="shared" si="2"/>
        <v>53576.09</v>
      </c>
      <c r="Y73" s="2"/>
      <c r="Z73" s="19">
        <f t="shared" si="3"/>
        <v>382.6863571428571</v>
      </c>
    </row>
    <row r="74" spans="1:26" s="24" customFormat="1" hidden="1" outlineLevel="1" x14ac:dyDescent="0.25">
      <c r="A74" s="44"/>
      <c r="B74" s="11" t="str">
        <f>CONCATENATE("          ", "4146", " - ", "NON-TAXABLE SALES-COIN OP MACH")</f>
        <v xml:space="preserve">          4146 - NON-TAXABLE SALES-COIN OP MACH</v>
      </c>
      <c r="C74" s="11"/>
      <c r="D74" s="2">
        <f>--67.8</f>
        <v>67.8</v>
      </c>
      <c r="E74" s="2"/>
      <c r="F74" s="19"/>
      <c r="G74" s="2"/>
      <c r="H74" s="2">
        <f>--28849.25</f>
        <v>28849.25</v>
      </c>
      <c r="I74" s="2"/>
      <c r="J74" s="19"/>
      <c r="K74" s="2"/>
      <c r="L74" s="2">
        <f t="shared" si="0"/>
        <v>-28781.45</v>
      </c>
      <c r="M74" s="2"/>
      <c r="N74" s="19">
        <f t="shared" si="1"/>
        <v>-0.99764985224919189</v>
      </c>
      <c r="O74" s="11"/>
      <c r="P74" s="2">
        <f>--208.4</f>
        <v>208.4</v>
      </c>
      <c r="Q74" s="2"/>
      <c r="R74" s="19"/>
      <c r="S74" s="2"/>
      <c r="T74" s="2">
        <f>--192403.75</f>
        <v>192403.75</v>
      </c>
      <c r="U74" s="2"/>
      <c r="V74" s="19"/>
      <c r="W74" s="2"/>
      <c r="X74" s="2">
        <f t="shared" si="2"/>
        <v>-192195.35</v>
      </c>
      <c r="Y74" s="2"/>
      <c r="Z74" s="19">
        <f t="shared" si="3"/>
        <v>-0.99891686102791655</v>
      </c>
    </row>
    <row r="75" spans="1:26" s="24" customFormat="1" hidden="1" outlineLevel="1" x14ac:dyDescent="0.25">
      <c r="A75" s="44"/>
      <c r="B75" s="11" t="str">
        <f>CONCATENATE("          ", "4147", " - ", "NON-TAXABLE SALES-MISC")</f>
        <v xml:space="preserve">          4147 - NON-TAXABLE SALES-MISC</v>
      </c>
      <c r="C75" s="11"/>
      <c r="D75" s="2">
        <f>--17</f>
        <v>17</v>
      </c>
      <c r="E75" s="2"/>
      <c r="F75" s="19"/>
      <c r="G75" s="2"/>
      <c r="H75" s="2">
        <f>--2183.94</f>
        <v>2183.94</v>
      </c>
      <c r="I75" s="2"/>
      <c r="J75" s="19"/>
      <c r="K75" s="2"/>
      <c r="L75" s="2">
        <f t="shared" si="0"/>
        <v>-2166.94</v>
      </c>
      <c r="M75" s="2"/>
      <c r="N75" s="19">
        <f t="shared" si="1"/>
        <v>-0.99221590336730858</v>
      </c>
      <c r="O75" s="11"/>
      <c r="P75" s="2">
        <f>--132.5</f>
        <v>132.5</v>
      </c>
      <c r="Q75" s="2"/>
      <c r="R75" s="19"/>
      <c r="S75" s="2"/>
      <c r="T75" s="2">
        <f>--2502.84</f>
        <v>2502.84</v>
      </c>
      <c r="U75" s="2"/>
      <c r="V75" s="19"/>
      <c r="W75" s="2"/>
      <c r="X75" s="2">
        <f t="shared" si="2"/>
        <v>-2370.34</v>
      </c>
      <c r="Y75" s="2"/>
      <c r="Z75" s="19">
        <f t="shared" si="3"/>
        <v>-0.94706013968132197</v>
      </c>
    </row>
    <row r="76" spans="1:26" s="24" customFormat="1" hidden="1" outlineLevel="1" x14ac:dyDescent="0.25">
      <c r="A76" s="44"/>
      <c r="B76" s="11" t="str">
        <f>CONCATENATE("          ", "4181", " - ", "NON-TAXABLE SALES-ELECTRONICS")</f>
        <v xml:space="preserve">          4181 - NON-TAXABLE SALES-ELECTRONICS</v>
      </c>
      <c r="C76" s="11"/>
      <c r="D76" s="2">
        <f>--6619.94</f>
        <v>6619.94</v>
      </c>
      <c r="E76" s="2"/>
      <c r="F76" s="19"/>
      <c r="G76" s="2"/>
      <c r="H76" s="2">
        <f>--257.96</f>
        <v>257.95999999999998</v>
      </c>
      <c r="I76" s="2"/>
      <c r="J76" s="19"/>
      <c r="K76" s="2"/>
      <c r="L76" s="2">
        <f t="shared" si="0"/>
        <v>6361.98</v>
      </c>
      <c r="M76" s="2"/>
      <c r="N76" s="19">
        <f t="shared" si="1"/>
        <v>24.662660877655451</v>
      </c>
      <c r="O76" s="11"/>
      <c r="P76" s="2">
        <f>--12192.66</f>
        <v>12192.66</v>
      </c>
      <c r="Q76" s="2"/>
      <c r="R76" s="19"/>
      <c r="S76" s="2"/>
      <c r="T76" s="2">
        <f>--2064.38</f>
        <v>2064.38</v>
      </c>
      <c r="U76" s="2"/>
      <c r="V76" s="19"/>
      <c r="W76" s="2"/>
      <c r="X76" s="2">
        <f t="shared" si="2"/>
        <v>10128.279999999999</v>
      </c>
      <c r="Y76" s="2"/>
      <c r="Z76" s="19">
        <f t="shared" si="3"/>
        <v>4.9062091281643871</v>
      </c>
    </row>
    <row r="77" spans="1:26" s="24" customFormat="1" hidden="1" outlineLevel="1" x14ac:dyDescent="0.25">
      <c r="A77" s="44"/>
      <c r="B77" s="11" t="str">
        <f>CONCATENATE("          ", "4182", " - ", "NON-TAXABLE SALES-COMPUTER HAR")</f>
        <v xml:space="preserve">          4182 - NON-TAXABLE SALES-COMPUTER HAR</v>
      </c>
      <c r="C77" s="11"/>
      <c r="D77" s="2">
        <f>--33247.79</f>
        <v>33247.79</v>
      </c>
      <c r="E77" s="2"/>
      <c r="F77" s="19"/>
      <c r="G77" s="2"/>
      <c r="H77" s="2">
        <f>--10906.99</f>
        <v>10906.99</v>
      </c>
      <c r="I77" s="2"/>
      <c r="J77" s="19"/>
      <c r="K77" s="2"/>
      <c r="L77" s="2">
        <f t="shared" si="0"/>
        <v>22340.800000000003</v>
      </c>
      <c r="M77" s="2"/>
      <c r="N77" s="19">
        <f t="shared" si="1"/>
        <v>2.0483011353269789</v>
      </c>
      <c r="O77" s="11"/>
      <c r="P77" s="2">
        <f>--219646.99</f>
        <v>219646.99</v>
      </c>
      <c r="Q77" s="2"/>
      <c r="R77" s="19"/>
      <c r="S77" s="2"/>
      <c r="T77" s="2">
        <f>--97878.96</f>
        <v>97878.96</v>
      </c>
      <c r="U77" s="2"/>
      <c r="V77" s="19"/>
      <c r="W77" s="2"/>
      <c r="X77" s="2">
        <f t="shared" si="2"/>
        <v>121768.02999999998</v>
      </c>
      <c r="Y77" s="2"/>
      <c r="Z77" s="19">
        <f t="shared" si="3"/>
        <v>1.2440674686367732</v>
      </c>
    </row>
    <row r="78" spans="1:26" s="24" customFormat="1" hidden="1" outlineLevel="1" x14ac:dyDescent="0.25">
      <c r="A78" s="44"/>
      <c r="B78" s="11" t="str">
        <f>CONCATENATE("          ", "4183", " - ", "NON-TAXABLE SALES-COMPUTER EQU")</f>
        <v xml:space="preserve">          4183 - NON-TAXABLE SALES-COMPUTER EQU</v>
      </c>
      <c r="C78" s="11"/>
      <c r="D78" s="2">
        <f>--3104.68</f>
        <v>3104.68</v>
      </c>
      <c r="E78" s="2"/>
      <c r="F78" s="19"/>
      <c r="G78" s="2"/>
      <c r="H78" s="2">
        <f>--1706.87</f>
        <v>1706.87</v>
      </c>
      <c r="I78" s="2"/>
      <c r="J78" s="19"/>
      <c r="K78" s="2"/>
      <c r="L78" s="2">
        <f t="shared" si="0"/>
        <v>1397.81</v>
      </c>
      <c r="M78" s="2"/>
      <c r="N78" s="19">
        <f t="shared" si="1"/>
        <v>0.81893172883699406</v>
      </c>
      <c r="O78" s="11"/>
      <c r="P78" s="2">
        <f>--13622.82</f>
        <v>13622.82</v>
      </c>
      <c r="Q78" s="2"/>
      <c r="R78" s="19"/>
      <c r="S78" s="2"/>
      <c r="T78" s="2">
        <f>--6056.31</f>
        <v>6056.31</v>
      </c>
      <c r="U78" s="2"/>
      <c r="V78" s="19"/>
      <c r="W78" s="2"/>
      <c r="X78" s="2">
        <f t="shared" si="2"/>
        <v>7566.5099999999993</v>
      </c>
      <c r="Y78" s="2"/>
      <c r="Z78" s="19">
        <f t="shared" si="3"/>
        <v>1.2493597586649294</v>
      </c>
    </row>
    <row r="79" spans="1:26" s="24" customFormat="1" hidden="1" outlineLevel="1" x14ac:dyDescent="0.25">
      <c r="A79" s="44"/>
      <c r="B79" s="11" t="str">
        <f>CONCATENATE("          ", "4184", " - ", "NON-TAXABLE SALES-SOFTWARE LIC")</f>
        <v xml:space="preserve">          4184 - NON-TAXABLE SALES-SOFTWARE LIC</v>
      </c>
      <c r="C79" s="11"/>
      <c r="D79" s="2">
        <f>0</f>
        <v>0</v>
      </c>
      <c r="E79" s="2"/>
      <c r="F79" s="19"/>
      <c r="G79" s="2"/>
      <c r="H79" s="2">
        <f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0</f>
        <v>0</v>
      </c>
      <c r="Q79" s="2"/>
      <c r="R79" s="19"/>
      <c r="S79" s="2"/>
      <c r="T79" s="2">
        <f>--2728</f>
        <v>2728</v>
      </c>
      <c r="U79" s="2"/>
      <c r="V79" s="19"/>
      <c r="W79" s="2"/>
      <c r="X79" s="2">
        <f t="shared" si="2"/>
        <v>-2728</v>
      </c>
      <c r="Y79" s="2"/>
      <c r="Z79" s="19">
        <f t="shared" si="3"/>
        <v>-1</v>
      </c>
    </row>
    <row r="80" spans="1:26" s="24" customFormat="1" hidden="1" outlineLevel="1" x14ac:dyDescent="0.25">
      <c r="A80" s="44"/>
      <c r="B80" s="11" t="str">
        <f>CONCATENATE("          ", "4185", " - ", "NON-TAXABLE SALES-SOFTWARE")</f>
        <v xml:space="preserve">          4185 - NON-TAXABLE SALES-SOFTWARE</v>
      </c>
      <c r="C80" s="11"/>
      <c r="D80" s="2">
        <f>--5296.67</f>
        <v>5296.67</v>
      </c>
      <c r="E80" s="2"/>
      <c r="F80" s="19"/>
      <c r="G80" s="2"/>
      <c r="H80" s="2">
        <f>--817.97</f>
        <v>817.97</v>
      </c>
      <c r="I80" s="2"/>
      <c r="J80" s="19"/>
      <c r="K80" s="2"/>
      <c r="L80" s="2">
        <f t="shared" si="0"/>
        <v>4478.7</v>
      </c>
      <c r="M80" s="2"/>
      <c r="N80" s="19">
        <f t="shared" si="1"/>
        <v>5.4753841827939898</v>
      </c>
      <c r="O80" s="11"/>
      <c r="P80" s="2">
        <f>--35127.19</f>
        <v>35127.19</v>
      </c>
      <c r="Q80" s="2"/>
      <c r="R80" s="19"/>
      <c r="S80" s="2"/>
      <c r="T80" s="2">
        <f>--12145.79</f>
        <v>12145.79</v>
      </c>
      <c r="U80" s="2"/>
      <c r="V80" s="19"/>
      <c r="W80" s="2"/>
      <c r="X80" s="2">
        <f t="shared" si="2"/>
        <v>22981.4</v>
      </c>
      <c r="Y80" s="2"/>
      <c r="Z80" s="19">
        <f t="shared" si="3"/>
        <v>1.8921288775781566</v>
      </c>
    </row>
    <row r="81" spans="1:26" s="24" customFormat="1" hidden="1" outlineLevel="1" x14ac:dyDescent="0.25">
      <c r="A81" s="44"/>
      <c r="B81" s="11" t="str">
        <f>CONCATENATE("          ", "4186", " - ", "NON-TAXABLE SALES-COMPUTER SUP")</f>
        <v xml:space="preserve">          4186 - NON-TAXABLE SALES-COMPUTER SUP</v>
      </c>
      <c r="C81" s="11"/>
      <c r="D81" s="2">
        <f>--345.23</f>
        <v>345.23</v>
      </c>
      <c r="E81" s="2"/>
      <c r="F81" s="19"/>
      <c r="G81" s="2"/>
      <c r="H81" s="2">
        <f>--519.9</f>
        <v>519.9</v>
      </c>
      <c r="I81" s="2"/>
      <c r="J81" s="19"/>
      <c r="K81" s="2"/>
      <c r="L81" s="2">
        <f t="shared" si="0"/>
        <v>-174.66999999999996</v>
      </c>
      <c r="M81" s="2"/>
      <c r="N81" s="19">
        <f t="shared" si="1"/>
        <v>-0.33596845547220611</v>
      </c>
      <c r="O81" s="11"/>
      <c r="P81" s="2">
        <f>--2830.26</f>
        <v>2830.26</v>
      </c>
      <c r="Q81" s="2"/>
      <c r="R81" s="19"/>
      <c r="S81" s="2"/>
      <c r="T81" s="2">
        <f>--2469.21</f>
        <v>2469.21</v>
      </c>
      <c r="U81" s="2"/>
      <c r="V81" s="19"/>
      <c r="W81" s="2"/>
      <c r="X81" s="2">
        <f t="shared" si="2"/>
        <v>361.05000000000018</v>
      </c>
      <c r="Y81" s="2"/>
      <c r="Z81" s="19">
        <f t="shared" si="3"/>
        <v>0.14622085606327537</v>
      </c>
    </row>
    <row r="82" spans="1:26" s="24" customFormat="1" hidden="1" outlineLevel="1" x14ac:dyDescent="0.25">
      <c r="A82" s="44"/>
      <c r="B82" s="11" t="str">
        <f>CONCATENATE("          ", "4188", " - ", "NON-TAXABLE SALES-MUSIC")</f>
        <v xml:space="preserve">          4188 - NON-TAXABLE SALES-MUSIC</v>
      </c>
      <c r="C82" s="11"/>
      <c r="D82" s="2">
        <f>0</f>
        <v>0</v>
      </c>
      <c r="E82" s="2"/>
      <c r="F82" s="19"/>
      <c r="G82" s="2"/>
      <c r="H82" s="2">
        <f>0</f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0</f>
        <v>0</v>
      </c>
      <c r="Q82" s="2"/>
      <c r="R82" s="19"/>
      <c r="S82" s="2"/>
      <c r="T82" s="2">
        <f>--219.96</f>
        <v>219.96</v>
      </c>
      <c r="U82" s="2"/>
      <c r="V82" s="19"/>
      <c r="W82" s="2"/>
      <c r="X82" s="2">
        <f t="shared" si="2"/>
        <v>-219.96</v>
      </c>
      <c r="Y82" s="2"/>
      <c r="Z82" s="19">
        <f t="shared" si="3"/>
        <v>-1</v>
      </c>
    </row>
    <row r="83" spans="1:26" s="24" customFormat="1" hidden="1" outlineLevel="1" x14ac:dyDescent="0.25">
      <c r="A83" s="44"/>
      <c r="B83" s="11" t="str">
        <f>CONCATENATE("          ", "4201", " - ", "SALES RETURN TAXABLE-NEW TEXT")</f>
        <v xml:space="preserve">          4201 - SALES RETURN TAXABLE-NEW TEXT</v>
      </c>
      <c r="C83" s="11"/>
      <c r="D83" s="2">
        <f>-2146.49</f>
        <v>-2146.4899999999998</v>
      </c>
      <c r="E83" s="2"/>
      <c r="F83" s="19"/>
      <c r="G83" s="2"/>
      <c r="H83" s="2">
        <f>-4114.56</f>
        <v>-4114.5600000000004</v>
      </c>
      <c r="I83" s="2"/>
      <c r="J83" s="19"/>
      <c r="K83" s="2"/>
      <c r="L83" s="2">
        <f t="shared" si="0"/>
        <v>1968.0700000000006</v>
      </c>
      <c r="M83" s="2"/>
      <c r="N83" s="19">
        <f t="shared" si="1"/>
        <v>-0.478318459324934</v>
      </c>
      <c r="O83" s="11"/>
      <c r="P83" s="2">
        <f>-50664.23</f>
        <v>-50664.23</v>
      </c>
      <c r="Q83" s="2"/>
      <c r="R83" s="19"/>
      <c r="S83" s="2"/>
      <c r="T83" s="2">
        <f>-120740.41</f>
        <v>-120740.41</v>
      </c>
      <c r="U83" s="2"/>
      <c r="V83" s="19"/>
      <c r="W83" s="2"/>
      <c r="X83" s="2">
        <f t="shared" si="2"/>
        <v>70076.179999999993</v>
      </c>
      <c r="Y83" s="2"/>
      <c r="Z83" s="19">
        <f t="shared" si="3"/>
        <v>-0.58038712971075712</v>
      </c>
    </row>
    <row r="84" spans="1:26" s="24" customFormat="1" hidden="1" outlineLevel="1" x14ac:dyDescent="0.25">
      <c r="A84" s="44"/>
      <c r="B84" s="11" t="str">
        <f>CONCATENATE("          ", "4202", " - ", "SALES RETURN TAXABLE-USED TEXT")</f>
        <v xml:space="preserve">          4202 - SALES RETURN TAXABLE-USED TEXT</v>
      </c>
      <c r="C84" s="11"/>
      <c r="D84" s="2">
        <f>-1199.21</f>
        <v>-1199.21</v>
      </c>
      <c r="E84" s="2"/>
      <c r="F84" s="19"/>
      <c r="G84" s="2"/>
      <c r="H84" s="2">
        <f>-2008.16</f>
        <v>-2008.16</v>
      </c>
      <c r="I84" s="2"/>
      <c r="J84" s="19"/>
      <c r="K84" s="2"/>
      <c r="L84" s="2">
        <f t="shared" si="0"/>
        <v>808.95</v>
      </c>
      <c r="M84" s="2"/>
      <c r="N84" s="19">
        <f t="shared" si="1"/>
        <v>-0.40283144769341089</v>
      </c>
      <c r="O84" s="11"/>
      <c r="P84" s="2">
        <f>-19735.51</f>
        <v>-19735.509999999998</v>
      </c>
      <c r="Q84" s="2"/>
      <c r="R84" s="19"/>
      <c r="S84" s="2"/>
      <c r="T84" s="2">
        <f>-45387.31</f>
        <v>-45387.31</v>
      </c>
      <c r="U84" s="2"/>
      <c r="V84" s="19"/>
      <c r="W84" s="2"/>
      <c r="X84" s="2">
        <f t="shared" si="2"/>
        <v>25651.8</v>
      </c>
      <c r="Y84" s="2"/>
      <c r="Z84" s="19">
        <f t="shared" si="3"/>
        <v>-0.56517559643874027</v>
      </c>
    </row>
    <row r="85" spans="1:26" s="24" customFormat="1" hidden="1" outlineLevel="1" x14ac:dyDescent="0.25">
      <c r="A85" s="44"/>
      <c r="B85" s="11" t="str">
        <f>CONCATENATE("          ", "4203", " - ", "SALES RETURN TAXABLE-RENTAL TE")</f>
        <v xml:space="preserve">          4203 - SALES RETURN TAXABLE-RENTAL TE</v>
      </c>
      <c r="C85" s="11"/>
      <c r="D85" s="2">
        <f>0</f>
        <v>0</v>
      </c>
      <c r="E85" s="2"/>
      <c r="F85" s="19"/>
      <c r="G85" s="2"/>
      <c r="H85" s="2">
        <f>0</f>
        <v>0</v>
      </c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0</f>
        <v>0</v>
      </c>
      <c r="Q85" s="2"/>
      <c r="R85" s="19"/>
      <c r="S85" s="2"/>
      <c r="T85" s="2">
        <f>-144.99</f>
        <v>-144.99</v>
      </c>
      <c r="U85" s="2"/>
      <c r="V85" s="19"/>
      <c r="W85" s="2"/>
      <c r="X85" s="2">
        <f t="shared" si="2"/>
        <v>144.99</v>
      </c>
      <c r="Y85" s="2"/>
      <c r="Z85" s="19">
        <f t="shared" si="3"/>
        <v>-1</v>
      </c>
    </row>
    <row r="86" spans="1:26" s="24" customFormat="1" hidden="1" outlineLevel="1" x14ac:dyDescent="0.25">
      <c r="A86" s="44"/>
      <c r="B86" s="11" t="str">
        <f>CONCATENATE("          ", "4204", " - ", "SALES RETURN TAXABLE-DIGITAL T")</f>
        <v xml:space="preserve">          4204 - SALES RETURN TAXABLE-DIGITAL T</v>
      </c>
      <c r="C86" s="11"/>
      <c r="D86" s="2">
        <f>-132.25</f>
        <v>-132.25</v>
      </c>
      <c r="E86" s="2"/>
      <c r="F86" s="19"/>
      <c r="G86" s="2"/>
      <c r="H86" s="2">
        <f>-993.89</f>
        <v>-993.89</v>
      </c>
      <c r="I86" s="2"/>
      <c r="J86" s="19"/>
      <c r="K86" s="2"/>
      <c r="L86" s="2">
        <f t="shared" si="0"/>
        <v>861.64</v>
      </c>
      <c r="M86" s="2"/>
      <c r="N86" s="19">
        <f t="shared" si="1"/>
        <v>-0.86693698497821692</v>
      </c>
      <c r="O86" s="11"/>
      <c r="P86" s="2">
        <f>-1763.1</f>
        <v>-1763.1</v>
      </c>
      <c r="Q86" s="2"/>
      <c r="R86" s="19"/>
      <c r="S86" s="2"/>
      <c r="T86" s="2">
        <f>-17255.33</f>
        <v>-17255.330000000002</v>
      </c>
      <c r="U86" s="2"/>
      <c r="V86" s="19"/>
      <c r="W86" s="2"/>
      <c r="X86" s="2">
        <f t="shared" si="2"/>
        <v>15492.230000000001</v>
      </c>
      <c r="Y86" s="2"/>
      <c r="Z86" s="19">
        <f t="shared" si="3"/>
        <v>-0.89782287559843832</v>
      </c>
    </row>
    <row r="87" spans="1:26" s="24" customFormat="1" hidden="1" outlineLevel="1" x14ac:dyDescent="0.25">
      <c r="A87" s="44"/>
      <c r="B87" s="11" t="str">
        <f>CONCATENATE("          ", "4213", " - ", "NON-TAXABLE SALES-TRADE BOOKS")</f>
        <v xml:space="preserve">          4213 - NON-TAXABLE SALES-TRADE BOOKS</v>
      </c>
      <c r="C87" s="11"/>
      <c r="D87" s="2">
        <f>-69.93</f>
        <v>-69.930000000000007</v>
      </c>
      <c r="E87" s="2"/>
      <c r="F87" s="19"/>
      <c r="G87" s="2"/>
      <c r="H87" s="2">
        <f>-103.4</f>
        <v>-103.4</v>
      </c>
      <c r="I87" s="2"/>
      <c r="J87" s="19"/>
      <c r="K87" s="2"/>
      <c r="L87" s="2">
        <f t="shared" si="0"/>
        <v>33.47</v>
      </c>
      <c r="M87" s="2"/>
      <c r="N87" s="19">
        <f t="shared" si="1"/>
        <v>-0.3236943907156673</v>
      </c>
      <c r="O87" s="11"/>
      <c r="P87" s="2">
        <f>-69.93</f>
        <v>-69.930000000000007</v>
      </c>
      <c r="Q87" s="2"/>
      <c r="R87" s="19"/>
      <c r="S87" s="2"/>
      <c r="T87" s="2">
        <f>-220.06</f>
        <v>-220.06</v>
      </c>
      <c r="U87" s="2"/>
      <c r="V87" s="19"/>
      <c r="W87" s="2"/>
      <c r="X87" s="2">
        <f t="shared" si="2"/>
        <v>150.13</v>
      </c>
      <c r="Y87" s="2"/>
      <c r="Z87" s="19">
        <f t="shared" si="3"/>
        <v>-0.68222303008270468</v>
      </c>
    </row>
    <row r="88" spans="1:26" s="24" customFormat="1" hidden="1" outlineLevel="1" x14ac:dyDescent="0.25">
      <c r="A88" s="44"/>
      <c r="B88" s="11" t="str">
        <f>CONCATENATE("          ", "4214", " - ", "SALES RETURN TAXABLE-REMAINDER")</f>
        <v xml:space="preserve">          4214 - SALES RETURN TAXABLE-REMAINDER</v>
      </c>
      <c r="C88" s="11"/>
      <c r="D88" s="2">
        <f t="shared" ref="D88:D92" si="16">0</f>
        <v>0</v>
      </c>
      <c r="E88" s="2"/>
      <c r="F88" s="19"/>
      <c r="G88" s="2"/>
      <c r="H88" s="2">
        <f t="shared" ref="H88:H90" si="17">0</f>
        <v>0</v>
      </c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 t="shared" ref="P88:P91" si="18">0</f>
        <v>0</v>
      </c>
      <c r="Q88" s="2"/>
      <c r="R88" s="19"/>
      <c r="S88" s="2"/>
      <c r="T88" s="2">
        <f>-11.94</f>
        <v>-11.94</v>
      </c>
      <c r="U88" s="2"/>
      <c r="V88" s="19"/>
      <c r="W88" s="2"/>
      <c r="X88" s="2">
        <f t="shared" si="2"/>
        <v>11.94</v>
      </c>
      <c r="Y88" s="2"/>
      <c r="Z88" s="19">
        <f t="shared" si="3"/>
        <v>-1</v>
      </c>
    </row>
    <row r="89" spans="1:26" s="24" customFormat="1" hidden="1" outlineLevel="1" x14ac:dyDescent="0.25">
      <c r="A89" s="44"/>
      <c r="B89" s="11" t="str">
        <f>CONCATENATE("          ", "4217", " - ", "NON-TAXABLE SALES-DORM/HOUSEWA")</f>
        <v xml:space="preserve">          4217 - NON-TAXABLE SALES-DORM/HOUSEWA</v>
      </c>
      <c r="C89" s="11"/>
      <c r="D89" s="2">
        <f t="shared" si="16"/>
        <v>0</v>
      </c>
      <c r="E89" s="2"/>
      <c r="F89" s="19"/>
      <c r="G89" s="2"/>
      <c r="H89" s="2">
        <f t="shared" si="17"/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 t="shared" si="18"/>
        <v>0</v>
      </c>
      <c r="Q89" s="2"/>
      <c r="R89" s="19"/>
      <c r="S89" s="2"/>
      <c r="T89" s="2">
        <f>-2.98</f>
        <v>-2.98</v>
      </c>
      <c r="U89" s="2"/>
      <c r="V89" s="19"/>
      <c r="W89" s="2"/>
      <c r="X89" s="2">
        <f t="shared" si="2"/>
        <v>2.98</v>
      </c>
      <c r="Y89" s="2"/>
      <c r="Z89" s="19">
        <f t="shared" si="3"/>
        <v>-1</v>
      </c>
    </row>
    <row r="90" spans="1:26" s="24" customFormat="1" hidden="1" outlineLevel="1" x14ac:dyDescent="0.25">
      <c r="A90" s="44"/>
      <c r="B90" s="11" t="str">
        <f>CONCATENATE("          ", "4218", " - ", "SALES RETURN TAXABLE-STUDY GUI")</f>
        <v xml:space="preserve">          4218 - SALES RETURN TAXABLE-STUDY GUI</v>
      </c>
      <c r="C90" s="11"/>
      <c r="D90" s="2">
        <f t="shared" si="16"/>
        <v>0</v>
      </c>
      <c r="E90" s="2"/>
      <c r="F90" s="19"/>
      <c r="G90" s="2"/>
      <c r="H90" s="2">
        <f t="shared" si="17"/>
        <v>0</v>
      </c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1"/>
      <c r="P90" s="2">
        <f t="shared" si="18"/>
        <v>0</v>
      </c>
      <c r="Q90" s="2"/>
      <c r="R90" s="19"/>
      <c r="S90" s="2"/>
      <c r="T90" s="2">
        <f>-39.25</f>
        <v>-39.25</v>
      </c>
      <c r="U90" s="2"/>
      <c r="V90" s="19"/>
      <c r="W90" s="2"/>
      <c r="X90" s="2">
        <f t="shared" si="2"/>
        <v>39.25</v>
      </c>
      <c r="Y90" s="2"/>
      <c r="Z90" s="19">
        <f t="shared" si="3"/>
        <v>-1</v>
      </c>
    </row>
    <row r="91" spans="1:26" s="24" customFormat="1" hidden="1" outlineLevel="1" x14ac:dyDescent="0.25">
      <c r="A91" s="44"/>
      <c r="B91" s="11" t="str">
        <f>CONCATENATE("          ", "4225", " - ", "SALES RETURN TAXABLE-TEST FORM")</f>
        <v xml:space="preserve">          4225 - SALES RETURN TAXABLE-TEST FORM</v>
      </c>
      <c r="C91" s="11"/>
      <c r="D91" s="2">
        <f t="shared" si="16"/>
        <v>0</v>
      </c>
      <c r="E91" s="2"/>
      <c r="F91" s="19"/>
      <c r="G91" s="2"/>
      <c r="H91" s="2">
        <f>-72.54</f>
        <v>-72.540000000000006</v>
      </c>
      <c r="I91" s="2"/>
      <c r="J91" s="19"/>
      <c r="K91" s="2"/>
      <c r="L91" s="2">
        <f t="shared" si="0"/>
        <v>72.540000000000006</v>
      </c>
      <c r="M91" s="2"/>
      <c r="N91" s="19">
        <f t="shared" si="1"/>
        <v>-1</v>
      </c>
      <c r="O91" s="11"/>
      <c r="P91" s="2">
        <f t="shared" si="18"/>
        <v>0</v>
      </c>
      <c r="Q91" s="2"/>
      <c r="R91" s="19"/>
      <c r="S91" s="2"/>
      <c r="T91" s="2">
        <f>-168.25</f>
        <v>-168.25</v>
      </c>
      <c r="U91" s="2"/>
      <c r="V91" s="19"/>
      <c r="W91" s="2"/>
      <c r="X91" s="2">
        <f t="shared" si="2"/>
        <v>168.25</v>
      </c>
      <c r="Y91" s="2"/>
      <c r="Z91" s="19">
        <f t="shared" si="3"/>
        <v>-1</v>
      </c>
    </row>
    <row r="92" spans="1:26" s="24" customFormat="1" hidden="1" outlineLevel="1" x14ac:dyDescent="0.25">
      <c r="A92" s="44"/>
      <c r="B92" s="11" t="str">
        <f>CONCATENATE("          ", "4226", " - ", "SALES RETURN TAXABLE-WRITING I")</f>
        <v xml:space="preserve">          4226 - SALES RETURN TAXABLE-WRITING I</v>
      </c>
      <c r="C92" s="11"/>
      <c r="D92" s="2">
        <f t="shared" si="16"/>
        <v>0</v>
      </c>
      <c r="E92" s="2"/>
      <c r="F92" s="19"/>
      <c r="G92" s="2"/>
      <c r="H92" s="2">
        <f>-72.88</f>
        <v>-72.88</v>
      </c>
      <c r="I92" s="2"/>
      <c r="J92" s="19"/>
      <c r="K92" s="2"/>
      <c r="L92" s="2">
        <f t="shared" si="0"/>
        <v>72.88</v>
      </c>
      <c r="M92" s="2"/>
      <c r="N92" s="19">
        <f t="shared" si="1"/>
        <v>-1</v>
      </c>
      <c r="O92" s="11"/>
      <c r="P92" s="2">
        <f>-34.23</f>
        <v>-34.229999999999997</v>
      </c>
      <c r="Q92" s="2"/>
      <c r="R92" s="19"/>
      <c r="S92" s="2"/>
      <c r="T92" s="2">
        <f>-753.79</f>
        <v>-753.79</v>
      </c>
      <c r="U92" s="2"/>
      <c r="V92" s="19"/>
      <c r="W92" s="2"/>
      <c r="X92" s="2">
        <f t="shared" si="2"/>
        <v>719.56</v>
      </c>
      <c r="Y92" s="2"/>
      <c r="Z92" s="19">
        <f t="shared" si="3"/>
        <v>-0.95458947452208176</v>
      </c>
    </row>
    <row r="93" spans="1:26" s="24" customFormat="1" hidden="1" outlineLevel="1" x14ac:dyDescent="0.25">
      <c r="A93" s="44"/>
      <c r="B93" s="11" t="str">
        <f>CONCATENATE("          ", "4227", " - ", "SALES RETURN TAXABLE-SCHOOL SU")</f>
        <v xml:space="preserve">          4227 - SALES RETURN TAXABLE-SCHOOL SU</v>
      </c>
      <c r="C93" s="11"/>
      <c r="D93" s="2">
        <f>-19.05</f>
        <v>-19.05</v>
      </c>
      <c r="E93" s="2"/>
      <c r="F93" s="19"/>
      <c r="G93" s="2"/>
      <c r="H93" s="2">
        <f>-703.56</f>
        <v>-703.56</v>
      </c>
      <c r="I93" s="2"/>
      <c r="J93" s="19"/>
      <c r="K93" s="2"/>
      <c r="L93" s="2">
        <f t="shared" si="0"/>
        <v>684.51</v>
      </c>
      <c r="M93" s="2"/>
      <c r="N93" s="19">
        <f t="shared" si="1"/>
        <v>-0.9729234180453693</v>
      </c>
      <c r="O93" s="11"/>
      <c r="P93" s="2">
        <f>-781.73</f>
        <v>-781.73</v>
      </c>
      <c r="Q93" s="2"/>
      <c r="R93" s="19"/>
      <c r="S93" s="2"/>
      <c r="T93" s="2">
        <f>-7614.42</f>
        <v>-7614.42</v>
      </c>
      <c r="U93" s="2"/>
      <c r="V93" s="19"/>
      <c r="W93" s="2"/>
      <c r="X93" s="2">
        <f t="shared" si="2"/>
        <v>6832.6900000000005</v>
      </c>
      <c r="Y93" s="2"/>
      <c r="Z93" s="19">
        <f t="shared" si="3"/>
        <v>-0.89733558169893446</v>
      </c>
    </row>
    <row r="94" spans="1:26" s="24" customFormat="1" hidden="1" outlineLevel="1" x14ac:dyDescent="0.25">
      <c r="A94" s="44"/>
      <c r="B94" s="11" t="str">
        <f>CONCATENATE("          ", "4228", " - ", "SALES RETURN TAXABLE-ART/TECH")</f>
        <v xml:space="preserve">          4228 - SALES RETURN TAXABLE-ART/TECH</v>
      </c>
      <c r="C94" s="11"/>
      <c r="D94" s="2">
        <f>-10.71</f>
        <v>-10.71</v>
      </c>
      <c r="E94" s="2"/>
      <c r="F94" s="19"/>
      <c r="G94" s="2"/>
      <c r="H94" s="2">
        <f>-685.23</f>
        <v>-685.23</v>
      </c>
      <c r="I94" s="2"/>
      <c r="J94" s="19"/>
      <c r="K94" s="2"/>
      <c r="L94" s="2">
        <f t="shared" si="0"/>
        <v>674.52</v>
      </c>
      <c r="M94" s="2"/>
      <c r="N94" s="19">
        <f t="shared" si="1"/>
        <v>-0.98437021146184489</v>
      </c>
      <c r="O94" s="11"/>
      <c r="P94" s="2">
        <f>-12739.24</f>
        <v>-12739.24</v>
      </c>
      <c r="Q94" s="2"/>
      <c r="R94" s="19"/>
      <c r="S94" s="2"/>
      <c r="T94" s="2">
        <f>-4599.92</f>
        <v>-4599.92</v>
      </c>
      <c r="U94" s="2"/>
      <c r="V94" s="19"/>
      <c r="W94" s="2"/>
      <c r="X94" s="2">
        <f t="shared" si="2"/>
        <v>-8139.32</v>
      </c>
      <c r="Y94" s="2"/>
      <c r="Z94" s="19">
        <f t="shared" si="3"/>
        <v>1.769448164315901</v>
      </c>
    </row>
    <row r="95" spans="1:26" s="24" customFormat="1" hidden="1" outlineLevel="1" x14ac:dyDescent="0.25">
      <c r="A95" s="44"/>
      <c r="B95" s="11" t="str">
        <f>CONCATENATE("          ", "4233", " - ", "SALES RETURN TAXABLE-CANDY")</f>
        <v xml:space="preserve">          4233 - SALES RETURN TAXABLE-CANDY</v>
      </c>
      <c r="C95" s="11"/>
      <c r="D95" s="2">
        <f>0</f>
        <v>0</v>
      </c>
      <c r="E95" s="2"/>
      <c r="F95" s="19"/>
      <c r="G95" s="2"/>
      <c r="H95" s="2">
        <f>0</f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0</f>
        <v>0</v>
      </c>
      <c r="Q95" s="2"/>
      <c r="R95" s="19"/>
      <c r="S95" s="2"/>
      <c r="T95" s="2">
        <f>-1.29</f>
        <v>-1.29</v>
      </c>
      <c r="U95" s="2"/>
      <c r="V95" s="19"/>
      <c r="W95" s="2"/>
      <c r="X95" s="2">
        <f t="shared" si="2"/>
        <v>1.29</v>
      </c>
      <c r="Y95" s="2"/>
      <c r="Z95" s="19">
        <f t="shared" si="3"/>
        <v>-1</v>
      </c>
    </row>
    <row r="96" spans="1:26" s="24" customFormat="1" hidden="1" outlineLevel="1" x14ac:dyDescent="0.25">
      <c r="A96" s="44"/>
      <c r="B96" s="11" t="str">
        <f>CONCATENATE("          ", "4240", " - ", "SALES RETURN TAXABLE-LOGO CLOT")</f>
        <v xml:space="preserve">          4240 - SALES RETURN TAXABLE-LOGO CLOT</v>
      </c>
      <c r="C96" s="11"/>
      <c r="D96" s="2">
        <f>-3542.64</f>
        <v>-3542.64</v>
      </c>
      <c r="E96" s="2"/>
      <c r="F96" s="19"/>
      <c r="G96" s="2"/>
      <c r="H96" s="2">
        <f>-8202.92</f>
        <v>-8202.92</v>
      </c>
      <c r="I96" s="2"/>
      <c r="J96" s="19"/>
      <c r="K96" s="2"/>
      <c r="L96" s="2">
        <f t="shared" si="0"/>
        <v>4660.2800000000007</v>
      </c>
      <c r="M96" s="2"/>
      <c r="N96" s="19">
        <f t="shared" si="1"/>
        <v>-0.568124521511852</v>
      </c>
      <c r="O96" s="11"/>
      <c r="P96" s="2">
        <f>-31129.51</f>
        <v>-31129.51</v>
      </c>
      <c r="Q96" s="2"/>
      <c r="R96" s="19"/>
      <c r="S96" s="2"/>
      <c r="T96" s="2">
        <f>-69811.67</f>
        <v>-69811.67</v>
      </c>
      <c r="U96" s="2"/>
      <c r="V96" s="19"/>
      <c r="W96" s="2"/>
      <c r="X96" s="2">
        <f t="shared" si="2"/>
        <v>38682.160000000003</v>
      </c>
      <c r="Y96" s="2"/>
      <c r="Z96" s="19">
        <f t="shared" si="3"/>
        <v>-0.55409303344268956</v>
      </c>
    </row>
    <row r="97" spans="1:26" s="24" customFormat="1" hidden="1" outlineLevel="1" x14ac:dyDescent="0.25">
      <c r="A97" s="44"/>
      <c r="B97" s="11" t="str">
        <f>CONCATENATE("          ", "4241", " - ", "SALES RETURN TAXABLE-LOGO GIFT")</f>
        <v xml:space="preserve">          4241 - SALES RETURN TAXABLE-LOGO GIFT</v>
      </c>
      <c r="C97" s="11"/>
      <c r="D97" s="2">
        <f>-338.05</f>
        <v>-338.05</v>
      </c>
      <c r="E97" s="2"/>
      <c r="F97" s="19"/>
      <c r="G97" s="2"/>
      <c r="H97" s="2">
        <f>-972.77</f>
        <v>-972.77</v>
      </c>
      <c r="I97" s="2"/>
      <c r="J97" s="19"/>
      <c r="K97" s="2"/>
      <c r="L97" s="2">
        <f t="shared" si="0"/>
        <v>634.72</v>
      </c>
      <c r="M97" s="2"/>
      <c r="N97" s="19">
        <f t="shared" si="1"/>
        <v>-0.65248722719656238</v>
      </c>
      <c r="O97" s="11"/>
      <c r="P97" s="2">
        <f>-5295.52</f>
        <v>-5295.52</v>
      </c>
      <c r="Q97" s="2"/>
      <c r="R97" s="19"/>
      <c r="S97" s="2"/>
      <c r="T97" s="2">
        <f>-5926.98</f>
        <v>-5926.98</v>
      </c>
      <c r="U97" s="2"/>
      <c r="V97" s="19"/>
      <c r="W97" s="2"/>
      <c r="X97" s="2">
        <f t="shared" si="2"/>
        <v>631.45999999999913</v>
      </c>
      <c r="Y97" s="2"/>
      <c r="Z97" s="19">
        <f t="shared" si="3"/>
        <v>-0.10653992421098084</v>
      </c>
    </row>
    <row r="98" spans="1:26" s="24" customFormat="1" hidden="1" outlineLevel="1" x14ac:dyDescent="0.25">
      <c r="A98" s="44"/>
      <c r="B98" s="11" t="str">
        <f>CONCATENATE("          ", "4242", " - ", "SALES RETURN TAXABLE-EVERYDAY")</f>
        <v xml:space="preserve">          4242 - SALES RETURN TAXABLE-EVERYDAY</v>
      </c>
      <c r="C98" s="11"/>
      <c r="D98" s="2">
        <f>-44.96</f>
        <v>-44.96</v>
      </c>
      <c r="E98" s="2"/>
      <c r="F98" s="19"/>
      <c r="G98" s="2"/>
      <c r="H98" s="2">
        <f>-349.75</f>
        <v>-349.75</v>
      </c>
      <c r="I98" s="2"/>
      <c r="J98" s="19"/>
      <c r="K98" s="2"/>
      <c r="L98" s="2">
        <f t="shared" si="0"/>
        <v>304.79000000000002</v>
      </c>
      <c r="M98" s="2"/>
      <c r="N98" s="19">
        <f t="shared" si="1"/>
        <v>-0.87145103645461053</v>
      </c>
      <c r="O98" s="11"/>
      <c r="P98" s="2">
        <f>-1738.74</f>
        <v>-1738.74</v>
      </c>
      <c r="Q98" s="2"/>
      <c r="R98" s="19"/>
      <c r="S98" s="2"/>
      <c r="T98" s="2">
        <f>-3894.08</f>
        <v>-3894.08</v>
      </c>
      <c r="U98" s="2"/>
      <c r="V98" s="19"/>
      <c r="W98" s="2"/>
      <c r="X98" s="2">
        <f t="shared" si="2"/>
        <v>2155.34</v>
      </c>
      <c r="Y98" s="2"/>
      <c r="Z98" s="19">
        <f t="shared" si="3"/>
        <v>-0.55349145369381214</v>
      </c>
    </row>
    <row r="99" spans="1:26" s="24" customFormat="1" hidden="1" outlineLevel="1" x14ac:dyDescent="0.25">
      <c r="A99" s="44"/>
      <c r="B99" s="11" t="str">
        <f>CONCATENATE("          ", "4243", " - ", "SALES RETURN TAXABLE-CARDS")</f>
        <v xml:space="preserve">          4243 - SALES RETURN TAXABLE-CARDS</v>
      </c>
      <c r="C99" s="11"/>
      <c r="D99" s="2">
        <f>-369.81</f>
        <v>-369.81</v>
      </c>
      <c r="E99" s="2"/>
      <c r="F99" s="19"/>
      <c r="G99" s="2"/>
      <c r="H99" s="2">
        <f>-1609.18</f>
        <v>-1609.18</v>
      </c>
      <c r="I99" s="2"/>
      <c r="J99" s="19"/>
      <c r="K99" s="2"/>
      <c r="L99" s="2">
        <f t="shared" si="0"/>
        <v>1239.3700000000001</v>
      </c>
      <c r="M99" s="2"/>
      <c r="N99" s="19">
        <f t="shared" si="1"/>
        <v>-0.77018730036416072</v>
      </c>
      <c r="O99" s="11"/>
      <c r="P99" s="2">
        <f>-5369.6</f>
        <v>-5369.6</v>
      </c>
      <c r="Q99" s="2"/>
      <c r="R99" s="19"/>
      <c r="S99" s="2"/>
      <c r="T99" s="2">
        <f>-2833.39</f>
        <v>-2833.39</v>
      </c>
      <c r="U99" s="2"/>
      <c r="V99" s="19"/>
      <c r="W99" s="2"/>
      <c r="X99" s="2">
        <f t="shared" si="2"/>
        <v>-2536.2100000000005</v>
      </c>
      <c r="Y99" s="2"/>
      <c r="Z99" s="19">
        <f t="shared" si="3"/>
        <v>0.89511503887569333</v>
      </c>
    </row>
    <row r="100" spans="1:26" s="24" customFormat="1" hidden="1" outlineLevel="1" x14ac:dyDescent="0.25">
      <c r="A100" s="44"/>
      <c r="B100" s="11" t="str">
        <f>CONCATENATE("          ", "4244", " - ", "SALES RETURN TAXABLE-ACCESSORI")</f>
        <v xml:space="preserve">          4244 - SALES RETURN TAXABLE-ACCESSORI</v>
      </c>
      <c r="C100" s="11"/>
      <c r="D100" s="2">
        <f>-9.99</f>
        <v>-9.99</v>
      </c>
      <c r="E100" s="2"/>
      <c r="F100" s="19"/>
      <c r="G100" s="2"/>
      <c r="H100" s="2">
        <f>-328.75</f>
        <v>-328.75</v>
      </c>
      <c r="I100" s="2"/>
      <c r="J100" s="19"/>
      <c r="K100" s="2"/>
      <c r="L100" s="2">
        <f t="shared" si="0"/>
        <v>318.76</v>
      </c>
      <c r="M100" s="2"/>
      <c r="N100" s="19">
        <f t="shared" si="1"/>
        <v>-0.96961216730038025</v>
      </c>
      <c r="O100" s="11"/>
      <c r="P100" s="2">
        <f>-994.84</f>
        <v>-994.84</v>
      </c>
      <c r="Q100" s="2"/>
      <c r="R100" s="19"/>
      <c r="S100" s="2"/>
      <c r="T100" s="2">
        <f>-2430.8</f>
        <v>-2430.8000000000002</v>
      </c>
      <c r="U100" s="2"/>
      <c r="V100" s="19"/>
      <c r="W100" s="2"/>
      <c r="X100" s="2">
        <f t="shared" si="2"/>
        <v>1435.96</v>
      </c>
      <c r="Y100" s="2"/>
      <c r="Z100" s="19">
        <f t="shared" si="3"/>
        <v>-0.59073556030936314</v>
      </c>
    </row>
    <row r="101" spans="1:26" s="24" customFormat="1" hidden="1" outlineLevel="1" x14ac:dyDescent="0.25">
      <c r="A101" s="44"/>
      <c r="B101" s="11" t="str">
        <f>CONCATENATE("          ", "4245", " - ", "SALES RETURN TAXABLE-SPECIAL O")</f>
        <v xml:space="preserve">          4245 - SALES RETURN TAXABLE-SPECIAL O</v>
      </c>
      <c r="C101" s="11"/>
      <c r="D101" s="2">
        <f>-7.98</f>
        <v>-7.98</v>
      </c>
      <c r="E101" s="2"/>
      <c r="F101" s="19"/>
      <c r="G101" s="2"/>
      <c r="H101" s="2">
        <f>0</f>
        <v>0</v>
      </c>
      <c r="I101" s="2"/>
      <c r="J101" s="19"/>
      <c r="K101" s="2"/>
      <c r="L101" s="2">
        <f t="shared" si="0"/>
        <v>-7.98</v>
      </c>
      <c r="M101" s="2"/>
      <c r="N101" s="19">
        <f t="shared" si="1"/>
        <v>0</v>
      </c>
      <c r="O101" s="11"/>
      <c r="P101" s="2">
        <f>-11353.59</f>
        <v>-11353.59</v>
      </c>
      <c r="Q101" s="2"/>
      <c r="R101" s="19"/>
      <c r="S101" s="2"/>
      <c r="T101" s="2">
        <f>-1715.05</f>
        <v>-1715.05</v>
      </c>
      <c r="U101" s="2"/>
      <c r="V101" s="19"/>
      <c r="W101" s="2"/>
      <c r="X101" s="2">
        <f t="shared" si="2"/>
        <v>-9638.5400000000009</v>
      </c>
      <c r="Y101" s="2"/>
      <c r="Z101" s="19">
        <f t="shared" si="3"/>
        <v>5.6199760939914292</v>
      </c>
    </row>
    <row r="102" spans="1:26" s="24" customFormat="1" hidden="1" outlineLevel="1" x14ac:dyDescent="0.25">
      <c r="A102" s="44"/>
      <c r="B102" s="11" t="str">
        <f>CONCATENATE("          ", "4281", " - ", "SALES RETURN TAXABLE-ELECTRONI")</f>
        <v xml:space="preserve">          4281 - SALES RETURN TAXABLE-ELECTRONI</v>
      </c>
      <c r="C102" s="11"/>
      <c r="D102" s="2">
        <f>0</f>
        <v>0</v>
      </c>
      <c r="E102" s="2"/>
      <c r="F102" s="19"/>
      <c r="G102" s="2"/>
      <c r="H102" s="2">
        <f>-1117.89</f>
        <v>-1117.8900000000001</v>
      </c>
      <c r="I102" s="2"/>
      <c r="J102" s="19"/>
      <c r="K102" s="2"/>
      <c r="L102" s="2">
        <f t="shared" si="0"/>
        <v>1117.8900000000001</v>
      </c>
      <c r="M102" s="2"/>
      <c r="N102" s="19">
        <f t="shared" si="1"/>
        <v>-1</v>
      </c>
      <c r="O102" s="11"/>
      <c r="P102" s="2">
        <f>-14762.14</f>
        <v>-14762.14</v>
      </c>
      <c r="Q102" s="2"/>
      <c r="R102" s="19"/>
      <c r="S102" s="2"/>
      <c r="T102" s="2">
        <f>-7622.7</f>
        <v>-7622.7</v>
      </c>
      <c r="U102" s="2"/>
      <c r="V102" s="19"/>
      <c r="W102" s="2"/>
      <c r="X102" s="2">
        <f t="shared" si="2"/>
        <v>-7139.44</v>
      </c>
      <c r="Y102" s="2"/>
      <c r="Z102" s="19">
        <f t="shared" si="3"/>
        <v>0.93660251616881152</v>
      </c>
    </row>
    <row r="103" spans="1:26" s="24" customFormat="1" hidden="1" outlineLevel="1" x14ac:dyDescent="0.25">
      <c r="A103" s="44"/>
      <c r="B103" s="11" t="str">
        <f>CONCATENATE("          ", "4282", " - ", "SALES RETURN TAXABLE-COMPUTER")</f>
        <v xml:space="preserve">          4282 - SALES RETURN TAXABLE-COMPUTER</v>
      </c>
      <c r="C103" s="11"/>
      <c r="D103" s="2">
        <f>-32711.15</f>
        <v>-32711.15</v>
      </c>
      <c r="E103" s="2"/>
      <c r="F103" s="19"/>
      <c r="G103" s="2"/>
      <c r="H103" s="2">
        <f>-4341.94</f>
        <v>-4341.9399999999996</v>
      </c>
      <c r="I103" s="2"/>
      <c r="J103" s="19"/>
      <c r="K103" s="2"/>
      <c r="L103" s="2">
        <f t="shared" si="0"/>
        <v>-28369.210000000003</v>
      </c>
      <c r="M103" s="2"/>
      <c r="N103" s="19">
        <f t="shared" si="1"/>
        <v>6.5337637093096648</v>
      </c>
      <c r="O103" s="11"/>
      <c r="P103" s="2">
        <f>-129628.16</f>
        <v>-129628.16</v>
      </c>
      <c r="Q103" s="2"/>
      <c r="R103" s="19"/>
      <c r="S103" s="2"/>
      <c r="T103" s="2">
        <f>-207225.13</f>
        <v>-207225.13</v>
      </c>
      <c r="U103" s="2"/>
      <c r="V103" s="19"/>
      <c r="W103" s="2"/>
      <c r="X103" s="2">
        <f t="shared" si="2"/>
        <v>77596.97</v>
      </c>
      <c r="Y103" s="2"/>
      <c r="Z103" s="19">
        <f t="shared" si="3"/>
        <v>-0.37445733536275255</v>
      </c>
    </row>
    <row r="104" spans="1:26" s="24" customFormat="1" hidden="1" outlineLevel="1" x14ac:dyDescent="0.25">
      <c r="A104" s="44"/>
      <c r="B104" s="11" t="str">
        <f>CONCATENATE("          ", "4283", " - ", "SALES RETURN TAXABLE-COMPUTER")</f>
        <v xml:space="preserve">          4283 - SALES RETURN TAXABLE-COMPUTER</v>
      </c>
      <c r="C104" s="11"/>
      <c r="D104" s="2">
        <f>-212.99</f>
        <v>-212.99</v>
      </c>
      <c r="E104" s="2"/>
      <c r="F104" s="19"/>
      <c r="G104" s="2"/>
      <c r="H104" s="2">
        <f>-910.69</f>
        <v>-910.69</v>
      </c>
      <c r="I104" s="2"/>
      <c r="J104" s="19"/>
      <c r="K104" s="2"/>
      <c r="L104" s="2">
        <f t="shared" si="0"/>
        <v>697.7</v>
      </c>
      <c r="M104" s="2"/>
      <c r="N104" s="19">
        <f t="shared" si="1"/>
        <v>-0.76612239071473276</v>
      </c>
      <c r="O104" s="11"/>
      <c r="P104" s="2">
        <f>-3359.28</f>
        <v>-3359.28</v>
      </c>
      <c r="Q104" s="2"/>
      <c r="R104" s="19"/>
      <c r="S104" s="2"/>
      <c r="T104" s="2">
        <f>-5825.41</f>
        <v>-5825.41</v>
      </c>
      <c r="U104" s="2"/>
      <c r="V104" s="19"/>
      <c r="W104" s="2"/>
      <c r="X104" s="2">
        <f t="shared" si="2"/>
        <v>2466.1299999999997</v>
      </c>
      <c r="Y104" s="2"/>
      <c r="Z104" s="19">
        <f t="shared" si="3"/>
        <v>-0.42334015974841249</v>
      </c>
    </row>
    <row r="105" spans="1:26" s="24" customFormat="1" hidden="1" outlineLevel="1" x14ac:dyDescent="0.25">
      <c r="A105" s="44"/>
      <c r="B105" s="11" t="str">
        <f>CONCATENATE("          ", "4284", " - ", "SALES RETURN TAXABLE-SOFTWARE")</f>
        <v xml:space="preserve">          4284 - SALES RETURN TAXABLE-SOFTWARE</v>
      </c>
      <c r="C105" s="11"/>
      <c r="D105" s="2">
        <f>0</f>
        <v>0</v>
      </c>
      <c r="E105" s="2"/>
      <c r="F105" s="19"/>
      <c r="G105" s="2"/>
      <c r="H105" s="2">
        <f>0</f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0</f>
        <v>0</v>
      </c>
      <c r="Q105" s="2"/>
      <c r="R105" s="19"/>
      <c r="S105" s="2"/>
      <c r="T105" s="2">
        <f>-129</f>
        <v>-129</v>
      </c>
      <c r="U105" s="2"/>
      <c r="V105" s="19"/>
      <c r="W105" s="2"/>
      <c r="X105" s="2">
        <f t="shared" si="2"/>
        <v>129</v>
      </c>
      <c r="Y105" s="2"/>
      <c r="Z105" s="19">
        <f t="shared" si="3"/>
        <v>-1</v>
      </c>
    </row>
    <row r="106" spans="1:26" s="24" customFormat="1" hidden="1" outlineLevel="1" x14ac:dyDescent="0.25">
      <c r="A106" s="44"/>
      <c r="B106" s="11" t="str">
        <f>CONCATENATE("          ", "4285", " - ", "SALES RETURN TAXABLE-SOFTWARE")</f>
        <v xml:space="preserve">          4285 - SALES RETURN TAXABLE-SOFTWARE</v>
      </c>
      <c r="C106" s="11"/>
      <c r="D106" s="2">
        <f>-149.99</f>
        <v>-149.99</v>
      </c>
      <c r="E106" s="2"/>
      <c r="F106" s="19"/>
      <c r="G106" s="2"/>
      <c r="H106" s="2">
        <f>-149.99</f>
        <v>-149.99</v>
      </c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-841.97</f>
        <v>-841.97</v>
      </c>
      <c r="Q106" s="2"/>
      <c r="R106" s="19"/>
      <c r="S106" s="2"/>
      <c r="T106" s="2">
        <f>-805.97</f>
        <v>-805.97</v>
      </c>
      <c r="U106" s="2"/>
      <c r="V106" s="19"/>
      <c r="W106" s="2"/>
      <c r="X106" s="2">
        <f t="shared" si="2"/>
        <v>-36</v>
      </c>
      <c r="Y106" s="2"/>
      <c r="Z106" s="19">
        <f t="shared" si="3"/>
        <v>4.4666674938273136E-2</v>
      </c>
    </row>
    <row r="107" spans="1:26" s="24" customFormat="1" hidden="1" outlineLevel="1" x14ac:dyDescent="0.25">
      <c r="A107" s="44"/>
      <c r="B107" s="11" t="str">
        <f>CONCATENATE("          ", "4286", " - ", "SALES RETURN TAXABLE-COMPUTER")</f>
        <v xml:space="preserve">          4286 - SALES RETURN TAXABLE-COMPUTER</v>
      </c>
      <c r="C107" s="11"/>
      <c r="D107" s="2">
        <f>-34.97</f>
        <v>-34.97</v>
      </c>
      <c r="E107" s="2"/>
      <c r="F107" s="19"/>
      <c r="G107" s="2"/>
      <c r="H107" s="2">
        <f>-290.88</f>
        <v>-290.88</v>
      </c>
      <c r="I107" s="2"/>
      <c r="J107" s="19"/>
      <c r="K107" s="2"/>
      <c r="L107" s="2">
        <f t="shared" si="0"/>
        <v>255.91</v>
      </c>
      <c r="M107" s="2"/>
      <c r="N107" s="19">
        <f t="shared" si="1"/>
        <v>-0.87977860286028609</v>
      </c>
      <c r="O107" s="11"/>
      <c r="P107" s="2">
        <f>-4762.31</f>
        <v>-4762.3100000000004</v>
      </c>
      <c r="Q107" s="2"/>
      <c r="R107" s="19"/>
      <c r="S107" s="2"/>
      <c r="T107" s="2">
        <f>-3582.89</f>
        <v>-3582.89</v>
      </c>
      <c r="U107" s="2"/>
      <c r="V107" s="19"/>
      <c r="W107" s="2"/>
      <c r="X107" s="2">
        <f t="shared" si="2"/>
        <v>-1179.4200000000005</v>
      </c>
      <c r="Y107" s="2"/>
      <c r="Z107" s="19">
        <f t="shared" si="3"/>
        <v>0.32918119171953381</v>
      </c>
    </row>
    <row r="108" spans="1:26" s="24" customFormat="1" hidden="1" outlineLevel="1" x14ac:dyDescent="0.25">
      <c r="A108" s="44"/>
      <c r="B108" s="11" t="str">
        <f>CONCATENATE("          ", "4288", " - ", "TAXABLE SALES RETURN-MUSIC")</f>
        <v xml:space="preserve">          4288 - TAXABLE SALES RETURN-MUSIC</v>
      </c>
      <c r="C108" s="11"/>
      <c r="D108" s="2">
        <f t="shared" ref="D108:D110" si="19">0</f>
        <v>0</v>
      </c>
      <c r="E108" s="2"/>
      <c r="F108" s="19"/>
      <c r="G108" s="2"/>
      <c r="H108" s="2">
        <f t="shared" ref="H108:H113" si="20">0</f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 t="shared" ref="P108:P110" si="21">0</f>
        <v>0</v>
      </c>
      <c r="Q108" s="2"/>
      <c r="R108" s="19"/>
      <c r="S108" s="2"/>
      <c r="T108" s="2">
        <f>-3.99</f>
        <v>-3.99</v>
      </c>
      <c r="U108" s="2"/>
      <c r="V108" s="19"/>
      <c r="W108" s="2"/>
      <c r="X108" s="2">
        <f t="shared" si="2"/>
        <v>3.99</v>
      </c>
      <c r="Y108" s="2"/>
      <c r="Z108" s="19">
        <f t="shared" si="3"/>
        <v>-1</v>
      </c>
    </row>
    <row r="109" spans="1:26" s="24" customFormat="1" hidden="1" outlineLevel="1" x14ac:dyDescent="0.25">
      <c r="A109" s="44"/>
      <c r="B109" s="11" t="str">
        <f>CONCATENATE("          ", "4292", " - ", "SALES RETURN TAXABLE-GRAD MERC")</f>
        <v xml:space="preserve">          4292 - SALES RETURN TAXABLE-GRAD MERC</v>
      </c>
      <c r="C109" s="11"/>
      <c r="D109" s="2">
        <f t="shared" si="19"/>
        <v>0</v>
      </c>
      <c r="E109" s="2"/>
      <c r="F109" s="19"/>
      <c r="G109" s="2"/>
      <c r="H109" s="2">
        <f t="shared" si="20"/>
        <v>0</v>
      </c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 t="shared" si="21"/>
        <v>0</v>
      </c>
      <c r="Q109" s="2"/>
      <c r="R109" s="19"/>
      <c r="S109" s="2"/>
      <c r="T109" s="2">
        <f>-419.05</f>
        <v>-419.05</v>
      </c>
      <c r="U109" s="2"/>
      <c r="V109" s="19"/>
      <c r="W109" s="2"/>
      <c r="X109" s="2">
        <f t="shared" si="2"/>
        <v>419.05</v>
      </c>
      <c r="Y109" s="2"/>
      <c r="Z109" s="19">
        <f t="shared" si="3"/>
        <v>-1</v>
      </c>
    </row>
    <row r="110" spans="1:26" s="24" customFormat="1" hidden="1" outlineLevel="1" x14ac:dyDescent="0.25">
      <c r="A110" s="44"/>
      <c r="B110" s="11" t="str">
        <f>CONCATENATE("          ", "4295", " - ", "SALES RETURN TAXABLE-CUSTOMER")</f>
        <v xml:space="preserve">          4295 - SALES RETURN TAXABLE-CUSTOMER</v>
      </c>
      <c r="C110" s="11"/>
      <c r="D110" s="2">
        <f t="shared" si="19"/>
        <v>0</v>
      </c>
      <c r="E110" s="2"/>
      <c r="F110" s="19"/>
      <c r="G110" s="2"/>
      <c r="H110" s="2">
        <f t="shared" si="20"/>
        <v>0</v>
      </c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 t="shared" si="21"/>
        <v>0</v>
      </c>
      <c r="Q110" s="2"/>
      <c r="R110" s="19"/>
      <c r="S110" s="2"/>
      <c r="T110" s="2">
        <f>--0.99</f>
        <v>0.99</v>
      </c>
      <c r="U110" s="2"/>
      <c r="V110" s="19"/>
      <c r="W110" s="2"/>
      <c r="X110" s="2">
        <f t="shared" si="2"/>
        <v>-0.99</v>
      </c>
      <c r="Y110" s="2"/>
      <c r="Z110" s="19">
        <f t="shared" si="3"/>
        <v>-1</v>
      </c>
    </row>
    <row r="111" spans="1:26" s="24" customFormat="1" hidden="1" outlineLevel="1" x14ac:dyDescent="0.25">
      <c r="A111" s="44"/>
      <c r="B111" s="11" t="str">
        <f>CONCATENATE("          ", "4301", " - ", "SALES RETURN NON TAXABLE-NEW T")</f>
        <v xml:space="preserve">          4301 - SALES RETURN NON TAXABLE-NEW T</v>
      </c>
      <c r="C111" s="11"/>
      <c r="D111" s="2">
        <f>-231.5</f>
        <v>-231.5</v>
      </c>
      <c r="E111" s="2"/>
      <c r="F111" s="19"/>
      <c r="G111" s="2"/>
      <c r="H111" s="2">
        <f t="shared" si="20"/>
        <v>0</v>
      </c>
      <c r="I111" s="2"/>
      <c r="J111" s="19"/>
      <c r="K111" s="2"/>
      <c r="L111" s="2">
        <f t="shared" si="0"/>
        <v>-231.5</v>
      </c>
      <c r="M111" s="2"/>
      <c r="N111" s="19">
        <f t="shared" si="1"/>
        <v>0</v>
      </c>
      <c r="O111" s="11"/>
      <c r="P111" s="2">
        <f>-3237.29</f>
        <v>-3237.29</v>
      </c>
      <c r="Q111" s="2"/>
      <c r="R111" s="19"/>
      <c r="S111" s="2"/>
      <c r="T111" s="2">
        <f>-15221.62</f>
        <v>-15221.62</v>
      </c>
      <c r="U111" s="2"/>
      <c r="V111" s="19"/>
      <c r="W111" s="2"/>
      <c r="X111" s="2">
        <f t="shared" si="2"/>
        <v>11984.330000000002</v>
      </c>
      <c r="Y111" s="2"/>
      <c r="Z111" s="19">
        <f t="shared" si="3"/>
        <v>-0.78732289992786586</v>
      </c>
    </row>
    <row r="112" spans="1:26" s="24" customFormat="1" hidden="1" outlineLevel="1" x14ac:dyDescent="0.25">
      <c r="A112" s="44"/>
      <c r="B112" s="11" t="str">
        <f>CONCATENATE("          ", "4302", " - ", "SALES RETURN NON TAXABLE-TEXT")</f>
        <v xml:space="preserve">          4302 - SALES RETURN NON TAXABLE-TEXT</v>
      </c>
      <c r="C112" s="11"/>
      <c r="D112" s="2">
        <f>-70.32</f>
        <v>-70.319999999999993</v>
      </c>
      <c r="E112" s="2"/>
      <c r="F112" s="19"/>
      <c r="G112" s="2"/>
      <c r="H112" s="2">
        <f t="shared" si="20"/>
        <v>0</v>
      </c>
      <c r="I112" s="2"/>
      <c r="J112" s="19"/>
      <c r="K112" s="2"/>
      <c r="L112" s="2">
        <f t="shared" si="0"/>
        <v>-70.319999999999993</v>
      </c>
      <c r="M112" s="2"/>
      <c r="N112" s="19">
        <f t="shared" si="1"/>
        <v>0</v>
      </c>
      <c r="O112" s="11"/>
      <c r="P112" s="2">
        <f>-2073.48</f>
        <v>-2073.48</v>
      </c>
      <c r="Q112" s="2"/>
      <c r="R112" s="19"/>
      <c r="S112" s="2"/>
      <c r="T112" s="2">
        <f>-1312.37</f>
        <v>-1312.37</v>
      </c>
      <c r="U112" s="2"/>
      <c r="V112" s="19"/>
      <c r="W112" s="2"/>
      <c r="X112" s="2">
        <f t="shared" si="2"/>
        <v>-761.11000000000013</v>
      </c>
      <c r="Y112" s="2"/>
      <c r="Z112" s="19">
        <f t="shared" si="3"/>
        <v>0.57995077607686873</v>
      </c>
    </row>
    <row r="113" spans="1:26" s="24" customFormat="1" hidden="1" outlineLevel="1" x14ac:dyDescent="0.25">
      <c r="A113" s="44"/>
      <c r="B113" s="11" t="str">
        <f>CONCATENATE("          ", "4303", " - ", "SALES RETURN NON-TAXABLE-RENTA")</f>
        <v xml:space="preserve">          4303 - SALES RETURN NON-TAXABLE-RENTA</v>
      </c>
      <c r="C113" s="11"/>
      <c r="D113" s="2">
        <f>0</f>
        <v>0</v>
      </c>
      <c r="E113" s="2"/>
      <c r="F113" s="19"/>
      <c r="G113" s="2"/>
      <c r="H113" s="2">
        <f t="shared" si="20"/>
        <v>0</v>
      </c>
      <c r="I113" s="2"/>
      <c r="J113" s="19"/>
      <c r="K113" s="2"/>
      <c r="L113" s="2">
        <f t="shared" si="0"/>
        <v>0</v>
      </c>
      <c r="M113" s="2"/>
      <c r="N113" s="19">
        <f t="shared" si="1"/>
        <v>0</v>
      </c>
      <c r="O113" s="11"/>
      <c r="P113" s="2">
        <f>0</f>
        <v>0</v>
      </c>
      <c r="Q113" s="2"/>
      <c r="R113" s="19"/>
      <c r="S113" s="2"/>
      <c r="T113" s="2">
        <f>-184.99</f>
        <v>-184.99</v>
      </c>
      <c r="U113" s="2"/>
      <c r="V113" s="19"/>
      <c r="W113" s="2"/>
      <c r="X113" s="2">
        <f t="shared" si="2"/>
        <v>184.99</v>
      </c>
      <c r="Y113" s="2"/>
      <c r="Z113" s="19">
        <f t="shared" si="3"/>
        <v>-1</v>
      </c>
    </row>
    <row r="114" spans="1:26" s="24" customFormat="1" hidden="1" outlineLevel="1" x14ac:dyDescent="0.25">
      <c r="A114" s="44"/>
      <c r="B114" s="11" t="str">
        <f>CONCATENATE("          ", "4304", " - ", "SALES RETURN NON TAXABLE-DIGIT")</f>
        <v xml:space="preserve">          4304 - SALES RETURN NON TAXABLE-DIGIT</v>
      </c>
      <c r="C114" s="11"/>
      <c r="D114" s="2">
        <f>-2172.95</f>
        <v>-2172.9499999999998</v>
      </c>
      <c r="E114" s="2"/>
      <c r="F114" s="19"/>
      <c r="G114" s="2"/>
      <c r="H114" s="2">
        <f>-1249.23</f>
        <v>-1249.23</v>
      </c>
      <c r="I114" s="2"/>
      <c r="J114" s="19"/>
      <c r="K114" s="2"/>
      <c r="L114" s="2">
        <f t="shared" si="0"/>
        <v>-923.7199999999998</v>
      </c>
      <c r="M114" s="2"/>
      <c r="N114" s="19">
        <f t="shared" si="1"/>
        <v>0.73943148979771522</v>
      </c>
      <c r="O114" s="11"/>
      <c r="P114" s="2">
        <f>-27268.72</f>
        <v>-27268.720000000001</v>
      </c>
      <c r="Q114" s="2"/>
      <c r="R114" s="19"/>
      <c r="S114" s="2"/>
      <c r="T114" s="2">
        <f>-18991.98</f>
        <v>-18991.98</v>
      </c>
      <c r="U114" s="2"/>
      <c r="V114" s="19"/>
      <c r="W114" s="2"/>
      <c r="X114" s="2">
        <f t="shared" si="2"/>
        <v>-8276.7400000000016</v>
      </c>
      <c r="Y114" s="2"/>
      <c r="Z114" s="19">
        <f t="shared" si="3"/>
        <v>0.43580184899099522</v>
      </c>
    </row>
    <row r="115" spans="1:26" s="24" customFormat="1" hidden="1" outlineLevel="1" x14ac:dyDescent="0.25">
      <c r="A115" s="44"/>
      <c r="B115" s="11" t="str">
        <f>CONCATENATE("          ", "4311", " - ", "SALES RETURN NON TAXABLE-NO VA")</f>
        <v xml:space="preserve">          4311 - SALES RETURN NON TAXABLE-NO VA</v>
      </c>
      <c r="C115" s="11"/>
      <c r="D115" s="2">
        <f t="shared" ref="D115:D118" si="22">0</f>
        <v>0</v>
      </c>
      <c r="E115" s="2"/>
      <c r="F115" s="19"/>
      <c r="G115" s="2"/>
      <c r="H115" s="2">
        <f>-169.45</f>
        <v>-169.45</v>
      </c>
      <c r="I115" s="2"/>
      <c r="J115" s="19"/>
      <c r="K115" s="2"/>
      <c r="L115" s="2">
        <f t="shared" si="0"/>
        <v>169.45</v>
      </c>
      <c r="M115" s="2"/>
      <c r="N115" s="19">
        <f t="shared" si="1"/>
        <v>-1</v>
      </c>
      <c r="O115" s="11"/>
      <c r="P115" s="2">
        <f t="shared" ref="P115:P118" si="23">0</f>
        <v>0</v>
      </c>
      <c r="Q115" s="2"/>
      <c r="R115" s="19"/>
      <c r="S115" s="2"/>
      <c r="T115" s="2">
        <f>-794.76</f>
        <v>-794.76</v>
      </c>
      <c r="U115" s="2"/>
      <c r="V115" s="19"/>
      <c r="W115" s="2"/>
      <c r="X115" s="2">
        <f t="shared" si="2"/>
        <v>794.76</v>
      </c>
      <c r="Y115" s="2"/>
      <c r="Z115" s="19">
        <f t="shared" si="3"/>
        <v>-1</v>
      </c>
    </row>
    <row r="116" spans="1:26" s="24" customFormat="1" hidden="1" outlineLevel="1" x14ac:dyDescent="0.25">
      <c r="A116" s="44"/>
      <c r="B116" s="11" t="str">
        <f>CONCATENATE("          ", "4327", " - ", "SALES RETURN NON TAXABLE-SCHOO")</f>
        <v xml:space="preserve">          4327 - SALES RETURN NON TAXABLE-SCHOO</v>
      </c>
      <c r="C116" s="11"/>
      <c r="D116" s="2">
        <f t="shared" si="22"/>
        <v>0</v>
      </c>
      <c r="E116" s="2"/>
      <c r="F116" s="19"/>
      <c r="G116" s="2"/>
      <c r="H116" s="2">
        <f>0</f>
        <v>0</v>
      </c>
      <c r="I116" s="2"/>
      <c r="J116" s="19"/>
      <c r="K116" s="2"/>
      <c r="L116" s="2">
        <f t="shared" si="0"/>
        <v>0</v>
      </c>
      <c r="M116" s="2"/>
      <c r="N116" s="19">
        <f t="shared" si="1"/>
        <v>0</v>
      </c>
      <c r="O116" s="11"/>
      <c r="P116" s="2">
        <f t="shared" si="23"/>
        <v>0</v>
      </c>
      <c r="Q116" s="2"/>
      <c r="R116" s="19"/>
      <c r="S116" s="2"/>
      <c r="T116" s="2">
        <f>-21.87</f>
        <v>-21.87</v>
      </c>
      <c r="U116" s="2"/>
      <c r="V116" s="19"/>
      <c r="W116" s="2"/>
      <c r="X116" s="2">
        <f t="shared" si="2"/>
        <v>21.87</v>
      </c>
      <c r="Y116" s="2"/>
      <c r="Z116" s="19">
        <f t="shared" si="3"/>
        <v>-1</v>
      </c>
    </row>
    <row r="117" spans="1:26" s="24" customFormat="1" hidden="1" outlineLevel="1" x14ac:dyDescent="0.25">
      <c r="A117" s="44"/>
      <c r="B117" s="11" t="str">
        <f>CONCATENATE("          ", "4331", " - ", "SALES RETURN NON TAXABLE-FOOD")</f>
        <v xml:space="preserve">          4331 - SALES RETURN NON TAXABLE-FOOD</v>
      </c>
      <c r="C117" s="11"/>
      <c r="D117" s="2">
        <f t="shared" si="22"/>
        <v>0</v>
      </c>
      <c r="E117" s="2"/>
      <c r="F117" s="19"/>
      <c r="G117" s="2"/>
      <c r="H117" s="2">
        <f>-7.58</f>
        <v>-7.58</v>
      </c>
      <c r="I117" s="2"/>
      <c r="J117" s="19"/>
      <c r="K117" s="2"/>
      <c r="L117" s="2">
        <f t="shared" si="0"/>
        <v>7.58</v>
      </c>
      <c r="M117" s="2"/>
      <c r="N117" s="19">
        <f t="shared" si="1"/>
        <v>-1</v>
      </c>
      <c r="O117" s="11"/>
      <c r="P117" s="2">
        <f t="shared" si="23"/>
        <v>0</v>
      </c>
      <c r="Q117" s="2"/>
      <c r="R117" s="19"/>
      <c r="S117" s="2"/>
      <c r="T117" s="2">
        <f>-7.58</f>
        <v>-7.58</v>
      </c>
      <c r="U117" s="2"/>
      <c r="V117" s="19"/>
      <c r="W117" s="2"/>
      <c r="X117" s="2">
        <f t="shared" si="2"/>
        <v>7.58</v>
      </c>
      <c r="Y117" s="2"/>
      <c r="Z117" s="19">
        <f t="shared" si="3"/>
        <v>-1</v>
      </c>
    </row>
    <row r="118" spans="1:26" s="24" customFormat="1" hidden="1" outlineLevel="1" x14ac:dyDescent="0.25">
      <c r="A118" s="44"/>
      <c r="B118" s="11" t="str">
        <f>CONCATENATE("          ", "4332", " - ", "SALES RETURN NON TAXABLE-JUICE")</f>
        <v xml:space="preserve">          4332 - SALES RETURN NON TAXABLE-JUICE</v>
      </c>
      <c r="C118" s="11"/>
      <c r="D118" s="2">
        <f t="shared" si="22"/>
        <v>0</v>
      </c>
      <c r="E118" s="2"/>
      <c r="F118" s="19"/>
      <c r="G118" s="2"/>
      <c r="H118" s="2">
        <f>-2.79</f>
        <v>-2.79</v>
      </c>
      <c r="I118" s="2"/>
      <c r="J118" s="19"/>
      <c r="K118" s="2"/>
      <c r="L118" s="2">
        <f t="shared" si="0"/>
        <v>2.79</v>
      </c>
      <c r="M118" s="2"/>
      <c r="N118" s="19">
        <f t="shared" si="1"/>
        <v>-1</v>
      </c>
      <c r="O118" s="11"/>
      <c r="P118" s="2">
        <f t="shared" si="23"/>
        <v>0</v>
      </c>
      <c r="Q118" s="2"/>
      <c r="R118" s="19"/>
      <c r="S118" s="2"/>
      <c r="T118" s="2">
        <f>-2.79</f>
        <v>-2.79</v>
      </c>
      <c r="U118" s="2"/>
      <c r="V118" s="19"/>
      <c r="W118" s="2"/>
      <c r="X118" s="2">
        <f t="shared" si="2"/>
        <v>2.79</v>
      </c>
      <c r="Y118" s="2"/>
      <c r="Z118" s="19">
        <f t="shared" si="3"/>
        <v>-1</v>
      </c>
    </row>
    <row r="119" spans="1:26" s="24" customFormat="1" hidden="1" outlineLevel="1" x14ac:dyDescent="0.25">
      <c r="A119" s="44"/>
      <c r="B119" s="11" t="str">
        <f>CONCATENATE("          ", "4340", " - ", "SALES RETURN NON TAXABLE-LOGO")</f>
        <v xml:space="preserve">          4340 - SALES RETURN NON TAXABLE-LOGO</v>
      </c>
      <c r="C119" s="11"/>
      <c r="D119" s="2">
        <f>-76.9</f>
        <v>-76.900000000000006</v>
      </c>
      <c r="E119" s="2"/>
      <c r="F119" s="19"/>
      <c r="G119" s="2"/>
      <c r="H119" s="2">
        <f>0</f>
        <v>0</v>
      </c>
      <c r="I119" s="2"/>
      <c r="J119" s="19"/>
      <c r="K119" s="2"/>
      <c r="L119" s="2">
        <f t="shared" si="0"/>
        <v>-76.900000000000006</v>
      </c>
      <c r="M119" s="2"/>
      <c r="N119" s="19">
        <f t="shared" si="1"/>
        <v>0</v>
      </c>
      <c r="O119" s="11"/>
      <c r="P119" s="2">
        <f>-2292.84</f>
        <v>-2292.84</v>
      </c>
      <c r="Q119" s="2"/>
      <c r="R119" s="19"/>
      <c r="S119" s="2"/>
      <c r="T119" s="2">
        <f>-931.65</f>
        <v>-931.65</v>
      </c>
      <c r="U119" s="2"/>
      <c r="V119" s="19"/>
      <c r="W119" s="2"/>
      <c r="X119" s="2">
        <f t="shared" si="2"/>
        <v>-1361.19</v>
      </c>
      <c r="Y119" s="2"/>
      <c r="Z119" s="19">
        <f t="shared" si="3"/>
        <v>1.4610529705361457</v>
      </c>
    </row>
    <row r="120" spans="1:26" s="24" customFormat="1" hidden="1" outlineLevel="1" x14ac:dyDescent="0.25">
      <c r="A120" s="44"/>
      <c r="B120" s="11" t="str">
        <f>CONCATENATE("          ", "4341", " - ", "SALES RETURN NON TAXABLE-LOGO")</f>
        <v xml:space="preserve">          4341 - SALES RETURN NON TAXABLE-LOGO</v>
      </c>
      <c r="C120" s="11"/>
      <c r="D120" s="2">
        <f t="shared" ref="D120:D125" si="24">0</f>
        <v>0</v>
      </c>
      <c r="E120" s="2"/>
      <c r="F120" s="19"/>
      <c r="G120" s="2"/>
      <c r="H120" s="2">
        <f>-214.7</f>
        <v>-214.7</v>
      </c>
      <c r="I120" s="2"/>
      <c r="J120" s="19"/>
      <c r="K120" s="2"/>
      <c r="L120" s="2">
        <f t="shared" si="0"/>
        <v>214.7</v>
      </c>
      <c r="M120" s="2"/>
      <c r="N120" s="19">
        <f t="shared" si="1"/>
        <v>-1</v>
      </c>
      <c r="O120" s="11"/>
      <c r="P120" s="2">
        <f>-362.64</f>
        <v>-362.64</v>
      </c>
      <c r="Q120" s="2"/>
      <c r="R120" s="19"/>
      <c r="S120" s="2"/>
      <c r="T120" s="2">
        <f>-245.5</f>
        <v>-245.5</v>
      </c>
      <c r="U120" s="2"/>
      <c r="V120" s="19"/>
      <c r="W120" s="2"/>
      <c r="X120" s="2">
        <f t="shared" si="2"/>
        <v>-117.13999999999999</v>
      </c>
      <c r="Y120" s="2"/>
      <c r="Z120" s="19">
        <f t="shared" si="3"/>
        <v>0.47714867617107937</v>
      </c>
    </row>
    <row r="121" spans="1:26" s="24" customFormat="1" hidden="1" outlineLevel="1" x14ac:dyDescent="0.25">
      <c r="A121" s="44"/>
      <c r="B121" s="11" t="str">
        <f>CONCATENATE("          ", "4342", " - ", "SALES RETURN NON TAXABLE-EVERY")</f>
        <v xml:space="preserve">          4342 - SALES RETURN NON TAXABLE-EVERY</v>
      </c>
      <c r="C121" s="11"/>
      <c r="D121" s="2">
        <f t="shared" si="24"/>
        <v>0</v>
      </c>
      <c r="E121" s="2"/>
      <c r="F121" s="19"/>
      <c r="G121" s="2"/>
      <c r="H121" s="2">
        <f t="shared" ref="H121:H125" si="25">0</f>
        <v>0</v>
      </c>
      <c r="I121" s="2"/>
      <c r="J121" s="19"/>
      <c r="K121" s="2"/>
      <c r="L121" s="2">
        <f t="shared" si="0"/>
        <v>0</v>
      </c>
      <c r="M121" s="2"/>
      <c r="N121" s="19">
        <f t="shared" si="1"/>
        <v>0</v>
      </c>
      <c r="O121" s="11"/>
      <c r="P121" s="2">
        <f>-118.7</f>
        <v>-118.7</v>
      </c>
      <c r="Q121" s="2"/>
      <c r="R121" s="19"/>
      <c r="S121" s="2"/>
      <c r="T121" s="2">
        <f>-149.22</f>
        <v>-149.22</v>
      </c>
      <c r="U121" s="2"/>
      <c r="V121" s="19"/>
      <c r="W121" s="2"/>
      <c r="X121" s="2">
        <f t="shared" si="2"/>
        <v>30.519999999999996</v>
      </c>
      <c r="Y121" s="2"/>
      <c r="Z121" s="19">
        <f t="shared" si="3"/>
        <v>-0.20453022383058569</v>
      </c>
    </row>
    <row r="122" spans="1:26" s="24" customFormat="1" hidden="1" outlineLevel="1" x14ac:dyDescent="0.25">
      <c r="A122" s="44"/>
      <c r="B122" s="11" t="str">
        <f>CONCATENATE("          ", "4346", " - ", "SALES RETURN NON TAXABLE-COIN-")</f>
        <v xml:space="preserve">          4346 - SALES RETURN NON TAXABLE-COIN-</v>
      </c>
      <c r="C122" s="11"/>
      <c r="D122" s="2">
        <f t="shared" si="24"/>
        <v>0</v>
      </c>
      <c r="E122" s="2"/>
      <c r="F122" s="19"/>
      <c r="G122" s="2"/>
      <c r="H122" s="2">
        <f t="shared" si="25"/>
        <v>0</v>
      </c>
      <c r="I122" s="2"/>
      <c r="J122" s="19"/>
      <c r="K122" s="2"/>
      <c r="L122" s="2">
        <f t="shared" si="0"/>
        <v>0</v>
      </c>
      <c r="M122" s="2"/>
      <c r="N122" s="19">
        <f t="shared" si="1"/>
        <v>0</v>
      </c>
      <c r="O122" s="11"/>
      <c r="P122" s="2">
        <f>0</f>
        <v>0</v>
      </c>
      <c r="Q122" s="2"/>
      <c r="R122" s="19"/>
      <c r="S122" s="2"/>
      <c r="T122" s="2">
        <f>-8.15</f>
        <v>-8.15</v>
      </c>
      <c r="U122" s="2"/>
      <c r="V122" s="19"/>
      <c r="W122" s="2"/>
      <c r="X122" s="2">
        <f t="shared" si="2"/>
        <v>8.15</v>
      </c>
      <c r="Y122" s="2"/>
      <c r="Z122" s="19">
        <f t="shared" si="3"/>
        <v>-1</v>
      </c>
    </row>
    <row r="123" spans="1:26" s="24" customFormat="1" hidden="1" outlineLevel="1" x14ac:dyDescent="0.25">
      <c r="A123" s="44"/>
      <c r="B123" s="11" t="str">
        <f>CONCATENATE("          ", "4381", " - ", "SALES RETURN NON TAXABLE-ELECT")</f>
        <v xml:space="preserve">          4381 - SALES RETURN NON TAXABLE-ELECT</v>
      </c>
      <c r="C123" s="11"/>
      <c r="D123" s="2">
        <f t="shared" si="24"/>
        <v>0</v>
      </c>
      <c r="E123" s="2"/>
      <c r="F123" s="19"/>
      <c r="G123" s="2"/>
      <c r="H123" s="2">
        <f t="shared" si="25"/>
        <v>0</v>
      </c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1"/>
      <c r="P123" s="2">
        <f>-5624.15</f>
        <v>-5624.15</v>
      </c>
      <c r="Q123" s="2"/>
      <c r="R123" s="19"/>
      <c r="S123" s="2"/>
      <c r="T123" s="2">
        <f>-1279.84</f>
        <v>-1279.8399999999999</v>
      </c>
      <c r="U123" s="2"/>
      <c r="V123" s="19"/>
      <c r="W123" s="2"/>
      <c r="X123" s="2">
        <f t="shared" si="2"/>
        <v>-4344.3099999999995</v>
      </c>
      <c r="Y123" s="2"/>
      <c r="Z123" s="19">
        <f t="shared" si="3"/>
        <v>3.3944164895611948</v>
      </c>
    </row>
    <row r="124" spans="1:26" s="24" customFormat="1" hidden="1" outlineLevel="1" x14ac:dyDescent="0.25">
      <c r="A124" s="44"/>
      <c r="B124" s="11" t="str">
        <f>CONCATENATE("          ", "4383", " - ", "SALES RETURN NON TAXABLE-COMPU")</f>
        <v xml:space="preserve">          4383 - SALES RETURN NON TAXABLE-COMPU</v>
      </c>
      <c r="C124" s="11"/>
      <c r="D124" s="2">
        <f t="shared" si="24"/>
        <v>0</v>
      </c>
      <c r="E124" s="2"/>
      <c r="F124" s="19"/>
      <c r="G124" s="2"/>
      <c r="H124" s="2">
        <f t="shared" si="25"/>
        <v>0</v>
      </c>
      <c r="I124" s="2"/>
      <c r="J124" s="19"/>
      <c r="K124" s="2"/>
      <c r="L124" s="2">
        <f t="shared" si="0"/>
        <v>0</v>
      </c>
      <c r="M124" s="2"/>
      <c r="N124" s="19">
        <f t="shared" si="1"/>
        <v>0</v>
      </c>
      <c r="O124" s="11"/>
      <c r="P124" s="2">
        <f t="shared" ref="P124:P125" si="26">0</f>
        <v>0</v>
      </c>
      <c r="Q124" s="2"/>
      <c r="R124" s="19"/>
      <c r="S124" s="2"/>
      <c r="T124" s="2">
        <f>-49.98</f>
        <v>-49.98</v>
      </c>
      <c r="U124" s="2"/>
      <c r="V124" s="19"/>
      <c r="W124" s="2"/>
      <c r="X124" s="2">
        <f t="shared" si="2"/>
        <v>49.98</v>
      </c>
      <c r="Y124" s="2"/>
      <c r="Z124" s="19">
        <f t="shared" si="3"/>
        <v>-1</v>
      </c>
    </row>
    <row r="125" spans="1:26" s="24" customFormat="1" hidden="1" outlineLevel="1" x14ac:dyDescent="0.25">
      <c r="A125" s="44"/>
      <c r="B125" s="11" t="str">
        <f>CONCATENATE("          ", "4386", " - ", "SALES RETURN NON TAXABLE-COMPU")</f>
        <v xml:space="preserve">          4386 - SALES RETURN NON TAXABLE-COMPU</v>
      </c>
      <c r="C125" s="11"/>
      <c r="D125" s="2">
        <f t="shared" si="24"/>
        <v>0</v>
      </c>
      <c r="E125" s="2"/>
      <c r="F125" s="19"/>
      <c r="G125" s="2"/>
      <c r="H125" s="2">
        <f t="shared" si="25"/>
        <v>0</v>
      </c>
      <c r="I125" s="2"/>
      <c r="J125" s="19"/>
      <c r="K125" s="2"/>
      <c r="L125" s="2">
        <f t="shared" si="0"/>
        <v>0</v>
      </c>
      <c r="M125" s="2"/>
      <c r="N125" s="19">
        <f t="shared" si="1"/>
        <v>0</v>
      </c>
      <c r="O125" s="11"/>
      <c r="P125" s="2">
        <f t="shared" si="26"/>
        <v>0</v>
      </c>
      <c r="Q125" s="2"/>
      <c r="R125" s="19"/>
      <c r="S125" s="2"/>
      <c r="T125" s="2">
        <f>-104.96</f>
        <v>-104.96</v>
      </c>
      <c r="U125" s="2"/>
      <c r="V125" s="19"/>
      <c r="W125" s="2"/>
      <c r="X125" s="2">
        <f t="shared" si="2"/>
        <v>104.96</v>
      </c>
      <c r="Y125" s="2"/>
      <c r="Z125" s="19">
        <f t="shared" si="3"/>
        <v>-1</v>
      </c>
    </row>
    <row r="126" spans="1:26" x14ac:dyDescent="0.25">
      <c r="A126" s="9"/>
      <c r="B126" s="10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collapsed="1" x14ac:dyDescent="0.25">
      <c r="A127" s="10"/>
      <c r="B127" s="28" t="s">
        <v>8</v>
      </c>
      <c r="C127" s="10"/>
      <c r="D127" s="4">
        <f>SUM(OSRRefD16x_0)</f>
        <v>298270.13999999996</v>
      </c>
      <c r="E127" s="4"/>
      <c r="F127" s="12">
        <f t="shared" ref="F127:F184" si="27">IF(D$12=0,0,D127/D$12)</f>
        <v>0.76720500200861674</v>
      </c>
      <c r="G127" s="4"/>
      <c r="H127" s="4">
        <f>SUM(OSRRefH16x_0)</f>
        <v>586198.93999999994</v>
      </c>
      <c r="I127" s="4"/>
      <c r="J127" s="12">
        <f t="shared" ref="J127:J184" si="28">IF(H$12=0,0,H127/H$12)</f>
        <v>0.72986732302883017</v>
      </c>
      <c r="K127" s="4"/>
      <c r="L127" s="4">
        <f t="shared" ref="L127:L184" si="29">+D127-H127</f>
        <v>-287928.8</v>
      </c>
      <c r="M127" s="4"/>
      <c r="N127" s="12">
        <f t="shared" ref="N127:N184" si="30">IF(H127=0,0,L127/H127)</f>
        <v>-0.49117932557162253</v>
      </c>
      <c r="O127" s="10"/>
      <c r="P127" s="4">
        <f>SUM(OSRRefP16x_0)</f>
        <v>4131022.7500000009</v>
      </c>
      <c r="Q127" s="4"/>
      <c r="R127" s="12">
        <f t="shared" ref="R127:R184" si="31">IF(P$12=0,0,P127/P$12)</f>
        <v>0.7284791146505436</v>
      </c>
      <c r="S127" s="4"/>
      <c r="T127" s="4">
        <f>SUM(OSRRefT16x_0)</f>
        <v>6584457.6099999994</v>
      </c>
      <c r="U127" s="4"/>
      <c r="V127" s="12">
        <f t="shared" ref="V127:V184" si="32">IF(T$12=0,0,T127/T$12)</f>
        <v>0.63987163873638375</v>
      </c>
      <c r="W127" s="4"/>
      <c r="X127" s="4">
        <f t="shared" ref="X127:X184" si="33">+P127-T127</f>
        <v>-2453434.8599999985</v>
      </c>
      <c r="Y127" s="4"/>
      <c r="Z127" s="12">
        <f t="shared" ref="Z127:Z184" si="34">IF(T127=0,0,X127/T127)</f>
        <v>-0.37261001669657628</v>
      </c>
    </row>
    <row r="128" spans="1:26" s="24" customFormat="1" hidden="1" outlineLevel="1" x14ac:dyDescent="0.25">
      <c r="A128" s="44"/>
      <c r="B128" s="11" t="str">
        <f>CONCATENATE("          ", "5001", " - ", "PURCHASES @ COST-NEW TEXT")</f>
        <v xml:space="preserve">          5001 - PURCHASES @ COST-NEW TEXT</v>
      </c>
      <c r="C128" s="11"/>
      <c r="D128" s="2">
        <v>-332593.57</v>
      </c>
      <c r="E128" s="2"/>
      <c r="F128" s="19">
        <f t="shared" si="27"/>
        <v>-0.85549110125439665</v>
      </c>
      <c r="G128" s="2"/>
      <c r="H128" s="2">
        <v>-110695.19</v>
      </c>
      <c r="I128" s="2"/>
      <c r="J128" s="19">
        <f t="shared" si="28"/>
        <v>-0.1378248858612193</v>
      </c>
      <c r="K128" s="2"/>
      <c r="L128" s="2">
        <f t="shared" si="29"/>
        <v>-221898.38</v>
      </c>
      <c r="M128" s="2"/>
      <c r="N128" s="19">
        <f t="shared" si="30"/>
        <v>2.0045891786264605</v>
      </c>
      <c r="O128" s="11"/>
      <c r="P128" s="2">
        <v>1326415.6399999999</v>
      </c>
      <c r="Q128" s="2"/>
      <c r="R128" s="19">
        <f t="shared" si="31"/>
        <v>0.23390480991319493</v>
      </c>
      <c r="S128" s="2"/>
      <c r="T128" s="2">
        <v>2516599.4700000002</v>
      </c>
      <c r="U128" s="2"/>
      <c r="V128" s="19">
        <f t="shared" si="32"/>
        <v>0.24456086169746261</v>
      </c>
      <c r="W128" s="2"/>
      <c r="X128" s="2">
        <f t="shared" si="33"/>
        <v>-1190183.8300000003</v>
      </c>
      <c r="Y128" s="2"/>
      <c r="Z128" s="19">
        <f t="shared" si="34"/>
        <v>-0.47293335478609166</v>
      </c>
    </row>
    <row r="129" spans="1:26" s="24" customFormat="1" hidden="1" outlineLevel="1" x14ac:dyDescent="0.25">
      <c r="A129" s="44"/>
      <c r="B129" s="11" t="str">
        <f>CONCATENATE("          ", "5002", " - ", "PURCHASES @ COST-USED TEXT")</f>
        <v xml:space="preserve">          5002 - PURCHASES @ COST-USED TEXT</v>
      </c>
      <c r="C129" s="11"/>
      <c r="D129" s="2">
        <v>121987.94000000002</v>
      </c>
      <c r="E129" s="2"/>
      <c r="F129" s="19">
        <f t="shared" si="27"/>
        <v>0.31377514944247203</v>
      </c>
      <c r="G129" s="2"/>
      <c r="H129" s="2">
        <v>11947.84</v>
      </c>
      <c r="I129" s="2"/>
      <c r="J129" s="19">
        <f t="shared" si="28"/>
        <v>1.4876072612442422E-2</v>
      </c>
      <c r="K129" s="2"/>
      <c r="L129" s="2">
        <f t="shared" si="29"/>
        <v>110040.10000000002</v>
      </c>
      <c r="M129" s="2"/>
      <c r="N129" s="19">
        <f t="shared" si="30"/>
        <v>9.2100413129067693</v>
      </c>
      <c r="O129" s="11"/>
      <c r="P129" s="2">
        <v>382324.22000000003</v>
      </c>
      <c r="Q129" s="2"/>
      <c r="R129" s="19">
        <f t="shared" si="31"/>
        <v>6.7420400745810363E-2</v>
      </c>
      <c r="S129" s="2"/>
      <c r="T129" s="2">
        <v>524555.37</v>
      </c>
      <c r="U129" s="2"/>
      <c r="V129" s="19">
        <f t="shared" si="32"/>
        <v>5.0975816702063963E-2</v>
      </c>
      <c r="W129" s="2"/>
      <c r="X129" s="2">
        <f t="shared" si="33"/>
        <v>-142231.14999999997</v>
      </c>
      <c r="Y129" s="2"/>
      <c r="Z129" s="19">
        <f t="shared" si="34"/>
        <v>-0.27114611370769109</v>
      </c>
    </row>
    <row r="130" spans="1:26" s="24" customFormat="1" hidden="1" outlineLevel="1" x14ac:dyDescent="0.25">
      <c r="A130" s="44"/>
      <c r="B130" s="11" t="str">
        <f>CONCATENATE("          ", "5003", " - ", "PURCHASES @ COST-RENTAL TEXT")</f>
        <v xml:space="preserve">          5003 - PURCHASES @ COST-RENTAL TEXT</v>
      </c>
      <c r="C130" s="11"/>
      <c r="D130" s="2"/>
      <c r="E130" s="2"/>
      <c r="F130" s="19">
        <f t="shared" si="27"/>
        <v>0</v>
      </c>
      <c r="G130" s="2"/>
      <c r="H130" s="2"/>
      <c r="I130" s="2"/>
      <c r="J130" s="19">
        <f t="shared" si="28"/>
        <v>0</v>
      </c>
      <c r="K130" s="2"/>
      <c r="L130" s="2">
        <f t="shared" si="29"/>
        <v>0</v>
      </c>
      <c r="M130" s="2"/>
      <c r="N130" s="19">
        <f t="shared" si="30"/>
        <v>0</v>
      </c>
      <c r="O130" s="11"/>
      <c r="P130" s="2">
        <v>32.520000000000003</v>
      </c>
      <c r="Q130" s="2"/>
      <c r="R130" s="19">
        <f t="shared" si="31"/>
        <v>5.7346914413472243E-6</v>
      </c>
      <c r="S130" s="2"/>
      <c r="T130" s="2">
        <v>-78.400000000000006</v>
      </c>
      <c r="U130" s="2"/>
      <c r="V130" s="19">
        <f t="shared" si="32"/>
        <v>-7.6188411329042631E-6</v>
      </c>
      <c r="W130" s="2"/>
      <c r="X130" s="2">
        <f t="shared" si="33"/>
        <v>110.92000000000002</v>
      </c>
      <c r="Y130" s="2"/>
      <c r="Z130" s="19">
        <f t="shared" si="34"/>
        <v>-1.4147959183673471</v>
      </c>
    </row>
    <row r="131" spans="1:26" s="24" customFormat="1" hidden="1" outlineLevel="1" x14ac:dyDescent="0.25">
      <c r="A131" s="44"/>
      <c r="B131" s="11" t="str">
        <f>CONCATENATE("          ", "5004", " - ", "PURCHASES @ COST-DIGITAL TEXT")</f>
        <v xml:space="preserve">          5004 - PURCHASES @ COST-DIGITAL TEXT</v>
      </c>
      <c r="C131" s="11"/>
      <c r="D131" s="2">
        <v>3282.02</v>
      </c>
      <c r="E131" s="2"/>
      <c r="F131" s="19">
        <f t="shared" si="27"/>
        <v>8.4419518517419162E-3</v>
      </c>
      <c r="G131" s="2"/>
      <c r="H131" s="2">
        <v>61264.060000000005</v>
      </c>
      <c r="I131" s="2"/>
      <c r="J131" s="19">
        <f t="shared" si="28"/>
        <v>7.6278942896207971E-2</v>
      </c>
      <c r="K131" s="2"/>
      <c r="L131" s="2">
        <f t="shared" si="29"/>
        <v>-57982.040000000008</v>
      </c>
      <c r="M131" s="2"/>
      <c r="N131" s="19">
        <f t="shared" si="30"/>
        <v>-0.94642829743898793</v>
      </c>
      <c r="O131" s="11"/>
      <c r="P131" s="2">
        <v>220008.58000000002</v>
      </c>
      <c r="Q131" s="2"/>
      <c r="R131" s="19">
        <f t="shared" si="31"/>
        <v>3.8797088583916235E-2</v>
      </c>
      <c r="S131" s="2"/>
      <c r="T131" s="2">
        <v>535157.82999999996</v>
      </c>
      <c r="U131" s="2"/>
      <c r="V131" s="19">
        <f t="shared" si="32"/>
        <v>5.2006154181119729E-2</v>
      </c>
      <c r="W131" s="2"/>
      <c r="X131" s="2">
        <f t="shared" si="33"/>
        <v>-315149.24999999994</v>
      </c>
      <c r="Y131" s="2"/>
      <c r="Z131" s="19">
        <f t="shared" si="34"/>
        <v>-0.58889029055222819</v>
      </c>
    </row>
    <row r="132" spans="1:26" s="24" customFormat="1" hidden="1" outlineLevel="1" x14ac:dyDescent="0.25">
      <c r="A132" s="44"/>
      <c r="B132" s="11" t="str">
        <f>CONCATENATE("          ", "5011", " - ", "PURCHASES @ COST-NO VALUE TEXT")</f>
        <v xml:space="preserve">          5011 - PURCHASES @ COST-NO VALUE TEXT</v>
      </c>
      <c r="C132" s="11"/>
      <c r="D132" s="2"/>
      <c r="E132" s="2"/>
      <c r="F132" s="19">
        <f t="shared" si="27"/>
        <v>0</v>
      </c>
      <c r="G132" s="2"/>
      <c r="H132" s="2">
        <v>258</v>
      </c>
      <c r="I132" s="2"/>
      <c r="J132" s="19">
        <f t="shared" si="28"/>
        <v>3.2123184893756066E-4</v>
      </c>
      <c r="K132" s="2"/>
      <c r="L132" s="2">
        <f t="shared" si="29"/>
        <v>-258</v>
      </c>
      <c r="M132" s="2"/>
      <c r="N132" s="19">
        <f t="shared" si="30"/>
        <v>-1</v>
      </c>
      <c r="O132" s="11"/>
      <c r="P132" s="2">
        <v>67.17</v>
      </c>
      <c r="Q132" s="2"/>
      <c r="R132" s="19">
        <f t="shared" si="31"/>
        <v>1.1844994591491175E-5</v>
      </c>
      <c r="S132" s="2"/>
      <c r="T132" s="2">
        <v>5733</v>
      </c>
      <c r="U132" s="2"/>
      <c r="V132" s="19">
        <f t="shared" si="32"/>
        <v>5.5712775784362426E-4</v>
      </c>
      <c r="W132" s="2"/>
      <c r="X132" s="2">
        <f t="shared" si="33"/>
        <v>-5665.83</v>
      </c>
      <c r="Y132" s="2"/>
      <c r="Z132" s="19">
        <f t="shared" si="34"/>
        <v>-0.98828362114076396</v>
      </c>
    </row>
    <row r="133" spans="1:26" s="24" customFormat="1" hidden="1" outlineLevel="1" x14ac:dyDescent="0.25">
      <c r="A133" s="44"/>
      <c r="B133" s="11" t="str">
        <f>CONCATENATE("          ", "5013", " - ", "PURCHASES @ COST-TRADE BOOKS")</f>
        <v xml:space="preserve">          5013 - PURCHASES @ COST-TRADE BOOKS</v>
      </c>
      <c r="C133" s="11"/>
      <c r="D133" s="2">
        <v>305.11</v>
      </c>
      <c r="E133" s="2"/>
      <c r="F133" s="19">
        <f t="shared" si="27"/>
        <v>7.8479836487436896E-4</v>
      </c>
      <c r="G133" s="2"/>
      <c r="H133" s="2">
        <v>2592.2600000000002</v>
      </c>
      <c r="I133" s="2"/>
      <c r="J133" s="19">
        <f t="shared" si="28"/>
        <v>3.2275832276235702E-3</v>
      </c>
      <c r="K133" s="2"/>
      <c r="L133" s="2">
        <f t="shared" si="29"/>
        <v>-2287.15</v>
      </c>
      <c r="M133" s="2"/>
      <c r="N133" s="19">
        <f t="shared" si="30"/>
        <v>-0.88229961500775378</v>
      </c>
      <c r="O133" s="11"/>
      <c r="P133" s="2">
        <v>5962.09</v>
      </c>
      <c r="Q133" s="2"/>
      <c r="R133" s="19">
        <f t="shared" si="31"/>
        <v>1.0513759684975975E-3</v>
      </c>
      <c r="S133" s="2"/>
      <c r="T133" s="2">
        <v>3050.72</v>
      </c>
      <c r="U133" s="2"/>
      <c r="V133" s="19">
        <f t="shared" si="32"/>
        <v>2.9646621200221543E-4</v>
      </c>
      <c r="W133" s="2"/>
      <c r="X133" s="2">
        <f t="shared" si="33"/>
        <v>2911.3700000000003</v>
      </c>
      <c r="Y133" s="2"/>
      <c r="Z133" s="19">
        <f t="shared" si="34"/>
        <v>0.95432225835212692</v>
      </c>
    </row>
    <row r="134" spans="1:26" s="24" customFormat="1" hidden="1" outlineLevel="1" x14ac:dyDescent="0.25">
      <c r="A134" s="44"/>
      <c r="B134" s="11" t="str">
        <f>CONCATENATE("          ", "5014", " - ", "PURCHASES @ COST-REMAINDERS")</f>
        <v xml:space="preserve">          5014 - PURCHASES @ COST-REMAINDERS</v>
      </c>
      <c r="C134" s="11"/>
      <c r="D134" s="2">
        <v>21.16</v>
      </c>
      <c r="E134" s="2"/>
      <c r="F134" s="19">
        <f t="shared" si="27"/>
        <v>5.4427365214977048E-5</v>
      </c>
      <c r="G134" s="2"/>
      <c r="H134" s="2">
        <v>17.78</v>
      </c>
      <c r="I134" s="2"/>
      <c r="J134" s="19">
        <f t="shared" si="28"/>
        <v>2.2137605713603987E-5</v>
      </c>
      <c r="K134" s="2"/>
      <c r="L134" s="2">
        <f t="shared" si="29"/>
        <v>3.379999999999999</v>
      </c>
      <c r="M134" s="2"/>
      <c r="N134" s="19">
        <f t="shared" si="30"/>
        <v>0.19010123734533177</v>
      </c>
      <c r="O134" s="11"/>
      <c r="P134" s="2">
        <v>111.57</v>
      </c>
      <c r="Q134" s="2"/>
      <c r="R134" s="19">
        <f t="shared" si="31"/>
        <v>1.9674647112887752E-5</v>
      </c>
      <c r="S134" s="2"/>
      <c r="T134" s="2">
        <v>601.16999999999996</v>
      </c>
      <c r="U134" s="2"/>
      <c r="V134" s="19">
        <f t="shared" si="32"/>
        <v>5.8421157192194586E-5</v>
      </c>
      <c r="W134" s="2"/>
      <c r="X134" s="2">
        <f t="shared" si="33"/>
        <v>-489.59999999999997</v>
      </c>
      <c r="Y134" s="2"/>
      <c r="Z134" s="19">
        <f t="shared" si="34"/>
        <v>-0.8144118968012376</v>
      </c>
    </row>
    <row r="135" spans="1:26" s="24" customFormat="1" hidden="1" outlineLevel="1" x14ac:dyDescent="0.25">
      <c r="A135" s="44"/>
      <c r="B135" s="11" t="str">
        <f>CONCATENATE("          ", "5017", " - ", "PURCHASES @ COST-DORM/HOUSEWAR")</f>
        <v xml:space="preserve">          5017 - PURCHASES @ COST-DORM/HOUSEWAR</v>
      </c>
      <c r="C135" s="11"/>
      <c r="D135" s="2"/>
      <c r="E135" s="2"/>
      <c r="F135" s="19">
        <f t="shared" si="27"/>
        <v>0</v>
      </c>
      <c r="G135" s="2"/>
      <c r="H135" s="2"/>
      <c r="I135" s="2"/>
      <c r="J135" s="19">
        <f t="shared" si="28"/>
        <v>0</v>
      </c>
      <c r="K135" s="2"/>
      <c r="L135" s="2">
        <f t="shared" si="29"/>
        <v>0</v>
      </c>
      <c r="M135" s="2"/>
      <c r="N135" s="19">
        <f t="shared" si="30"/>
        <v>0</v>
      </c>
      <c r="O135" s="11"/>
      <c r="P135" s="2"/>
      <c r="Q135" s="2"/>
      <c r="R135" s="19">
        <f t="shared" si="31"/>
        <v>0</v>
      </c>
      <c r="S135" s="2"/>
      <c r="T135" s="2">
        <v>0</v>
      </c>
      <c r="U135" s="2"/>
      <c r="V135" s="19">
        <f t="shared" si="32"/>
        <v>0</v>
      </c>
      <c r="W135" s="2"/>
      <c r="X135" s="2">
        <f t="shared" si="33"/>
        <v>0</v>
      </c>
      <c r="Y135" s="2"/>
      <c r="Z135" s="19">
        <f t="shared" si="34"/>
        <v>0</v>
      </c>
    </row>
    <row r="136" spans="1:26" s="24" customFormat="1" hidden="1" outlineLevel="1" x14ac:dyDescent="0.25">
      <c r="A136" s="44"/>
      <c r="B136" s="11" t="str">
        <f>CONCATENATE("          ", "5018", " - ", "PURCHASES @ COST-STUDY GUIDES")</f>
        <v xml:space="preserve">          5018 - PURCHASES @ COST-STUDY GUIDES</v>
      </c>
      <c r="C136" s="11"/>
      <c r="D136" s="2"/>
      <c r="E136" s="2"/>
      <c r="F136" s="19">
        <f t="shared" si="27"/>
        <v>0</v>
      </c>
      <c r="G136" s="2"/>
      <c r="H136" s="2">
        <v>237.28</v>
      </c>
      <c r="I136" s="2"/>
      <c r="J136" s="19">
        <f t="shared" si="28"/>
        <v>2.9543369424769146E-4</v>
      </c>
      <c r="K136" s="2"/>
      <c r="L136" s="2">
        <f t="shared" si="29"/>
        <v>-237.28</v>
      </c>
      <c r="M136" s="2"/>
      <c r="N136" s="19">
        <f t="shared" si="30"/>
        <v>-1</v>
      </c>
      <c r="O136" s="11"/>
      <c r="P136" s="2">
        <v>522.34</v>
      </c>
      <c r="Q136" s="2"/>
      <c r="R136" s="19">
        <f t="shared" si="31"/>
        <v>9.211127698257407E-5</v>
      </c>
      <c r="S136" s="2"/>
      <c r="T136" s="2">
        <v>2268.4299999999998</v>
      </c>
      <c r="U136" s="2"/>
      <c r="V136" s="19">
        <f t="shared" si="32"/>
        <v>2.204439769274747E-4</v>
      </c>
      <c r="W136" s="2"/>
      <c r="X136" s="2">
        <f t="shared" si="33"/>
        <v>-1746.0899999999997</v>
      </c>
      <c r="Y136" s="2"/>
      <c r="Z136" s="19">
        <f t="shared" si="34"/>
        <v>-0.76973501496629815</v>
      </c>
    </row>
    <row r="137" spans="1:26" s="24" customFormat="1" hidden="1" outlineLevel="1" x14ac:dyDescent="0.25">
      <c r="A137" s="44"/>
      <c r="B137" s="11" t="str">
        <f>CONCATENATE("          ", "5025", " - ", "PURCHASES @ COST-TEST FORMS")</f>
        <v xml:space="preserve">          5025 - PURCHASES @ COST-TEST FORMS</v>
      </c>
      <c r="C137" s="11"/>
      <c r="D137" s="2"/>
      <c r="E137" s="2"/>
      <c r="F137" s="19">
        <f t="shared" si="27"/>
        <v>0</v>
      </c>
      <c r="G137" s="2"/>
      <c r="H137" s="2">
        <v>3423</v>
      </c>
      <c r="I137" s="2"/>
      <c r="J137" s="19">
        <f t="shared" si="28"/>
        <v>4.2619248795087994E-3</v>
      </c>
      <c r="K137" s="2"/>
      <c r="L137" s="2">
        <f t="shared" si="29"/>
        <v>-3423</v>
      </c>
      <c r="M137" s="2"/>
      <c r="N137" s="19">
        <f t="shared" si="30"/>
        <v>-1</v>
      </c>
      <c r="O137" s="11"/>
      <c r="P137" s="2">
        <v>599.29</v>
      </c>
      <c r="Q137" s="2"/>
      <c r="R137" s="19">
        <f t="shared" si="31"/>
        <v>1.0568091125107556E-4</v>
      </c>
      <c r="S137" s="2"/>
      <c r="T137" s="2">
        <v>26401.390000000003</v>
      </c>
      <c r="U137" s="2"/>
      <c r="V137" s="19">
        <f t="shared" si="32"/>
        <v>2.5656632155337663E-3</v>
      </c>
      <c r="W137" s="2"/>
      <c r="X137" s="2">
        <f t="shared" si="33"/>
        <v>-25802.100000000002</v>
      </c>
      <c r="Y137" s="2"/>
      <c r="Z137" s="19">
        <f t="shared" si="34"/>
        <v>-0.97730081635853261</v>
      </c>
    </row>
    <row r="138" spans="1:26" s="24" customFormat="1" hidden="1" outlineLevel="1" x14ac:dyDescent="0.25">
      <c r="A138" s="44"/>
      <c r="B138" s="11" t="str">
        <f>CONCATENATE("          ", "5026", " - ", "PURCHASES @ COST-WRITING INSTR")</f>
        <v xml:space="preserve">          5026 - PURCHASES @ COST-WRITING INSTR</v>
      </c>
      <c r="C138" s="11"/>
      <c r="D138" s="2"/>
      <c r="E138" s="2"/>
      <c r="F138" s="19">
        <f t="shared" si="27"/>
        <v>0</v>
      </c>
      <c r="G138" s="2"/>
      <c r="H138" s="2">
        <v>2265.86</v>
      </c>
      <c r="I138" s="2"/>
      <c r="J138" s="19">
        <f t="shared" si="28"/>
        <v>2.8211875861769817E-3</v>
      </c>
      <c r="K138" s="2"/>
      <c r="L138" s="2">
        <f t="shared" si="29"/>
        <v>-2265.86</v>
      </c>
      <c r="M138" s="2"/>
      <c r="N138" s="19">
        <f t="shared" si="30"/>
        <v>-1</v>
      </c>
      <c r="O138" s="11"/>
      <c r="P138" s="2">
        <v>374.91</v>
      </c>
      <c r="Q138" s="2"/>
      <c r="R138" s="19">
        <f t="shared" si="31"/>
        <v>6.6112951053981791E-5</v>
      </c>
      <c r="S138" s="2"/>
      <c r="T138" s="2">
        <v>45762.009999999995</v>
      </c>
      <c r="U138" s="2"/>
      <c r="V138" s="19">
        <f t="shared" si="32"/>
        <v>4.447110766739492E-3</v>
      </c>
      <c r="W138" s="2"/>
      <c r="X138" s="2">
        <f t="shared" si="33"/>
        <v>-45387.099999999991</v>
      </c>
      <c r="Y138" s="2"/>
      <c r="Z138" s="19">
        <f t="shared" si="34"/>
        <v>-0.99180739657195993</v>
      </c>
    </row>
    <row r="139" spans="1:26" s="24" customFormat="1" hidden="1" outlineLevel="1" x14ac:dyDescent="0.25">
      <c r="A139" s="44"/>
      <c r="B139" s="11" t="str">
        <f>CONCATENATE("          ", "5027", " - ", "PURCHASES @ COST-SCHOOL SUPPLI")</f>
        <v xml:space="preserve">          5027 - PURCHASES @ COST-SCHOOL SUPPLI</v>
      </c>
      <c r="C139" s="11"/>
      <c r="D139" s="2"/>
      <c r="E139" s="2"/>
      <c r="F139" s="19">
        <f t="shared" si="27"/>
        <v>0</v>
      </c>
      <c r="G139" s="2"/>
      <c r="H139" s="2">
        <v>-2462.8200000000002</v>
      </c>
      <c r="I139" s="2"/>
      <c r="J139" s="19">
        <f t="shared" si="28"/>
        <v>-3.0664194658930359E-3</v>
      </c>
      <c r="K139" s="2"/>
      <c r="L139" s="2">
        <f t="shared" si="29"/>
        <v>2462.8200000000002</v>
      </c>
      <c r="M139" s="2"/>
      <c r="N139" s="19">
        <f t="shared" si="30"/>
        <v>-1</v>
      </c>
      <c r="O139" s="11"/>
      <c r="P139" s="2">
        <v>19071.350000000002</v>
      </c>
      <c r="Q139" s="2"/>
      <c r="R139" s="19">
        <f t="shared" si="31"/>
        <v>3.3631090904039786E-3</v>
      </c>
      <c r="S139" s="2"/>
      <c r="T139" s="2">
        <v>118351.2</v>
      </c>
      <c r="U139" s="2"/>
      <c r="V139" s="19">
        <f t="shared" si="32"/>
        <v>1.1501262636333916E-2</v>
      </c>
      <c r="W139" s="2"/>
      <c r="X139" s="2">
        <f t="shared" si="33"/>
        <v>-99279.849999999991</v>
      </c>
      <c r="Y139" s="2"/>
      <c r="Z139" s="19">
        <f t="shared" si="34"/>
        <v>-0.83885799214541124</v>
      </c>
    </row>
    <row r="140" spans="1:26" s="24" customFormat="1" hidden="1" outlineLevel="1" x14ac:dyDescent="0.25">
      <c r="A140" s="44"/>
      <c r="B140" s="11" t="str">
        <f>CONCATENATE("          ", "5028", " - ", "PURCHASES @ COST-ART/TECH")</f>
        <v xml:space="preserve">          5028 - PURCHASES @ COST-ART/TECH</v>
      </c>
      <c r="C140" s="11"/>
      <c r="D140" s="2">
        <v>833.13</v>
      </c>
      <c r="E140" s="2"/>
      <c r="F140" s="19">
        <f t="shared" si="27"/>
        <v>2.1429617571622791E-3</v>
      </c>
      <c r="G140" s="2"/>
      <c r="H140" s="2">
        <v>11525.28</v>
      </c>
      <c r="I140" s="2"/>
      <c r="J140" s="19">
        <f t="shared" si="28"/>
        <v>1.4349949627608874E-2</v>
      </c>
      <c r="K140" s="2"/>
      <c r="L140" s="2">
        <f t="shared" si="29"/>
        <v>-10692.150000000001</v>
      </c>
      <c r="M140" s="2"/>
      <c r="N140" s="19">
        <f t="shared" si="30"/>
        <v>-0.92771281912456793</v>
      </c>
      <c r="O140" s="11"/>
      <c r="P140" s="2">
        <v>42191.58</v>
      </c>
      <c r="Q140" s="2"/>
      <c r="R140" s="19">
        <f t="shared" si="31"/>
        <v>7.440211953349222E-3</v>
      </c>
      <c r="S140" s="2"/>
      <c r="T140" s="2">
        <v>146652.78</v>
      </c>
      <c r="U140" s="2"/>
      <c r="V140" s="19">
        <f t="shared" si="32"/>
        <v>1.4251584598453566E-2</v>
      </c>
      <c r="W140" s="2"/>
      <c r="X140" s="2">
        <f t="shared" si="33"/>
        <v>-104461.2</v>
      </c>
      <c r="Y140" s="2"/>
      <c r="Z140" s="19">
        <f t="shared" si="34"/>
        <v>-0.71230289667880831</v>
      </c>
    </row>
    <row r="141" spans="1:26" s="24" customFormat="1" hidden="1" outlineLevel="1" x14ac:dyDescent="0.25">
      <c r="A141" s="44"/>
      <c r="B141" s="11" t="str">
        <f>CONCATENATE("          ", "5031", " - ", "PURCHASES @ COST-FOOD")</f>
        <v xml:space="preserve">          5031 - PURCHASES @ COST-FOOD</v>
      </c>
      <c r="C141" s="11"/>
      <c r="D141" s="2">
        <v>271.45999999999998</v>
      </c>
      <c r="E141" s="2"/>
      <c r="F141" s="19">
        <f t="shared" si="27"/>
        <v>6.9824444996491818E-4</v>
      </c>
      <c r="G141" s="2"/>
      <c r="H141" s="2">
        <v>5225.67</v>
      </c>
      <c r="I141" s="2"/>
      <c r="J141" s="19">
        <f t="shared" si="28"/>
        <v>6.5064016900679951E-3</v>
      </c>
      <c r="K141" s="2"/>
      <c r="L141" s="2">
        <f t="shared" si="29"/>
        <v>-4954.21</v>
      </c>
      <c r="M141" s="2"/>
      <c r="N141" s="19">
        <f t="shared" si="30"/>
        <v>-0.94805259421279953</v>
      </c>
      <c r="O141" s="11"/>
      <c r="P141" s="2">
        <v>7785.72</v>
      </c>
      <c r="Q141" s="2"/>
      <c r="R141" s="19">
        <f t="shared" si="31"/>
        <v>1.3729613114614363E-3</v>
      </c>
      <c r="S141" s="2"/>
      <c r="T141" s="2">
        <v>30126.060000000005</v>
      </c>
      <c r="U141" s="2"/>
      <c r="V141" s="19">
        <f t="shared" si="32"/>
        <v>2.9276232793410948E-3</v>
      </c>
      <c r="W141" s="2"/>
      <c r="X141" s="2">
        <f t="shared" si="33"/>
        <v>-22340.340000000004</v>
      </c>
      <c r="Y141" s="2"/>
      <c r="Z141" s="19">
        <f t="shared" si="34"/>
        <v>-0.74156195665812252</v>
      </c>
    </row>
    <row r="142" spans="1:26" s="24" customFormat="1" hidden="1" outlineLevel="1" x14ac:dyDescent="0.25">
      <c r="A142" s="44"/>
      <c r="B142" s="11" t="str">
        <f>CONCATENATE("          ", "5032", " - ", "PURCHASES @ COST-JUICE")</f>
        <v xml:space="preserve">          5032 - PURCHASES @ COST-JUICE</v>
      </c>
      <c r="C142" s="11"/>
      <c r="D142" s="2"/>
      <c r="E142" s="2"/>
      <c r="F142" s="19">
        <f t="shared" si="27"/>
        <v>0</v>
      </c>
      <c r="G142" s="2"/>
      <c r="H142" s="2">
        <v>1720.97</v>
      </c>
      <c r="I142" s="2"/>
      <c r="J142" s="19">
        <f t="shared" si="28"/>
        <v>2.1427533917289681E-3</v>
      </c>
      <c r="K142" s="2"/>
      <c r="L142" s="2">
        <f t="shared" si="29"/>
        <v>-1720.97</v>
      </c>
      <c r="M142" s="2"/>
      <c r="N142" s="19">
        <f t="shared" si="30"/>
        <v>-1</v>
      </c>
      <c r="O142" s="11"/>
      <c r="P142" s="2"/>
      <c r="Q142" s="2"/>
      <c r="R142" s="19">
        <f t="shared" si="31"/>
        <v>0</v>
      </c>
      <c r="S142" s="2"/>
      <c r="T142" s="2">
        <v>7113.48</v>
      </c>
      <c r="U142" s="2"/>
      <c r="V142" s="19">
        <f t="shared" si="32"/>
        <v>6.9128155640423234E-4</v>
      </c>
      <c r="W142" s="2"/>
      <c r="X142" s="2">
        <f t="shared" si="33"/>
        <v>-7113.48</v>
      </c>
      <c r="Y142" s="2"/>
      <c r="Z142" s="19">
        <f t="shared" si="34"/>
        <v>-1</v>
      </c>
    </row>
    <row r="143" spans="1:26" s="24" customFormat="1" hidden="1" outlineLevel="1" x14ac:dyDescent="0.25">
      <c r="A143" s="44"/>
      <c r="B143" s="11" t="str">
        <f>CONCATENATE("          ", "5033", " - ", "PURCHASES @ COST-CANDY")</f>
        <v xml:space="preserve">          5033 - PURCHASES @ COST-CANDY</v>
      </c>
      <c r="C143" s="11"/>
      <c r="D143" s="2"/>
      <c r="E143" s="2"/>
      <c r="F143" s="19">
        <f t="shared" si="27"/>
        <v>0</v>
      </c>
      <c r="G143" s="2"/>
      <c r="H143" s="2">
        <v>1821.44</v>
      </c>
      <c r="I143" s="2"/>
      <c r="J143" s="19">
        <f t="shared" si="28"/>
        <v>2.2678470501117463E-3</v>
      </c>
      <c r="K143" s="2"/>
      <c r="L143" s="2">
        <f t="shared" si="29"/>
        <v>-1821.44</v>
      </c>
      <c r="M143" s="2"/>
      <c r="N143" s="19">
        <f t="shared" si="30"/>
        <v>-1</v>
      </c>
      <c r="O143" s="11"/>
      <c r="P143" s="2"/>
      <c r="Q143" s="2"/>
      <c r="R143" s="19">
        <f t="shared" si="31"/>
        <v>0</v>
      </c>
      <c r="S143" s="2"/>
      <c r="T143" s="2">
        <v>8825.06</v>
      </c>
      <c r="U143" s="2"/>
      <c r="V143" s="19">
        <f t="shared" si="32"/>
        <v>8.5761135367790932E-4</v>
      </c>
      <c r="W143" s="2"/>
      <c r="X143" s="2">
        <f t="shared" si="33"/>
        <v>-8825.06</v>
      </c>
      <c r="Y143" s="2"/>
      <c r="Z143" s="19">
        <f t="shared" si="34"/>
        <v>-1</v>
      </c>
    </row>
    <row r="144" spans="1:26" s="24" customFormat="1" hidden="1" outlineLevel="1" x14ac:dyDescent="0.25">
      <c r="A144" s="44"/>
      <c r="B144" s="11" t="str">
        <f>CONCATENATE("          ", "5034", " - ", "PURCHASES @ COST-SODA")</f>
        <v xml:space="preserve">          5034 - PURCHASES @ COST-SODA</v>
      </c>
      <c r="C144" s="11"/>
      <c r="D144" s="2"/>
      <c r="E144" s="2"/>
      <c r="F144" s="19">
        <f t="shared" si="27"/>
        <v>0</v>
      </c>
      <c r="G144" s="2"/>
      <c r="H144" s="2">
        <v>1637.93</v>
      </c>
      <c r="I144" s="2"/>
      <c r="J144" s="19">
        <f t="shared" si="28"/>
        <v>2.0393615594197626E-3</v>
      </c>
      <c r="K144" s="2"/>
      <c r="L144" s="2">
        <f t="shared" si="29"/>
        <v>-1637.93</v>
      </c>
      <c r="M144" s="2"/>
      <c r="N144" s="19">
        <f t="shared" si="30"/>
        <v>-1</v>
      </c>
      <c r="O144" s="11"/>
      <c r="P144" s="2"/>
      <c r="Q144" s="2"/>
      <c r="R144" s="19">
        <f t="shared" si="31"/>
        <v>0</v>
      </c>
      <c r="S144" s="2"/>
      <c r="T144" s="2">
        <v>3762.09</v>
      </c>
      <c r="U144" s="2"/>
      <c r="V144" s="19">
        <f t="shared" si="32"/>
        <v>3.6559650558275252E-4</v>
      </c>
      <c r="W144" s="2"/>
      <c r="X144" s="2">
        <f t="shared" si="33"/>
        <v>-3762.09</v>
      </c>
      <c r="Y144" s="2"/>
      <c r="Z144" s="19">
        <f t="shared" si="34"/>
        <v>-1</v>
      </c>
    </row>
    <row r="145" spans="1:26" s="24" customFormat="1" hidden="1" outlineLevel="1" x14ac:dyDescent="0.25">
      <c r="A145" s="44"/>
      <c r="B145" s="11" t="str">
        <f>CONCATENATE("          ", "5035", " - ", "PURCHASES @ COST-HEALTH &amp; BEAU")</f>
        <v xml:space="preserve">          5035 - PURCHASES @ COST-HEALTH &amp; BEAU</v>
      </c>
      <c r="C145" s="11"/>
      <c r="D145" s="2"/>
      <c r="E145" s="2"/>
      <c r="F145" s="19">
        <f t="shared" si="27"/>
        <v>0</v>
      </c>
      <c r="G145" s="2"/>
      <c r="H145" s="2">
        <v>198.47</v>
      </c>
      <c r="I145" s="2"/>
      <c r="J145" s="19">
        <f t="shared" si="28"/>
        <v>2.4711195759161885E-4</v>
      </c>
      <c r="K145" s="2"/>
      <c r="L145" s="2">
        <f t="shared" si="29"/>
        <v>-198.47</v>
      </c>
      <c r="M145" s="2"/>
      <c r="N145" s="19">
        <f t="shared" si="30"/>
        <v>-1</v>
      </c>
      <c r="O145" s="11"/>
      <c r="P145" s="2"/>
      <c r="Q145" s="2"/>
      <c r="R145" s="19">
        <f t="shared" si="31"/>
        <v>0</v>
      </c>
      <c r="S145" s="2"/>
      <c r="T145" s="2">
        <v>1055.67</v>
      </c>
      <c r="U145" s="2"/>
      <c r="V145" s="19">
        <f t="shared" si="32"/>
        <v>1.0258905636190107E-4</v>
      </c>
      <c r="W145" s="2"/>
      <c r="X145" s="2">
        <f t="shared" si="33"/>
        <v>-1055.67</v>
      </c>
      <c r="Y145" s="2"/>
      <c r="Z145" s="19">
        <f t="shared" si="34"/>
        <v>-1</v>
      </c>
    </row>
    <row r="146" spans="1:26" s="24" customFormat="1" hidden="1" outlineLevel="1" x14ac:dyDescent="0.25">
      <c r="A146" s="44"/>
      <c r="B146" s="11" t="str">
        <f>CONCATENATE("          ", "5037", " - ", "PURCHASES @ COST-WATER")</f>
        <v xml:space="preserve">          5037 - PURCHASES @ COST-WATER</v>
      </c>
      <c r="C146" s="11"/>
      <c r="D146" s="2"/>
      <c r="E146" s="2"/>
      <c r="F146" s="19">
        <f t="shared" si="27"/>
        <v>0</v>
      </c>
      <c r="G146" s="2"/>
      <c r="H146" s="2">
        <v>1540.46</v>
      </c>
      <c r="I146" s="2"/>
      <c r="J146" s="19">
        <f t="shared" si="28"/>
        <v>1.9180031550943982E-3</v>
      </c>
      <c r="K146" s="2"/>
      <c r="L146" s="2">
        <f t="shared" si="29"/>
        <v>-1540.46</v>
      </c>
      <c r="M146" s="2"/>
      <c r="N146" s="19">
        <f t="shared" si="30"/>
        <v>-1</v>
      </c>
      <c r="O146" s="11"/>
      <c r="P146" s="2"/>
      <c r="Q146" s="2"/>
      <c r="R146" s="19">
        <f t="shared" si="31"/>
        <v>0</v>
      </c>
      <c r="S146" s="2"/>
      <c r="T146" s="2">
        <v>5299.73</v>
      </c>
      <c r="U146" s="2"/>
      <c r="V146" s="19">
        <f t="shared" si="32"/>
        <v>5.1502297088375898E-4</v>
      </c>
      <c r="W146" s="2"/>
      <c r="X146" s="2">
        <f t="shared" si="33"/>
        <v>-5299.73</v>
      </c>
      <c r="Y146" s="2"/>
      <c r="Z146" s="19">
        <f t="shared" si="34"/>
        <v>-1</v>
      </c>
    </row>
    <row r="147" spans="1:26" s="24" customFormat="1" hidden="1" outlineLevel="1" x14ac:dyDescent="0.25">
      <c r="A147" s="44"/>
      <c r="B147" s="11" t="str">
        <f>CONCATENATE("          ", "5040", " - ", "PURCHASES @ COST-LOGO CLOTHING")</f>
        <v xml:space="preserve">          5040 - PURCHASES @ COST-LOGO CLOTHING</v>
      </c>
      <c r="C147" s="11"/>
      <c r="D147" s="2">
        <v>26599.9</v>
      </c>
      <c r="E147" s="2"/>
      <c r="F147" s="19">
        <f t="shared" si="27"/>
        <v>6.8419776558689416E-2</v>
      </c>
      <c r="G147" s="2"/>
      <c r="H147" s="2">
        <v>90806.55</v>
      </c>
      <c r="I147" s="2"/>
      <c r="J147" s="19">
        <f t="shared" si="28"/>
        <v>0.11306184477574051</v>
      </c>
      <c r="K147" s="2"/>
      <c r="L147" s="2">
        <f t="shared" si="29"/>
        <v>-64206.65</v>
      </c>
      <c r="M147" s="2"/>
      <c r="N147" s="19">
        <f t="shared" si="30"/>
        <v>-0.70707069038521997</v>
      </c>
      <c r="O147" s="11"/>
      <c r="P147" s="2">
        <v>193971.09</v>
      </c>
      <c r="Q147" s="2"/>
      <c r="R147" s="19">
        <f t="shared" si="31"/>
        <v>3.4205545808480689E-2</v>
      </c>
      <c r="S147" s="2"/>
      <c r="T147" s="2">
        <v>901545.55999999994</v>
      </c>
      <c r="U147" s="2"/>
      <c r="V147" s="19">
        <f t="shared" si="32"/>
        <v>8.7611382598408255E-2</v>
      </c>
      <c r="W147" s="2"/>
      <c r="X147" s="2">
        <f t="shared" si="33"/>
        <v>-707574.47</v>
      </c>
      <c r="Y147" s="2"/>
      <c r="Z147" s="19">
        <f t="shared" si="34"/>
        <v>-0.7848460481575662</v>
      </c>
    </row>
    <row r="148" spans="1:26" s="24" customFormat="1" hidden="1" outlineLevel="1" x14ac:dyDescent="0.25">
      <c r="A148" s="44"/>
      <c r="B148" s="11" t="str">
        <f>CONCATENATE("          ", "5041", " - ", "PURCHASES @ COST-LOGO GIFTS")</f>
        <v xml:space="preserve">          5041 - PURCHASES @ COST-LOGO GIFTS</v>
      </c>
      <c r="C148" s="11"/>
      <c r="D148" s="2">
        <v>26592.809999999998</v>
      </c>
      <c r="E148" s="2"/>
      <c r="F148" s="19">
        <f t="shared" si="27"/>
        <v>6.8401539790287971E-2</v>
      </c>
      <c r="G148" s="2"/>
      <c r="H148" s="2">
        <v>10366.19</v>
      </c>
      <c r="I148" s="2"/>
      <c r="J148" s="19">
        <f t="shared" si="28"/>
        <v>1.2906784419139738E-2</v>
      </c>
      <c r="K148" s="2"/>
      <c r="L148" s="2">
        <f t="shared" si="29"/>
        <v>16226.619999999997</v>
      </c>
      <c r="M148" s="2"/>
      <c r="N148" s="19">
        <f t="shared" si="30"/>
        <v>1.5653407857660333</v>
      </c>
      <c r="O148" s="11"/>
      <c r="P148" s="2">
        <v>67563.81</v>
      </c>
      <c r="Q148" s="2"/>
      <c r="R148" s="19">
        <f t="shared" si="31"/>
        <v>1.1914440435172508E-2</v>
      </c>
      <c r="S148" s="2"/>
      <c r="T148" s="2">
        <v>134382.06</v>
      </c>
      <c r="U148" s="2"/>
      <c r="V148" s="19">
        <f t="shared" si="32"/>
        <v>1.3059127120566436E-2</v>
      </c>
      <c r="W148" s="2"/>
      <c r="X148" s="2">
        <f t="shared" si="33"/>
        <v>-66818.25</v>
      </c>
      <c r="Y148" s="2"/>
      <c r="Z148" s="19">
        <f t="shared" si="34"/>
        <v>-0.49722596900211236</v>
      </c>
    </row>
    <row r="149" spans="1:26" s="24" customFormat="1" hidden="1" outlineLevel="1" x14ac:dyDescent="0.25">
      <c r="A149" s="44"/>
      <c r="B149" s="11" t="str">
        <f>CONCATENATE("          ", "5042", " - ", "PURCHASES @ COST-EVERYDAY GIFT")</f>
        <v xml:space="preserve">          5042 - PURCHASES @ COST-EVERYDAY GIFT</v>
      </c>
      <c r="C149" s="11"/>
      <c r="D149" s="2">
        <v>1196.2</v>
      </c>
      <c r="E149" s="2"/>
      <c r="F149" s="19">
        <f t="shared" si="27"/>
        <v>3.0768437745820202E-3</v>
      </c>
      <c r="G149" s="2"/>
      <c r="H149" s="2">
        <v>8647</v>
      </c>
      <c r="I149" s="2"/>
      <c r="J149" s="19">
        <f t="shared" si="28"/>
        <v>1.07662472781515E-2</v>
      </c>
      <c r="K149" s="2"/>
      <c r="L149" s="2">
        <f t="shared" si="29"/>
        <v>-7450.8</v>
      </c>
      <c r="M149" s="2"/>
      <c r="N149" s="19">
        <f t="shared" si="30"/>
        <v>-0.86166300451023481</v>
      </c>
      <c r="O149" s="11"/>
      <c r="P149" s="2">
        <v>19018.18</v>
      </c>
      <c r="Q149" s="2"/>
      <c r="R149" s="19">
        <f t="shared" si="31"/>
        <v>3.3537329051660804E-3</v>
      </c>
      <c r="S149" s="2"/>
      <c r="T149" s="2">
        <v>100007.97</v>
      </c>
      <c r="U149" s="2"/>
      <c r="V149" s="19">
        <f t="shared" si="32"/>
        <v>9.7186841256920349E-3</v>
      </c>
      <c r="W149" s="2"/>
      <c r="X149" s="2">
        <f t="shared" si="33"/>
        <v>-80989.790000000008</v>
      </c>
      <c r="Y149" s="2"/>
      <c r="Z149" s="19">
        <f t="shared" si="34"/>
        <v>-0.80983335628150444</v>
      </c>
    </row>
    <row r="150" spans="1:26" s="24" customFormat="1" hidden="1" outlineLevel="1" x14ac:dyDescent="0.25">
      <c r="A150" s="44"/>
      <c r="B150" s="11" t="str">
        <f>CONCATENATE("          ", "5043", " - ", "PURCHASES @ COST-CARDS")</f>
        <v xml:space="preserve">          5043 - PURCHASES @ COST-CARDS</v>
      </c>
      <c r="C150" s="11"/>
      <c r="D150" s="2"/>
      <c r="E150" s="2"/>
      <c r="F150" s="19">
        <f t="shared" si="27"/>
        <v>0</v>
      </c>
      <c r="G150" s="2"/>
      <c r="H150" s="2">
        <v>18340.75</v>
      </c>
      <c r="I150" s="2"/>
      <c r="J150" s="19">
        <f t="shared" si="28"/>
        <v>2.2835786951168859E-2</v>
      </c>
      <c r="K150" s="2"/>
      <c r="L150" s="2">
        <f t="shared" si="29"/>
        <v>-18340.75</v>
      </c>
      <c r="M150" s="2"/>
      <c r="N150" s="19">
        <f t="shared" si="30"/>
        <v>-1</v>
      </c>
      <c r="O150" s="11"/>
      <c r="P150" s="2">
        <v>55364.33</v>
      </c>
      <c r="Q150" s="2"/>
      <c r="R150" s="19">
        <f t="shared" si="31"/>
        <v>9.7631411256741494E-3</v>
      </c>
      <c r="S150" s="2"/>
      <c r="T150" s="2">
        <v>29035.16</v>
      </c>
      <c r="U150" s="2"/>
      <c r="V150" s="19">
        <f t="shared" si="32"/>
        <v>2.8216106034241904E-3</v>
      </c>
      <c r="W150" s="2"/>
      <c r="X150" s="2">
        <f t="shared" si="33"/>
        <v>26329.170000000002</v>
      </c>
      <c r="Y150" s="2"/>
      <c r="Z150" s="19">
        <f t="shared" si="34"/>
        <v>0.90680299333635506</v>
      </c>
    </row>
    <row r="151" spans="1:26" s="24" customFormat="1" hidden="1" outlineLevel="1" x14ac:dyDescent="0.25">
      <c r="A151" s="44"/>
      <c r="B151" s="11" t="str">
        <f>CONCATENATE("          ", "5044", " - ", "PURCHASES @ COST-ACCESSORIES")</f>
        <v xml:space="preserve">          5044 - PURCHASES @ COST-ACCESSORIES</v>
      </c>
      <c r="C151" s="11"/>
      <c r="D151" s="2"/>
      <c r="E151" s="2"/>
      <c r="F151" s="19">
        <f t="shared" si="27"/>
        <v>0</v>
      </c>
      <c r="G151" s="2"/>
      <c r="H151" s="2">
        <v>12532.23</v>
      </c>
      <c r="I151" s="2"/>
      <c r="J151" s="19">
        <f t="shared" si="28"/>
        <v>1.5603687651979713E-2</v>
      </c>
      <c r="K151" s="2"/>
      <c r="L151" s="2">
        <f t="shared" si="29"/>
        <v>-12532.23</v>
      </c>
      <c r="M151" s="2"/>
      <c r="N151" s="19">
        <f t="shared" si="30"/>
        <v>-1</v>
      </c>
      <c r="O151" s="11"/>
      <c r="P151" s="2">
        <v>1064.83</v>
      </c>
      <c r="Q151" s="2"/>
      <c r="R151" s="19">
        <f t="shared" si="31"/>
        <v>1.8777587599907024E-4</v>
      </c>
      <c r="S151" s="2"/>
      <c r="T151" s="2">
        <v>33399.440000000002</v>
      </c>
      <c r="U151" s="2"/>
      <c r="V151" s="19">
        <f t="shared" si="32"/>
        <v>3.2457273888771426E-3</v>
      </c>
      <c r="W151" s="2"/>
      <c r="X151" s="2">
        <f t="shared" si="33"/>
        <v>-32334.61</v>
      </c>
      <c r="Y151" s="2"/>
      <c r="Z151" s="19">
        <f t="shared" si="34"/>
        <v>-0.968118327732441</v>
      </c>
    </row>
    <row r="152" spans="1:26" s="24" customFormat="1" hidden="1" outlineLevel="1" x14ac:dyDescent="0.25">
      <c r="A152" s="44"/>
      <c r="B152" s="11" t="str">
        <f>CONCATENATE("          ", "5045", " - ", "PURCHASES @ COST-SPECIAL ORDER")</f>
        <v xml:space="preserve">          5045 - PURCHASES @ COST-SPECIAL ORDER</v>
      </c>
      <c r="C152" s="11"/>
      <c r="D152" s="2">
        <v>1909.13</v>
      </c>
      <c r="E152" s="2"/>
      <c r="F152" s="19">
        <f t="shared" si="27"/>
        <v>4.9106292888879549E-3</v>
      </c>
      <c r="G152" s="2"/>
      <c r="H152" s="2">
        <v>2948.55</v>
      </c>
      <c r="I152" s="2"/>
      <c r="J152" s="19">
        <f t="shared" si="28"/>
        <v>3.671194450328855E-3</v>
      </c>
      <c r="K152" s="2"/>
      <c r="L152" s="2">
        <f t="shared" si="29"/>
        <v>-1039.42</v>
      </c>
      <c r="M152" s="2"/>
      <c r="N152" s="19">
        <f t="shared" si="30"/>
        <v>-0.35251903477980701</v>
      </c>
      <c r="O152" s="11"/>
      <c r="P152" s="2">
        <v>95373.51</v>
      </c>
      <c r="Q152" s="2"/>
      <c r="R152" s="19">
        <f t="shared" si="31"/>
        <v>1.6818500969503193E-2</v>
      </c>
      <c r="S152" s="2"/>
      <c r="T152" s="2">
        <v>50964.780000000006</v>
      </c>
      <c r="U152" s="2"/>
      <c r="V152" s="19">
        <f t="shared" si="32"/>
        <v>4.9527112524670475E-3</v>
      </c>
      <c r="W152" s="2"/>
      <c r="X152" s="2">
        <f t="shared" si="33"/>
        <v>44408.729999999989</v>
      </c>
      <c r="Y152" s="2"/>
      <c r="Z152" s="19">
        <f t="shared" si="34"/>
        <v>0.87136116353293358</v>
      </c>
    </row>
    <row r="153" spans="1:26" s="24" customFormat="1" hidden="1" outlineLevel="1" x14ac:dyDescent="0.25">
      <c r="A153" s="44"/>
      <c r="B153" s="11" t="str">
        <f>CONCATENATE("          ", "5081", " - ", "PURCHASES @ COST-ELECTRONICS")</f>
        <v xml:space="preserve">          5081 - PURCHASES @ COST-ELECTRONICS</v>
      </c>
      <c r="C153" s="11"/>
      <c r="D153" s="2">
        <v>6584.13</v>
      </c>
      <c r="E153" s="2"/>
      <c r="F153" s="19">
        <f t="shared" si="27"/>
        <v>1.6935578834257413E-2</v>
      </c>
      <c r="G153" s="2"/>
      <c r="H153" s="2">
        <v>7374.68</v>
      </c>
      <c r="I153" s="2"/>
      <c r="J153" s="19">
        <f t="shared" si="28"/>
        <v>9.1821011307087214E-3</v>
      </c>
      <c r="K153" s="2"/>
      <c r="L153" s="2">
        <f t="shared" si="29"/>
        <v>-790.55000000000018</v>
      </c>
      <c r="M153" s="2"/>
      <c r="N153" s="19">
        <f t="shared" si="30"/>
        <v>-0.10719787163646424</v>
      </c>
      <c r="O153" s="11"/>
      <c r="P153" s="2">
        <v>32157.900000000005</v>
      </c>
      <c r="Q153" s="2"/>
      <c r="R153" s="19">
        <f t="shared" si="31"/>
        <v>5.670837450851781E-3</v>
      </c>
      <c r="S153" s="2"/>
      <c r="T153" s="2">
        <v>229021.47999999998</v>
      </c>
      <c r="U153" s="2"/>
      <c r="V153" s="19">
        <f t="shared" si="32"/>
        <v>2.2256100409982282E-2</v>
      </c>
      <c r="W153" s="2"/>
      <c r="X153" s="2">
        <f t="shared" si="33"/>
        <v>-196863.58</v>
      </c>
      <c r="Y153" s="2"/>
      <c r="Z153" s="19">
        <f t="shared" si="34"/>
        <v>-0.85958565982544521</v>
      </c>
    </row>
    <row r="154" spans="1:26" s="24" customFormat="1" hidden="1" outlineLevel="1" x14ac:dyDescent="0.25">
      <c r="A154" s="44"/>
      <c r="B154" s="11" t="str">
        <f>CONCATENATE("          ", "5082", " - ", "PURCHASES @ COST-COMPUTER HARD")</f>
        <v xml:space="preserve">          5082 - PURCHASES @ COST-COMPUTER HARD</v>
      </c>
      <c r="C154" s="11"/>
      <c r="D154" s="2">
        <v>184376.31</v>
      </c>
      <c r="E154" s="2"/>
      <c r="F154" s="19">
        <f t="shared" si="27"/>
        <v>0.47424937435537923</v>
      </c>
      <c r="G154" s="2"/>
      <c r="H154" s="2">
        <v>43635.82</v>
      </c>
      <c r="I154" s="2"/>
      <c r="J154" s="19">
        <f t="shared" si="28"/>
        <v>5.4330291234521662E-2</v>
      </c>
      <c r="K154" s="2"/>
      <c r="L154" s="2">
        <f t="shared" si="29"/>
        <v>140740.49</v>
      </c>
      <c r="M154" s="2"/>
      <c r="N154" s="19">
        <f t="shared" si="30"/>
        <v>3.2253430782325161</v>
      </c>
      <c r="O154" s="11"/>
      <c r="P154" s="2">
        <v>1263577.8400000001</v>
      </c>
      <c r="Q154" s="2"/>
      <c r="R154" s="19">
        <f t="shared" si="31"/>
        <v>0.22282377074182078</v>
      </c>
      <c r="S154" s="2"/>
      <c r="T154" s="2">
        <v>1211298.58</v>
      </c>
      <c r="U154" s="2"/>
      <c r="V154" s="19">
        <f t="shared" si="32"/>
        <v>0.11771290109097608</v>
      </c>
      <c r="W154" s="2"/>
      <c r="X154" s="2">
        <f t="shared" si="33"/>
        <v>52279.260000000009</v>
      </c>
      <c r="Y154" s="2"/>
      <c r="Z154" s="19">
        <f t="shared" si="34"/>
        <v>4.315968074527092E-2</v>
      </c>
    </row>
    <row r="155" spans="1:26" s="24" customFormat="1" hidden="1" outlineLevel="1" x14ac:dyDescent="0.25">
      <c r="A155" s="44"/>
      <c r="B155" s="11" t="str">
        <f>CONCATENATE("          ", "5083", " - ", "PURCHASES @ COST-COMPUTER EQUI")</f>
        <v xml:space="preserve">          5083 - PURCHASES @ COST-COMPUTER EQUI</v>
      </c>
      <c r="C155" s="11"/>
      <c r="D155" s="2">
        <v>8631.6</v>
      </c>
      <c r="E155" s="2"/>
      <c r="F155" s="19">
        <f t="shared" si="27"/>
        <v>2.2202043742419464E-2</v>
      </c>
      <c r="G155" s="2"/>
      <c r="H155" s="2">
        <v>6151.02</v>
      </c>
      <c r="I155" s="2"/>
      <c r="J155" s="19">
        <f t="shared" si="28"/>
        <v>7.6585408040771887E-3</v>
      </c>
      <c r="K155" s="2"/>
      <c r="L155" s="2">
        <f t="shared" si="29"/>
        <v>2480.58</v>
      </c>
      <c r="M155" s="2"/>
      <c r="N155" s="19">
        <f t="shared" si="30"/>
        <v>0.40327945609020938</v>
      </c>
      <c r="O155" s="11"/>
      <c r="P155" s="2">
        <v>99188.26999999999</v>
      </c>
      <c r="Q155" s="2"/>
      <c r="R155" s="19">
        <f t="shared" si="31"/>
        <v>1.7491209195911364E-2</v>
      </c>
      <c r="S155" s="2"/>
      <c r="T155" s="2">
        <v>71511.8</v>
      </c>
      <c r="U155" s="2"/>
      <c r="V155" s="19">
        <f t="shared" si="32"/>
        <v>6.9494520832656002E-3</v>
      </c>
      <c r="W155" s="2"/>
      <c r="X155" s="2">
        <f t="shared" si="33"/>
        <v>27676.469999999987</v>
      </c>
      <c r="Y155" s="2"/>
      <c r="Z155" s="19">
        <f t="shared" si="34"/>
        <v>0.38701962473326063</v>
      </c>
    </row>
    <row r="156" spans="1:26" s="24" customFormat="1" hidden="1" outlineLevel="1" x14ac:dyDescent="0.25">
      <c r="A156" s="44"/>
      <c r="B156" s="11" t="str">
        <f>CONCATENATE("          ", "5084", " - ", "PURCHASES @ COST-SOFTWARE LICE")</f>
        <v xml:space="preserve">          5084 - PURCHASES @ COST-SOFTWARE LICE</v>
      </c>
      <c r="C156" s="11"/>
      <c r="D156" s="2"/>
      <c r="E156" s="2"/>
      <c r="F156" s="19">
        <f t="shared" si="27"/>
        <v>0</v>
      </c>
      <c r="G156" s="2"/>
      <c r="H156" s="2"/>
      <c r="I156" s="2"/>
      <c r="J156" s="19">
        <f t="shared" si="28"/>
        <v>0</v>
      </c>
      <c r="K156" s="2"/>
      <c r="L156" s="2">
        <f t="shared" si="29"/>
        <v>0</v>
      </c>
      <c r="M156" s="2"/>
      <c r="N156" s="19">
        <f t="shared" si="30"/>
        <v>0</v>
      </c>
      <c r="O156" s="11"/>
      <c r="P156" s="2"/>
      <c r="Q156" s="2"/>
      <c r="R156" s="19">
        <f t="shared" si="31"/>
        <v>0</v>
      </c>
      <c r="S156" s="2"/>
      <c r="T156" s="2">
        <v>2728</v>
      </c>
      <c r="U156" s="2"/>
      <c r="V156" s="19">
        <f t="shared" si="32"/>
        <v>2.6510457411432179E-4</v>
      </c>
      <c r="W156" s="2"/>
      <c r="X156" s="2">
        <f t="shared" si="33"/>
        <v>-2728</v>
      </c>
      <c r="Y156" s="2"/>
      <c r="Z156" s="19">
        <f t="shared" si="34"/>
        <v>-1</v>
      </c>
    </row>
    <row r="157" spans="1:26" s="24" customFormat="1" hidden="1" outlineLevel="1" x14ac:dyDescent="0.25">
      <c r="A157" s="44"/>
      <c r="B157" s="11" t="str">
        <f>CONCATENATE("          ", "5085", " - ", "PURCHASES @ COST-SOFTWARE")</f>
        <v xml:space="preserve">          5085 - PURCHASES @ COST-SOFTWARE</v>
      </c>
      <c r="C157" s="11"/>
      <c r="D157" s="2">
        <v>1399.23</v>
      </c>
      <c r="E157" s="2"/>
      <c r="F157" s="19">
        <f t="shared" si="27"/>
        <v>3.5990738293833805E-3</v>
      </c>
      <c r="G157" s="2"/>
      <c r="H157" s="2">
        <v>1301.73</v>
      </c>
      <c r="I157" s="2"/>
      <c r="J157" s="19">
        <f t="shared" si="28"/>
        <v>1.6207640880522901E-3</v>
      </c>
      <c r="K157" s="2"/>
      <c r="L157" s="2">
        <f t="shared" si="29"/>
        <v>97.5</v>
      </c>
      <c r="M157" s="2"/>
      <c r="N157" s="19">
        <f t="shared" si="30"/>
        <v>7.490032495217902E-2</v>
      </c>
      <c r="O157" s="11"/>
      <c r="P157" s="2">
        <v>30145.449999999997</v>
      </c>
      <c r="Q157" s="2"/>
      <c r="R157" s="19">
        <f t="shared" si="31"/>
        <v>5.3159549234489739E-3</v>
      </c>
      <c r="S157" s="2"/>
      <c r="T157" s="2">
        <v>9162.39</v>
      </c>
      <c r="U157" s="2"/>
      <c r="V157" s="19">
        <f t="shared" si="32"/>
        <v>8.9039277815957502E-4</v>
      </c>
      <c r="W157" s="2"/>
      <c r="X157" s="2">
        <f t="shared" si="33"/>
        <v>20983.059999999998</v>
      </c>
      <c r="Y157" s="2"/>
      <c r="Z157" s="19">
        <f t="shared" si="34"/>
        <v>2.2901295404365016</v>
      </c>
    </row>
    <row r="158" spans="1:26" s="24" customFormat="1" hidden="1" outlineLevel="1" x14ac:dyDescent="0.25">
      <c r="A158" s="44"/>
      <c r="B158" s="11" t="str">
        <f>CONCATENATE("          ", "5086", " - ", "PURCHASES @ COST-COMPUTER SUPP")</f>
        <v xml:space="preserve">          5086 - PURCHASES @ COST-COMPUTER SUPP</v>
      </c>
      <c r="C158" s="11"/>
      <c r="D158" s="2">
        <v>398.64</v>
      </c>
      <c r="E158" s="2"/>
      <c r="F158" s="19">
        <f t="shared" si="27"/>
        <v>1.025374521233386E-3</v>
      </c>
      <c r="G158" s="2"/>
      <c r="H158" s="2">
        <v>4080.56</v>
      </c>
      <c r="I158" s="2"/>
      <c r="J158" s="19">
        <f t="shared" si="28"/>
        <v>5.0806427655064055E-3</v>
      </c>
      <c r="K158" s="2"/>
      <c r="L158" s="2">
        <f t="shared" si="29"/>
        <v>-3681.92</v>
      </c>
      <c r="M158" s="2"/>
      <c r="N158" s="19">
        <f t="shared" si="30"/>
        <v>-0.90230752641794265</v>
      </c>
      <c r="O158" s="11"/>
      <c r="P158" s="2">
        <v>23138.489999999998</v>
      </c>
      <c r="Q158" s="2"/>
      <c r="R158" s="19">
        <f t="shared" si="31"/>
        <v>4.0803228957164298E-3</v>
      </c>
      <c r="S158" s="2"/>
      <c r="T158" s="2">
        <v>29428.32</v>
      </c>
      <c r="U158" s="2"/>
      <c r="V158" s="19">
        <f t="shared" si="32"/>
        <v>2.859817536840168E-3</v>
      </c>
      <c r="W158" s="2"/>
      <c r="X158" s="2">
        <f t="shared" si="33"/>
        <v>-6289.8300000000017</v>
      </c>
      <c r="Y158" s="2"/>
      <c r="Z158" s="19">
        <f t="shared" si="34"/>
        <v>-0.21373391345479462</v>
      </c>
    </row>
    <row r="159" spans="1:26" s="24" customFormat="1" hidden="1" outlineLevel="1" x14ac:dyDescent="0.25">
      <c r="A159" s="44"/>
      <c r="B159" s="11" t="str">
        <f>CONCATENATE("          ", "5088", " - ", "PURCHASES @ COST-MUSIC")</f>
        <v xml:space="preserve">          5088 - PURCHASES @ COST-MUSIC</v>
      </c>
      <c r="C159" s="11"/>
      <c r="D159" s="2"/>
      <c r="E159" s="2"/>
      <c r="F159" s="19">
        <f t="shared" si="27"/>
        <v>0</v>
      </c>
      <c r="G159" s="2"/>
      <c r="H159" s="2">
        <v>6.9</v>
      </c>
      <c r="I159" s="2"/>
      <c r="J159" s="19">
        <f t="shared" si="28"/>
        <v>8.5910843320510415E-6</v>
      </c>
      <c r="K159" s="2"/>
      <c r="L159" s="2">
        <f t="shared" si="29"/>
        <v>-6.9</v>
      </c>
      <c r="M159" s="2"/>
      <c r="N159" s="19">
        <f t="shared" si="30"/>
        <v>-1</v>
      </c>
      <c r="O159" s="11"/>
      <c r="P159" s="2"/>
      <c r="Q159" s="2"/>
      <c r="R159" s="19">
        <f t="shared" si="31"/>
        <v>0</v>
      </c>
      <c r="S159" s="2"/>
      <c r="T159" s="2">
        <v>95.65</v>
      </c>
      <c r="U159" s="2"/>
      <c r="V159" s="19">
        <f t="shared" si="32"/>
        <v>9.2951805403353671E-6</v>
      </c>
      <c r="W159" s="2"/>
      <c r="X159" s="2">
        <f t="shared" si="33"/>
        <v>-95.65</v>
      </c>
      <c r="Y159" s="2"/>
      <c r="Z159" s="19">
        <f t="shared" si="34"/>
        <v>-1</v>
      </c>
    </row>
    <row r="160" spans="1:26" s="24" customFormat="1" hidden="1" outlineLevel="1" x14ac:dyDescent="0.25">
      <c r="A160" s="44"/>
      <c r="B160" s="11" t="str">
        <f>CONCATENATE("          ", "5092", " - ", "PURCHASES @ COST-GRAD MERCH")</f>
        <v xml:space="preserve">          5092 - PURCHASES @ COST-GRAD MERCH</v>
      </c>
      <c r="C160" s="11"/>
      <c r="D160" s="2"/>
      <c r="E160" s="2"/>
      <c r="F160" s="19">
        <f t="shared" si="27"/>
        <v>0</v>
      </c>
      <c r="G160" s="2"/>
      <c r="H160" s="2">
        <v>-137.06</v>
      </c>
      <c r="I160" s="2"/>
      <c r="J160" s="19">
        <f t="shared" si="28"/>
        <v>-1.7065130703636461E-4</v>
      </c>
      <c r="K160" s="2"/>
      <c r="L160" s="2">
        <f t="shared" si="29"/>
        <v>137.06</v>
      </c>
      <c r="M160" s="2"/>
      <c r="N160" s="19">
        <f t="shared" si="30"/>
        <v>-1</v>
      </c>
      <c r="O160" s="11"/>
      <c r="P160" s="2"/>
      <c r="Q160" s="2"/>
      <c r="R160" s="19">
        <f t="shared" si="31"/>
        <v>0</v>
      </c>
      <c r="S160" s="2"/>
      <c r="T160" s="2">
        <v>1909.8</v>
      </c>
      <c r="U160" s="2"/>
      <c r="V160" s="19">
        <f t="shared" si="32"/>
        <v>1.8559263769924185E-4</v>
      </c>
      <c r="W160" s="2"/>
      <c r="X160" s="2">
        <f t="shared" si="33"/>
        <v>-1909.8</v>
      </c>
      <c r="Y160" s="2"/>
      <c r="Z160" s="19">
        <f t="shared" si="34"/>
        <v>-1</v>
      </c>
    </row>
    <row r="161" spans="1:26" s="24" customFormat="1" hidden="1" outlineLevel="1" x14ac:dyDescent="0.25">
      <c r="A161" s="44"/>
      <c r="B161" s="11" t="str">
        <f>CONCATENATE("          ", "5095", " - ", "PURCHASES @ COST-CUSTOMER SERV")</f>
        <v xml:space="preserve">          5095 - PURCHASES @ COST-CUSTOMER SERV</v>
      </c>
      <c r="C161" s="11"/>
      <c r="D161" s="2"/>
      <c r="E161" s="2"/>
      <c r="F161" s="19">
        <f t="shared" si="27"/>
        <v>0</v>
      </c>
      <c r="G161" s="2"/>
      <c r="H161" s="2"/>
      <c r="I161" s="2"/>
      <c r="J161" s="19">
        <f t="shared" si="28"/>
        <v>0</v>
      </c>
      <c r="K161" s="2"/>
      <c r="L161" s="2">
        <f t="shared" si="29"/>
        <v>0</v>
      </c>
      <c r="M161" s="2"/>
      <c r="N161" s="19">
        <f t="shared" si="30"/>
        <v>0</v>
      </c>
      <c r="O161" s="11"/>
      <c r="P161" s="2"/>
      <c r="Q161" s="2"/>
      <c r="R161" s="19">
        <f t="shared" si="31"/>
        <v>0</v>
      </c>
      <c r="S161" s="2"/>
      <c r="T161" s="2">
        <v>0</v>
      </c>
      <c r="U161" s="2"/>
      <c r="V161" s="19">
        <f t="shared" si="32"/>
        <v>0</v>
      </c>
      <c r="W161" s="2"/>
      <c r="X161" s="2">
        <f t="shared" si="33"/>
        <v>0</v>
      </c>
      <c r="Y161" s="2"/>
      <c r="Z161" s="19">
        <f t="shared" si="34"/>
        <v>0</v>
      </c>
    </row>
    <row r="162" spans="1:26" s="24" customFormat="1" hidden="1" outlineLevel="1" x14ac:dyDescent="0.25">
      <c r="A162" s="44"/>
      <c r="B162" s="11" t="str">
        <f>CONCATENATE("          ", "5200", " - ", "PURCHASES OFFSET")</f>
        <v xml:space="preserve">          5200 - PURCHASES OFFSET</v>
      </c>
      <c r="C162" s="11"/>
      <c r="D162" s="2">
        <v>-46641.740000000005</v>
      </c>
      <c r="E162" s="2"/>
      <c r="F162" s="19">
        <f t="shared" si="27"/>
        <v>-0.11997103106058619</v>
      </c>
      <c r="G162" s="2"/>
      <c r="H162" s="2">
        <v>-211466</v>
      </c>
      <c r="I162" s="2"/>
      <c r="J162" s="19">
        <f t="shared" si="28"/>
        <v>-0.26329307816833414</v>
      </c>
      <c r="K162" s="2"/>
      <c r="L162" s="2">
        <f t="shared" si="29"/>
        <v>164824.26</v>
      </c>
      <c r="M162" s="2"/>
      <c r="N162" s="19">
        <f t="shared" si="30"/>
        <v>-0.7794362214256666</v>
      </c>
      <c r="O162" s="11"/>
      <c r="P162" s="2">
        <v>-3425688.92</v>
      </c>
      <c r="Q162" s="2"/>
      <c r="R162" s="19">
        <f t="shared" si="31"/>
        <v>-0.60409806058554771</v>
      </c>
      <c r="S162" s="2"/>
      <c r="T162" s="2">
        <v>-5724961</v>
      </c>
      <c r="U162" s="2"/>
      <c r="V162" s="19">
        <f t="shared" si="32"/>
        <v>-0.55634653509021326</v>
      </c>
      <c r="W162" s="2"/>
      <c r="X162" s="2">
        <f t="shared" si="33"/>
        <v>2299272.08</v>
      </c>
      <c r="Y162" s="2"/>
      <c r="Z162" s="19">
        <f t="shared" si="34"/>
        <v>-0.40162231323497227</v>
      </c>
    </row>
    <row r="163" spans="1:26" s="24" customFormat="1" hidden="1" outlineLevel="1" x14ac:dyDescent="0.25">
      <c r="A163" s="44"/>
      <c r="B163" s="11" t="str">
        <f>CONCATENATE("          ", "5300", " - ", "COG$ OFFSET")</f>
        <v xml:space="preserve">          5300 - COG$ OFFSET</v>
      </c>
      <c r="C163" s="11"/>
      <c r="D163" s="2">
        <v>286283</v>
      </c>
      <c r="E163" s="2"/>
      <c r="F163" s="19">
        <f t="shared" si="27"/>
        <v>0.73637189961433236</v>
      </c>
      <c r="G163" s="2"/>
      <c r="H163" s="2">
        <v>564760</v>
      </c>
      <c r="I163" s="2"/>
      <c r="J163" s="19">
        <f t="shared" si="28"/>
        <v>0.7031740271549487</v>
      </c>
      <c r="K163" s="2"/>
      <c r="L163" s="2">
        <f t="shared" si="29"/>
        <v>-278477</v>
      </c>
      <c r="M163" s="2"/>
      <c r="N163" s="19">
        <f t="shared" si="30"/>
        <v>-0.49308909979460303</v>
      </c>
      <c r="O163" s="11"/>
      <c r="P163" s="2">
        <v>3584463</v>
      </c>
      <c r="Q163" s="2"/>
      <c r="R163" s="19">
        <f t="shared" si="31"/>
        <v>0.63209684157213386</v>
      </c>
      <c r="S163" s="2"/>
      <c r="T163" s="2">
        <v>5398957.4700000007</v>
      </c>
      <c r="U163" s="2"/>
      <c r="V163" s="19">
        <f t="shared" si="32"/>
        <v>0.52466580672495833</v>
      </c>
      <c r="W163" s="2"/>
      <c r="X163" s="2">
        <f t="shared" si="33"/>
        <v>-1814494.4700000007</v>
      </c>
      <c r="Y163" s="2"/>
      <c r="Z163" s="19">
        <f t="shared" si="34"/>
        <v>-0.33608237888193632</v>
      </c>
    </row>
    <row r="164" spans="1:26" s="24" customFormat="1" hidden="1" outlineLevel="1" x14ac:dyDescent="0.25">
      <c r="A164" s="44"/>
      <c r="B164" s="11" t="str">
        <f>CONCATENATE("          ", "5500", " - ", "FREIGHT-IN")</f>
        <v xml:space="preserve">          5500 - FREIGHT-IN</v>
      </c>
      <c r="C164" s="11"/>
      <c r="D164" s="2"/>
      <c r="E164" s="2"/>
      <c r="F164" s="19">
        <f t="shared" si="27"/>
        <v>0</v>
      </c>
      <c r="G164" s="2"/>
      <c r="H164" s="2">
        <v>33.950000000000003</v>
      </c>
      <c r="I164" s="2"/>
      <c r="J164" s="19">
        <f t="shared" si="28"/>
        <v>4.2270625083062737E-5</v>
      </c>
      <c r="K164" s="2"/>
      <c r="L164" s="2">
        <f t="shared" si="29"/>
        <v>-33.950000000000003</v>
      </c>
      <c r="M164" s="2"/>
      <c r="N164" s="19">
        <f t="shared" si="30"/>
        <v>-1</v>
      </c>
      <c r="O164" s="11"/>
      <c r="P164" s="2"/>
      <c r="Q164" s="2"/>
      <c r="R164" s="19">
        <f t="shared" si="31"/>
        <v>0</v>
      </c>
      <c r="S164" s="2"/>
      <c r="T164" s="2">
        <v>156.47999999999999</v>
      </c>
      <c r="U164" s="2"/>
      <c r="V164" s="19">
        <f t="shared" si="32"/>
        <v>1.5206584955061977E-5</v>
      </c>
      <c r="W164" s="2"/>
      <c r="X164" s="2">
        <f t="shared" si="33"/>
        <v>-156.47999999999999</v>
      </c>
      <c r="Y164" s="2"/>
      <c r="Z164" s="19">
        <f t="shared" si="34"/>
        <v>-1</v>
      </c>
    </row>
    <row r="165" spans="1:26" s="24" customFormat="1" hidden="1" outlineLevel="1" x14ac:dyDescent="0.25">
      <c r="A165" s="44"/>
      <c r="B165" s="11" t="str">
        <f>CONCATENATE("          ", "5501", " - ", "FREIGHT-IN-NEW TEXT")</f>
        <v xml:space="preserve">          5501 - FREIGHT-IN-NEW TEXT</v>
      </c>
      <c r="C165" s="11"/>
      <c r="D165" s="2">
        <v>4638.13</v>
      </c>
      <c r="E165" s="2"/>
      <c r="F165" s="19">
        <f t="shared" si="27"/>
        <v>1.1930113205318596E-2</v>
      </c>
      <c r="G165" s="2"/>
      <c r="H165" s="2">
        <v>23947.37</v>
      </c>
      <c r="I165" s="2"/>
      <c r="J165" s="19">
        <f t="shared" si="28"/>
        <v>2.9816503652294078E-2</v>
      </c>
      <c r="K165" s="2"/>
      <c r="L165" s="2">
        <f t="shared" si="29"/>
        <v>-19309.239999999998</v>
      </c>
      <c r="M165" s="2"/>
      <c r="N165" s="19">
        <f t="shared" si="30"/>
        <v>-0.80631985892396529</v>
      </c>
      <c r="O165" s="11"/>
      <c r="P165" s="2">
        <v>49256.92</v>
      </c>
      <c r="Q165" s="2"/>
      <c r="R165" s="19">
        <f t="shared" si="31"/>
        <v>8.6861389160862515E-3</v>
      </c>
      <c r="S165" s="2"/>
      <c r="T165" s="2">
        <v>66024.739999999991</v>
      </c>
      <c r="U165" s="2"/>
      <c r="V165" s="19">
        <f t="shared" si="32"/>
        <v>6.4162245523126191E-3</v>
      </c>
      <c r="W165" s="2"/>
      <c r="X165" s="2">
        <f t="shared" si="33"/>
        <v>-16767.819999999992</v>
      </c>
      <c r="Y165" s="2"/>
      <c r="Z165" s="19">
        <f t="shared" si="34"/>
        <v>-0.25396268126159977</v>
      </c>
    </row>
    <row r="166" spans="1:26" s="24" customFormat="1" hidden="1" outlineLevel="1" x14ac:dyDescent="0.25">
      <c r="A166" s="44"/>
      <c r="B166" s="11" t="str">
        <f>CONCATENATE("          ", "5502", " - ", "FREIGHT-IN-USED TEXT")</f>
        <v xml:space="preserve">          5502 - FREIGHT-IN-USED TEXT</v>
      </c>
      <c r="C166" s="11"/>
      <c r="D166" s="2">
        <v>1484.45</v>
      </c>
      <c r="E166" s="2"/>
      <c r="F166" s="19">
        <f t="shared" si="27"/>
        <v>3.818275155641431E-3</v>
      </c>
      <c r="G166" s="2"/>
      <c r="H166" s="2">
        <v>2979.86</v>
      </c>
      <c r="I166" s="2"/>
      <c r="J166" s="19">
        <f t="shared" si="28"/>
        <v>3.7101780518413938E-3</v>
      </c>
      <c r="K166" s="2"/>
      <c r="L166" s="2">
        <f t="shared" si="29"/>
        <v>-1495.41</v>
      </c>
      <c r="M166" s="2"/>
      <c r="N166" s="19">
        <f t="shared" si="30"/>
        <v>-0.50183901257106034</v>
      </c>
      <c r="O166" s="11"/>
      <c r="P166" s="2">
        <v>17136.759999999998</v>
      </c>
      <c r="Q166" s="2"/>
      <c r="R166" s="19">
        <f t="shared" si="31"/>
        <v>3.0219566698776578E-3</v>
      </c>
      <c r="S166" s="2"/>
      <c r="T166" s="2">
        <v>14758.089999999998</v>
      </c>
      <c r="U166" s="2"/>
      <c r="V166" s="19">
        <f t="shared" si="32"/>
        <v>1.4341778461110083E-3</v>
      </c>
      <c r="W166" s="2"/>
      <c r="X166" s="2">
        <f t="shared" si="33"/>
        <v>2378.67</v>
      </c>
      <c r="Y166" s="2"/>
      <c r="Z166" s="19">
        <f t="shared" si="34"/>
        <v>0.16117736102707059</v>
      </c>
    </row>
    <row r="167" spans="1:26" s="24" customFormat="1" hidden="1" outlineLevel="1" x14ac:dyDescent="0.25">
      <c r="A167" s="44"/>
      <c r="B167" s="11" t="str">
        <f>CONCATENATE("          ", "5504", " - ", "FREIGHT-IN-DIGITAL TEXT")</f>
        <v xml:space="preserve">          5504 - FREIGHT-IN-DIGITAL TEXT</v>
      </c>
      <c r="C167" s="11"/>
      <c r="D167" s="2">
        <v>6.94</v>
      </c>
      <c r="E167" s="2"/>
      <c r="F167" s="19">
        <f t="shared" si="27"/>
        <v>1.7850941143286422E-5</v>
      </c>
      <c r="G167" s="2"/>
      <c r="H167" s="2"/>
      <c r="I167" s="2"/>
      <c r="J167" s="19">
        <f t="shared" si="28"/>
        <v>0</v>
      </c>
      <c r="K167" s="2"/>
      <c r="L167" s="2">
        <f t="shared" si="29"/>
        <v>6.94</v>
      </c>
      <c r="M167" s="2"/>
      <c r="N167" s="19">
        <f t="shared" si="30"/>
        <v>0</v>
      </c>
      <c r="O167" s="11"/>
      <c r="P167" s="2">
        <v>28.92</v>
      </c>
      <c r="Q167" s="2"/>
      <c r="R167" s="19">
        <f t="shared" si="31"/>
        <v>5.0998547504231773E-6</v>
      </c>
      <c r="S167" s="2"/>
      <c r="T167" s="2">
        <v>105.97</v>
      </c>
      <c r="U167" s="2"/>
      <c r="V167" s="19">
        <f t="shared" si="32"/>
        <v>1.0298068811911539E-5</v>
      </c>
      <c r="W167" s="2"/>
      <c r="X167" s="2">
        <f t="shared" si="33"/>
        <v>-77.05</v>
      </c>
      <c r="Y167" s="2"/>
      <c r="Z167" s="19">
        <f t="shared" si="34"/>
        <v>-0.72709257336982158</v>
      </c>
    </row>
    <row r="168" spans="1:26" s="24" customFormat="1" hidden="1" outlineLevel="1" x14ac:dyDescent="0.25">
      <c r="A168" s="44"/>
      <c r="B168" s="11" t="str">
        <f>CONCATENATE("          ", "5513", " - ", "FREIGHT-IN-TRADE BOOKS")</f>
        <v xml:space="preserve">          5513 - FREIGHT-IN-TRADE BOOKS</v>
      </c>
      <c r="C168" s="11"/>
      <c r="D168" s="2"/>
      <c r="E168" s="2"/>
      <c r="F168" s="19">
        <f t="shared" si="27"/>
        <v>0</v>
      </c>
      <c r="G168" s="2"/>
      <c r="H168" s="2"/>
      <c r="I168" s="2"/>
      <c r="J168" s="19">
        <f t="shared" si="28"/>
        <v>0</v>
      </c>
      <c r="K168" s="2"/>
      <c r="L168" s="2">
        <f t="shared" si="29"/>
        <v>0</v>
      </c>
      <c r="M168" s="2"/>
      <c r="N168" s="19">
        <f t="shared" si="30"/>
        <v>0</v>
      </c>
      <c r="O168" s="11"/>
      <c r="P168" s="2">
        <v>33.520000000000003</v>
      </c>
      <c r="Q168" s="2"/>
      <c r="R168" s="19">
        <f t="shared" si="31"/>
        <v>5.9110349666039038E-6</v>
      </c>
      <c r="S168" s="2"/>
      <c r="T168" s="2">
        <v>21.41</v>
      </c>
      <c r="U168" s="2"/>
      <c r="V168" s="19">
        <f t="shared" si="32"/>
        <v>2.0806044471362281E-6</v>
      </c>
      <c r="W168" s="2"/>
      <c r="X168" s="2">
        <f t="shared" si="33"/>
        <v>12.110000000000003</v>
      </c>
      <c r="Y168" s="2"/>
      <c r="Z168" s="19">
        <f t="shared" si="34"/>
        <v>0.56562354040168161</v>
      </c>
    </row>
    <row r="169" spans="1:26" s="24" customFormat="1" hidden="1" outlineLevel="1" x14ac:dyDescent="0.25">
      <c r="A169" s="44"/>
      <c r="B169" s="11" t="str">
        <f>CONCATENATE("          ", "5518", " - ", "FREIGHT-IN-STUDY GUIDES")</f>
        <v xml:space="preserve">          5518 - FREIGHT-IN-STUDY GUIDES</v>
      </c>
      <c r="C169" s="11"/>
      <c r="D169" s="2"/>
      <c r="E169" s="2"/>
      <c r="F169" s="19">
        <f t="shared" si="27"/>
        <v>0</v>
      </c>
      <c r="G169" s="2"/>
      <c r="H169" s="2"/>
      <c r="I169" s="2"/>
      <c r="J169" s="19">
        <f t="shared" si="28"/>
        <v>0</v>
      </c>
      <c r="K169" s="2"/>
      <c r="L169" s="2">
        <f t="shared" si="29"/>
        <v>0</v>
      </c>
      <c r="M169" s="2"/>
      <c r="N169" s="19">
        <f t="shared" si="30"/>
        <v>0</v>
      </c>
      <c r="O169" s="11"/>
      <c r="P169" s="2"/>
      <c r="Q169" s="2"/>
      <c r="R169" s="19">
        <f t="shared" si="31"/>
        <v>0</v>
      </c>
      <c r="S169" s="2"/>
      <c r="T169" s="2">
        <v>21.13</v>
      </c>
      <c r="U169" s="2"/>
      <c r="V169" s="19">
        <f t="shared" si="32"/>
        <v>2.0533943002329982E-6</v>
      </c>
      <c r="W169" s="2"/>
      <c r="X169" s="2">
        <f t="shared" si="33"/>
        <v>-21.13</v>
      </c>
      <c r="Y169" s="2"/>
      <c r="Z169" s="19">
        <f t="shared" si="34"/>
        <v>-1</v>
      </c>
    </row>
    <row r="170" spans="1:26" s="24" customFormat="1" hidden="1" outlineLevel="1" x14ac:dyDescent="0.25">
      <c r="A170" s="44"/>
      <c r="B170" s="11" t="str">
        <f>CONCATENATE("          ", "5525", " - ", "FREIGHT-IN-TEST FORMS")</f>
        <v xml:space="preserve">          5525 - FREIGHT-IN-TEST FORMS</v>
      </c>
      <c r="C170" s="11"/>
      <c r="D170" s="2"/>
      <c r="E170" s="2"/>
      <c r="F170" s="19">
        <f t="shared" si="27"/>
        <v>0</v>
      </c>
      <c r="G170" s="2"/>
      <c r="H170" s="2">
        <v>532.61</v>
      </c>
      <c r="I170" s="2"/>
      <c r="J170" s="19">
        <f t="shared" si="28"/>
        <v>6.6314455450633414E-4</v>
      </c>
      <c r="K170" s="2"/>
      <c r="L170" s="2">
        <f t="shared" si="29"/>
        <v>-532.61</v>
      </c>
      <c r="M170" s="2"/>
      <c r="N170" s="19">
        <f t="shared" si="30"/>
        <v>-1</v>
      </c>
      <c r="O170" s="11"/>
      <c r="P170" s="2">
        <v>48.14</v>
      </c>
      <c r="Q170" s="2"/>
      <c r="R170" s="19">
        <f t="shared" si="31"/>
        <v>8.4891773058565605E-6</v>
      </c>
      <c r="S170" s="2"/>
      <c r="T170" s="2">
        <v>1155.02</v>
      </c>
      <c r="U170" s="2"/>
      <c r="V170" s="19">
        <f t="shared" si="32"/>
        <v>1.1224379955774338E-4</v>
      </c>
      <c r="W170" s="2"/>
      <c r="X170" s="2">
        <f t="shared" si="33"/>
        <v>-1106.8799999999999</v>
      </c>
      <c r="Y170" s="2"/>
      <c r="Z170" s="19">
        <f t="shared" si="34"/>
        <v>-0.95832106803345385</v>
      </c>
    </row>
    <row r="171" spans="1:26" s="24" customFormat="1" hidden="1" outlineLevel="1" x14ac:dyDescent="0.25">
      <c r="A171" s="44"/>
      <c r="B171" s="11" t="str">
        <f>CONCATENATE("          ", "5526", " - ", "FREIGHT-IN-WRITING INSTRUMENTS")</f>
        <v xml:space="preserve">          5526 - FREIGHT-IN-WRITING INSTRUMENTS</v>
      </c>
      <c r="C171" s="11"/>
      <c r="D171" s="2"/>
      <c r="E171" s="2"/>
      <c r="F171" s="19">
        <f t="shared" si="27"/>
        <v>0</v>
      </c>
      <c r="G171" s="2"/>
      <c r="H171" s="2"/>
      <c r="I171" s="2"/>
      <c r="J171" s="19">
        <f t="shared" si="28"/>
        <v>0</v>
      </c>
      <c r="K171" s="2"/>
      <c r="L171" s="2">
        <f t="shared" si="29"/>
        <v>0</v>
      </c>
      <c r="M171" s="2"/>
      <c r="N171" s="19">
        <f t="shared" si="30"/>
        <v>0</v>
      </c>
      <c r="O171" s="11"/>
      <c r="P171" s="2"/>
      <c r="Q171" s="2"/>
      <c r="R171" s="19">
        <f t="shared" si="31"/>
        <v>0</v>
      </c>
      <c r="S171" s="2"/>
      <c r="T171" s="2">
        <v>260.35000000000002</v>
      </c>
      <c r="U171" s="2"/>
      <c r="V171" s="19">
        <f t="shared" si="32"/>
        <v>2.5300577665199297E-5</v>
      </c>
      <c r="W171" s="2"/>
      <c r="X171" s="2">
        <f t="shared" si="33"/>
        <v>-260.35000000000002</v>
      </c>
      <c r="Y171" s="2"/>
      <c r="Z171" s="19">
        <f t="shared" si="34"/>
        <v>-1</v>
      </c>
    </row>
    <row r="172" spans="1:26" s="24" customFormat="1" hidden="1" outlineLevel="1" x14ac:dyDescent="0.25">
      <c r="A172" s="44"/>
      <c r="B172" s="11" t="str">
        <f>CONCATENATE("          ", "5527", " - ", "FREIGHT-IN-SCHOOL SUPPLIES")</f>
        <v xml:space="preserve">          5527 - FREIGHT-IN-SCHOOL SUPPLIES</v>
      </c>
      <c r="C172" s="11"/>
      <c r="D172" s="2"/>
      <c r="E172" s="2"/>
      <c r="F172" s="19">
        <f t="shared" si="27"/>
        <v>0</v>
      </c>
      <c r="G172" s="2"/>
      <c r="H172" s="2">
        <v>431.76</v>
      </c>
      <c r="I172" s="2"/>
      <c r="J172" s="19">
        <f t="shared" si="28"/>
        <v>5.3757776394295037E-4</v>
      </c>
      <c r="K172" s="2"/>
      <c r="L172" s="2">
        <f t="shared" si="29"/>
        <v>-431.76</v>
      </c>
      <c r="M172" s="2"/>
      <c r="N172" s="19">
        <f t="shared" si="30"/>
        <v>-1</v>
      </c>
      <c r="O172" s="11"/>
      <c r="P172" s="2">
        <v>177.5</v>
      </c>
      <c r="Q172" s="2"/>
      <c r="R172" s="19">
        <f t="shared" si="31"/>
        <v>3.1300975733060648E-5</v>
      </c>
      <c r="S172" s="2"/>
      <c r="T172" s="2">
        <v>1651.6</v>
      </c>
      <c r="U172" s="2"/>
      <c r="V172" s="19">
        <f t="shared" si="32"/>
        <v>1.605009950906209E-4</v>
      </c>
      <c r="W172" s="2"/>
      <c r="X172" s="2">
        <f t="shared" si="33"/>
        <v>-1474.1</v>
      </c>
      <c r="Y172" s="2"/>
      <c r="Z172" s="19">
        <f t="shared" si="34"/>
        <v>-0.89252845725357233</v>
      </c>
    </row>
    <row r="173" spans="1:26" s="24" customFormat="1" hidden="1" outlineLevel="1" x14ac:dyDescent="0.25">
      <c r="A173" s="44"/>
      <c r="B173" s="11" t="str">
        <f>CONCATENATE("          ", "5528", " - ", "FREIGHT-IN-ART/TECH")</f>
        <v xml:space="preserve">          5528 - FREIGHT-IN-ART/TECH</v>
      </c>
      <c r="C173" s="11"/>
      <c r="D173" s="2">
        <v>12.76</v>
      </c>
      <c r="E173" s="2"/>
      <c r="F173" s="19">
        <f t="shared" si="27"/>
        <v>3.2821038759126045E-5</v>
      </c>
      <c r="G173" s="2"/>
      <c r="H173" s="2">
        <v>164.79</v>
      </c>
      <c r="I173" s="2"/>
      <c r="J173" s="19">
        <f t="shared" si="28"/>
        <v>2.0517750537372333E-4</v>
      </c>
      <c r="K173" s="2"/>
      <c r="L173" s="2">
        <f t="shared" si="29"/>
        <v>-152.03</v>
      </c>
      <c r="M173" s="2"/>
      <c r="N173" s="19">
        <f t="shared" si="30"/>
        <v>-0.92256811699739072</v>
      </c>
      <c r="O173" s="11"/>
      <c r="P173" s="2">
        <v>351.5</v>
      </c>
      <c r="Q173" s="2"/>
      <c r="R173" s="19">
        <f t="shared" si="31"/>
        <v>6.1984749127722916E-5</v>
      </c>
      <c r="S173" s="2"/>
      <c r="T173" s="2">
        <v>1496.25</v>
      </c>
      <c r="U173" s="2"/>
      <c r="V173" s="19">
        <f t="shared" si="32"/>
        <v>1.4540422251413268E-4</v>
      </c>
      <c r="W173" s="2"/>
      <c r="X173" s="2">
        <f t="shared" si="33"/>
        <v>-1144.75</v>
      </c>
      <c r="Y173" s="2"/>
      <c r="Z173" s="19">
        <f t="shared" si="34"/>
        <v>-0.76507936507936503</v>
      </c>
    </row>
    <row r="174" spans="1:26" s="24" customFormat="1" hidden="1" outlineLevel="1" x14ac:dyDescent="0.25">
      <c r="A174" s="44"/>
      <c r="B174" s="11" t="str">
        <f>CONCATENATE("          ", "5540", " - ", "FREIGHT-IN-LOGO CLOTHING")</f>
        <v xml:space="preserve">          5540 - FREIGHT-IN-LOGO CLOTHING</v>
      </c>
      <c r="C174" s="11"/>
      <c r="D174" s="2">
        <v>150.6</v>
      </c>
      <c r="E174" s="2"/>
      <c r="F174" s="19">
        <f t="shared" si="27"/>
        <v>3.8737056717275722E-4</v>
      </c>
      <c r="G174" s="2"/>
      <c r="H174" s="2">
        <v>2803.41</v>
      </c>
      <c r="I174" s="2"/>
      <c r="J174" s="19">
        <f t="shared" si="28"/>
        <v>3.4904828590311895E-3</v>
      </c>
      <c r="K174" s="2"/>
      <c r="L174" s="2">
        <f t="shared" si="29"/>
        <v>-2652.81</v>
      </c>
      <c r="M174" s="2"/>
      <c r="N174" s="19">
        <f t="shared" si="30"/>
        <v>-0.94627970935396533</v>
      </c>
      <c r="O174" s="11"/>
      <c r="P174" s="2">
        <v>5941.23</v>
      </c>
      <c r="Q174" s="2"/>
      <c r="R174" s="19">
        <f t="shared" si="31"/>
        <v>1.047697442560743E-3</v>
      </c>
      <c r="S174" s="2"/>
      <c r="T174" s="2">
        <v>28481.3</v>
      </c>
      <c r="U174" s="2"/>
      <c r="V174" s="19">
        <f t="shared" si="32"/>
        <v>2.7677869892676807E-3</v>
      </c>
      <c r="W174" s="2"/>
      <c r="X174" s="2">
        <f t="shared" si="33"/>
        <v>-22540.07</v>
      </c>
      <c r="Y174" s="2"/>
      <c r="Z174" s="19">
        <f t="shared" si="34"/>
        <v>-0.79139891788647287</v>
      </c>
    </row>
    <row r="175" spans="1:26" s="24" customFormat="1" hidden="1" outlineLevel="1" x14ac:dyDescent="0.25">
      <c r="A175" s="44"/>
      <c r="B175" s="11" t="str">
        <f>CONCATENATE("          ", "5541", " - ", "FREIGHT-IN-LOGO GIFTS")</f>
        <v xml:space="preserve">          5541 - FREIGHT-IN-LOGO GIFTS</v>
      </c>
      <c r="C175" s="11"/>
      <c r="D175" s="2">
        <v>375.06</v>
      </c>
      <c r="E175" s="2"/>
      <c r="F175" s="19">
        <f t="shared" si="27"/>
        <v>9.6472247625374716E-4</v>
      </c>
      <c r="G175" s="2"/>
      <c r="H175" s="2">
        <v>486.35</v>
      </c>
      <c r="I175" s="2"/>
      <c r="J175" s="19">
        <f t="shared" si="28"/>
        <v>6.0554693694101804E-4</v>
      </c>
      <c r="K175" s="2"/>
      <c r="L175" s="2">
        <f t="shared" si="29"/>
        <v>-111.29000000000002</v>
      </c>
      <c r="M175" s="2"/>
      <c r="N175" s="19">
        <f t="shared" si="30"/>
        <v>-0.22882697645728389</v>
      </c>
      <c r="O175" s="11"/>
      <c r="P175" s="2">
        <v>2077.9299999999998</v>
      </c>
      <c r="Q175" s="2"/>
      <c r="R175" s="19">
        <f t="shared" si="31"/>
        <v>3.6642950143661238E-4</v>
      </c>
      <c r="S175" s="2"/>
      <c r="T175" s="2">
        <v>4073.92</v>
      </c>
      <c r="U175" s="2"/>
      <c r="V175" s="19">
        <f t="shared" si="32"/>
        <v>3.9589986311430275E-4</v>
      </c>
      <c r="W175" s="2"/>
      <c r="X175" s="2">
        <f t="shared" si="33"/>
        <v>-1995.9900000000002</v>
      </c>
      <c r="Y175" s="2"/>
      <c r="Z175" s="19">
        <f t="shared" si="34"/>
        <v>-0.48994334694839375</v>
      </c>
    </row>
    <row r="176" spans="1:26" s="24" customFormat="1" hidden="1" outlineLevel="1" x14ac:dyDescent="0.25">
      <c r="A176" s="44"/>
      <c r="B176" s="11" t="str">
        <f>CONCATENATE("          ", "5542", " - ", "FREIGHT-IN-EVERYDAY GIFTS")</f>
        <v xml:space="preserve">          5542 - FREIGHT-IN-EVERYDAY GIFTS</v>
      </c>
      <c r="C176" s="11"/>
      <c r="D176" s="2"/>
      <c r="E176" s="2"/>
      <c r="F176" s="19">
        <f t="shared" si="27"/>
        <v>0</v>
      </c>
      <c r="G176" s="2"/>
      <c r="H176" s="2">
        <v>43.37</v>
      </c>
      <c r="I176" s="2"/>
      <c r="J176" s="19">
        <f t="shared" si="28"/>
        <v>5.3999322823341107E-5</v>
      </c>
      <c r="K176" s="2"/>
      <c r="L176" s="2">
        <f t="shared" si="29"/>
        <v>-43.37</v>
      </c>
      <c r="M176" s="2"/>
      <c r="N176" s="19">
        <f t="shared" si="30"/>
        <v>-1</v>
      </c>
      <c r="O176" s="11"/>
      <c r="P176" s="2">
        <v>383.93</v>
      </c>
      <c r="Q176" s="2"/>
      <c r="R176" s="19">
        <f t="shared" si="31"/>
        <v>6.7703569651797032E-5</v>
      </c>
      <c r="S176" s="2"/>
      <c r="T176" s="2">
        <v>1751.7</v>
      </c>
      <c r="U176" s="2"/>
      <c r="V176" s="19">
        <f t="shared" si="32"/>
        <v>1.7022862260852547E-4</v>
      </c>
      <c r="W176" s="2"/>
      <c r="X176" s="2">
        <f t="shared" si="33"/>
        <v>-1367.77</v>
      </c>
      <c r="Y176" s="2"/>
      <c r="Z176" s="19">
        <f t="shared" si="34"/>
        <v>-0.78082434206770568</v>
      </c>
    </row>
    <row r="177" spans="1:26" s="24" customFormat="1" hidden="1" outlineLevel="1" x14ac:dyDescent="0.25">
      <c r="A177" s="44"/>
      <c r="B177" s="11" t="str">
        <f>CONCATENATE("          ", "5543", " - ", "FREIGHT-IN-CARDS")</f>
        <v xml:space="preserve">          5543 - FREIGHT-IN-CARDS</v>
      </c>
      <c r="C177" s="11"/>
      <c r="D177" s="2"/>
      <c r="E177" s="2"/>
      <c r="F177" s="19">
        <f t="shared" si="27"/>
        <v>0</v>
      </c>
      <c r="G177" s="2"/>
      <c r="H177" s="2">
        <v>2779.77</v>
      </c>
      <c r="I177" s="2"/>
      <c r="J177" s="19">
        <f t="shared" si="28"/>
        <v>3.4610490570587712E-3</v>
      </c>
      <c r="K177" s="2"/>
      <c r="L177" s="2">
        <f t="shared" si="29"/>
        <v>-2779.77</v>
      </c>
      <c r="M177" s="2"/>
      <c r="N177" s="19">
        <f t="shared" si="30"/>
        <v>-1</v>
      </c>
      <c r="O177" s="11"/>
      <c r="P177" s="2">
        <v>9110.5300000000007</v>
      </c>
      <c r="Q177" s="2"/>
      <c r="R177" s="19">
        <f t="shared" si="31"/>
        <v>1.6065829771567382E-3</v>
      </c>
      <c r="S177" s="2"/>
      <c r="T177" s="2">
        <v>2901.12</v>
      </c>
      <c r="U177" s="2"/>
      <c r="V177" s="19">
        <f t="shared" si="32"/>
        <v>2.8192821922820425E-4</v>
      </c>
      <c r="W177" s="2"/>
      <c r="X177" s="2">
        <f t="shared" si="33"/>
        <v>6209.4100000000008</v>
      </c>
      <c r="Y177" s="2"/>
      <c r="Z177" s="19">
        <f t="shared" si="34"/>
        <v>2.1403492444297378</v>
      </c>
    </row>
    <row r="178" spans="1:26" s="24" customFormat="1" hidden="1" outlineLevel="1" x14ac:dyDescent="0.25">
      <c r="A178" s="44"/>
      <c r="B178" s="11" t="str">
        <f>CONCATENATE("          ", "5544", " - ", "FREIGHT-IN-ACCESSORIES")</f>
        <v xml:space="preserve">          5544 - FREIGHT-IN-ACCESSORIES</v>
      </c>
      <c r="C178" s="11"/>
      <c r="D178" s="2"/>
      <c r="E178" s="2"/>
      <c r="F178" s="19">
        <f t="shared" si="27"/>
        <v>0</v>
      </c>
      <c r="G178" s="2"/>
      <c r="H178" s="2">
        <v>41.13</v>
      </c>
      <c r="I178" s="2"/>
      <c r="J178" s="19">
        <f t="shared" si="28"/>
        <v>5.1210333127139039E-5</v>
      </c>
      <c r="K178" s="2"/>
      <c r="L178" s="2">
        <f t="shared" si="29"/>
        <v>-41.13</v>
      </c>
      <c r="M178" s="2"/>
      <c r="N178" s="19">
        <f t="shared" si="30"/>
        <v>-1</v>
      </c>
      <c r="O178" s="11"/>
      <c r="P178" s="2"/>
      <c r="Q178" s="2"/>
      <c r="R178" s="19">
        <f t="shared" si="31"/>
        <v>0</v>
      </c>
      <c r="S178" s="2"/>
      <c r="T178" s="2">
        <v>483.44</v>
      </c>
      <c r="U178" s="2"/>
      <c r="V178" s="19">
        <f t="shared" si="32"/>
        <v>4.6980262210347409E-5</v>
      </c>
      <c r="W178" s="2"/>
      <c r="X178" s="2">
        <f t="shared" si="33"/>
        <v>-483.44</v>
      </c>
      <c r="Y178" s="2"/>
      <c r="Z178" s="19">
        <f t="shared" si="34"/>
        <v>-1</v>
      </c>
    </row>
    <row r="179" spans="1:26" s="24" customFormat="1" hidden="1" outlineLevel="1" x14ac:dyDescent="0.25">
      <c r="A179" s="44"/>
      <c r="B179" s="11" t="str">
        <f>CONCATENATE("          ", "5545", " - ", "FREIGHT-IN-SPECIAL ORDERS")</f>
        <v xml:space="preserve">          5545 - FREIGHT-IN-SPECIAL ORDERS</v>
      </c>
      <c r="C179" s="11"/>
      <c r="D179" s="2">
        <v>134.74</v>
      </c>
      <c r="E179" s="2"/>
      <c r="F179" s="19">
        <f t="shared" si="27"/>
        <v>3.4657576507873383E-4</v>
      </c>
      <c r="G179" s="2"/>
      <c r="H179" s="2">
        <v>4.49</v>
      </c>
      <c r="I179" s="2"/>
      <c r="J179" s="19">
        <f t="shared" si="28"/>
        <v>5.5904302392621999E-6</v>
      </c>
      <c r="K179" s="2"/>
      <c r="L179" s="2">
        <f t="shared" si="29"/>
        <v>130.25</v>
      </c>
      <c r="M179" s="2"/>
      <c r="N179" s="19">
        <f t="shared" si="30"/>
        <v>29.008908685968819</v>
      </c>
      <c r="O179" s="11"/>
      <c r="P179" s="2">
        <v>1248.53</v>
      </c>
      <c r="Q179" s="2"/>
      <c r="R179" s="19">
        <f t="shared" si="31"/>
        <v>2.201701815887223E-4</v>
      </c>
      <c r="S179" s="2"/>
      <c r="T179" s="2">
        <v>846.39</v>
      </c>
      <c r="U179" s="2"/>
      <c r="V179" s="19">
        <f t="shared" si="32"/>
        <v>8.2251415133658659E-5</v>
      </c>
      <c r="W179" s="2"/>
      <c r="X179" s="2">
        <f t="shared" si="33"/>
        <v>402.14</v>
      </c>
      <c r="Y179" s="2"/>
      <c r="Z179" s="19">
        <f t="shared" si="34"/>
        <v>0.47512376091399944</v>
      </c>
    </row>
    <row r="180" spans="1:26" s="24" customFormat="1" hidden="1" outlineLevel="1" x14ac:dyDescent="0.25">
      <c r="A180" s="44"/>
      <c r="B180" s="11" t="str">
        <f>CONCATENATE("          ", "5581", " - ", "FREIGHT-IN-ELECTRONICS")</f>
        <v xml:space="preserve">          5581 - FREIGHT-IN-ELECTRONICS</v>
      </c>
      <c r="C180" s="11"/>
      <c r="D180" s="2"/>
      <c r="E180" s="2"/>
      <c r="F180" s="19">
        <f t="shared" si="27"/>
        <v>0</v>
      </c>
      <c r="G180" s="2"/>
      <c r="H180" s="2"/>
      <c r="I180" s="2"/>
      <c r="J180" s="19">
        <f t="shared" si="28"/>
        <v>0</v>
      </c>
      <c r="K180" s="2"/>
      <c r="L180" s="2">
        <f t="shared" si="29"/>
        <v>0</v>
      </c>
      <c r="M180" s="2"/>
      <c r="N180" s="19">
        <f t="shared" si="30"/>
        <v>0</v>
      </c>
      <c r="O180" s="11"/>
      <c r="P180" s="2">
        <v>31</v>
      </c>
      <c r="Q180" s="2"/>
      <c r="R180" s="19">
        <f t="shared" si="31"/>
        <v>5.4666492829570703E-6</v>
      </c>
      <c r="S180" s="2"/>
      <c r="T180" s="2">
        <v>105.75</v>
      </c>
      <c r="U180" s="2"/>
      <c r="V180" s="19">
        <f t="shared" si="32"/>
        <v>1.0276689410773287E-5</v>
      </c>
      <c r="W180" s="2"/>
      <c r="X180" s="2">
        <f t="shared" si="33"/>
        <v>-74.75</v>
      </c>
      <c r="Y180" s="2"/>
      <c r="Z180" s="19">
        <f t="shared" si="34"/>
        <v>-0.70685579196217496</v>
      </c>
    </row>
    <row r="181" spans="1:26" s="24" customFormat="1" hidden="1" outlineLevel="1" x14ac:dyDescent="0.25">
      <c r="A181" s="44"/>
      <c r="B181" s="11" t="str">
        <f>CONCATENATE("          ", "5582", " - ", "FREIGHT-IN-COMPUTER HARDWARE")</f>
        <v xml:space="preserve">          5582 - FREIGHT-IN-COMPUTER HARDWARE</v>
      </c>
      <c r="C181" s="11"/>
      <c r="D181" s="2">
        <v>31</v>
      </c>
      <c r="E181" s="2"/>
      <c r="F181" s="19">
        <f t="shared" si="27"/>
        <v>7.9737633348973933E-5</v>
      </c>
      <c r="G181" s="2"/>
      <c r="H181" s="2"/>
      <c r="I181" s="2"/>
      <c r="J181" s="19">
        <f t="shared" si="28"/>
        <v>0</v>
      </c>
      <c r="K181" s="2"/>
      <c r="L181" s="2">
        <f t="shared" si="29"/>
        <v>31</v>
      </c>
      <c r="M181" s="2"/>
      <c r="N181" s="19">
        <f t="shared" si="30"/>
        <v>0</v>
      </c>
      <c r="O181" s="11"/>
      <c r="P181" s="2">
        <v>125</v>
      </c>
      <c r="Q181" s="2"/>
      <c r="R181" s="19">
        <f t="shared" si="31"/>
        <v>2.204294065708496E-5</v>
      </c>
      <c r="S181" s="2"/>
      <c r="T181" s="2">
        <v>4.84</v>
      </c>
      <c r="U181" s="2"/>
      <c r="V181" s="19">
        <f t="shared" si="32"/>
        <v>4.7034682504153865E-7</v>
      </c>
      <c r="W181" s="2"/>
      <c r="X181" s="2">
        <f t="shared" si="33"/>
        <v>120.16</v>
      </c>
      <c r="Y181" s="2"/>
      <c r="Z181" s="19">
        <f t="shared" si="34"/>
        <v>24.826446280991735</v>
      </c>
    </row>
    <row r="182" spans="1:26" s="24" customFormat="1" hidden="1" outlineLevel="1" x14ac:dyDescent="0.25">
      <c r="A182" s="44"/>
      <c r="B182" s="11" t="str">
        <f>CONCATENATE("          ", "5583", " - ", "FREIGHT-IN-COMPUTER EQUIPMENT")</f>
        <v xml:space="preserve">          5583 - FREIGHT-IN-COMPUTER EQUIPMENT</v>
      </c>
      <c r="C182" s="11"/>
      <c r="D182" s="2"/>
      <c r="E182" s="2"/>
      <c r="F182" s="19">
        <f t="shared" si="27"/>
        <v>0</v>
      </c>
      <c r="G182" s="2"/>
      <c r="H182" s="2">
        <v>8.3800000000000008</v>
      </c>
      <c r="I182" s="2"/>
      <c r="J182" s="19">
        <f t="shared" si="28"/>
        <v>1.04338096670417E-5</v>
      </c>
      <c r="K182" s="2"/>
      <c r="L182" s="2">
        <f t="shared" si="29"/>
        <v>-8.3800000000000008</v>
      </c>
      <c r="M182" s="2"/>
      <c r="N182" s="19">
        <f t="shared" si="30"/>
        <v>-1</v>
      </c>
      <c r="O182" s="11"/>
      <c r="P182" s="2">
        <v>242.46</v>
      </c>
      <c r="Q182" s="2"/>
      <c r="R182" s="19">
        <f t="shared" si="31"/>
        <v>4.2756251133734558E-5</v>
      </c>
      <c r="S182" s="2"/>
      <c r="T182" s="2">
        <v>57.5</v>
      </c>
      <c r="U182" s="2"/>
      <c r="V182" s="19">
        <f t="shared" si="32"/>
        <v>5.5877980247703457E-6</v>
      </c>
      <c r="W182" s="2"/>
      <c r="X182" s="2">
        <f t="shared" si="33"/>
        <v>184.96</v>
      </c>
      <c r="Y182" s="2"/>
      <c r="Z182" s="19">
        <f t="shared" si="34"/>
        <v>3.2166956521739132</v>
      </c>
    </row>
    <row r="183" spans="1:26" s="24" customFormat="1" hidden="1" outlineLevel="1" x14ac:dyDescent="0.25">
      <c r="A183" s="44"/>
      <c r="B183" s="11" t="str">
        <f>CONCATENATE("          ", "5586", " - ", "FREIGHT-IN-COMPUTER SUPPLIES")</f>
        <v xml:space="preserve">          5586 - FREIGHT-IN-COMPUTER SUPPLIES</v>
      </c>
      <c r="C183" s="11"/>
      <c r="D183" s="2"/>
      <c r="E183" s="2"/>
      <c r="F183" s="19">
        <f t="shared" si="27"/>
        <v>0</v>
      </c>
      <c r="G183" s="2"/>
      <c r="H183" s="2">
        <v>74.489999999999995</v>
      </c>
      <c r="I183" s="2"/>
      <c r="J183" s="19">
        <f t="shared" si="28"/>
        <v>9.2746358245577107E-5</v>
      </c>
      <c r="K183" s="2"/>
      <c r="L183" s="2">
        <f t="shared" si="29"/>
        <v>-74.489999999999995</v>
      </c>
      <c r="M183" s="2"/>
      <c r="N183" s="19">
        <f t="shared" si="30"/>
        <v>-1</v>
      </c>
      <c r="O183" s="11"/>
      <c r="P183" s="2">
        <v>24.12</v>
      </c>
      <c r="Q183" s="2"/>
      <c r="R183" s="19">
        <f t="shared" si="31"/>
        <v>4.253405829191114E-6</v>
      </c>
      <c r="S183" s="2"/>
      <c r="T183" s="2">
        <v>270.31</v>
      </c>
      <c r="U183" s="2"/>
      <c r="V183" s="19">
        <f t="shared" si="32"/>
        <v>2.6268481462185604E-5</v>
      </c>
      <c r="W183" s="2"/>
      <c r="X183" s="2">
        <f t="shared" si="33"/>
        <v>-246.19</v>
      </c>
      <c r="Y183" s="2"/>
      <c r="Z183" s="19">
        <f t="shared" si="34"/>
        <v>-0.91076911693980989</v>
      </c>
    </row>
    <row r="184" spans="1:26" s="24" customFormat="1" hidden="1" outlineLevel="1" x14ac:dyDescent="0.25">
      <c r="A184" s="44"/>
      <c r="B184" s="11" t="str">
        <f>CONCATENATE("          ", "5592", " - ", "FREIGHT-IN-GRAD MERCH")</f>
        <v xml:space="preserve">          5592 - FREIGHT-IN-GRAD MERCH</v>
      </c>
      <c r="C184" s="11"/>
      <c r="D184" s="2"/>
      <c r="E184" s="2"/>
      <c r="F184" s="19">
        <f t="shared" si="27"/>
        <v>0</v>
      </c>
      <c r="G184" s="2"/>
      <c r="H184" s="2"/>
      <c r="I184" s="2"/>
      <c r="J184" s="19">
        <f t="shared" si="28"/>
        <v>0</v>
      </c>
      <c r="K184" s="2"/>
      <c r="L184" s="2">
        <f t="shared" si="29"/>
        <v>0</v>
      </c>
      <c r="M184" s="2"/>
      <c r="N184" s="19">
        <f t="shared" si="30"/>
        <v>0</v>
      </c>
      <c r="O184" s="11"/>
      <c r="P184" s="2"/>
      <c r="Q184" s="2"/>
      <c r="R184" s="19">
        <f t="shared" si="31"/>
        <v>0</v>
      </c>
      <c r="S184" s="2"/>
      <c r="T184" s="2">
        <v>105.78</v>
      </c>
      <c r="U184" s="2"/>
      <c r="V184" s="19">
        <f t="shared" si="32"/>
        <v>1.0279604783655777E-5</v>
      </c>
      <c r="W184" s="2"/>
      <c r="X184" s="2">
        <f t="shared" si="33"/>
        <v>-105.78</v>
      </c>
      <c r="Y184" s="2"/>
      <c r="Z184" s="19">
        <f t="shared" si="34"/>
        <v>-1</v>
      </c>
    </row>
    <row r="185" spans="1:26" x14ac:dyDescent="0.25">
      <c r="A185" s="9"/>
      <c r="B185" s="10"/>
      <c r="C185" s="10"/>
      <c r="D185" s="3"/>
      <c r="E185" s="3"/>
      <c r="F185" s="8"/>
      <c r="G185" s="3"/>
      <c r="H185" s="3"/>
      <c r="I185" s="3"/>
      <c r="J185" s="8"/>
      <c r="K185" s="3"/>
      <c r="L185" s="3"/>
      <c r="M185" s="3"/>
      <c r="N185" s="8"/>
      <c r="O185" s="10"/>
      <c r="P185" s="3"/>
      <c r="Q185" s="3"/>
      <c r="R185" s="8"/>
      <c r="S185" s="3"/>
      <c r="T185" s="3"/>
      <c r="U185" s="3"/>
      <c r="V185" s="8"/>
      <c r="W185" s="3"/>
      <c r="X185" s="3"/>
      <c r="Y185" s="3"/>
      <c r="Z185" s="8"/>
    </row>
    <row r="186" spans="1:26" s="23" customFormat="1" x14ac:dyDescent="0.25">
      <c r="A186" s="10"/>
      <c r="B186" s="29" t="s">
        <v>6</v>
      </c>
      <c r="C186" s="29"/>
      <c r="D186" s="22">
        <f>D12-D127</f>
        <v>90504.879999999946</v>
      </c>
      <c r="E186" s="14"/>
      <c r="F186" s="20">
        <f>IF(D$12=0,0,D186/D$12)</f>
        <v>0.2327949979913832</v>
      </c>
      <c r="G186" s="14"/>
      <c r="H186" s="22">
        <f>H12-H127</f>
        <v>216959.27999999968</v>
      </c>
      <c r="I186" s="14"/>
      <c r="J186" s="20">
        <f>IF(H$12=0,0,H186/H$12)</f>
        <v>0.27013267697116988</v>
      </c>
      <c r="K186" s="16"/>
      <c r="L186" s="22">
        <f>+D186-H186</f>
        <v>-126454.39999999973</v>
      </c>
      <c r="M186" s="16"/>
      <c r="N186" s="20">
        <f>IF(H186=0,0,L186/H186)</f>
        <v>-0.58284854190150304</v>
      </c>
      <c r="O186" s="28"/>
      <c r="P186" s="22">
        <f>P12-P127</f>
        <v>1539726.9900000002</v>
      </c>
      <c r="Q186" s="14"/>
      <c r="R186" s="20">
        <f>IF(P$12=0,0,P186/P$12)</f>
        <v>0.27152088534945645</v>
      </c>
      <c r="S186" s="14"/>
      <c r="T186" s="22">
        <f>T12-T127</f>
        <v>3705821.2699999996</v>
      </c>
      <c r="U186" s="14"/>
      <c r="V186" s="20">
        <f>IF(T$12=0,0,T186/T$12)</f>
        <v>0.36012836126361619</v>
      </c>
      <c r="W186" s="16"/>
      <c r="X186" s="22">
        <f>+P186-T186</f>
        <v>-2166094.2799999993</v>
      </c>
      <c r="Y186" s="16"/>
      <c r="Z186" s="20">
        <f>IF(T186=0,0,X186/T186)</f>
        <v>-0.58451126543401799</v>
      </c>
    </row>
    <row r="187" spans="1:26" x14ac:dyDescent="0.25">
      <c r="A187" s="9"/>
      <c r="B187" s="10"/>
      <c r="C187" s="9"/>
      <c r="D187" s="1"/>
      <c r="E187" s="1"/>
      <c r="F187" s="5"/>
      <c r="G187" s="1"/>
      <c r="H187" s="1"/>
      <c r="I187" s="1"/>
      <c r="J187" s="5"/>
      <c r="K187" s="1"/>
      <c r="L187" s="1"/>
      <c r="M187" s="1"/>
      <c r="N187" s="5"/>
      <c r="O187" s="37"/>
      <c r="P187" s="1"/>
      <c r="Q187" s="1"/>
      <c r="R187" s="5"/>
      <c r="S187" s="1"/>
      <c r="T187" s="1"/>
      <c r="U187" s="1"/>
      <c r="V187" s="5"/>
      <c r="W187" s="1"/>
      <c r="X187" s="1"/>
      <c r="Y187" s="1"/>
      <c r="Z187" s="5"/>
    </row>
    <row r="188" spans="1:26" s="23" customFormat="1" x14ac:dyDescent="0.25">
      <c r="A188" s="10"/>
      <c r="B188" s="28" t="s">
        <v>9</v>
      </c>
      <c r="C188" s="10"/>
      <c r="D188" s="21">
        <f>SUM(OSRRefD22x_0)</f>
        <v>262302.67000000004</v>
      </c>
      <c r="E188" s="21"/>
      <c r="F188" s="32">
        <f t="shared" ref="F188:F199" si="35">IF(D$12=0,0,D188/D$12)</f>
        <v>0.67469013312635184</v>
      </c>
      <c r="G188" s="21"/>
      <c r="H188" s="21">
        <f>SUM(OSRRefH22x_0)</f>
        <v>385395.8299999999</v>
      </c>
      <c r="I188" s="21"/>
      <c r="J188" s="32">
        <f t="shared" ref="J188:J199" si="36">IF(H$12=0,0,H188/H$12)</f>
        <v>0.47985044590591386</v>
      </c>
      <c r="K188" s="4"/>
      <c r="L188" s="21">
        <f t="shared" ref="L188:L199" si="37">+D188-H188</f>
        <v>-123093.15999999986</v>
      </c>
      <c r="M188" s="4"/>
      <c r="N188" s="32">
        <f t="shared" ref="N188:N199" si="38">IF(H188=0,0,L188/H188)</f>
        <v>-0.31939411487664487</v>
      </c>
      <c r="O188" s="10"/>
      <c r="P188" s="21">
        <f>SUM(OSRRefP22x_0)</f>
        <v>2263182.7999999993</v>
      </c>
      <c r="Q188" s="21"/>
      <c r="R188" s="32">
        <f t="shared" ref="R188:R199" si="39">IF(P$12=0,0,P188/P$12)</f>
        <v>0.39909763325228292</v>
      </c>
      <c r="S188" s="21"/>
      <c r="T188" s="21">
        <f>SUM(OSRRefT22x_0)</f>
        <v>3241543.1900000009</v>
      </c>
      <c r="U188" s="21"/>
      <c r="V188" s="32">
        <f t="shared" ref="V188:V199" si="40">IF(T$12=0,0,T188/T$12)</f>
        <v>0.31501023711808296</v>
      </c>
      <c r="W188" s="4"/>
      <c r="X188" s="21">
        <f t="shared" ref="X188:X199" si="41">+P188-T188</f>
        <v>-978360.39000000153</v>
      </c>
      <c r="Y188" s="4"/>
      <c r="Z188" s="32">
        <f t="shared" ref="Z188:Z199" si="42">IF(T188=0,0,X188/T188)</f>
        <v>-0.30181932883639945</v>
      </c>
    </row>
    <row r="189" spans="1:26" s="25" customFormat="1" outlineLevel="1" collapsed="1" x14ac:dyDescent="0.25">
      <c r="A189" s="27"/>
      <c r="B189" s="13" t="str">
        <f>CONCATENATE("     ","*Benefits                                         ")</f>
        <v xml:space="preserve">     *Benefits                                         </v>
      </c>
      <c r="C189" s="13"/>
      <c r="D189" s="1">
        <f>SUM(OSRRefD22_0x_0)</f>
        <v>47905.339999999989</v>
      </c>
      <c r="E189" s="1"/>
      <c r="F189" s="5">
        <f t="shared" si="35"/>
        <v>0.12322123988315917</v>
      </c>
      <c r="G189" s="1"/>
      <c r="H189" s="1">
        <f>SUM(OSRRefH22_0x_0)</f>
        <v>46811.22</v>
      </c>
      <c r="I189" s="1"/>
      <c r="J189" s="5">
        <f t="shared" si="36"/>
        <v>5.8283933145825272E-2</v>
      </c>
      <c r="K189" s="1"/>
      <c r="L189" s="1">
        <f t="shared" si="37"/>
        <v>1094.1199999999881</v>
      </c>
      <c r="M189" s="1"/>
      <c r="N189" s="5">
        <f t="shared" si="38"/>
        <v>2.3373028944769822E-2</v>
      </c>
      <c r="O189" s="13"/>
      <c r="P189" s="1">
        <f>SUM(OSRRefP22_0x_0)</f>
        <v>387927.62</v>
      </c>
      <c r="Q189" s="1"/>
      <c r="R189" s="5">
        <f t="shared" si="39"/>
        <v>6.8408524055233635E-2</v>
      </c>
      <c r="S189" s="1"/>
      <c r="T189" s="1">
        <f>SUM(OSRRefT22_0x_0)</f>
        <v>418100.81</v>
      </c>
      <c r="U189" s="1"/>
      <c r="V189" s="5">
        <f t="shared" si="40"/>
        <v>4.0630658787354459E-2</v>
      </c>
      <c r="W189" s="1"/>
      <c r="X189" s="1">
        <f t="shared" si="41"/>
        <v>-30173.190000000002</v>
      </c>
      <c r="Y189" s="1"/>
      <c r="Z189" s="5">
        <f t="shared" si="42"/>
        <v>-7.2167260331306229E-2</v>
      </c>
    </row>
    <row r="190" spans="1:26" s="24" customFormat="1" hidden="1" outlineLevel="2" x14ac:dyDescent="0.25">
      <c r="A190" s="26"/>
      <c r="B190" s="11" t="str">
        <f>CONCATENATE("          ", "6111", " - ", "F.I.C.A.")</f>
        <v xml:space="preserve">          6111 - F.I.C.A.</v>
      </c>
      <c r="C190" s="11"/>
      <c r="D190" s="6">
        <v>7990.37</v>
      </c>
      <c r="E190" s="2"/>
      <c r="F190" s="7">
        <f t="shared" si="35"/>
        <v>2.0552683657504543E-2</v>
      </c>
      <c r="G190" s="2"/>
      <c r="H190" s="6">
        <v>8038.5</v>
      </c>
      <c r="I190" s="2"/>
      <c r="J190" s="7">
        <f t="shared" si="36"/>
        <v>1.0008613246839463E-2</v>
      </c>
      <c r="K190" s="2"/>
      <c r="L190" s="6">
        <f t="shared" si="37"/>
        <v>-48.130000000000109</v>
      </c>
      <c r="M190" s="2"/>
      <c r="N190" s="7">
        <f t="shared" si="38"/>
        <v>-5.9874354668159619E-3</v>
      </c>
      <c r="O190" s="11"/>
      <c r="P190" s="6">
        <v>75278.680000000008</v>
      </c>
      <c r="Q190" s="2"/>
      <c r="R190" s="7">
        <f t="shared" si="39"/>
        <v>1.327490780786951E-2</v>
      </c>
      <c r="S190" s="2"/>
      <c r="T190" s="6">
        <v>80474.36</v>
      </c>
      <c r="U190" s="2"/>
      <c r="V190" s="7">
        <f t="shared" si="40"/>
        <v>7.8204255626549164E-3</v>
      </c>
      <c r="W190" s="2"/>
      <c r="X190" s="6">
        <f t="shared" si="41"/>
        <v>-5195.679999999993</v>
      </c>
      <c r="Y190" s="2"/>
      <c r="Z190" s="7">
        <f t="shared" si="42"/>
        <v>-6.4563172667666979E-2</v>
      </c>
    </row>
    <row r="191" spans="1:26" s="24" customFormat="1" hidden="1" outlineLevel="2" x14ac:dyDescent="0.25">
      <c r="A191" s="26"/>
      <c r="B191" s="11" t="str">
        <f>CONCATENATE("          ", "6112", " - ", "COMPENSATION INSURANCE")</f>
        <v xml:space="preserve">          6112 - COMPENSATION INSURANCE</v>
      </c>
      <c r="C191" s="11"/>
      <c r="D191" s="6">
        <v>1917.8</v>
      </c>
      <c r="E191" s="2"/>
      <c r="F191" s="7">
        <f t="shared" si="35"/>
        <v>4.9329301044084579E-3</v>
      </c>
      <c r="G191" s="2"/>
      <c r="H191" s="6">
        <v>3078.48</v>
      </c>
      <c r="I191" s="2"/>
      <c r="J191" s="7">
        <f t="shared" si="36"/>
        <v>3.8329683035554334E-3</v>
      </c>
      <c r="K191" s="2"/>
      <c r="L191" s="6">
        <f t="shared" si="37"/>
        <v>-1160.68</v>
      </c>
      <c r="M191" s="2"/>
      <c r="N191" s="7">
        <f t="shared" si="38"/>
        <v>-0.37703022270731013</v>
      </c>
      <c r="O191" s="11"/>
      <c r="P191" s="6">
        <v>19436.09</v>
      </c>
      <c r="Q191" s="2"/>
      <c r="R191" s="7">
        <f t="shared" si="39"/>
        <v>3.4274286278060998E-3</v>
      </c>
      <c r="S191" s="2"/>
      <c r="T191" s="6">
        <v>21193.279999999999</v>
      </c>
      <c r="U191" s="2"/>
      <c r="V191" s="7">
        <f t="shared" si="40"/>
        <v>2.0595437934331283E-3</v>
      </c>
      <c r="W191" s="2"/>
      <c r="X191" s="6">
        <f t="shared" si="41"/>
        <v>-1757.1899999999987</v>
      </c>
      <c r="Y191" s="2"/>
      <c r="Z191" s="7">
        <f t="shared" si="42"/>
        <v>-8.2912602485316039E-2</v>
      </c>
    </row>
    <row r="192" spans="1:26" s="24" customFormat="1" hidden="1" outlineLevel="2" x14ac:dyDescent="0.25">
      <c r="A192" s="26"/>
      <c r="B192" s="11" t="str">
        <f>CONCATENATE("          ", "6113", " - ", "GROUP INSURANCE")</f>
        <v xml:space="preserve">          6113 - GROUP INSURANCE</v>
      </c>
      <c r="C192" s="11"/>
      <c r="D192" s="6">
        <v>19341.649999999998</v>
      </c>
      <c r="E192" s="2"/>
      <c r="F192" s="7">
        <f t="shared" si="35"/>
        <v>4.9750238582715531E-2</v>
      </c>
      <c r="G192" s="2"/>
      <c r="H192" s="6">
        <v>18842.59</v>
      </c>
      <c r="I192" s="2"/>
      <c r="J192" s="7">
        <f t="shared" si="36"/>
        <v>2.346062024989299E-2</v>
      </c>
      <c r="K192" s="2"/>
      <c r="L192" s="6">
        <f t="shared" si="37"/>
        <v>499.05999999999767</v>
      </c>
      <c r="M192" s="2"/>
      <c r="N192" s="7">
        <f t="shared" si="38"/>
        <v>2.6485743201969458E-2</v>
      </c>
      <c r="O192" s="11"/>
      <c r="P192" s="6">
        <v>136628.26999999999</v>
      </c>
      <c r="Q192" s="2"/>
      <c r="R192" s="7">
        <f t="shared" si="39"/>
        <v>2.409351078152145E-2</v>
      </c>
      <c r="S192" s="2"/>
      <c r="T192" s="6">
        <v>155009.29999999999</v>
      </c>
      <c r="U192" s="2"/>
      <c r="V192" s="7">
        <f t="shared" si="40"/>
        <v>1.5063663658452763E-2</v>
      </c>
      <c r="W192" s="2"/>
      <c r="X192" s="6">
        <f t="shared" si="41"/>
        <v>-18381.03</v>
      </c>
      <c r="Y192" s="2"/>
      <c r="Z192" s="7">
        <f t="shared" si="42"/>
        <v>-0.11858017551204993</v>
      </c>
    </row>
    <row r="193" spans="1:26" s="24" customFormat="1" hidden="1" outlineLevel="2" x14ac:dyDescent="0.25">
      <c r="A193" s="26"/>
      <c r="B193" s="11" t="str">
        <f>CONCATENATE("          ", "6114", " - ", "STATE UNEMPLOYMENT INSURANCE")</f>
        <v xml:space="preserve">          6114 - STATE UNEMPLOYMENT INSURANCE</v>
      </c>
      <c r="C193" s="11"/>
      <c r="D193" s="6">
        <v>334.74</v>
      </c>
      <c r="E193" s="2"/>
      <c r="F193" s="7">
        <f t="shared" si="35"/>
        <v>8.6101210926566247E-4</v>
      </c>
      <c r="G193" s="2"/>
      <c r="H193" s="6">
        <v>505.2</v>
      </c>
      <c r="I193" s="2"/>
      <c r="J193" s="7">
        <f t="shared" si="36"/>
        <v>6.2901678326843279E-4</v>
      </c>
      <c r="K193" s="2"/>
      <c r="L193" s="6">
        <f t="shared" si="37"/>
        <v>-170.45999999999998</v>
      </c>
      <c r="M193" s="2"/>
      <c r="N193" s="7">
        <f t="shared" si="38"/>
        <v>-0.33741092636579567</v>
      </c>
      <c r="O193" s="11"/>
      <c r="P193" s="6">
        <v>3110.28</v>
      </c>
      <c r="Q193" s="2"/>
      <c r="R193" s="7">
        <f t="shared" si="39"/>
        <v>5.484777397353458E-4</v>
      </c>
      <c r="S193" s="2"/>
      <c r="T193" s="6">
        <v>4205.5200000000004</v>
      </c>
      <c r="U193" s="2"/>
      <c r="V193" s="7">
        <f t="shared" si="40"/>
        <v>4.0868863215882067E-4</v>
      </c>
      <c r="W193" s="2"/>
      <c r="X193" s="6">
        <f t="shared" si="41"/>
        <v>-1095.2400000000002</v>
      </c>
      <c r="Y193" s="2"/>
      <c r="Z193" s="7">
        <f t="shared" si="42"/>
        <v>-0.26042915025965874</v>
      </c>
    </row>
    <row r="194" spans="1:26" s="24" customFormat="1" hidden="1" outlineLevel="2" x14ac:dyDescent="0.25">
      <c r="A194" s="26"/>
      <c r="B194" s="11" t="str">
        <f>CONCATENATE("          ", "6115", " - ", "P.E.R.S.")</f>
        <v xml:space="preserve">          6115 - P.E.R.S.</v>
      </c>
      <c r="C194" s="11"/>
      <c r="D194" s="6">
        <v>6467.86</v>
      </c>
      <c r="E194" s="2"/>
      <c r="F194" s="7">
        <f t="shared" si="35"/>
        <v>1.6636511265564338E-2</v>
      </c>
      <c r="G194" s="2"/>
      <c r="H194" s="6">
        <v>6226.5</v>
      </c>
      <c r="I194" s="2"/>
      <c r="J194" s="7">
        <f t="shared" si="36"/>
        <v>7.7525197961617115E-3</v>
      </c>
      <c r="K194" s="2"/>
      <c r="L194" s="6">
        <f t="shared" si="37"/>
        <v>241.35999999999967</v>
      </c>
      <c r="M194" s="2"/>
      <c r="N194" s="7">
        <f t="shared" si="38"/>
        <v>3.8763350196739689E-2</v>
      </c>
      <c r="O194" s="11"/>
      <c r="P194" s="6">
        <v>57404.49</v>
      </c>
      <c r="Q194" s="2"/>
      <c r="R194" s="7">
        <f t="shared" si="39"/>
        <v>1.0122910132161817E-2</v>
      </c>
      <c r="S194" s="2"/>
      <c r="T194" s="6">
        <v>58584.77</v>
      </c>
      <c r="U194" s="2"/>
      <c r="V194" s="7">
        <f t="shared" si="40"/>
        <v>5.6932149928282608E-3</v>
      </c>
      <c r="W194" s="2"/>
      <c r="X194" s="6">
        <f t="shared" si="41"/>
        <v>-1180.2799999999988</v>
      </c>
      <c r="Y194" s="2"/>
      <c r="Z194" s="7">
        <f t="shared" si="42"/>
        <v>-2.014653296411335E-2</v>
      </c>
    </row>
    <row r="195" spans="1:26" s="24" customFormat="1" hidden="1" outlineLevel="2" x14ac:dyDescent="0.25">
      <c r="A195" s="26"/>
      <c r="B195" s="11" t="str">
        <f>CONCATENATE("          ", "6116", " - ", "EDUCATIONAL BENEFITS")</f>
        <v xml:space="preserve">          6116 - EDUCATIONAL BENEFITS</v>
      </c>
      <c r="C195" s="11"/>
      <c r="D195" s="6"/>
      <c r="E195" s="2"/>
      <c r="F195" s="7">
        <f t="shared" si="35"/>
        <v>0</v>
      </c>
      <c r="G195" s="2"/>
      <c r="H195" s="6"/>
      <c r="I195" s="2"/>
      <c r="J195" s="7">
        <f t="shared" si="36"/>
        <v>0</v>
      </c>
      <c r="K195" s="2"/>
      <c r="L195" s="6">
        <f t="shared" si="37"/>
        <v>0</v>
      </c>
      <c r="M195" s="2"/>
      <c r="N195" s="7">
        <f t="shared" si="38"/>
        <v>0</v>
      </c>
      <c r="O195" s="11"/>
      <c r="P195" s="6">
        <v>0</v>
      </c>
      <c r="Q195" s="2"/>
      <c r="R195" s="7">
        <f t="shared" si="39"/>
        <v>0</v>
      </c>
      <c r="S195" s="2"/>
      <c r="T195" s="6"/>
      <c r="U195" s="2"/>
      <c r="V195" s="7">
        <f t="shared" si="40"/>
        <v>0</v>
      </c>
      <c r="W195" s="2"/>
      <c r="X195" s="6">
        <f t="shared" si="41"/>
        <v>0</v>
      </c>
      <c r="Y195" s="2"/>
      <c r="Z195" s="7">
        <f t="shared" si="42"/>
        <v>0</v>
      </c>
    </row>
    <row r="196" spans="1:26" s="24" customFormat="1" hidden="1" outlineLevel="2" x14ac:dyDescent="0.25">
      <c r="A196" s="26"/>
      <c r="B196" s="11" t="str">
        <f>CONCATENATE("          ", "6117", " - ", "RETIREMENT STAFF HOURLY")</f>
        <v xml:space="preserve">          6117 - RETIREMENT STAFF HOURLY</v>
      </c>
      <c r="C196" s="11"/>
      <c r="D196" s="6">
        <v>685.38</v>
      </c>
      <c r="E196" s="2"/>
      <c r="F196" s="7">
        <f t="shared" si="35"/>
        <v>1.7629219078941856E-3</v>
      </c>
      <c r="G196" s="2"/>
      <c r="H196" s="6">
        <v>205.96</v>
      </c>
      <c r="I196" s="2"/>
      <c r="J196" s="7">
        <f t="shared" si="36"/>
        <v>2.5643764188829456E-4</v>
      </c>
      <c r="K196" s="2"/>
      <c r="L196" s="6">
        <f t="shared" si="37"/>
        <v>479.41999999999996</v>
      </c>
      <c r="M196" s="2"/>
      <c r="N196" s="7">
        <f t="shared" si="38"/>
        <v>2.3277335404932993</v>
      </c>
      <c r="O196" s="11"/>
      <c r="P196" s="6">
        <v>4207.46</v>
      </c>
      <c r="Q196" s="2"/>
      <c r="R196" s="7">
        <f t="shared" si="39"/>
        <v>7.4195832877646951E-4</v>
      </c>
      <c r="S196" s="2"/>
      <c r="T196" s="6">
        <v>2353.5500000000002</v>
      </c>
      <c r="U196" s="2"/>
      <c r="V196" s="7">
        <f t="shared" si="40"/>
        <v>2.2871586158605648E-4</v>
      </c>
      <c r="W196" s="2"/>
      <c r="X196" s="6">
        <f t="shared" si="41"/>
        <v>1853.9099999999999</v>
      </c>
      <c r="Y196" s="2"/>
      <c r="Z196" s="7">
        <f t="shared" si="42"/>
        <v>0.78770793057296418</v>
      </c>
    </row>
    <row r="197" spans="1:26" s="24" customFormat="1" hidden="1" outlineLevel="2" x14ac:dyDescent="0.25">
      <c r="A197" s="26"/>
      <c r="B197" s="11" t="str">
        <f>CONCATENATE("          ", "6118", " - ", "VACATION")</f>
        <v xml:space="preserve">          6118 - VACATION</v>
      </c>
      <c r="C197" s="11"/>
      <c r="D197" s="6">
        <v>5692.2</v>
      </c>
      <c r="E197" s="2"/>
      <c r="F197" s="7">
        <f t="shared" si="35"/>
        <v>1.4641372791904174E-2</v>
      </c>
      <c r="G197" s="2"/>
      <c r="H197" s="6">
        <v>3853.99</v>
      </c>
      <c r="I197" s="2"/>
      <c r="J197" s="7">
        <f t="shared" si="36"/>
        <v>4.7985439282436796E-3</v>
      </c>
      <c r="K197" s="2"/>
      <c r="L197" s="6">
        <f t="shared" si="37"/>
        <v>1838.21</v>
      </c>
      <c r="M197" s="2"/>
      <c r="N197" s="7">
        <f t="shared" si="38"/>
        <v>0.47696283591810051</v>
      </c>
      <c r="O197" s="11"/>
      <c r="P197" s="6">
        <v>45714.09</v>
      </c>
      <c r="Q197" s="2"/>
      <c r="R197" s="7">
        <f t="shared" si="39"/>
        <v>8.0613837845011273E-3</v>
      </c>
      <c r="S197" s="2"/>
      <c r="T197" s="6">
        <v>43411.87</v>
      </c>
      <c r="U197" s="2"/>
      <c r="V197" s="7">
        <f t="shared" si="40"/>
        <v>4.2187262858710793E-3</v>
      </c>
      <c r="W197" s="2"/>
      <c r="X197" s="6">
        <f t="shared" si="41"/>
        <v>2302.2199999999939</v>
      </c>
      <c r="Y197" s="2"/>
      <c r="Z197" s="7">
        <f t="shared" si="42"/>
        <v>5.3032039393833844E-2</v>
      </c>
    </row>
    <row r="198" spans="1:26" s="24" customFormat="1" hidden="1" outlineLevel="2" x14ac:dyDescent="0.25">
      <c r="A198" s="26"/>
      <c r="B198" s="11" t="str">
        <f>CONCATENATE("          ", "6119", " - ", "SICK LEAVE")</f>
        <v xml:space="preserve">          6119 - SICK LEAVE</v>
      </c>
      <c r="C198" s="11"/>
      <c r="D198" s="6">
        <v>4091.66</v>
      </c>
      <c r="E198" s="2"/>
      <c r="F198" s="7">
        <f t="shared" si="35"/>
        <v>1.0524493060279441E-2</v>
      </c>
      <c r="G198" s="2"/>
      <c r="H198" s="6">
        <v>3642.46</v>
      </c>
      <c r="I198" s="2"/>
      <c r="J198" s="7">
        <f t="shared" si="36"/>
        <v>4.5351711646554544E-3</v>
      </c>
      <c r="K198" s="2"/>
      <c r="L198" s="6">
        <f t="shared" si="37"/>
        <v>449.19999999999982</v>
      </c>
      <c r="M198" s="2"/>
      <c r="N198" s="7">
        <f t="shared" si="38"/>
        <v>0.12332324857376603</v>
      </c>
      <c r="O198" s="11"/>
      <c r="P198" s="6">
        <v>33364.03</v>
      </c>
      <c r="Q198" s="2"/>
      <c r="R198" s="7">
        <f t="shared" si="39"/>
        <v>5.883530666969619E-3</v>
      </c>
      <c r="S198" s="2"/>
      <c r="T198" s="6">
        <v>35013.72</v>
      </c>
      <c r="U198" s="2"/>
      <c r="V198" s="7">
        <f t="shared" si="40"/>
        <v>3.402601660101947E-3</v>
      </c>
      <c r="W198" s="2"/>
      <c r="X198" s="6">
        <f t="shared" si="41"/>
        <v>-1649.6900000000023</v>
      </c>
      <c r="Y198" s="2"/>
      <c r="Z198" s="7">
        <f t="shared" si="42"/>
        <v>-4.7115530711960979E-2</v>
      </c>
    </row>
    <row r="199" spans="1:26" s="24" customFormat="1" hidden="1" outlineLevel="2" x14ac:dyDescent="0.25">
      <c r="A199" s="26"/>
      <c r="B199" s="11" t="str">
        <f>CONCATENATE("          ", "6156", " - ", "EMPLOYEE MEALS")</f>
        <v xml:space="preserve">          6156 - EMPLOYEE MEALS</v>
      </c>
      <c r="C199" s="11"/>
      <c r="D199" s="6">
        <v>1383.68</v>
      </c>
      <c r="E199" s="2"/>
      <c r="F199" s="7">
        <f t="shared" si="35"/>
        <v>3.5590764036228469E-3</v>
      </c>
      <c r="G199" s="2"/>
      <c r="H199" s="6">
        <v>2417.54</v>
      </c>
      <c r="I199" s="2"/>
      <c r="J199" s="7">
        <f t="shared" si="36"/>
        <v>3.010042031319808E-3</v>
      </c>
      <c r="K199" s="2"/>
      <c r="L199" s="6">
        <f t="shared" si="37"/>
        <v>-1033.8599999999999</v>
      </c>
      <c r="M199" s="2"/>
      <c r="N199" s="7">
        <f t="shared" si="38"/>
        <v>-0.42764959421560755</v>
      </c>
      <c r="O199" s="11"/>
      <c r="P199" s="6">
        <v>12784.23</v>
      </c>
      <c r="Q199" s="2"/>
      <c r="R199" s="7">
        <f t="shared" si="39"/>
        <v>2.2544161858922022E-3</v>
      </c>
      <c r="S199" s="2"/>
      <c r="T199" s="6">
        <v>17854.439999999999</v>
      </c>
      <c r="U199" s="2"/>
      <c r="V199" s="7">
        <f t="shared" si="40"/>
        <v>1.7350783402674895E-3</v>
      </c>
      <c r="W199" s="2"/>
      <c r="X199" s="6">
        <f t="shared" si="41"/>
        <v>-5070.2099999999991</v>
      </c>
      <c r="Y199" s="2"/>
      <c r="Z199" s="7">
        <f t="shared" si="42"/>
        <v>-0.2839747424170122</v>
      </c>
    </row>
    <row r="200" spans="1:26" s="25" customFormat="1" outlineLevel="1" collapsed="1" x14ac:dyDescent="0.25">
      <c r="A200" s="27"/>
      <c r="B200" s="13" t="str">
        <f>CONCATENATE("     ","*Payroll                                          ")</f>
        <v xml:space="preserve">     *Payroll                                          </v>
      </c>
      <c r="C200" s="13"/>
      <c r="D200" s="1">
        <f>SUM(OSRRefD22_1x_0)</f>
        <v>119631.72000000002</v>
      </c>
      <c r="E200" s="1"/>
      <c r="F200" s="5">
        <f t="shared" ref="F200:F207" si="43">IF(D$12=0,0,D200/D$12)</f>
        <v>0.3077145234279714</v>
      </c>
      <c r="G200" s="1"/>
      <c r="H200" s="1">
        <f>SUM(OSRRefH22_1x_0)</f>
        <v>169934.84999999998</v>
      </c>
      <c r="I200" s="1"/>
      <c r="J200" s="5">
        <f t="shared" ref="J200:J207" si="44">IF(H$12=0,0,H200/H$12)</f>
        <v>0.21158327931948459</v>
      </c>
      <c r="K200" s="1"/>
      <c r="L200" s="1">
        <f t="shared" ref="L200:L207" si="45">+D200-H200</f>
        <v>-50303.129999999961</v>
      </c>
      <c r="M200" s="1"/>
      <c r="N200" s="5">
        <f t="shared" ref="N200:N207" si="46">IF(H200=0,0,L200/H200)</f>
        <v>-0.29601420779787058</v>
      </c>
      <c r="O200" s="13"/>
      <c r="P200" s="1">
        <f>SUM(OSRRefP22_1x_0)</f>
        <v>1072060.8400000001</v>
      </c>
      <c r="Q200" s="1"/>
      <c r="R200" s="5">
        <f t="shared" ref="R200:R207" si="47">IF(P$12=0,0,P200/P$12)</f>
        <v>0.18905098781523727</v>
      </c>
      <c r="S200" s="1"/>
      <c r="T200" s="1">
        <f>SUM(OSRRefT22_1x_0)</f>
        <v>1541309.19</v>
      </c>
      <c r="U200" s="1"/>
      <c r="V200" s="5">
        <f t="shared" ref="V200:V207" si="48">IF(T$12=0,0,T200/T$12)</f>
        <v>0.14978303386856315</v>
      </c>
      <c r="W200" s="1"/>
      <c r="X200" s="1">
        <f t="shared" ref="X200:X207" si="49">+P200-T200</f>
        <v>-469248.34999999986</v>
      </c>
      <c r="Y200" s="1"/>
      <c r="Z200" s="5">
        <f t="shared" ref="Z200:Z207" si="50">IF(T200=0,0,X200/T200)</f>
        <v>-0.30444790250034121</v>
      </c>
    </row>
    <row r="201" spans="1:26" s="24" customFormat="1" hidden="1" outlineLevel="2" x14ac:dyDescent="0.25">
      <c r="A201" s="26"/>
      <c r="B201" s="11" t="str">
        <f>CONCATENATE("          ", "6001", " - ", "ADMINISTRATIVE SALARIES")</f>
        <v xml:space="preserve">          6001 - ADMINISTRATIVE SALARIES</v>
      </c>
      <c r="C201" s="11"/>
      <c r="D201" s="6">
        <v>4280.74</v>
      </c>
      <c r="E201" s="2"/>
      <c r="F201" s="7">
        <f t="shared" si="43"/>
        <v>1.1010841180073764E-2</v>
      </c>
      <c r="G201" s="2"/>
      <c r="H201" s="6">
        <v>9109.57</v>
      </c>
      <c r="I201" s="2"/>
      <c r="J201" s="7">
        <f t="shared" si="44"/>
        <v>1.1342186101264086E-2</v>
      </c>
      <c r="K201" s="2"/>
      <c r="L201" s="6">
        <f t="shared" si="45"/>
        <v>-4828.83</v>
      </c>
      <c r="M201" s="2"/>
      <c r="N201" s="7">
        <f t="shared" si="46"/>
        <v>-0.53008319821901584</v>
      </c>
      <c r="O201" s="11"/>
      <c r="P201" s="6">
        <v>34496.590000000004</v>
      </c>
      <c r="Q201" s="2"/>
      <c r="R201" s="7">
        <f t="shared" si="47"/>
        <v>6.0832502899343249E-3</v>
      </c>
      <c r="S201" s="2"/>
      <c r="T201" s="6">
        <v>88416.11</v>
      </c>
      <c r="U201" s="2"/>
      <c r="V201" s="7">
        <f t="shared" si="48"/>
        <v>8.5921976489717854E-3</v>
      </c>
      <c r="W201" s="2"/>
      <c r="X201" s="6">
        <f t="shared" si="49"/>
        <v>-53919.519999999997</v>
      </c>
      <c r="Y201" s="2"/>
      <c r="Z201" s="7">
        <f t="shared" si="50"/>
        <v>-0.60983818446660909</v>
      </c>
    </row>
    <row r="202" spans="1:26" s="24" customFormat="1" hidden="1" outlineLevel="2" x14ac:dyDescent="0.25">
      <c r="A202" s="26"/>
      <c r="B202" s="11" t="str">
        <f>CONCATENATE("          ", "6002", " - ", "STAFF SALARIES")</f>
        <v xml:space="preserve">          6002 - STAFF SALARIES</v>
      </c>
      <c r="C202" s="11"/>
      <c r="D202" s="6">
        <v>62628.89</v>
      </c>
      <c r="E202" s="2"/>
      <c r="F202" s="7">
        <f t="shared" si="43"/>
        <v>0.16109288606042646</v>
      </c>
      <c r="G202" s="2"/>
      <c r="H202" s="6">
        <v>54462.53</v>
      </c>
      <c r="I202" s="2"/>
      <c r="J202" s="7">
        <f t="shared" si="44"/>
        <v>6.7810462053168083E-2</v>
      </c>
      <c r="K202" s="2"/>
      <c r="L202" s="6">
        <f t="shared" si="45"/>
        <v>8166.3600000000006</v>
      </c>
      <c r="M202" s="2"/>
      <c r="N202" s="7">
        <f t="shared" si="46"/>
        <v>0.14994455821277491</v>
      </c>
      <c r="O202" s="11"/>
      <c r="P202" s="6">
        <v>493547.99</v>
      </c>
      <c r="Q202" s="2"/>
      <c r="R202" s="7">
        <f t="shared" si="47"/>
        <v>8.7033992439948499E-2</v>
      </c>
      <c r="S202" s="2"/>
      <c r="T202" s="6">
        <v>494564.42</v>
      </c>
      <c r="U202" s="2"/>
      <c r="V202" s="7">
        <f t="shared" si="48"/>
        <v>4.8061323290394635E-2</v>
      </c>
      <c r="W202" s="2"/>
      <c r="X202" s="6">
        <f t="shared" si="49"/>
        <v>-1016.429999999993</v>
      </c>
      <c r="Y202" s="2"/>
      <c r="Z202" s="7">
        <f t="shared" si="50"/>
        <v>-2.0552024344978014E-3</v>
      </c>
    </row>
    <row r="203" spans="1:26" s="24" customFormat="1" hidden="1" outlineLevel="2" x14ac:dyDescent="0.25">
      <c r="A203" s="26"/>
      <c r="B203" s="11" t="str">
        <f>CONCATENATE("          ", "6004", " - ", "STAFF HOURLY")</f>
        <v xml:space="preserve">          6004 - STAFF HOURLY</v>
      </c>
      <c r="C203" s="11"/>
      <c r="D203" s="6">
        <v>19090.79</v>
      </c>
      <c r="E203" s="2"/>
      <c r="F203" s="7">
        <f t="shared" si="43"/>
        <v>4.9104981076201877E-2</v>
      </c>
      <c r="G203" s="2"/>
      <c r="H203" s="6">
        <v>8324.66</v>
      </c>
      <c r="I203" s="2"/>
      <c r="J203" s="7">
        <f t="shared" si="44"/>
        <v>1.0364906680529279E-2</v>
      </c>
      <c r="K203" s="2"/>
      <c r="L203" s="6">
        <f t="shared" si="45"/>
        <v>10766.130000000001</v>
      </c>
      <c r="M203" s="2"/>
      <c r="N203" s="7">
        <f t="shared" si="46"/>
        <v>1.2932816475387585</v>
      </c>
      <c r="O203" s="11"/>
      <c r="P203" s="6">
        <v>153792.59</v>
      </c>
      <c r="Q203" s="2"/>
      <c r="R203" s="7">
        <f t="shared" si="47"/>
        <v>2.7120327478955184E-2</v>
      </c>
      <c r="S203" s="2"/>
      <c r="T203" s="6">
        <v>29169.929999999997</v>
      </c>
      <c r="U203" s="2"/>
      <c r="V203" s="7">
        <f t="shared" si="48"/>
        <v>2.8347074302032911E-3</v>
      </c>
      <c r="W203" s="2"/>
      <c r="X203" s="6">
        <f t="shared" si="49"/>
        <v>124622.66</v>
      </c>
      <c r="Y203" s="2"/>
      <c r="Z203" s="7">
        <f t="shared" si="50"/>
        <v>4.2722989050710787</v>
      </c>
    </row>
    <row r="204" spans="1:26" s="24" customFormat="1" hidden="1" outlineLevel="2" x14ac:dyDescent="0.25">
      <c r="A204" s="26"/>
      <c r="B204" s="11" t="str">
        <f>CONCATENATE("          ", "6005", " - ", "TEMPORARY WAGES-HOURLY")</f>
        <v xml:space="preserve">          6005 - TEMPORARY WAGES-HOURLY</v>
      </c>
      <c r="C204" s="11"/>
      <c r="D204" s="6">
        <v>12213.85</v>
      </c>
      <c r="E204" s="2"/>
      <c r="F204" s="7">
        <f t="shared" si="43"/>
        <v>3.1416241712237593E-2</v>
      </c>
      <c r="G204" s="2"/>
      <c r="H204" s="6">
        <v>22916.9</v>
      </c>
      <c r="I204" s="2"/>
      <c r="J204" s="7">
        <f t="shared" si="44"/>
        <v>2.8533481236113118E-2</v>
      </c>
      <c r="K204" s="2"/>
      <c r="L204" s="6">
        <f t="shared" si="45"/>
        <v>-10703.050000000001</v>
      </c>
      <c r="M204" s="2"/>
      <c r="N204" s="7">
        <f t="shared" si="46"/>
        <v>-0.46703742652802083</v>
      </c>
      <c r="O204" s="11"/>
      <c r="P204" s="6">
        <v>122408.07</v>
      </c>
      <c r="Q204" s="2"/>
      <c r="R204" s="7">
        <f t="shared" si="47"/>
        <v>2.1585870583666417E-2</v>
      </c>
      <c r="S204" s="2"/>
      <c r="T204" s="6">
        <v>173915.11000000002</v>
      </c>
      <c r="U204" s="2"/>
      <c r="V204" s="7">
        <f t="shared" si="48"/>
        <v>1.6900913184968998E-2</v>
      </c>
      <c r="W204" s="2"/>
      <c r="X204" s="6">
        <f t="shared" si="49"/>
        <v>-51507.040000000008</v>
      </c>
      <c r="Y204" s="2"/>
      <c r="Z204" s="7">
        <f t="shared" si="50"/>
        <v>-0.29616196085550017</v>
      </c>
    </row>
    <row r="205" spans="1:26" s="24" customFormat="1" hidden="1" outlineLevel="2" x14ac:dyDescent="0.25">
      <c r="A205" s="26"/>
      <c r="B205" s="11" t="str">
        <f>CONCATENATE("          ", "6006", " - ", "TEMPORARY PART TIME")</f>
        <v xml:space="preserve">          6006 - TEMPORARY PART TIME</v>
      </c>
      <c r="C205" s="11"/>
      <c r="D205" s="6">
        <v>2042.44</v>
      </c>
      <c r="E205" s="2"/>
      <c r="F205" s="7">
        <f t="shared" si="43"/>
        <v>5.253526834105752E-3</v>
      </c>
      <c r="G205" s="2"/>
      <c r="H205" s="6">
        <v>4155.9799999999996</v>
      </c>
      <c r="I205" s="2"/>
      <c r="J205" s="7">
        <f t="shared" si="44"/>
        <v>5.1745470525097802E-3</v>
      </c>
      <c r="K205" s="2"/>
      <c r="L205" s="6">
        <f t="shared" si="45"/>
        <v>-2113.5399999999995</v>
      </c>
      <c r="M205" s="2"/>
      <c r="N205" s="7">
        <f t="shared" si="46"/>
        <v>-0.5085539391431142</v>
      </c>
      <c r="O205" s="11"/>
      <c r="P205" s="6">
        <v>12030.4</v>
      </c>
      <c r="Q205" s="2"/>
      <c r="R205" s="7">
        <f t="shared" si="47"/>
        <v>2.1214831462479595E-3</v>
      </c>
      <c r="S205" s="2"/>
      <c r="T205" s="6">
        <v>34217.07</v>
      </c>
      <c r="U205" s="2"/>
      <c r="V205" s="7">
        <f t="shared" si="48"/>
        <v>3.3251839332074547E-3</v>
      </c>
      <c r="W205" s="2"/>
      <c r="X205" s="6">
        <f t="shared" si="49"/>
        <v>-22186.67</v>
      </c>
      <c r="Y205" s="2"/>
      <c r="Z205" s="7">
        <f t="shared" si="50"/>
        <v>-0.64840940501334565</v>
      </c>
    </row>
    <row r="206" spans="1:26" s="24" customFormat="1" hidden="1" outlineLevel="2" x14ac:dyDescent="0.25">
      <c r="A206" s="26"/>
      <c r="B206" s="11" t="str">
        <f>CONCATENATE("          ", "6007", " - ", "STUDENT HOURLY")</f>
        <v xml:space="preserve">          6007 - STUDENT HOURLY</v>
      </c>
      <c r="C206" s="11"/>
      <c r="D206" s="6">
        <v>18251.09</v>
      </c>
      <c r="E206" s="2"/>
      <c r="F206" s="7">
        <f t="shared" si="43"/>
        <v>4.6945120085133053E-2</v>
      </c>
      <c r="G206" s="2"/>
      <c r="H206" s="6">
        <v>68380.26999999999</v>
      </c>
      <c r="I206" s="2"/>
      <c r="J206" s="7">
        <f t="shared" si="44"/>
        <v>8.5139226988176775E-2</v>
      </c>
      <c r="K206" s="2"/>
      <c r="L206" s="6">
        <f t="shared" si="45"/>
        <v>-50129.179999999993</v>
      </c>
      <c r="M206" s="2"/>
      <c r="N206" s="7">
        <f t="shared" si="46"/>
        <v>-0.73309420977717699</v>
      </c>
      <c r="O206" s="11"/>
      <c r="P206" s="6">
        <v>248485.94999999998</v>
      </c>
      <c r="Q206" s="2"/>
      <c r="R206" s="7">
        <f t="shared" si="47"/>
        <v>4.3818888399755042E-2</v>
      </c>
      <c r="S206" s="2"/>
      <c r="T206" s="6">
        <v>707438.97</v>
      </c>
      <c r="U206" s="2"/>
      <c r="V206" s="7">
        <f t="shared" si="48"/>
        <v>6.8748279638462043E-2</v>
      </c>
      <c r="W206" s="2"/>
      <c r="X206" s="6">
        <f t="shared" si="49"/>
        <v>-458953.02</v>
      </c>
      <c r="Y206" s="2"/>
      <c r="Z206" s="7">
        <f t="shared" si="50"/>
        <v>-0.64875281043677879</v>
      </c>
    </row>
    <row r="207" spans="1:26" s="24" customFormat="1" hidden="1" outlineLevel="2" x14ac:dyDescent="0.25">
      <c r="A207" s="26"/>
      <c r="B207" s="11" t="str">
        <f>CONCATENATE("          ", "6008", " - ", "STUDENT HOURLY-FICA EXEMPT")</f>
        <v xml:space="preserve">          6008 - STUDENT HOURLY-FICA EXEMPT</v>
      </c>
      <c r="C207" s="11"/>
      <c r="D207" s="6">
        <v>1123.92</v>
      </c>
      <c r="E207" s="2"/>
      <c r="F207" s="7">
        <f t="shared" si="43"/>
        <v>2.8909264797928641E-3</v>
      </c>
      <c r="G207" s="2"/>
      <c r="H207" s="6">
        <v>2584.94</v>
      </c>
      <c r="I207" s="2"/>
      <c r="J207" s="7">
        <f t="shared" si="44"/>
        <v>3.2184692077234811E-3</v>
      </c>
      <c r="K207" s="2"/>
      <c r="L207" s="6">
        <f t="shared" si="45"/>
        <v>-1461.02</v>
      </c>
      <c r="M207" s="2"/>
      <c r="N207" s="7">
        <f t="shared" si="46"/>
        <v>-0.56520460823075191</v>
      </c>
      <c r="O207" s="11"/>
      <c r="P207" s="6">
        <v>7299.25</v>
      </c>
      <c r="Q207" s="2"/>
      <c r="R207" s="7">
        <f t="shared" si="47"/>
        <v>1.2871754767298192E-3</v>
      </c>
      <c r="S207" s="2"/>
      <c r="T207" s="6">
        <v>13587.58</v>
      </c>
      <c r="U207" s="2"/>
      <c r="V207" s="7">
        <f t="shared" si="48"/>
        <v>1.3204287423549401E-3</v>
      </c>
      <c r="W207" s="2"/>
      <c r="X207" s="6">
        <f t="shared" si="49"/>
        <v>-6288.33</v>
      </c>
      <c r="Y207" s="2"/>
      <c r="Z207" s="7">
        <f t="shared" si="50"/>
        <v>-0.46279985104043547</v>
      </c>
    </row>
    <row r="208" spans="1:26" s="25" customFormat="1" outlineLevel="1" collapsed="1" x14ac:dyDescent="0.25">
      <c r="A208" s="27"/>
      <c r="B208" s="13" t="str">
        <f>CONCATENATE("     ","Advertising/Promo                                 ")</f>
        <v xml:space="preserve">     Advertising/Promo                                 </v>
      </c>
      <c r="C208" s="13"/>
      <c r="D208" s="1">
        <f>SUM(OSRRefD22_2x_0)</f>
        <v>114.65</v>
      </c>
      <c r="E208" s="1"/>
      <c r="F208" s="5">
        <f t="shared" ref="F208:F212" si="51">IF(D$12=0,0,D208/D$12)</f>
        <v>2.9490063430515686E-4</v>
      </c>
      <c r="G208" s="1"/>
      <c r="H208" s="1">
        <f>SUM(OSRRefH22_2x_0)</f>
        <v>2888.23</v>
      </c>
      <c r="I208" s="1"/>
      <c r="J208" s="5">
        <f t="shared" ref="J208:J212" si="52">IF(H$12=0,0,H208/H$12)</f>
        <v>3.5960909420811272E-3</v>
      </c>
      <c r="K208" s="1"/>
      <c r="L208" s="1">
        <f t="shared" ref="L208:L212" si="53">+D208-H208</f>
        <v>-2773.58</v>
      </c>
      <c r="M208" s="1"/>
      <c r="N208" s="5">
        <f t="shared" ref="N208:N212" si="54">IF(H208=0,0,L208/H208)</f>
        <v>-0.9603044078899533</v>
      </c>
      <c r="O208" s="13"/>
      <c r="P208" s="1">
        <f>SUM(OSRRefP22_2x_0)</f>
        <v>16747.72</v>
      </c>
      <c r="Q208" s="1"/>
      <c r="R208" s="5">
        <f t="shared" ref="R208:R212" si="55">IF(P$12=0,0,P208/P$12)</f>
        <v>2.9533519848117997E-3</v>
      </c>
      <c r="S208" s="1"/>
      <c r="T208" s="1">
        <f>SUM(OSRRefT22_2x_0)</f>
        <v>44892.09</v>
      </c>
      <c r="U208" s="1"/>
      <c r="V208" s="5">
        <f t="shared" ref="V208:V212" si="56">IF(T$12=0,0,T208/T$12)</f>
        <v>4.3625727274750016E-3</v>
      </c>
      <c r="W208" s="1"/>
      <c r="X208" s="1">
        <f t="shared" ref="X208:X212" si="57">+P208-T208</f>
        <v>-28144.369999999995</v>
      </c>
      <c r="Y208" s="1"/>
      <c r="Z208" s="5">
        <f t="shared" ref="Z208:Z212" si="58">IF(T208=0,0,X208/T208)</f>
        <v>-0.62693383177303608</v>
      </c>
    </row>
    <row r="209" spans="1:26" s="24" customFormat="1" hidden="1" outlineLevel="2" x14ac:dyDescent="0.25">
      <c r="A209" s="26"/>
      <c r="B209" s="11" t="str">
        <f>CONCATENATE("          ", "6362", " - ", "ADVERTISING EXPENSE")</f>
        <v xml:space="preserve">          6362 - ADVERTISING EXPENSE</v>
      </c>
      <c r="C209" s="11"/>
      <c r="D209" s="6">
        <v>114.65</v>
      </c>
      <c r="E209" s="2"/>
      <c r="F209" s="7">
        <f t="shared" si="51"/>
        <v>2.9490063430515686E-4</v>
      </c>
      <c r="G209" s="2"/>
      <c r="H209" s="6">
        <v>2888.23</v>
      </c>
      <c r="I209" s="2"/>
      <c r="J209" s="7">
        <f t="shared" si="52"/>
        <v>3.5960909420811272E-3</v>
      </c>
      <c r="K209" s="2"/>
      <c r="L209" s="6">
        <f t="shared" si="53"/>
        <v>-2773.58</v>
      </c>
      <c r="M209" s="2"/>
      <c r="N209" s="7">
        <f t="shared" si="54"/>
        <v>-0.9603044078899533</v>
      </c>
      <c r="O209" s="11"/>
      <c r="P209" s="6">
        <v>16747.72</v>
      </c>
      <c r="Q209" s="2"/>
      <c r="R209" s="7">
        <f t="shared" si="55"/>
        <v>2.9533519848117997E-3</v>
      </c>
      <c r="S209" s="2"/>
      <c r="T209" s="6">
        <v>44892.09</v>
      </c>
      <c r="U209" s="2"/>
      <c r="V209" s="7">
        <f t="shared" si="56"/>
        <v>4.3625727274750016E-3</v>
      </c>
      <c r="W209" s="2"/>
      <c r="X209" s="6">
        <f t="shared" si="57"/>
        <v>-28144.369999999995</v>
      </c>
      <c r="Y209" s="2"/>
      <c r="Z209" s="7">
        <f t="shared" si="58"/>
        <v>-0.62693383177303608</v>
      </c>
    </row>
    <row r="210" spans="1:26" s="25" customFormat="1" outlineLevel="1" collapsed="1" x14ac:dyDescent="0.25">
      <c r="A210" s="27"/>
      <c r="B210" s="13" t="str">
        <f>CONCATENATE("     ","Bad Debts/Over/Short                              ")</f>
        <v xml:space="preserve">     Bad Debts/Over/Short                              </v>
      </c>
      <c r="C210" s="13"/>
      <c r="D210" s="1">
        <f>SUM(OSRRefD22_3x_0)</f>
        <v>3282.4</v>
      </c>
      <c r="E210" s="1"/>
      <c r="F210" s="5">
        <f t="shared" si="51"/>
        <v>8.4429292807958727E-3</v>
      </c>
      <c r="G210" s="1"/>
      <c r="H210" s="1">
        <f>SUM(OSRRefH22_3x_0)</f>
        <v>-35.479999999999997</v>
      </c>
      <c r="I210" s="1"/>
      <c r="J210" s="5">
        <f t="shared" si="52"/>
        <v>-4.4175604652343612E-5</v>
      </c>
      <c r="K210" s="1"/>
      <c r="L210" s="1">
        <f t="shared" si="53"/>
        <v>3317.88</v>
      </c>
      <c r="M210" s="1"/>
      <c r="N210" s="5">
        <f t="shared" si="54"/>
        <v>-93.514092446448714</v>
      </c>
      <c r="O210" s="13"/>
      <c r="P210" s="1">
        <f>SUM(OSRRefP22_3x_0)</f>
        <v>5200.46</v>
      </c>
      <c r="Q210" s="1"/>
      <c r="R210" s="5">
        <f t="shared" si="55"/>
        <v>9.1706744935635251E-4</v>
      </c>
      <c r="S210" s="1"/>
      <c r="T210" s="1">
        <f>SUM(OSRRefT22_3x_0)</f>
        <v>19.539999999999996</v>
      </c>
      <c r="U210" s="1"/>
      <c r="V210" s="5">
        <f t="shared" si="56"/>
        <v>1.8988795374610876E-6</v>
      </c>
      <c r="W210" s="1"/>
      <c r="X210" s="1">
        <f t="shared" si="57"/>
        <v>5180.92</v>
      </c>
      <c r="Y210" s="1"/>
      <c r="Z210" s="5">
        <f t="shared" si="58"/>
        <v>265.14431934493354</v>
      </c>
    </row>
    <row r="211" spans="1:26" s="24" customFormat="1" hidden="1" outlineLevel="2" x14ac:dyDescent="0.25">
      <c r="A211" s="26"/>
      <c r="B211" s="11" t="str">
        <f>CONCATENATE("          ", "6272", " - ", "CASH (OVER/SHORT)")</f>
        <v xml:space="preserve">          6272 - CASH (OVER/SHORT)</v>
      </c>
      <c r="C211" s="11"/>
      <c r="D211" s="6">
        <v>-70.239999999999995</v>
      </c>
      <c r="E211" s="2"/>
      <c r="F211" s="7">
        <f t="shared" si="51"/>
        <v>-1.8067004407844932E-4</v>
      </c>
      <c r="G211" s="2"/>
      <c r="H211" s="6">
        <v>-35.479999999999997</v>
      </c>
      <c r="I211" s="2"/>
      <c r="J211" s="7">
        <f t="shared" si="52"/>
        <v>-4.4175604652343612E-5</v>
      </c>
      <c r="K211" s="2"/>
      <c r="L211" s="6">
        <f t="shared" si="53"/>
        <v>-34.76</v>
      </c>
      <c r="M211" s="2"/>
      <c r="N211" s="7">
        <f t="shared" si="54"/>
        <v>0.97970687711386695</v>
      </c>
      <c r="O211" s="11"/>
      <c r="P211" s="6">
        <v>-148.96</v>
      </c>
      <c r="Q211" s="2"/>
      <c r="R211" s="7">
        <f t="shared" si="55"/>
        <v>-2.6268131522235008E-5</v>
      </c>
      <c r="S211" s="2"/>
      <c r="T211" s="6">
        <v>-25.26</v>
      </c>
      <c r="U211" s="2"/>
      <c r="V211" s="7">
        <f t="shared" si="56"/>
        <v>-2.4547439670556339E-6</v>
      </c>
      <c r="W211" s="2"/>
      <c r="X211" s="6">
        <f t="shared" si="57"/>
        <v>-123.7</v>
      </c>
      <c r="Y211" s="2"/>
      <c r="Z211" s="7">
        <f t="shared" si="58"/>
        <v>4.8970704671417256</v>
      </c>
    </row>
    <row r="212" spans="1:26" s="24" customFormat="1" hidden="1" outlineLevel="2" x14ac:dyDescent="0.25">
      <c r="A212" s="26"/>
      <c r="B212" s="11" t="str">
        <f>CONCATENATE("          ", "6342", " - ", "BAD DEBT")</f>
        <v xml:space="preserve">          6342 - BAD DEBT</v>
      </c>
      <c r="C212" s="11"/>
      <c r="D212" s="6">
        <v>3352.64</v>
      </c>
      <c r="E212" s="2"/>
      <c r="F212" s="7">
        <f t="shared" si="51"/>
        <v>8.623599324874321E-3</v>
      </c>
      <c r="G212" s="2"/>
      <c r="H212" s="6"/>
      <c r="I212" s="2"/>
      <c r="J212" s="7">
        <f t="shared" si="52"/>
        <v>0</v>
      </c>
      <c r="K212" s="2"/>
      <c r="L212" s="6">
        <f t="shared" si="53"/>
        <v>3352.64</v>
      </c>
      <c r="M212" s="2"/>
      <c r="N212" s="7">
        <f t="shared" si="54"/>
        <v>0</v>
      </c>
      <c r="O212" s="11"/>
      <c r="P212" s="6">
        <v>5349.42</v>
      </c>
      <c r="Q212" s="2"/>
      <c r="R212" s="7">
        <f t="shared" si="55"/>
        <v>9.4333558087858753E-4</v>
      </c>
      <c r="S212" s="2"/>
      <c r="T212" s="6">
        <v>44.8</v>
      </c>
      <c r="U212" s="2"/>
      <c r="V212" s="7">
        <f t="shared" si="56"/>
        <v>4.3536235045167213E-6</v>
      </c>
      <c r="W212" s="2"/>
      <c r="X212" s="6">
        <f t="shared" si="57"/>
        <v>5304.62</v>
      </c>
      <c r="Y212" s="2"/>
      <c r="Z212" s="7">
        <f t="shared" si="58"/>
        <v>118.40669642857144</v>
      </c>
    </row>
    <row r="213" spans="1:26" s="25" customFormat="1" outlineLevel="1" collapsed="1" x14ac:dyDescent="0.25">
      <c r="A213" s="27"/>
      <c r="B213" s="13" t="str">
        <f>CONCATENATE("     ","Bank/card Fees                                    ")</f>
        <v xml:space="preserve">     Bank/card Fees                                    </v>
      </c>
      <c r="C213" s="13"/>
      <c r="D213" s="1">
        <f>SUM(OSRRefD22_4x_0)</f>
        <v>3756.42</v>
      </c>
      <c r="E213" s="1"/>
      <c r="F213" s="5">
        <f t="shared" ref="F213:F217" si="59">IF(D$12=0,0,D213/D$12)</f>
        <v>9.6621948601533121E-3</v>
      </c>
      <c r="G213" s="1"/>
      <c r="H213" s="1">
        <f>SUM(OSRRefH22_4x_0)</f>
        <v>13910.91</v>
      </c>
      <c r="I213" s="1"/>
      <c r="J213" s="5">
        <f t="shared" ref="J213:J217" si="60">IF(H$12=0,0,H213/H$12)</f>
        <v>1.7320261006604658E-2</v>
      </c>
      <c r="K213" s="1"/>
      <c r="L213" s="1">
        <f t="shared" ref="L213:L217" si="61">+D213-H213</f>
        <v>-10154.49</v>
      </c>
      <c r="M213" s="1"/>
      <c r="N213" s="5">
        <f t="shared" ref="N213:N217" si="62">IF(H213=0,0,L213/H213)</f>
        <v>-0.72996590445916187</v>
      </c>
      <c r="O213" s="13"/>
      <c r="P213" s="1">
        <f>SUM(OSRRefP22_4x_0)</f>
        <v>65501.080000000009</v>
      </c>
      <c r="Q213" s="1"/>
      <c r="R213" s="5">
        <f t="shared" ref="R213:R217" si="63">IF(P$12=0,0,P213/P$12)</f>
        <v>1.1550691355319798E-2</v>
      </c>
      <c r="S213" s="1"/>
      <c r="T213" s="1">
        <f>SUM(OSRRefT22_4x_0)</f>
        <v>131235.68</v>
      </c>
      <c r="U213" s="1"/>
      <c r="V213" s="5">
        <f t="shared" ref="V213:V217" si="64">IF(T$12=0,0,T213/T$12)</f>
        <v>1.2753364756232923E-2</v>
      </c>
      <c r="W213" s="1"/>
      <c r="X213" s="1">
        <f t="shared" ref="X213:X217" si="65">+P213-T213</f>
        <v>-65734.599999999977</v>
      </c>
      <c r="Y213" s="1"/>
      <c r="Z213" s="5">
        <f t="shared" ref="Z213:Z217" si="66">IF(T213=0,0,X213/T213)</f>
        <v>-0.50088969707018682</v>
      </c>
    </row>
    <row r="214" spans="1:26" s="24" customFormat="1" hidden="1" outlineLevel="2" x14ac:dyDescent="0.25">
      <c r="A214" s="26"/>
      <c r="B214" s="11" t="str">
        <f>CONCATENATE("          ", "6381", " - ", "BANK/CREDIT CARD FEES")</f>
        <v xml:space="preserve">          6381 - BANK/CREDIT CARD FEES</v>
      </c>
      <c r="C214" s="11"/>
      <c r="D214" s="6">
        <v>3756.42</v>
      </c>
      <c r="E214" s="2"/>
      <c r="F214" s="7">
        <f t="shared" si="59"/>
        <v>9.6621948601533121E-3</v>
      </c>
      <c r="G214" s="2"/>
      <c r="H214" s="6">
        <v>13910.91</v>
      </c>
      <c r="I214" s="2"/>
      <c r="J214" s="7">
        <f t="shared" si="60"/>
        <v>1.7320261006604658E-2</v>
      </c>
      <c r="K214" s="2"/>
      <c r="L214" s="6">
        <f t="shared" si="61"/>
        <v>-10154.49</v>
      </c>
      <c r="M214" s="2"/>
      <c r="N214" s="7">
        <f t="shared" si="62"/>
        <v>-0.72996590445916187</v>
      </c>
      <c r="O214" s="11"/>
      <c r="P214" s="6">
        <v>65501.080000000009</v>
      </c>
      <c r="Q214" s="2"/>
      <c r="R214" s="7">
        <f t="shared" si="63"/>
        <v>1.1550691355319798E-2</v>
      </c>
      <c r="S214" s="2"/>
      <c r="T214" s="6">
        <v>131235.68</v>
      </c>
      <c r="U214" s="2"/>
      <c r="V214" s="7">
        <f t="shared" si="64"/>
        <v>1.2753364756232923E-2</v>
      </c>
      <c r="W214" s="2"/>
      <c r="X214" s="6">
        <f t="shared" si="65"/>
        <v>-65734.599999999977</v>
      </c>
      <c r="Y214" s="2"/>
      <c r="Z214" s="7">
        <f t="shared" si="66"/>
        <v>-0.50088969707018682</v>
      </c>
    </row>
    <row r="215" spans="1:26" s="25" customFormat="1" outlineLevel="1" collapsed="1" x14ac:dyDescent="0.25">
      <c r="A215" s="27"/>
      <c r="B215" s="13" t="str">
        <f>CONCATENATE("     ","Depreciation                                      ")</f>
        <v xml:space="preserve">     Depreciation                                      </v>
      </c>
      <c r="C215" s="13"/>
      <c r="D215" s="1">
        <f>SUM(OSRRefD22_5x_0)</f>
        <v>31016.29</v>
      </c>
      <c r="E215" s="1"/>
      <c r="F215" s="5">
        <f t="shared" si="59"/>
        <v>7.9779534189207954E-2</v>
      </c>
      <c r="G215" s="1"/>
      <c r="H215" s="1">
        <f>SUM(OSRRefH22_5x_0)</f>
        <v>30578.65</v>
      </c>
      <c r="I215" s="1"/>
      <c r="J215" s="5">
        <f t="shared" si="60"/>
        <v>3.8073008827575736E-2</v>
      </c>
      <c r="K215" s="1"/>
      <c r="L215" s="1">
        <f t="shared" si="61"/>
        <v>437.63999999999942</v>
      </c>
      <c r="M215" s="1"/>
      <c r="N215" s="5">
        <f t="shared" si="62"/>
        <v>1.4311946407051959E-2</v>
      </c>
      <c r="O215" s="13"/>
      <c r="P215" s="1">
        <f>SUM(OSRRefP22_5x_0)</f>
        <v>248425.81</v>
      </c>
      <c r="Q215" s="1"/>
      <c r="R215" s="5">
        <f t="shared" si="63"/>
        <v>4.380828310014611E-2</v>
      </c>
      <c r="S215" s="1"/>
      <c r="T215" s="1">
        <f>SUM(OSRRefT22_5x_0)</f>
        <v>240133.5</v>
      </c>
      <c r="U215" s="1"/>
      <c r="V215" s="5">
        <f t="shared" si="64"/>
        <v>2.3335956469238084E-2</v>
      </c>
      <c r="W215" s="1"/>
      <c r="X215" s="1">
        <f t="shared" si="65"/>
        <v>8292.3099999999977</v>
      </c>
      <c r="Y215" s="1"/>
      <c r="Z215" s="5">
        <f t="shared" si="66"/>
        <v>3.4532083195389224E-2</v>
      </c>
    </row>
    <row r="216" spans="1:26" s="24" customFormat="1" hidden="1" outlineLevel="2" x14ac:dyDescent="0.25">
      <c r="A216" s="26"/>
      <c r="B216" s="11" t="str">
        <f>CONCATENATE("          ", "6321", " - ", "BUILDING DEPRECIATION")</f>
        <v xml:space="preserve">          6321 - BUILDING DEPRECIATION</v>
      </c>
      <c r="C216" s="11"/>
      <c r="D216" s="6">
        <v>16396.52</v>
      </c>
      <c r="E216" s="2"/>
      <c r="F216" s="7">
        <f t="shared" si="59"/>
        <v>4.2174829030939297E-2</v>
      </c>
      <c r="G216" s="2"/>
      <c r="H216" s="6">
        <v>16396.52</v>
      </c>
      <c r="I216" s="2"/>
      <c r="J216" s="7">
        <f t="shared" si="60"/>
        <v>2.0415055952487181E-2</v>
      </c>
      <c r="K216" s="2"/>
      <c r="L216" s="6">
        <f t="shared" si="61"/>
        <v>0</v>
      </c>
      <c r="M216" s="2"/>
      <c r="N216" s="7">
        <f t="shared" si="62"/>
        <v>0</v>
      </c>
      <c r="O216" s="11"/>
      <c r="P216" s="6">
        <v>131172.16</v>
      </c>
      <c r="Q216" s="2"/>
      <c r="R216" s="7">
        <f t="shared" si="63"/>
        <v>2.3131361109933229E-2</v>
      </c>
      <c r="S216" s="2"/>
      <c r="T216" s="6">
        <v>131172.16</v>
      </c>
      <c r="U216" s="2"/>
      <c r="V216" s="7">
        <f t="shared" si="64"/>
        <v>1.2747191940049736E-2</v>
      </c>
      <c r="W216" s="2"/>
      <c r="X216" s="6">
        <f t="shared" si="65"/>
        <v>0</v>
      </c>
      <c r="Y216" s="2"/>
      <c r="Z216" s="7">
        <f t="shared" si="66"/>
        <v>0</v>
      </c>
    </row>
    <row r="217" spans="1:26" s="24" customFormat="1" hidden="1" outlineLevel="2" x14ac:dyDescent="0.25">
      <c r="A217" s="26"/>
      <c r="B217" s="11" t="str">
        <f>CONCATENATE("          ", "6322", " - ", "EQUIPMENT DEPRECIATION EXPENSE")</f>
        <v xml:space="preserve">          6322 - EQUIPMENT DEPRECIATION EXPENSE</v>
      </c>
      <c r="C217" s="11"/>
      <c r="D217" s="6">
        <v>14619.77</v>
      </c>
      <c r="E217" s="2"/>
      <c r="F217" s="7">
        <f t="shared" si="59"/>
        <v>3.7604705158268664E-2</v>
      </c>
      <c r="G217" s="2"/>
      <c r="H217" s="6">
        <v>14182.13</v>
      </c>
      <c r="I217" s="2"/>
      <c r="J217" s="7">
        <f t="shared" si="60"/>
        <v>1.7657952875088555E-2</v>
      </c>
      <c r="K217" s="2"/>
      <c r="L217" s="6">
        <f t="shared" si="61"/>
        <v>437.64000000000124</v>
      </c>
      <c r="M217" s="2"/>
      <c r="N217" s="7">
        <f t="shared" si="62"/>
        <v>3.0858552276703234E-2</v>
      </c>
      <c r="O217" s="11"/>
      <c r="P217" s="6">
        <v>117253.65000000001</v>
      </c>
      <c r="Q217" s="2"/>
      <c r="R217" s="7">
        <f t="shared" si="63"/>
        <v>2.0676921990212881E-2</v>
      </c>
      <c r="S217" s="2"/>
      <c r="T217" s="6">
        <v>108961.34</v>
      </c>
      <c r="U217" s="2"/>
      <c r="V217" s="7">
        <f t="shared" si="64"/>
        <v>1.0588764529188348E-2</v>
      </c>
      <c r="W217" s="2"/>
      <c r="X217" s="6">
        <f t="shared" si="65"/>
        <v>8292.3100000000122</v>
      </c>
      <c r="Y217" s="2"/>
      <c r="Z217" s="7">
        <f t="shared" si="66"/>
        <v>7.6103230742206485E-2</v>
      </c>
    </row>
    <row r="218" spans="1:26" s="25" customFormat="1" outlineLevel="1" collapsed="1" x14ac:dyDescent="0.25">
      <c r="A218" s="27"/>
      <c r="B218" s="13" t="str">
        <f>CONCATENATE("     ","Discounts and Markdowns                           ")</f>
        <v xml:space="preserve">     Discounts and Markdowns                           </v>
      </c>
      <c r="C218" s="13"/>
      <c r="D218" s="1">
        <f>SUM(OSRRefD22_6x_0)</f>
        <v>42.86</v>
      </c>
      <c r="E218" s="1"/>
      <c r="F218" s="5">
        <f t="shared" ref="F218:F220" si="67">IF(D$12=0,0,D218/D$12)</f>
        <v>1.102437085592588E-4</v>
      </c>
      <c r="G218" s="1"/>
      <c r="H218" s="1">
        <f>SUM(OSRRefH22_6x_0)</f>
        <v>33282.050000000003</v>
      </c>
      <c r="I218" s="1"/>
      <c r="J218" s="5">
        <f t="shared" ref="J218:J220" si="68">IF(H$12=0,0,H218/H$12)</f>
        <v>4.1438970767179624E-2</v>
      </c>
      <c r="K218" s="1"/>
      <c r="L218" s="1">
        <f t="shared" ref="L218:L220" si="69">+D218-H218</f>
        <v>-33239.19</v>
      </c>
      <c r="M218" s="1"/>
      <c r="N218" s="5">
        <f t="shared" ref="N218:N220" si="70">IF(H218=0,0,L218/H218)</f>
        <v>-0.99871221874854466</v>
      </c>
      <c r="O218" s="13"/>
      <c r="P218" s="1">
        <f>SUM(OSRRefP22_6x_0)</f>
        <v>0</v>
      </c>
      <c r="Q218" s="1"/>
      <c r="R218" s="5">
        <f t="shared" ref="R218:R220" si="71">IF(P$12=0,0,P218/P$12)</f>
        <v>0</v>
      </c>
      <c r="S218" s="1"/>
      <c r="T218" s="1">
        <f>SUM(OSRRefT22_6x_0)</f>
        <v>308653.90999999997</v>
      </c>
      <c r="U218" s="1"/>
      <c r="V218" s="5">
        <f t="shared" ref="V218:V220" si="72">IF(T$12=0,0,T218/T$12)</f>
        <v>2.9994707976272069E-2</v>
      </c>
      <c r="W218" s="1"/>
      <c r="X218" s="1">
        <f t="shared" ref="X218:X220" si="73">+P218-T218</f>
        <v>-308653.90999999997</v>
      </c>
      <c r="Y218" s="1"/>
      <c r="Z218" s="5">
        <f t="shared" ref="Z218:Z220" si="74">IF(T218=0,0,X218/T218)</f>
        <v>-1</v>
      </c>
    </row>
    <row r="219" spans="1:26" s="24" customFormat="1" hidden="1" outlineLevel="2" x14ac:dyDescent="0.25">
      <c r="A219" s="26"/>
      <c r="B219" s="11" t="str">
        <f>CONCATENATE("          ", "6382", " - ", "DISCOUNTS/MARK DOWNS")</f>
        <v xml:space="preserve">          6382 - DISCOUNTS/MARK DOWNS</v>
      </c>
      <c r="C219" s="11"/>
      <c r="D219" s="6"/>
      <c r="E219" s="2"/>
      <c r="F219" s="7">
        <f t="shared" si="67"/>
        <v>0</v>
      </c>
      <c r="G219" s="2"/>
      <c r="H219" s="6">
        <v>33470.82</v>
      </c>
      <c r="I219" s="2"/>
      <c r="J219" s="7">
        <f t="shared" si="68"/>
        <v>4.1674005403318934E-2</v>
      </c>
      <c r="K219" s="2"/>
      <c r="L219" s="6">
        <f t="shared" si="69"/>
        <v>-33470.82</v>
      </c>
      <c r="M219" s="2"/>
      <c r="N219" s="7">
        <f t="shared" si="70"/>
        <v>-1</v>
      </c>
      <c r="O219" s="11"/>
      <c r="P219" s="6">
        <v>0</v>
      </c>
      <c r="Q219" s="2"/>
      <c r="R219" s="7">
        <f t="shared" si="71"/>
        <v>0</v>
      </c>
      <c r="S219" s="2"/>
      <c r="T219" s="6">
        <v>311749.68</v>
      </c>
      <c r="U219" s="2"/>
      <c r="V219" s="7">
        <f t="shared" si="72"/>
        <v>3.0295552106552822E-2</v>
      </c>
      <c r="W219" s="2"/>
      <c r="X219" s="6">
        <f t="shared" si="73"/>
        <v>-311749.68</v>
      </c>
      <c r="Y219" s="2"/>
      <c r="Z219" s="7">
        <f t="shared" si="74"/>
        <v>-1</v>
      </c>
    </row>
    <row r="220" spans="1:26" s="24" customFormat="1" hidden="1" outlineLevel="2" x14ac:dyDescent="0.25">
      <c r="A220" s="26"/>
      <c r="B220" s="11" t="str">
        <f>CONCATENATE("          ", "9175", " - ", "EARNED DISCOUNTS")</f>
        <v xml:space="preserve">          9175 - EARNED DISCOUNTS</v>
      </c>
      <c r="C220" s="11"/>
      <c r="D220" s="6">
        <v>42.86</v>
      </c>
      <c r="E220" s="2"/>
      <c r="F220" s="7">
        <f t="shared" si="67"/>
        <v>1.102437085592588E-4</v>
      </c>
      <c r="G220" s="2"/>
      <c r="H220" s="6">
        <v>-188.77</v>
      </c>
      <c r="I220" s="2"/>
      <c r="J220" s="7">
        <f t="shared" si="68"/>
        <v>-2.3503463613931523E-4</v>
      </c>
      <c r="K220" s="2"/>
      <c r="L220" s="6">
        <f t="shared" si="69"/>
        <v>231.63</v>
      </c>
      <c r="M220" s="2"/>
      <c r="N220" s="7">
        <f t="shared" si="70"/>
        <v>-1.2270487895322348</v>
      </c>
      <c r="O220" s="11"/>
      <c r="P220" s="6">
        <v>0</v>
      </c>
      <c r="Q220" s="2"/>
      <c r="R220" s="7">
        <f t="shared" si="71"/>
        <v>0</v>
      </c>
      <c r="S220" s="2"/>
      <c r="T220" s="6">
        <v>-3095.77</v>
      </c>
      <c r="U220" s="2"/>
      <c r="V220" s="7">
        <f t="shared" si="72"/>
        <v>-3.0084413028075291E-4</v>
      </c>
      <c r="W220" s="2"/>
      <c r="X220" s="6">
        <f t="shared" si="73"/>
        <v>3095.77</v>
      </c>
      <c r="Y220" s="2"/>
      <c r="Z220" s="7">
        <f t="shared" si="74"/>
        <v>-1</v>
      </c>
    </row>
    <row r="221" spans="1:26" s="25" customFormat="1" outlineLevel="1" collapsed="1" x14ac:dyDescent="0.25">
      <c r="A221" s="27"/>
      <c r="B221" s="13" t="str">
        <f>CONCATENATE("     ","Donations                                         ")</f>
        <v xml:space="preserve">     Donations                                         </v>
      </c>
      <c r="C221" s="13"/>
      <c r="D221" s="1">
        <f>SUM(OSRRefD22_7x_0)</f>
        <v>0</v>
      </c>
      <c r="E221" s="1"/>
      <c r="F221" s="5">
        <f t="shared" ref="F221:F229" si="75">IF(D$12=0,0,D221/D$12)</f>
        <v>0</v>
      </c>
      <c r="G221" s="1"/>
      <c r="H221" s="1">
        <f>SUM(OSRRefH22_7x_0)</f>
        <v>1804</v>
      </c>
      <c r="I221" s="1"/>
      <c r="J221" s="5">
        <f t="shared" ref="J221:J229" si="76">IF(H$12=0,0,H221/H$12)</f>
        <v>2.2461327731913157E-3</v>
      </c>
      <c r="K221" s="1"/>
      <c r="L221" s="1">
        <f t="shared" ref="L221:L229" si="77">+D221-H221</f>
        <v>-1804</v>
      </c>
      <c r="M221" s="1"/>
      <c r="N221" s="5">
        <f t="shared" ref="N221:N229" si="78">IF(H221=0,0,L221/H221)</f>
        <v>-1</v>
      </c>
      <c r="O221" s="13"/>
      <c r="P221" s="1">
        <f>SUM(OSRRefP22_7x_0)</f>
        <v>0</v>
      </c>
      <c r="Q221" s="1"/>
      <c r="R221" s="5">
        <f t="shared" ref="R221:R229" si="79">IF(P$12=0,0,P221/P$12)</f>
        <v>0</v>
      </c>
      <c r="S221" s="1"/>
      <c r="T221" s="1">
        <f>SUM(OSRRefT22_7x_0)</f>
        <v>11602.22</v>
      </c>
      <c r="U221" s="1"/>
      <c r="V221" s="5">
        <f t="shared" ref="V221:V229" si="80">IF(T$12=0,0,T221/T$12)</f>
        <v>1.1274932521556694E-3</v>
      </c>
      <c r="W221" s="1"/>
      <c r="X221" s="1">
        <f t="shared" ref="X221:X229" si="81">+P221-T221</f>
        <v>-11602.22</v>
      </c>
      <c r="Y221" s="1"/>
      <c r="Z221" s="5">
        <f t="shared" ref="Z221:Z229" si="82">IF(T221=0,0,X221/T221)</f>
        <v>-1</v>
      </c>
    </row>
    <row r="222" spans="1:26" s="24" customFormat="1" hidden="1" outlineLevel="2" x14ac:dyDescent="0.25">
      <c r="A222" s="26"/>
      <c r="B222" s="11" t="str">
        <f>CONCATENATE("          ", "6399", " - ", "DONATION-ON CAMPUS")</f>
        <v xml:space="preserve">          6399 - DONATION-ON CAMPUS</v>
      </c>
      <c r="C222" s="11"/>
      <c r="D222" s="6"/>
      <c r="E222" s="2"/>
      <c r="F222" s="7">
        <f t="shared" si="75"/>
        <v>0</v>
      </c>
      <c r="G222" s="2"/>
      <c r="H222" s="6">
        <v>1804</v>
      </c>
      <c r="I222" s="2"/>
      <c r="J222" s="7">
        <f t="shared" si="76"/>
        <v>2.2461327731913157E-3</v>
      </c>
      <c r="K222" s="2"/>
      <c r="L222" s="6">
        <f t="shared" si="77"/>
        <v>-1804</v>
      </c>
      <c r="M222" s="2"/>
      <c r="N222" s="7">
        <f t="shared" si="78"/>
        <v>-1</v>
      </c>
      <c r="O222" s="11"/>
      <c r="P222" s="6"/>
      <c r="Q222" s="2"/>
      <c r="R222" s="7">
        <f t="shared" si="79"/>
        <v>0</v>
      </c>
      <c r="S222" s="2"/>
      <c r="T222" s="6">
        <v>11602.22</v>
      </c>
      <c r="U222" s="2"/>
      <c r="V222" s="7">
        <f t="shared" si="80"/>
        <v>1.1274932521556694E-3</v>
      </c>
      <c r="W222" s="2"/>
      <c r="X222" s="6">
        <f t="shared" si="81"/>
        <v>-11602.22</v>
      </c>
      <c r="Y222" s="2"/>
      <c r="Z222" s="7">
        <f t="shared" si="82"/>
        <v>-1</v>
      </c>
    </row>
    <row r="223" spans="1:26" s="25" customFormat="1" outlineLevel="1" collapsed="1" x14ac:dyDescent="0.25">
      <c r="A223" s="27"/>
      <c r="B223" s="13" t="str">
        <f>CONCATENATE("     ","Employees' Appreciation                           ")</f>
        <v xml:space="preserve">     Employees' Appreciation                           </v>
      </c>
      <c r="C223" s="13"/>
      <c r="D223" s="1">
        <f>SUM(OSRRefD22_8x_0)</f>
        <v>0</v>
      </c>
      <c r="E223" s="1"/>
      <c r="F223" s="5">
        <f t="shared" si="75"/>
        <v>0</v>
      </c>
      <c r="G223" s="1"/>
      <c r="H223" s="1">
        <f>SUM(OSRRefH22_8x_0)</f>
        <v>90.54</v>
      </c>
      <c r="I223" s="1"/>
      <c r="J223" s="5">
        <f t="shared" si="76"/>
        <v>1.1272996745273932E-4</v>
      </c>
      <c r="K223" s="1"/>
      <c r="L223" s="1">
        <f t="shared" si="77"/>
        <v>-90.54</v>
      </c>
      <c r="M223" s="1"/>
      <c r="N223" s="5">
        <f t="shared" si="78"/>
        <v>-1</v>
      </c>
      <c r="O223" s="13"/>
      <c r="P223" s="1">
        <f>SUM(OSRRefP22_8x_0)</f>
        <v>186.03</v>
      </c>
      <c r="Q223" s="1"/>
      <c r="R223" s="5">
        <f t="shared" si="79"/>
        <v>3.280518600350012E-5</v>
      </c>
      <c r="S223" s="1"/>
      <c r="T223" s="1">
        <f>SUM(OSRRefT22_8x_0)</f>
        <v>1284.58</v>
      </c>
      <c r="U223" s="1"/>
      <c r="V223" s="5">
        <f t="shared" si="80"/>
        <v>1.2483432324625199E-4</v>
      </c>
      <c r="W223" s="1"/>
      <c r="X223" s="1">
        <f t="shared" si="81"/>
        <v>-1098.55</v>
      </c>
      <c r="Y223" s="1"/>
      <c r="Z223" s="5">
        <f t="shared" si="82"/>
        <v>-0.85518223855267872</v>
      </c>
    </row>
    <row r="224" spans="1:26" s="24" customFormat="1" hidden="1" outlineLevel="2" x14ac:dyDescent="0.25">
      <c r="A224" s="26"/>
      <c r="B224" s="11" t="str">
        <f>CONCATENATE("          ", "6277", " - ", "EMPLOYEE APPRECIATION")</f>
        <v xml:space="preserve">          6277 - EMPLOYEE APPRECIATION</v>
      </c>
      <c r="C224" s="11"/>
      <c r="D224" s="6"/>
      <c r="E224" s="2"/>
      <c r="F224" s="7">
        <f t="shared" si="75"/>
        <v>0</v>
      </c>
      <c r="G224" s="2"/>
      <c r="H224" s="6">
        <v>90.54</v>
      </c>
      <c r="I224" s="2"/>
      <c r="J224" s="7">
        <f t="shared" si="76"/>
        <v>1.1272996745273932E-4</v>
      </c>
      <c r="K224" s="2"/>
      <c r="L224" s="6">
        <f t="shared" si="77"/>
        <v>-90.54</v>
      </c>
      <c r="M224" s="2"/>
      <c r="N224" s="7">
        <f t="shared" si="78"/>
        <v>-1</v>
      </c>
      <c r="O224" s="11"/>
      <c r="P224" s="6">
        <v>186.03</v>
      </c>
      <c r="Q224" s="2"/>
      <c r="R224" s="7">
        <f t="shared" si="79"/>
        <v>3.280518600350012E-5</v>
      </c>
      <c r="S224" s="2"/>
      <c r="T224" s="6">
        <v>1284.58</v>
      </c>
      <c r="U224" s="2"/>
      <c r="V224" s="7">
        <f t="shared" si="80"/>
        <v>1.2483432324625199E-4</v>
      </c>
      <c r="W224" s="2"/>
      <c r="X224" s="6">
        <f t="shared" si="81"/>
        <v>-1098.55</v>
      </c>
      <c r="Y224" s="2"/>
      <c r="Z224" s="7">
        <f t="shared" si="82"/>
        <v>-0.85518223855267872</v>
      </c>
    </row>
    <row r="225" spans="1:26" s="25" customFormat="1" outlineLevel="1" collapsed="1" x14ac:dyDescent="0.25">
      <c r="A225" s="27"/>
      <c r="B225" s="13" t="str">
        <f>CONCATENATE("     ","Equipment Rental                                  ")</f>
        <v xml:space="preserve">     Equipment Rental                                  </v>
      </c>
      <c r="C225" s="13"/>
      <c r="D225" s="1">
        <f>SUM(OSRRefD22_9x_0)</f>
        <v>1784.21</v>
      </c>
      <c r="E225" s="1"/>
      <c r="F225" s="5">
        <f t="shared" si="75"/>
        <v>4.5893123483087992E-3</v>
      </c>
      <c r="G225" s="1"/>
      <c r="H225" s="1">
        <f>SUM(OSRRefH22_9x_0)</f>
        <v>1388.16</v>
      </c>
      <c r="I225" s="1"/>
      <c r="J225" s="5">
        <f t="shared" si="76"/>
        <v>1.728376757446373E-3</v>
      </c>
      <c r="K225" s="1"/>
      <c r="L225" s="1">
        <f t="shared" si="77"/>
        <v>396.04999999999995</v>
      </c>
      <c r="M225" s="1"/>
      <c r="N225" s="5">
        <f t="shared" si="78"/>
        <v>0.28530572844628854</v>
      </c>
      <c r="O225" s="13"/>
      <c r="P225" s="1">
        <f>SUM(OSRRefP22_9x_0)</f>
        <v>12149.11</v>
      </c>
      <c r="Q225" s="1"/>
      <c r="R225" s="5">
        <f t="shared" si="79"/>
        <v>2.14241688613118E-3</v>
      </c>
      <c r="S225" s="1"/>
      <c r="T225" s="1">
        <f>SUM(OSRRefT22_9x_0)</f>
        <v>13866.46</v>
      </c>
      <c r="U225" s="1"/>
      <c r="V225" s="5">
        <f t="shared" si="80"/>
        <v>1.3475300486705565E-3</v>
      </c>
      <c r="W225" s="1"/>
      <c r="X225" s="1">
        <f t="shared" si="81"/>
        <v>-1717.3499999999985</v>
      </c>
      <c r="Y225" s="1"/>
      <c r="Z225" s="5">
        <f t="shared" si="82"/>
        <v>-0.12384920159867757</v>
      </c>
    </row>
    <row r="226" spans="1:26" s="24" customFormat="1" hidden="1" outlineLevel="2" x14ac:dyDescent="0.25">
      <c r="A226" s="26"/>
      <c r="B226" s="11" t="str">
        <f>CONCATENATE("          ", "6351", " - ", "EQUIPMENT RENTAL")</f>
        <v xml:space="preserve">          6351 - EQUIPMENT RENTAL</v>
      </c>
      <c r="C226" s="11"/>
      <c r="D226" s="6">
        <v>1784.21</v>
      </c>
      <c r="E226" s="2"/>
      <c r="F226" s="7">
        <f t="shared" si="75"/>
        <v>4.5893123483087992E-3</v>
      </c>
      <c r="G226" s="2"/>
      <c r="H226" s="6">
        <v>1388.16</v>
      </c>
      <c r="I226" s="2"/>
      <c r="J226" s="7">
        <f t="shared" si="76"/>
        <v>1.728376757446373E-3</v>
      </c>
      <c r="K226" s="2"/>
      <c r="L226" s="6">
        <f t="shared" si="77"/>
        <v>396.04999999999995</v>
      </c>
      <c r="M226" s="2"/>
      <c r="N226" s="7">
        <f t="shared" si="78"/>
        <v>0.28530572844628854</v>
      </c>
      <c r="O226" s="11"/>
      <c r="P226" s="6">
        <v>12149.11</v>
      </c>
      <c r="Q226" s="2"/>
      <c r="R226" s="7">
        <f t="shared" si="79"/>
        <v>2.14241688613118E-3</v>
      </c>
      <c r="S226" s="2"/>
      <c r="T226" s="6">
        <v>13866.46</v>
      </c>
      <c r="U226" s="2"/>
      <c r="V226" s="7">
        <f t="shared" si="80"/>
        <v>1.3475300486705565E-3</v>
      </c>
      <c r="W226" s="2"/>
      <c r="X226" s="6">
        <f t="shared" si="81"/>
        <v>-1717.3499999999985</v>
      </c>
      <c r="Y226" s="2"/>
      <c r="Z226" s="7">
        <f t="shared" si="82"/>
        <v>-0.12384920159867757</v>
      </c>
    </row>
    <row r="227" spans="1:26" s="25" customFormat="1" outlineLevel="1" collapsed="1" x14ac:dyDescent="0.25">
      <c r="A227" s="27"/>
      <c r="B227" s="13" t="str">
        <f>CONCATENATE("     ","Freight out/Postage                               ")</f>
        <v xml:space="preserve">     Freight out/Postage                               </v>
      </c>
      <c r="C227" s="13"/>
      <c r="D227" s="1">
        <f>SUM(OSRRefD22_10x_0)</f>
        <v>4253.7100000000028</v>
      </c>
      <c r="E227" s="1"/>
      <c r="F227" s="5">
        <f t="shared" si="75"/>
        <v>1.0941315108156907E-2</v>
      </c>
      <c r="G227" s="1"/>
      <c r="H227" s="1">
        <f>SUM(OSRRefH22_10x_0)</f>
        <v>5427.98</v>
      </c>
      <c r="I227" s="1"/>
      <c r="J227" s="5">
        <f t="shared" si="76"/>
        <v>6.7582947728531025E-3</v>
      </c>
      <c r="K227" s="1"/>
      <c r="L227" s="1">
        <f t="shared" si="77"/>
        <v>-1174.2699999999968</v>
      </c>
      <c r="M227" s="1"/>
      <c r="N227" s="5">
        <f t="shared" si="78"/>
        <v>-0.21633646402529061</v>
      </c>
      <c r="O227" s="13"/>
      <c r="P227" s="1">
        <f>SUM(OSRRefP22_10x_0)</f>
        <v>-31571.570000000007</v>
      </c>
      <c r="Q227" s="1"/>
      <c r="R227" s="5">
        <f t="shared" si="79"/>
        <v>-5.5674419516880324E-3</v>
      </c>
      <c r="S227" s="1"/>
      <c r="T227" s="1">
        <f>SUM(OSRRefT22_10x_0)</f>
        <v>-1188.1100000000079</v>
      </c>
      <c r="U227" s="1"/>
      <c r="V227" s="5">
        <f t="shared" si="80"/>
        <v>-1.1545945584712938E-4</v>
      </c>
      <c r="W227" s="1"/>
      <c r="X227" s="1">
        <f t="shared" si="81"/>
        <v>-30383.46</v>
      </c>
      <c r="Y227" s="1"/>
      <c r="Z227" s="5">
        <f t="shared" si="82"/>
        <v>25.572935165935643</v>
      </c>
    </row>
    <row r="228" spans="1:26" s="24" customFormat="1" hidden="1" outlineLevel="2" x14ac:dyDescent="0.25">
      <c r="A228" s="26"/>
      <c r="B228" s="11" t="str">
        <f>CONCATENATE("          ", "6305", " - ", "FREIGHT OUT")</f>
        <v xml:space="preserve">          6305 - FREIGHT OUT</v>
      </c>
      <c r="C228" s="11"/>
      <c r="D228" s="6">
        <v>26266.240000000002</v>
      </c>
      <c r="E228" s="2"/>
      <c r="F228" s="7">
        <f t="shared" si="75"/>
        <v>6.7561542405682365E-2</v>
      </c>
      <c r="G228" s="2"/>
      <c r="H228" s="6">
        <v>8972.7999999999993</v>
      </c>
      <c r="I228" s="2"/>
      <c r="J228" s="7">
        <f t="shared" si="76"/>
        <v>1.1171895868786605E-2</v>
      </c>
      <c r="K228" s="2"/>
      <c r="L228" s="6">
        <f t="shared" si="77"/>
        <v>17293.440000000002</v>
      </c>
      <c r="M228" s="2"/>
      <c r="N228" s="7">
        <f t="shared" si="78"/>
        <v>1.9273181169757494</v>
      </c>
      <c r="O228" s="11"/>
      <c r="P228" s="6">
        <v>162736.94999999998</v>
      </c>
      <c r="Q228" s="2"/>
      <c r="R228" s="7">
        <f t="shared" si="79"/>
        <v>2.8697607452520018E-2</v>
      </c>
      <c r="S228" s="2"/>
      <c r="T228" s="6">
        <v>46034.52</v>
      </c>
      <c r="U228" s="2"/>
      <c r="V228" s="7">
        <f t="shared" si="80"/>
        <v>4.47359304221306E-3</v>
      </c>
      <c r="W228" s="2"/>
      <c r="X228" s="6">
        <f t="shared" si="81"/>
        <v>116702.43</v>
      </c>
      <c r="Y228" s="2"/>
      <c r="Z228" s="7">
        <f t="shared" si="82"/>
        <v>2.5351069154191248</v>
      </c>
    </row>
    <row r="229" spans="1:26" s="24" customFormat="1" hidden="1" outlineLevel="2" x14ac:dyDescent="0.25">
      <c r="A229" s="26"/>
      <c r="B229" s="11" t="str">
        <f>CONCATENATE("          ", "6307", " - ", "POSTAGE")</f>
        <v xml:space="preserve">          6307 - POSTAGE</v>
      </c>
      <c r="C229" s="11"/>
      <c r="D229" s="6">
        <v>-22012.53</v>
      </c>
      <c r="E229" s="2"/>
      <c r="F229" s="7">
        <f t="shared" si="75"/>
        <v>-5.6620227297525451E-2</v>
      </c>
      <c r="G229" s="2"/>
      <c r="H229" s="6">
        <v>-3544.82</v>
      </c>
      <c r="I229" s="2"/>
      <c r="J229" s="7">
        <f t="shared" si="76"/>
        <v>-4.4136010959335038E-3</v>
      </c>
      <c r="K229" s="2"/>
      <c r="L229" s="6">
        <f t="shared" si="77"/>
        <v>-18467.71</v>
      </c>
      <c r="M229" s="2"/>
      <c r="N229" s="7">
        <f t="shared" si="78"/>
        <v>5.2097736979592755</v>
      </c>
      <c r="O229" s="11"/>
      <c r="P229" s="6">
        <v>-194308.52</v>
      </c>
      <c r="Q229" s="2"/>
      <c r="R229" s="7">
        <f t="shared" si="79"/>
        <v>-3.4265049404208048E-2</v>
      </c>
      <c r="S229" s="2"/>
      <c r="T229" s="6">
        <v>-47222.630000000005</v>
      </c>
      <c r="U229" s="2"/>
      <c r="V229" s="7">
        <f t="shared" si="80"/>
        <v>-4.5890524980601892E-3</v>
      </c>
      <c r="W229" s="2"/>
      <c r="X229" s="6">
        <f t="shared" si="81"/>
        <v>-147085.88999999998</v>
      </c>
      <c r="Y229" s="2"/>
      <c r="Z229" s="7">
        <f t="shared" si="82"/>
        <v>3.1147331268927623</v>
      </c>
    </row>
    <row r="230" spans="1:26" s="25" customFormat="1" outlineLevel="1" collapsed="1" x14ac:dyDescent="0.25">
      <c r="A230" s="27"/>
      <c r="B230" s="13" t="str">
        <f>CONCATENATE("     ","General                                           ")</f>
        <v xml:space="preserve">     General                                           </v>
      </c>
      <c r="C230" s="13"/>
      <c r="D230" s="1">
        <f>SUM(OSRRefD22_11x_0)</f>
        <v>-4.21</v>
      </c>
      <c r="E230" s="1"/>
      <c r="F230" s="5">
        <f t="shared" ref="F230:F244" si="83">IF(D$12=0,0,D230/D$12)</f>
        <v>-1.0828885045134846E-5</v>
      </c>
      <c r="G230" s="1"/>
      <c r="H230" s="1">
        <f>SUM(OSRRefH22_11x_0)</f>
        <v>0</v>
      </c>
      <c r="I230" s="1"/>
      <c r="J230" s="5">
        <f t="shared" ref="J230:J244" si="84">IF(H$12=0,0,H230/H$12)</f>
        <v>0</v>
      </c>
      <c r="K230" s="1"/>
      <c r="L230" s="1">
        <f t="shared" ref="L230:L244" si="85">+D230-H230</f>
        <v>-4.21</v>
      </c>
      <c r="M230" s="1"/>
      <c r="N230" s="5">
        <f t="shared" ref="N230:N244" si="86">IF(H230=0,0,L230/H230)</f>
        <v>0</v>
      </c>
      <c r="O230" s="13"/>
      <c r="P230" s="1">
        <f>SUM(OSRRefP22_11x_0)</f>
        <v>2479.64</v>
      </c>
      <c r="Q230" s="1"/>
      <c r="R230" s="5">
        <f t="shared" ref="R230:R244" si="87">IF(P$12=0,0,P230/P$12)</f>
        <v>4.3726845896747323E-4</v>
      </c>
      <c r="S230" s="1"/>
      <c r="T230" s="1">
        <f>SUM(OSRRefT22_11x_0)</f>
        <v>-1031.5899999999999</v>
      </c>
      <c r="U230" s="1"/>
      <c r="V230" s="5">
        <f t="shared" ref="V230:V244" si="88">IF(T$12=0,0,T230/T$12)</f>
        <v>-1.0024898372822332E-4</v>
      </c>
      <c r="W230" s="1"/>
      <c r="X230" s="1">
        <f t="shared" ref="X230:X244" si="89">+P230-T230</f>
        <v>3511.2299999999996</v>
      </c>
      <c r="Y230" s="1"/>
      <c r="Z230" s="5">
        <f t="shared" ref="Z230:Z244" si="90">IF(T230=0,0,X230/T230)</f>
        <v>-3.4037068990587342</v>
      </c>
    </row>
    <row r="231" spans="1:26" s="24" customFormat="1" hidden="1" outlineLevel="2" x14ac:dyDescent="0.25">
      <c r="A231" s="26"/>
      <c r="B231" s="11" t="str">
        <f>CONCATENATE("          ", "6279", " - ", "GENERAL EXPENSE")</f>
        <v xml:space="preserve">          6279 - GENERAL EXPENSE</v>
      </c>
      <c r="C231" s="11"/>
      <c r="D231" s="6">
        <v>-4.21</v>
      </c>
      <c r="E231" s="2"/>
      <c r="F231" s="7">
        <f t="shared" si="83"/>
        <v>-1.0828885045134846E-5</v>
      </c>
      <c r="G231" s="2"/>
      <c r="H231" s="6"/>
      <c r="I231" s="2"/>
      <c r="J231" s="7">
        <f t="shared" si="84"/>
        <v>0</v>
      </c>
      <c r="K231" s="2"/>
      <c r="L231" s="6">
        <f t="shared" si="85"/>
        <v>-4.21</v>
      </c>
      <c r="M231" s="2"/>
      <c r="N231" s="7">
        <f t="shared" si="86"/>
        <v>0</v>
      </c>
      <c r="O231" s="11"/>
      <c r="P231" s="6">
        <v>2479.64</v>
      </c>
      <c r="Q231" s="2"/>
      <c r="R231" s="7">
        <f t="shared" si="87"/>
        <v>4.3726845896747323E-4</v>
      </c>
      <c r="S231" s="2"/>
      <c r="T231" s="6">
        <v>-1031.5899999999999</v>
      </c>
      <c r="U231" s="2"/>
      <c r="V231" s="7">
        <f t="shared" si="88"/>
        <v>-1.0024898372822332E-4</v>
      </c>
      <c r="W231" s="2"/>
      <c r="X231" s="6">
        <f t="shared" si="89"/>
        <v>3511.2299999999996</v>
      </c>
      <c r="Y231" s="2"/>
      <c r="Z231" s="7">
        <f t="shared" si="90"/>
        <v>-3.4037068990587342</v>
      </c>
    </row>
    <row r="232" spans="1:26" s="25" customFormat="1" outlineLevel="1" collapsed="1" x14ac:dyDescent="0.25">
      <c r="A232" s="27"/>
      <c r="B232" s="13" t="str">
        <f>CONCATENATE("     ","Insurance                                         ")</f>
        <v xml:space="preserve">     Insurance                                         </v>
      </c>
      <c r="C232" s="13"/>
      <c r="D232" s="1">
        <f>SUM(OSRRefD22_12x_0)</f>
        <v>4044.74</v>
      </c>
      <c r="E232" s="1"/>
      <c r="F232" s="5">
        <f t="shared" si="83"/>
        <v>1.0403806293933187E-2</v>
      </c>
      <c r="G232" s="1"/>
      <c r="H232" s="1">
        <f>SUM(OSRRefH22_12x_0)</f>
        <v>4044.74</v>
      </c>
      <c r="I232" s="1"/>
      <c r="J232" s="5">
        <f t="shared" si="84"/>
        <v>5.0360438320608877E-3</v>
      </c>
      <c r="K232" s="1"/>
      <c r="L232" s="1">
        <f t="shared" si="85"/>
        <v>0</v>
      </c>
      <c r="M232" s="1"/>
      <c r="N232" s="5">
        <f t="shared" si="86"/>
        <v>0</v>
      </c>
      <c r="O232" s="13"/>
      <c r="P232" s="1">
        <f>SUM(OSRRefP22_12x_0)</f>
        <v>32357.919999999998</v>
      </c>
      <c r="Q232" s="1"/>
      <c r="R232" s="5">
        <f t="shared" si="87"/>
        <v>5.7061096827736206E-3</v>
      </c>
      <c r="S232" s="1"/>
      <c r="T232" s="1">
        <f>SUM(OSRRefT22_12x_0)</f>
        <v>32357.919999999998</v>
      </c>
      <c r="U232" s="1"/>
      <c r="V232" s="5">
        <f t="shared" si="88"/>
        <v>3.1445134167248151E-3</v>
      </c>
      <c r="W232" s="1"/>
      <c r="X232" s="1">
        <f t="shared" si="89"/>
        <v>0</v>
      </c>
      <c r="Y232" s="1"/>
      <c r="Z232" s="5">
        <f t="shared" si="90"/>
        <v>0</v>
      </c>
    </row>
    <row r="233" spans="1:26" s="24" customFormat="1" hidden="1" outlineLevel="2" x14ac:dyDescent="0.25">
      <c r="A233" s="26"/>
      <c r="B233" s="11" t="str">
        <f>CONCATENATE("          ", "6314", " - ", "LIABILITY INSURANCE")</f>
        <v xml:space="preserve">          6314 - LIABILITY INSURANCE</v>
      </c>
      <c r="C233" s="11"/>
      <c r="D233" s="6">
        <v>4044.74</v>
      </c>
      <c r="E233" s="2"/>
      <c r="F233" s="7">
        <f t="shared" si="83"/>
        <v>1.0403806293933187E-2</v>
      </c>
      <c r="G233" s="2"/>
      <c r="H233" s="6">
        <v>4044.74</v>
      </c>
      <c r="I233" s="2"/>
      <c r="J233" s="7">
        <f t="shared" si="84"/>
        <v>5.0360438320608877E-3</v>
      </c>
      <c r="K233" s="2"/>
      <c r="L233" s="6">
        <f t="shared" si="85"/>
        <v>0</v>
      </c>
      <c r="M233" s="2"/>
      <c r="N233" s="7">
        <f t="shared" si="86"/>
        <v>0</v>
      </c>
      <c r="O233" s="11"/>
      <c r="P233" s="6">
        <v>32357.919999999998</v>
      </c>
      <c r="Q233" s="2"/>
      <c r="R233" s="7">
        <f t="shared" si="87"/>
        <v>5.7061096827736206E-3</v>
      </c>
      <c r="S233" s="2"/>
      <c r="T233" s="6">
        <v>32357.919999999998</v>
      </c>
      <c r="U233" s="2"/>
      <c r="V233" s="7">
        <f t="shared" si="88"/>
        <v>3.1445134167248151E-3</v>
      </c>
      <c r="W233" s="2"/>
      <c r="X233" s="6">
        <f t="shared" si="89"/>
        <v>0</v>
      </c>
      <c r="Y233" s="2"/>
      <c r="Z233" s="7">
        <f t="shared" si="90"/>
        <v>0</v>
      </c>
    </row>
    <row r="234" spans="1:26" s="25" customFormat="1" outlineLevel="1" collapsed="1" x14ac:dyDescent="0.25">
      <c r="A234" s="27"/>
      <c r="B234" s="13" t="str">
        <f>CONCATENATE("     ","Inventory Adjustment                              ")</f>
        <v xml:space="preserve">     Inventory Adjustment                              </v>
      </c>
      <c r="C234" s="13"/>
      <c r="D234" s="1">
        <f>SUM(OSRRefD22_13x_0)</f>
        <v>3350</v>
      </c>
      <c r="E234" s="1"/>
      <c r="F234" s="5">
        <f t="shared" si="83"/>
        <v>8.6168087651310541E-3</v>
      </c>
      <c r="G234" s="1"/>
      <c r="H234" s="1">
        <f>SUM(OSRRefH22_13x_0)</f>
        <v>4250</v>
      </c>
      <c r="I234" s="1"/>
      <c r="J234" s="5">
        <f t="shared" si="84"/>
        <v>5.29160991466912E-3</v>
      </c>
      <c r="K234" s="1"/>
      <c r="L234" s="1">
        <f t="shared" si="85"/>
        <v>-900</v>
      </c>
      <c r="M234" s="1"/>
      <c r="N234" s="5">
        <f t="shared" si="86"/>
        <v>-0.21176470588235294</v>
      </c>
      <c r="O234" s="13"/>
      <c r="P234" s="1">
        <f>SUM(OSRRefP22_13x_0)</f>
        <v>31800</v>
      </c>
      <c r="Q234" s="1"/>
      <c r="R234" s="5">
        <f t="shared" si="87"/>
        <v>5.6077241031624141E-3</v>
      </c>
      <c r="S234" s="1"/>
      <c r="T234" s="1">
        <f>SUM(OSRRefT22_13x_0)</f>
        <v>39700</v>
      </c>
      <c r="U234" s="1"/>
      <c r="V234" s="5">
        <f t="shared" si="88"/>
        <v>3.8580101144936128E-3</v>
      </c>
      <c r="W234" s="1"/>
      <c r="X234" s="1">
        <f t="shared" si="89"/>
        <v>-7900</v>
      </c>
      <c r="Y234" s="1"/>
      <c r="Z234" s="5">
        <f t="shared" si="90"/>
        <v>-0.19899244332493704</v>
      </c>
    </row>
    <row r="235" spans="1:26" s="24" customFormat="1" hidden="1" outlineLevel="2" x14ac:dyDescent="0.25">
      <c r="A235" s="26"/>
      <c r="B235" s="11" t="str">
        <f>CONCATENATE("          ", "6408", " - ", "INVENTORY ADJUSTMENT")</f>
        <v xml:space="preserve">          6408 - INVENTORY ADJUSTMENT</v>
      </c>
      <c r="C235" s="11"/>
      <c r="D235" s="6">
        <v>3350</v>
      </c>
      <c r="E235" s="2"/>
      <c r="F235" s="7">
        <f t="shared" si="83"/>
        <v>8.6168087651310541E-3</v>
      </c>
      <c r="G235" s="2"/>
      <c r="H235" s="6">
        <v>4250</v>
      </c>
      <c r="I235" s="2"/>
      <c r="J235" s="7">
        <f t="shared" si="84"/>
        <v>5.29160991466912E-3</v>
      </c>
      <c r="K235" s="2"/>
      <c r="L235" s="6">
        <f t="shared" si="85"/>
        <v>-900</v>
      </c>
      <c r="M235" s="2"/>
      <c r="N235" s="7">
        <f t="shared" si="86"/>
        <v>-0.21176470588235294</v>
      </c>
      <c r="O235" s="11"/>
      <c r="P235" s="6">
        <v>31800</v>
      </c>
      <c r="Q235" s="2"/>
      <c r="R235" s="7">
        <f t="shared" si="87"/>
        <v>5.6077241031624141E-3</v>
      </c>
      <c r="S235" s="2"/>
      <c r="T235" s="6">
        <v>39700</v>
      </c>
      <c r="U235" s="2"/>
      <c r="V235" s="7">
        <f t="shared" si="88"/>
        <v>3.8580101144936128E-3</v>
      </c>
      <c r="W235" s="2"/>
      <c r="X235" s="6">
        <f t="shared" si="89"/>
        <v>-7900</v>
      </c>
      <c r="Y235" s="2"/>
      <c r="Z235" s="7">
        <f t="shared" si="90"/>
        <v>-0.19899244332493704</v>
      </c>
    </row>
    <row r="236" spans="1:26" s="25" customFormat="1" outlineLevel="1" collapsed="1" x14ac:dyDescent="0.25">
      <c r="A236" s="27"/>
      <c r="B236" s="13" t="str">
        <f>CONCATENATE("     ","Professional Services                             ")</f>
        <v xml:space="preserve">     Professional Services                             </v>
      </c>
      <c r="C236" s="13"/>
      <c r="D236" s="1">
        <f>SUM(OSRRefD22_14x_0)</f>
        <v>0</v>
      </c>
      <c r="E236" s="1"/>
      <c r="F236" s="5">
        <f t="shared" si="83"/>
        <v>0</v>
      </c>
      <c r="G236" s="1"/>
      <c r="H236" s="1">
        <f>SUM(OSRRefH22_14x_0)</f>
        <v>0</v>
      </c>
      <c r="I236" s="1"/>
      <c r="J236" s="5">
        <f t="shared" si="84"/>
        <v>0</v>
      </c>
      <c r="K236" s="1"/>
      <c r="L236" s="1">
        <f t="shared" si="85"/>
        <v>0</v>
      </c>
      <c r="M236" s="1"/>
      <c r="N236" s="5">
        <f t="shared" si="86"/>
        <v>0</v>
      </c>
      <c r="O236" s="13"/>
      <c r="P236" s="1">
        <f>SUM(OSRRefP22_14x_0)</f>
        <v>0</v>
      </c>
      <c r="Q236" s="1"/>
      <c r="R236" s="5">
        <f t="shared" si="87"/>
        <v>0</v>
      </c>
      <c r="S236" s="1"/>
      <c r="T236" s="1">
        <f>SUM(OSRRefT22_14x_0)</f>
        <v>6199.56</v>
      </c>
      <c r="U236" s="1"/>
      <c r="V236" s="5">
        <f t="shared" si="88"/>
        <v>6.0246763691209129E-4</v>
      </c>
      <c r="W236" s="1"/>
      <c r="X236" s="1">
        <f t="shared" si="89"/>
        <v>-6199.56</v>
      </c>
      <c r="Y236" s="1"/>
      <c r="Z236" s="5">
        <f t="shared" si="90"/>
        <v>-1</v>
      </c>
    </row>
    <row r="237" spans="1:26" s="24" customFormat="1" hidden="1" outlineLevel="2" x14ac:dyDescent="0.25">
      <c r="A237" s="26"/>
      <c r="B237" s="11" t="str">
        <f>CONCATENATE("          ", "6336", " - ", "PROFESSIONAL SERVICES")</f>
        <v xml:space="preserve">          6336 - PROFESSIONAL SERVICES</v>
      </c>
      <c r="C237" s="11"/>
      <c r="D237" s="6"/>
      <c r="E237" s="2"/>
      <c r="F237" s="7">
        <f t="shared" si="83"/>
        <v>0</v>
      </c>
      <c r="G237" s="2"/>
      <c r="H237" s="6"/>
      <c r="I237" s="2"/>
      <c r="J237" s="7">
        <f t="shared" si="84"/>
        <v>0</v>
      </c>
      <c r="K237" s="2"/>
      <c r="L237" s="6">
        <f t="shared" si="85"/>
        <v>0</v>
      </c>
      <c r="M237" s="2"/>
      <c r="N237" s="7">
        <f t="shared" si="86"/>
        <v>0</v>
      </c>
      <c r="O237" s="11"/>
      <c r="P237" s="6"/>
      <c r="Q237" s="2"/>
      <c r="R237" s="7">
        <f t="shared" si="87"/>
        <v>0</v>
      </c>
      <c r="S237" s="2"/>
      <c r="T237" s="6">
        <v>6199.56</v>
      </c>
      <c r="U237" s="2"/>
      <c r="V237" s="7">
        <f t="shared" si="88"/>
        <v>6.0246763691209129E-4</v>
      </c>
      <c r="W237" s="2"/>
      <c r="X237" s="6">
        <f t="shared" si="89"/>
        <v>-6199.56</v>
      </c>
      <c r="Y237" s="2"/>
      <c r="Z237" s="7">
        <f t="shared" si="90"/>
        <v>-1</v>
      </c>
    </row>
    <row r="238" spans="1:26" s="25" customFormat="1" outlineLevel="1" collapsed="1" x14ac:dyDescent="0.25">
      <c r="A238" s="27"/>
      <c r="B238" s="13" t="str">
        <f>CONCATENATE("     ","Rent                                              ")</f>
        <v xml:space="preserve">     Rent                                              </v>
      </c>
      <c r="C238" s="13"/>
      <c r="D238" s="1">
        <f>SUM(OSRRefD22_15x_0)</f>
        <v>6100</v>
      </c>
      <c r="E238" s="1"/>
      <c r="F238" s="5">
        <f t="shared" si="83"/>
        <v>1.5690308497701321E-2</v>
      </c>
      <c r="G238" s="1"/>
      <c r="H238" s="1">
        <f>SUM(OSRRefH22_15x_0)</f>
        <v>6100</v>
      </c>
      <c r="I238" s="1"/>
      <c r="J238" s="5">
        <f t="shared" si="84"/>
        <v>7.5950165834074426E-3</v>
      </c>
      <c r="K238" s="1"/>
      <c r="L238" s="1">
        <f t="shared" si="85"/>
        <v>0</v>
      </c>
      <c r="M238" s="1"/>
      <c r="N238" s="5">
        <f t="shared" si="86"/>
        <v>0</v>
      </c>
      <c r="O238" s="13"/>
      <c r="P238" s="1">
        <f>SUM(OSRRefP22_15x_0)</f>
        <v>48800</v>
      </c>
      <c r="Q238" s="1"/>
      <c r="R238" s="5">
        <f t="shared" si="87"/>
        <v>8.6055640325259693E-3</v>
      </c>
      <c r="S238" s="1"/>
      <c r="T238" s="1">
        <f>SUM(OSRRefT22_15x_0)</f>
        <v>50400</v>
      </c>
      <c r="U238" s="1"/>
      <c r="V238" s="5">
        <f t="shared" si="88"/>
        <v>4.897826442581312E-3</v>
      </c>
      <c r="W238" s="1"/>
      <c r="X238" s="1">
        <f t="shared" si="89"/>
        <v>-1600</v>
      </c>
      <c r="Y238" s="1"/>
      <c r="Z238" s="5">
        <f t="shared" si="90"/>
        <v>-3.1746031746031744E-2</v>
      </c>
    </row>
    <row r="239" spans="1:26" s="24" customFormat="1" hidden="1" outlineLevel="2" x14ac:dyDescent="0.25">
      <c r="A239" s="26"/>
      <c r="B239" s="11" t="str">
        <f>CONCATENATE("          ", "6273", " - ", "RENT")</f>
        <v xml:space="preserve">          6273 - RENT</v>
      </c>
      <c r="C239" s="11"/>
      <c r="D239" s="6">
        <v>6100</v>
      </c>
      <c r="E239" s="2"/>
      <c r="F239" s="7">
        <f t="shared" si="83"/>
        <v>1.5690308497701321E-2</v>
      </c>
      <c r="G239" s="2"/>
      <c r="H239" s="6">
        <v>6100</v>
      </c>
      <c r="I239" s="2"/>
      <c r="J239" s="7">
        <f t="shared" si="84"/>
        <v>7.5950165834074426E-3</v>
      </c>
      <c r="K239" s="2"/>
      <c r="L239" s="6">
        <f t="shared" si="85"/>
        <v>0</v>
      </c>
      <c r="M239" s="2"/>
      <c r="N239" s="7">
        <f t="shared" si="86"/>
        <v>0</v>
      </c>
      <c r="O239" s="11"/>
      <c r="P239" s="6">
        <v>48800</v>
      </c>
      <c r="Q239" s="2"/>
      <c r="R239" s="7">
        <f t="shared" si="87"/>
        <v>8.6055640325259693E-3</v>
      </c>
      <c r="S239" s="2"/>
      <c r="T239" s="6">
        <v>50400</v>
      </c>
      <c r="U239" s="2"/>
      <c r="V239" s="7">
        <f t="shared" si="88"/>
        <v>4.897826442581312E-3</v>
      </c>
      <c r="W239" s="2"/>
      <c r="X239" s="6">
        <f t="shared" si="89"/>
        <v>-1600</v>
      </c>
      <c r="Y239" s="2"/>
      <c r="Z239" s="7">
        <f t="shared" si="90"/>
        <v>-3.1746031746031744E-2</v>
      </c>
    </row>
    <row r="240" spans="1:26" s="25" customFormat="1" outlineLevel="1" collapsed="1" x14ac:dyDescent="0.25">
      <c r="A240" s="27"/>
      <c r="B240" s="13" t="str">
        <f>CONCATENATE("     ","Repair and Maintenance                            ")</f>
        <v xml:space="preserve">     Repair and Maintenance                            </v>
      </c>
      <c r="C240" s="13"/>
      <c r="D240" s="1">
        <f>SUM(OSRRefD22_16x_0)</f>
        <v>16129.08</v>
      </c>
      <c r="E240" s="1"/>
      <c r="F240" s="5">
        <f t="shared" si="83"/>
        <v>4.1486924751492529E-2</v>
      </c>
      <c r="G240" s="1"/>
      <c r="H240" s="1">
        <f>SUM(OSRRefH22_16x_0)</f>
        <v>6641.84</v>
      </c>
      <c r="I240" s="1"/>
      <c r="J240" s="5">
        <f t="shared" si="84"/>
        <v>8.2696532695637516E-3</v>
      </c>
      <c r="K240" s="1"/>
      <c r="L240" s="1">
        <f t="shared" si="85"/>
        <v>9487.24</v>
      </c>
      <c r="M240" s="1"/>
      <c r="N240" s="5">
        <f t="shared" si="86"/>
        <v>1.4284053816412319</v>
      </c>
      <c r="O240" s="13"/>
      <c r="P240" s="1">
        <f>SUM(OSRRefP22_16x_0)</f>
        <v>128956.4</v>
      </c>
      <c r="Q240" s="1"/>
      <c r="R240" s="5">
        <f t="shared" si="87"/>
        <v>2.2740626180410489E-2</v>
      </c>
      <c r="S240" s="1"/>
      <c r="T240" s="1">
        <f>SUM(OSRRefT22_16x_0)</f>
        <v>108352.8</v>
      </c>
      <c r="U240" s="1"/>
      <c r="V240" s="5">
        <f t="shared" si="88"/>
        <v>1.0529627162058023E-2</v>
      </c>
      <c r="W240" s="1"/>
      <c r="X240" s="1">
        <f t="shared" si="89"/>
        <v>20603.599999999991</v>
      </c>
      <c r="Y240" s="1"/>
      <c r="Z240" s="5">
        <f t="shared" si="90"/>
        <v>0.19015290790824041</v>
      </c>
    </row>
    <row r="241" spans="1:26" s="24" customFormat="1" hidden="1" outlineLevel="2" x14ac:dyDescent="0.25">
      <c r="A241" s="26"/>
      <c r="B241" s="11" t="str">
        <f>CONCATENATE("          ", "6371", " - ", "COMPUTER SOFTWARE MAINTENANCE")</f>
        <v xml:space="preserve">          6371 - COMPUTER SOFTWARE MAINTENANCE</v>
      </c>
      <c r="C241" s="11"/>
      <c r="D241" s="6">
        <v>1331.25</v>
      </c>
      <c r="E241" s="2"/>
      <c r="F241" s="7">
        <f t="shared" si="83"/>
        <v>3.4242169159942435E-3</v>
      </c>
      <c r="G241" s="2"/>
      <c r="H241" s="6">
        <v>601</v>
      </c>
      <c r="I241" s="2"/>
      <c r="J241" s="7">
        <f t="shared" si="84"/>
        <v>7.4829589616850372E-4</v>
      </c>
      <c r="K241" s="2"/>
      <c r="L241" s="6">
        <f t="shared" si="85"/>
        <v>730.25</v>
      </c>
      <c r="M241" s="2"/>
      <c r="N241" s="7">
        <f t="shared" si="86"/>
        <v>1.2150582362728786</v>
      </c>
      <c r="O241" s="11"/>
      <c r="P241" s="6">
        <v>59767.719999999994</v>
      </c>
      <c r="Q241" s="2"/>
      <c r="R241" s="7">
        <f t="shared" si="87"/>
        <v>1.0539650441354159E-2</v>
      </c>
      <c r="S241" s="2"/>
      <c r="T241" s="6">
        <v>15155.4</v>
      </c>
      <c r="U241" s="2"/>
      <c r="V241" s="7">
        <f t="shared" si="88"/>
        <v>1.4727880727757304E-3</v>
      </c>
      <c r="W241" s="2"/>
      <c r="X241" s="6">
        <f t="shared" si="89"/>
        <v>44612.319999999992</v>
      </c>
      <c r="Y241" s="2"/>
      <c r="Z241" s="7">
        <f t="shared" si="90"/>
        <v>2.9436583659949584</v>
      </c>
    </row>
    <row r="242" spans="1:26" s="24" customFormat="1" hidden="1" outlineLevel="2" x14ac:dyDescent="0.25">
      <c r="A242" s="26"/>
      <c r="B242" s="11" t="str">
        <f>CONCATENATE("          ", "6372", " - ", "COMPUTER HARDWARE MAINTENANCE")</f>
        <v xml:space="preserve">          6372 - COMPUTER HARDWARE MAINTENANCE</v>
      </c>
      <c r="C242" s="11"/>
      <c r="D242" s="6">
        <v>-1.1499999999999999</v>
      </c>
      <c r="E242" s="2"/>
      <c r="F242" s="7">
        <f t="shared" si="83"/>
        <v>-2.9580089790748391E-6</v>
      </c>
      <c r="G242" s="2"/>
      <c r="H242" s="6"/>
      <c r="I242" s="2"/>
      <c r="J242" s="7">
        <f t="shared" si="84"/>
        <v>0</v>
      </c>
      <c r="K242" s="2"/>
      <c r="L242" s="6">
        <f t="shared" si="85"/>
        <v>-1.1499999999999999</v>
      </c>
      <c r="M242" s="2"/>
      <c r="N242" s="7">
        <f t="shared" si="86"/>
        <v>0</v>
      </c>
      <c r="O242" s="11"/>
      <c r="P242" s="6">
        <v>-1.1499999999999999</v>
      </c>
      <c r="Q242" s="2"/>
      <c r="R242" s="7">
        <f t="shared" si="87"/>
        <v>-2.0279505404518163E-7</v>
      </c>
      <c r="S242" s="2"/>
      <c r="T242" s="6">
        <v>52.32</v>
      </c>
      <c r="U242" s="2"/>
      <c r="V242" s="7">
        <f t="shared" si="88"/>
        <v>5.0844103070605995E-6</v>
      </c>
      <c r="W242" s="2"/>
      <c r="X242" s="6">
        <f t="shared" si="89"/>
        <v>-53.47</v>
      </c>
      <c r="Y242" s="2"/>
      <c r="Z242" s="7">
        <f t="shared" si="90"/>
        <v>-1.0219801223241589</v>
      </c>
    </row>
    <row r="243" spans="1:26" s="24" customFormat="1" hidden="1" outlineLevel="2" x14ac:dyDescent="0.25">
      <c r="A243" s="26"/>
      <c r="B243" s="11" t="str">
        <f>CONCATENATE("          ", "6373", " - ", "MAINTENANCE CONTRACTS")</f>
        <v xml:space="preserve">          6373 - MAINTENANCE CONTRACTS</v>
      </c>
      <c r="C243" s="11"/>
      <c r="D243" s="6">
        <v>3372.5</v>
      </c>
      <c r="E243" s="2"/>
      <c r="F243" s="7">
        <f t="shared" si="83"/>
        <v>8.6746828538520841E-3</v>
      </c>
      <c r="G243" s="2"/>
      <c r="H243" s="6">
        <v>4914.58</v>
      </c>
      <c r="I243" s="2"/>
      <c r="J243" s="7">
        <f t="shared" si="84"/>
        <v>6.1190682951610736E-3</v>
      </c>
      <c r="K243" s="2"/>
      <c r="L243" s="6">
        <f t="shared" si="85"/>
        <v>-1542.08</v>
      </c>
      <c r="M243" s="2"/>
      <c r="N243" s="7">
        <f t="shared" si="86"/>
        <v>-0.31377655872933191</v>
      </c>
      <c r="O243" s="11"/>
      <c r="P243" s="6">
        <v>43426.68</v>
      </c>
      <c r="Q243" s="2"/>
      <c r="R243" s="7">
        <f t="shared" si="87"/>
        <v>7.6580138413937472E-3</v>
      </c>
      <c r="S243" s="2"/>
      <c r="T243" s="6">
        <v>57454.080000000002</v>
      </c>
      <c r="U243" s="2"/>
      <c r="V243" s="7">
        <f t="shared" si="88"/>
        <v>5.5833355606782166E-3</v>
      </c>
      <c r="W243" s="2"/>
      <c r="X243" s="6">
        <f t="shared" si="89"/>
        <v>-14027.400000000001</v>
      </c>
      <c r="Y243" s="2"/>
      <c r="Z243" s="7">
        <f t="shared" si="90"/>
        <v>-0.24414976273225505</v>
      </c>
    </row>
    <row r="244" spans="1:26" s="24" customFormat="1" hidden="1" outlineLevel="2" x14ac:dyDescent="0.25">
      <c r="A244" s="26"/>
      <c r="B244" s="11" t="str">
        <f>CONCATENATE("          ", "6375", " - ", "OUTSIDE REPAIRS &amp; MAINTENANCE")</f>
        <v xml:space="preserve">          6375 - OUTSIDE REPAIRS &amp; MAINTENANCE</v>
      </c>
      <c r="C244" s="11"/>
      <c r="D244" s="6">
        <v>11426.48</v>
      </c>
      <c r="E244" s="2"/>
      <c r="F244" s="7">
        <f t="shared" si="83"/>
        <v>2.9390982990625279E-2</v>
      </c>
      <c r="G244" s="2"/>
      <c r="H244" s="6">
        <v>1126.26</v>
      </c>
      <c r="I244" s="2"/>
      <c r="J244" s="7">
        <f t="shared" si="84"/>
        <v>1.4022890782341747E-3</v>
      </c>
      <c r="K244" s="2"/>
      <c r="L244" s="6">
        <f t="shared" si="85"/>
        <v>10300.219999999999</v>
      </c>
      <c r="M244" s="2"/>
      <c r="N244" s="7">
        <f t="shared" si="86"/>
        <v>9.1455081419920798</v>
      </c>
      <c r="O244" s="11"/>
      <c r="P244" s="6">
        <v>25763.15</v>
      </c>
      <c r="Q244" s="2"/>
      <c r="R244" s="7">
        <f t="shared" si="87"/>
        <v>4.5431646927166277E-3</v>
      </c>
      <c r="S244" s="2"/>
      <c r="T244" s="6">
        <v>35691</v>
      </c>
      <c r="U244" s="2"/>
      <c r="V244" s="7">
        <f t="shared" si="88"/>
        <v>3.4684191182970158E-3</v>
      </c>
      <c r="W244" s="2"/>
      <c r="X244" s="6">
        <f t="shared" si="89"/>
        <v>-9927.8499999999985</v>
      </c>
      <c r="Y244" s="2"/>
      <c r="Z244" s="7">
        <f t="shared" si="90"/>
        <v>-0.27816116107702216</v>
      </c>
    </row>
    <row r="245" spans="1:26" s="25" customFormat="1" outlineLevel="1" collapsed="1" x14ac:dyDescent="0.25">
      <c r="A245" s="27"/>
      <c r="B245" s="13" t="str">
        <f>CONCATENATE("     ","Royalty &amp; Commissions                             ")</f>
        <v xml:space="preserve">     Royalty &amp; Commissions                             </v>
      </c>
      <c r="C245" s="13"/>
      <c r="D245" s="1">
        <f>SUM(OSRRefD22_17x_0)</f>
        <v>468.34</v>
      </c>
      <c r="E245" s="1"/>
      <c r="F245" s="5">
        <f t="shared" ref="F245:F248" si="91">IF(D$12=0,0,D245/D$12)</f>
        <v>1.2046555871825307E-3</v>
      </c>
      <c r="G245" s="1"/>
      <c r="H245" s="1">
        <f>SUM(OSRRefH22_17x_0)</f>
        <v>24310.91</v>
      </c>
      <c r="I245" s="1"/>
      <c r="J245" s="5">
        <f t="shared" ref="J245:J248" si="92">IF(H$12=0,0,H245/H$12)</f>
        <v>3.0269141738971446E-2</v>
      </c>
      <c r="K245" s="1"/>
      <c r="L245" s="1">
        <f t="shared" ref="L245:L248" si="93">+D245-H245</f>
        <v>-23842.57</v>
      </c>
      <c r="M245" s="1"/>
      <c r="N245" s="5">
        <f t="shared" ref="N245:N248" si="94">IF(H245=0,0,L245/H245)</f>
        <v>-0.98073539822244415</v>
      </c>
      <c r="O245" s="13"/>
      <c r="P245" s="1">
        <f>SUM(OSRRefP22_17x_0)</f>
        <v>36833.990000000005</v>
      </c>
      <c r="Q245" s="1"/>
      <c r="R245" s="5">
        <f t="shared" ref="R245:R248" si="95">IF(P$12=0,0,P245/P$12)</f>
        <v>6.4954356458692885E-3</v>
      </c>
      <c r="S245" s="1"/>
      <c r="T245" s="1">
        <f>SUM(OSRRefT22_17x_0)</f>
        <v>96403.07</v>
      </c>
      <c r="U245" s="1"/>
      <c r="V245" s="5">
        <f t="shared" ref="V245:V248" si="96">IF(T$12=0,0,T245/T$12)</f>
        <v>9.3683632022225644E-3</v>
      </c>
      <c r="W245" s="1"/>
      <c r="X245" s="1">
        <f t="shared" ref="X245:X248" si="97">+P245-T245</f>
        <v>-59569.08</v>
      </c>
      <c r="Y245" s="1"/>
      <c r="Z245" s="5">
        <f t="shared" ref="Z245:Z248" si="98">IF(T245=0,0,X245/T245)</f>
        <v>-0.61791683605096803</v>
      </c>
    </row>
    <row r="246" spans="1:26" s="24" customFormat="1" hidden="1" outlineLevel="2" x14ac:dyDescent="0.25">
      <c r="A246" s="26"/>
      <c r="B246" s="11" t="str">
        <f>CONCATENATE("          ", "6253", " - ", "ROYALTY DUE ATHLETICS-LRG")</f>
        <v xml:space="preserve">          6253 - ROYALTY DUE ATHLETICS-LRG</v>
      </c>
      <c r="C246" s="11"/>
      <c r="D246" s="6"/>
      <c r="E246" s="2"/>
      <c r="F246" s="7">
        <f t="shared" si="91"/>
        <v>0</v>
      </c>
      <c r="G246" s="2"/>
      <c r="H246" s="6">
        <v>12278.49</v>
      </c>
      <c r="I246" s="2"/>
      <c r="J246" s="7">
        <f t="shared" si="92"/>
        <v>1.5287759863803679E-2</v>
      </c>
      <c r="K246" s="2"/>
      <c r="L246" s="6">
        <f t="shared" si="93"/>
        <v>-12278.49</v>
      </c>
      <c r="M246" s="2"/>
      <c r="N246" s="7">
        <f t="shared" si="94"/>
        <v>-1</v>
      </c>
      <c r="O246" s="11"/>
      <c r="P246" s="6">
        <v>26197.58</v>
      </c>
      <c r="Q246" s="2"/>
      <c r="R246" s="7">
        <f t="shared" si="95"/>
        <v>4.6197736103938871E-3</v>
      </c>
      <c r="S246" s="2"/>
      <c r="T246" s="6">
        <v>16645.439999999999</v>
      </c>
      <c r="U246" s="2"/>
      <c r="V246" s="7">
        <f t="shared" si="96"/>
        <v>1.6175888131031877E-3</v>
      </c>
      <c r="W246" s="2"/>
      <c r="X246" s="6">
        <f t="shared" si="97"/>
        <v>9552.1400000000031</v>
      </c>
      <c r="Y246" s="2"/>
      <c r="Z246" s="7">
        <f t="shared" si="98"/>
        <v>0.57385926716265856</v>
      </c>
    </row>
    <row r="247" spans="1:26" s="24" customFormat="1" hidden="1" outlineLevel="2" x14ac:dyDescent="0.25">
      <c r="A247" s="26"/>
      <c r="B247" s="11" t="str">
        <f>CONCATENATE("          ", "6254", " - ", "ROYALTY &amp; COMMISSIONS")</f>
        <v xml:space="preserve">          6254 - ROYALTY &amp; COMMISSIONS</v>
      </c>
      <c r="C247" s="11"/>
      <c r="D247" s="6"/>
      <c r="E247" s="2"/>
      <c r="F247" s="7">
        <f t="shared" si="91"/>
        <v>0</v>
      </c>
      <c r="G247" s="2"/>
      <c r="H247" s="6">
        <v>3471.1</v>
      </c>
      <c r="I247" s="2"/>
      <c r="J247" s="7">
        <f t="shared" si="92"/>
        <v>4.3218134528959957E-3</v>
      </c>
      <c r="K247" s="2"/>
      <c r="L247" s="6">
        <f t="shared" si="93"/>
        <v>-3471.1</v>
      </c>
      <c r="M247" s="2"/>
      <c r="N247" s="7">
        <f t="shared" si="94"/>
        <v>-1</v>
      </c>
      <c r="O247" s="11"/>
      <c r="P247" s="6"/>
      <c r="Q247" s="2"/>
      <c r="R247" s="7">
        <f t="shared" si="95"/>
        <v>0</v>
      </c>
      <c r="S247" s="2"/>
      <c r="T247" s="6">
        <v>6795.75</v>
      </c>
      <c r="U247" s="2"/>
      <c r="V247" s="7">
        <f t="shared" si="96"/>
        <v>6.604048422057927E-4</v>
      </c>
      <c r="W247" s="2"/>
      <c r="X247" s="6">
        <f t="shared" si="97"/>
        <v>-6795.75</v>
      </c>
      <c r="Y247" s="2"/>
      <c r="Z247" s="7">
        <f t="shared" si="98"/>
        <v>-1</v>
      </c>
    </row>
    <row r="248" spans="1:26" s="24" customFormat="1" hidden="1" outlineLevel="2" x14ac:dyDescent="0.25">
      <c r="A248" s="26"/>
      <c r="B248" s="11" t="str">
        <f>CONCATENATE("          ", "6259", " - ", "ROYALTY &amp; COMMISSIONS")</f>
        <v xml:space="preserve">          6259 - ROYALTY &amp; COMMISSIONS</v>
      </c>
      <c r="C248" s="11"/>
      <c r="D248" s="6">
        <v>468.34</v>
      </c>
      <c r="E248" s="2"/>
      <c r="F248" s="7">
        <f t="shared" si="91"/>
        <v>1.2046555871825307E-3</v>
      </c>
      <c r="G248" s="2"/>
      <c r="H248" s="6">
        <v>8561.32</v>
      </c>
      <c r="I248" s="2"/>
      <c r="J248" s="7">
        <f t="shared" si="92"/>
        <v>1.0659568422271771E-2</v>
      </c>
      <c r="K248" s="2"/>
      <c r="L248" s="6">
        <f t="shared" si="93"/>
        <v>-8092.98</v>
      </c>
      <c r="M248" s="2"/>
      <c r="N248" s="7">
        <f t="shared" si="94"/>
        <v>-0.9452958188690529</v>
      </c>
      <c r="O248" s="11"/>
      <c r="P248" s="6">
        <v>10636.41</v>
      </c>
      <c r="Q248" s="2"/>
      <c r="R248" s="7">
        <f t="shared" si="95"/>
        <v>1.8756620354754003E-3</v>
      </c>
      <c r="S248" s="2"/>
      <c r="T248" s="6">
        <v>72961.88</v>
      </c>
      <c r="U248" s="2"/>
      <c r="V248" s="7">
        <f t="shared" si="96"/>
        <v>7.090369546913583E-3</v>
      </c>
      <c r="W248" s="2"/>
      <c r="X248" s="6">
        <f t="shared" si="97"/>
        <v>-62325.47</v>
      </c>
      <c r="Y248" s="2"/>
      <c r="Z248" s="7">
        <f t="shared" si="98"/>
        <v>-0.85421962811265273</v>
      </c>
    </row>
    <row r="249" spans="1:26" s="25" customFormat="1" outlineLevel="1" collapsed="1" x14ac:dyDescent="0.25">
      <c r="A249" s="27"/>
      <c r="B249" s="13" t="str">
        <f>CONCATENATE("     ","Services                                          ")</f>
        <v xml:space="preserve">     Services                                          </v>
      </c>
      <c r="C249" s="13"/>
      <c r="D249" s="1">
        <f>SUM(OSRRefD22_18x_0)</f>
        <v>3932.57</v>
      </c>
      <c r="E249" s="1"/>
      <c r="F249" s="5">
        <f t="shared" ref="F249:F253" si="99">IF(D$12=0,0,D249/D$12)</f>
        <v>1.0115284670295949E-2</v>
      </c>
      <c r="G249" s="1"/>
      <c r="H249" s="1">
        <f>SUM(OSRRefH22_18x_0)</f>
        <v>4769.88</v>
      </c>
      <c r="I249" s="1"/>
      <c r="J249" s="5">
        <f t="shared" ref="J249:J253" si="100">IF(H$12=0,0,H249/H$12)</f>
        <v>5.938904541125163E-3</v>
      </c>
      <c r="K249" s="1"/>
      <c r="L249" s="1">
        <f t="shared" ref="L249:L253" si="101">+D249-H249</f>
        <v>-837.31</v>
      </c>
      <c r="M249" s="1"/>
      <c r="N249" s="5">
        <f t="shared" ref="N249:N253" si="102">IF(H249=0,0,L249/H249)</f>
        <v>-0.17554110375942369</v>
      </c>
      <c r="O249" s="13"/>
      <c r="P249" s="1">
        <f>SUM(OSRRefP22_18x_0)</f>
        <v>28661.89</v>
      </c>
      <c r="Q249" s="1"/>
      <c r="R249" s="5">
        <f t="shared" ref="R249:R253" si="103">IF(P$12=0,0,P249/P$12)</f>
        <v>5.054338723119175E-3</v>
      </c>
      <c r="S249" s="1"/>
      <c r="T249" s="1">
        <f>SUM(OSRRefT22_18x_0)</f>
        <v>37020.06</v>
      </c>
      <c r="U249" s="1"/>
      <c r="V249" s="5">
        <f t="shared" ref="V249:V253" si="104">IF(T$12=0,0,T249/T$12)</f>
        <v>3.5975759677370376E-3</v>
      </c>
      <c r="W249" s="1"/>
      <c r="X249" s="1">
        <f t="shared" ref="X249:X253" si="105">+P249-T249</f>
        <v>-8358.1699999999983</v>
      </c>
      <c r="Y249" s="1"/>
      <c r="Z249" s="5">
        <f t="shared" ref="Z249:Z253" si="106">IF(T249=0,0,X249/T249)</f>
        <v>-0.22577408032293839</v>
      </c>
    </row>
    <row r="250" spans="1:26" s="24" customFormat="1" hidden="1" outlineLevel="2" x14ac:dyDescent="0.25">
      <c r="A250" s="26"/>
      <c r="B250" s="11" t="str">
        <f>CONCATENATE("          ", "6282", " - ", "JANITORIAL/EXTERMINATOR EXPENS")</f>
        <v xml:space="preserve">          6282 - JANITORIAL/EXTERMINATOR EXPENS</v>
      </c>
      <c r="C250" s="11"/>
      <c r="D250" s="6"/>
      <c r="E250" s="2"/>
      <c r="F250" s="7">
        <f t="shared" si="99"/>
        <v>0</v>
      </c>
      <c r="G250" s="2"/>
      <c r="H250" s="6">
        <v>266.5</v>
      </c>
      <c r="I250" s="2"/>
      <c r="J250" s="7">
        <f t="shared" si="100"/>
        <v>3.3181506876689892E-4</v>
      </c>
      <c r="K250" s="2"/>
      <c r="L250" s="6">
        <f t="shared" si="101"/>
        <v>-266.5</v>
      </c>
      <c r="M250" s="2"/>
      <c r="N250" s="7">
        <f t="shared" si="102"/>
        <v>-1</v>
      </c>
      <c r="O250" s="11"/>
      <c r="P250" s="6">
        <v>6953.12</v>
      </c>
      <c r="Q250" s="2"/>
      <c r="R250" s="7">
        <f t="shared" si="103"/>
        <v>1.2261376923327248E-3</v>
      </c>
      <c r="S250" s="2"/>
      <c r="T250" s="6">
        <v>2153.02</v>
      </c>
      <c r="U250" s="2"/>
      <c r="V250" s="7">
        <f t="shared" si="104"/>
        <v>2.0922853744853999E-4</v>
      </c>
      <c r="W250" s="2"/>
      <c r="X250" s="6">
        <f t="shared" si="105"/>
        <v>4800.1000000000004</v>
      </c>
      <c r="Y250" s="2"/>
      <c r="Z250" s="7">
        <f t="shared" si="106"/>
        <v>2.2294730192938292</v>
      </c>
    </row>
    <row r="251" spans="1:26" s="24" customFormat="1" hidden="1" outlineLevel="2" x14ac:dyDescent="0.25">
      <c r="A251" s="26"/>
      <c r="B251" s="11" t="str">
        <f>CONCATENATE("          ", "6283", " - ", "PLANT SERVICE")</f>
        <v xml:space="preserve">          6283 - PLANT SERVICE</v>
      </c>
      <c r="C251" s="11"/>
      <c r="D251" s="6"/>
      <c r="E251" s="2"/>
      <c r="F251" s="7">
        <f t="shared" si="99"/>
        <v>0</v>
      </c>
      <c r="G251" s="2"/>
      <c r="H251" s="6"/>
      <c r="I251" s="2"/>
      <c r="J251" s="7">
        <f t="shared" si="100"/>
        <v>0</v>
      </c>
      <c r="K251" s="2"/>
      <c r="L251" s="6">
        <f t="shared" si="101"/>
        <v>0</v>
      </c>
      <c r="M251" s="2"/>
      <c r="N251" s="7">
        <f t="shared" si="102"/>
        <v>0</v>
      </c>
      <c r="O251" s="11"/>
      <c r="P251" s="6">
        <v>171.31</v>
      </c>
      <c r="Q251" s="2"/>
      <c r="R251" s="7">
        <f t="shared" si="103"/>
        <v>3.02094093117218E-5</v>
      </c>
      <c r="S251" s="2"/>
      <c r="T251" s="6">
        <v>541.98</v>
      </c>
      <c r="U251" s="2"/>
      <c r="V251" s="7">
        <f t="shared" si="104"/>
        <v>5.2669126495044033E-5</v>
      </c>
      <c r="W251" s="2"/>
      <c r="X251" s="6">
        <f t="shared" si="105"/>
        <v>-370.67</v>
      </c>
      <c r="Y251" s="2"/>
      <c r="Z251" s="7">
        <f t="shared" si="106"/>
        <v>-0.68391822576478833</v>
      </c>
    </row>
    <row r="252" spans="1:26" s="24" customFormat="1" hidden="1" outlineLevel="2" x14ac:dyDescent="0.25">
      <c r="A252" s="26"/>
      <c r="B252" s="11" t="str">
        <f>CONCATENATE("          ", "6284", " - ", "TRASH REMOVAL EXPENSE")</f>
        <v xml:space="preserve">          6284 - TRASH REMOVAL EXPENSE</v>
      </c>
      <c r="C252" s="11"/>
      <c r="D252" s="6">
        <v>142.57</v>
      </c>
      <c r="E252" s="2"/>
      <c r="F252" s="7">
        <f t="shared" si="99"/>
        <v>3.6671594795365203E-4</v>
      </c>
      <c r="G252" s="2"/>
      <c r="H252" s="6">
        <v>134.82</v>
      </c>
      <c r="I252" s="2"/>
      <c r="J252" s="7">
        <f t="shared" si="100"/>
        <v>1.6786231734016252E-4</v>
      </c>
      <c r="K252" s="2"/>
      <c r="L252" s="6">
        <f t="shared" si="101"/>
        <v>7.75</v>
      </c>
      <c r="M252" s="2"/>
      <c r="N252" s="7">
        <f t="shared" si="102"/>
        <v>5.7484052811155616E-2</v>
      </c>
      <c r="O252" s="11"/>
      <c r="P252" s="6">
        <v>1155.58</v>
      </c>
      <c r="Q252" s="2"/>
      <c r="R252" s="7">
        <f t="shared" si="103"/>
        <v>2.037790509161139E-4</v>
      </c>
      <c r="S252" s="2"/>
      <c r="T252" s="6">
        <v>1078.56</v>
      </c>
      <c r="U252" s="2"/>
      <c r="V252" s="7">
        <f t="shared" si="104"/>
        <v>1.0481348587124007E-4</v>
      </c>
      <c r="W252" s="2"/>
      <c r="X252" s="6">
        <f t="shared" si="105"/>
        <v>77.019999999999982</v>
      </c>
      <c r="Y252" s="2"/>
      <c r="Z252" s="7">
        <f t="shared" si="106"/>
        <v>7.1410028185729113E-2</v>
      </c>
    </row>
    <row r="253" spans="1:26" s="24" customFormat="1" hidden="1" outlineLevel="2" x14ac:dyDescent="0.25">
      <c r="A253" s="26"/>
      <c r="B253" s="11" t="str">
        <f>CONCATENATE("          ", "6285", " - ", "JANITORIAL SERVICES")</f>
        <v xml:space="preserve">          6285 - JANITORIAL SERVICES</v>
      </c>
      <c r="C253" s="11"/>
      <c r="D253" s="6">
        <v>3790</v>
      </c>
      <c r="E253" s="2"/>
      <c r="F253" s="7">
        <f t="shared" si="99"/>
        <v>9.7485687223422962E-3</v>
      </c>
      <c r="G253" s="2"/>
      <c r="H253" s="6">
        <v>4368.5600000000004</v>
      </c>
      <c r="I253" s="2"/>
      <c r="J253" s="7">
        <f t="shared" si="100"/>
        <v>5.4392271550181013E-3</v>
      </c>
      <c r="K253" s="2"/>
      <c r="L253" s="6">
        <f t="shared" si="101"/>
        <v>-578.5600000000004</v>
      </c>
      <c r="M253" s="2"/>
      <c r="N253" s="7">
        <f t="shared" si="102"/>
        <v>-0.13243723332173538</v>
      </c>
      <c r="O253" s="11"/>
      <c r="P253" s="6">
        <v>20381.88</v>
      </c>
      <c r="Q253" s="2"/>
      <c r="R253" s="7">
        <f t="shared" si="103"/>
        <v>3.594212570558615E-3</v>
      </c>
      <c r="S253" s="2"/>
      <c r="T253" s="6">
        <v>33246.5</v>
      </c>
      <c r="U253" s="2"/>
      <c r="V253" s="7">
        <f t="shared" si="104"/>
        <v>3.2308648179222139E-3</v>
      </c>
      <c r="W253" s="2"/>
      <c r="X253" s="6">
        <f t="shared" si="105"/>
        <v>-12864.619999999999</v>
      </c>
      <c r="Y253" s="2"/>
      <c r="Z253" s="7">
        <f t="shared" si="106"/>
        <v>-0.38694659588227331</v>
      </c>
    </row>
    <row r="254" spans="1:26" s="25" customFormat="1" outlineLevel="1" collapsed="1" x14ac:dyDescent="0.25">
      <c r="A254" s="27"/>
      <c r="B254" s="13" t="str">
        <f>CONCATENATE("     ","Subscriptions &amp; Dues                              ")</f>
        <v xml:space="preserve">     Subscriptions &amp; Dues                              </v>
      </c>
      <c r="C254" s="13"/>
      <c r="D254" s="1">
        <f>SUM(OSRRefD22_19x_0)</f>
        <v>181.41</v>
      </c>
      <c r="E254" s="1"/>
      <c r="F254" s="5">
        <f t="shared" ref="F254:F256" si="107">IF(D$12=0,0,D254/D$12)</f>
        <v>4.666194859947536E-4</v>
      </c>
      <c r="G254" s="1"/>
      <c r="H254" s="1">
        <f>SUM(OSRRefH22_19x_0)</f>
        <v>1617.87</v>
      </c>
      <c r="I254" s="1"/>
      <c r="J254" s="5">
        <f t="shared" ref="J254:J256" si="108">IF(H$12=0,0,H254/H$12)</f>
        <v>2.0143851606225244E-3</v>
      </c>
      <c r="K254" s="1"/>
      <c r="L254" s="1">
        <f t="shared" ref="L254:L256" si="109">+D254-H254</f>
        <v>-1436.4599999999998</v>
      </c>
      <c r="M254" s="1"/>
      <c r="N254" s="5">
        <f t="shared" ref="N254:N256" si="110">IF(H254=0,0,L254/H254)</f>
        <v>-0.88787108976617402</v>
      </c>
      <c r="O254" s="13"/>
      <c r="P254" s="1">
        <f>SUM(OSRRefP22_19x_0)</f>
        <v>4026.54</v>
      </c>
      <c r="Q254" s="1"/>
      <c r="R254" s="5">
        <f t="shared" ref="R254:R256" si="111">IF(P$12=0,0,P254/P$12)</f>
        <v>7.10054258187031E-4</v>
      </c>
      <c r="S254" s="1"/>
      <c r="T254" s="1">
        <f>SUM(OSRRefT22_19x_0)</f>
        <v>-581.2700000000001</v>
      </c>
      <c r="U254" s="1"/>
      <c r="V254" s="5">
        <f t="shared" ref="V254:V256" si="112">IF(T$12=0,0,T254/T$12)</f>
        <v>-5.6487293180143645E-5</v>
      </c>
      <c r="W254" s="1"/>
      <c r="X254" s="1">
        <f t="shared" ref="X254:X256" si="113">+P254-T254</f>
        <v>4607.8100000000004</v>
      </c>
      <c r="Y254" s="1"/>
      <c r="Z254" s="5">
        <f t="shared" ref="Z254:Z256" si="114">IF(T254=0,0,X254/T254)</f>
        <v>-7.9271422918781287</v>
      </c>
    </row>
    <row r="255" spans="1:26" s="24" customFormat="1" hidden="1" outlineLevel="2" x14ac:dyDescent="0.25">
      <c r="A255" s="26"/>
      <c r="B255" s="11" t="str">
        <f>CONCATENATE("          ", "6258", " - ", "MEMBERSHIP DUES")</f>
        <v xml:space="preserve">          6258 - MEMBERSHIP DUES</v>
      </c>
      <c r="C255" s="11"/>
      <c r="D255" s="6">
        <v>181.41</v>
      </c>
      <c r="E255" s="2"/>
      <c r="F255" s="7">
        <f t="shared" si="107"/>
        <v>4.666194859947536E-4</v>
      </c>
      <c r="G255" s="2"/>
      <c r="H255" s="6">
        <v>1617.87</v>
      </c>
      <c r="I255" s="2"/>
      <c r="J255" s="7">
        <f t="shared" si="108"/>
        <v>2.0143851606225244E-3</v>
      </c>
      <c r="K255" s="2"/>
      <c r="L255" s="6">
        <f t="shared" si="109"/>
        <v>-1436.4599999999998</v>
      </c>
      <c r="M255" s="2"/>
      <c r="N255" s="7">
        <f t="shared" si="110"/>
        <v>-0.88787108976617402</v>
      </c>
      <c r="O255" s="11"/>
      <c r="P255" s="6">
        <v>1873.73</v>
      </c>
      <c r="Q255" s="2"/>
      <c r="R255" s="7">
        <f t="shared" si="111"/>
        <v>3.3042015357919846E-4</v>
      </c>
      <c r="S255" s="2"/>
      <c r="T255" s="6">
        <v>-1446.63</v>
      </c>
      <c r="U255" s="2"/>
      <c r="V255" s="7">
        <f t="shared" si="112"/>
        <v>-1.405821957664961E-4</v>
      </c>
      <c r="W255" s="2"/>
      <c r="X255" s="6">
        <f t="shared" si="113"/>
        <v>3320.36</v>
      </c>
      <c r="Y255" s="2"/>
      <c r="Z255" s="7">
        <f t="shared" si="114"/>
        <v>-2.2952378977347352</v>
      </c>
    </row>
    <row r="256" spans="1:26" s="24" customFormat="1" hidden="1" outlineLevel="2" x14ac:dyDescent="0.25">
      <c r="A256" s="26"/>
      <c r="B256" s="11" t="str">
        <f>CONCATENATE("          ", "6275", " - ", "SUBSCRIPTIONS")</f>
        <v xml:space="preserve">          6275 - SUBSCRIPTIONS</v>
      </c>
      <c r="C256" s="11"/>
      <c r="D256" s="6"/>
      <c r="E256" s="2"/>
      <c r="F256" s="7">
        <f t="shared" si="107"/>
        <v>0</v>
      </c>
      <c r="G256" s="2"/>
      <c r="H256" s="6"/>
      <c r="I256" s="2"/>
      <c r="J256" s="7">
        <f t="shared" si="108"/>
        <v>0</v>
      </c>
      <c r="K256" s="2"/>
      <c r="L256" s="6">
        <f t="shared" si="109"/>
        <v>0</v>
      </c>
      <c r="M256" s="2"/>
      <c r="N256" s="7">
        <f t="shared" si="110"/>
        <v>0</v>
      </c>
      <c r="O256" s="11"/>
      <c r="P256" s="6">
        <v>2152.81</v>
      </c>
      <c r="Q256" s="2"/>
      <c r="R256" s="7">
        <f t="shared" si="111"/>
        <v>3.796341046078326E-4</v>
      </c>
      <c r="S256" s="2"/>
      <c r="T256" s="6">
        <v>865.36</v>
      </c>
      <c r="U256" s="2"/>
      <c r="V256" s="7">
        <f t="shared" si="112"/>
        <v>8.4094902586352458E-5</v>
      </c>
      <c r="W256" s="2"/>
      <c r="X256" s="6">
        <f t="shared" si="113"/>
        <v>1287.4499999999998</v>
      </c>
      <c r="Y256" s="2"/>
      <c r="Z256" s="7">
        <f t="shared" si="114"/>
        <v>1.487762318572617</v>
      </c>
    </row>
    <row r="257" spans="1:26" s="25" customFormat="1" outlineLevel="1" collapsed="1" x14ac:dyDescent="0.25">
      <c r="A257" s="27"/>
      <c r="B257" s="13" t="str">
        <f>CONCATENATE("     ","Supplies                                          ")</f>
        <v xml:space="preserve">     Supplies                                          </v>
      </c>
      <c r="C257" s="13"/>
      <c r="D257" s="1">
        <f>SUM(OSRRefD22_20x_0)</f>
        <v>7912.75</v>
      </c>
      <c r="E257" s="1"/>
      <c r="F257" s="5">
        <f t="shared" ref="F257:F264" si="115">IF(D$12=0,0,D257/D$12)</f>
        <v>2.0353030912325598E-2</v>
      </c>
      <c r="G257" s="1"/>
      <c r="H257" s="1">
        <f>SUM(OSRRefH22_20x_0)</f>
        <v>9465.42</v>
      </c>
      <c r="I257" s="1"/>
      <c r="J257" s="5">
        <f t="shared" ref="J257:J264" si="116">IF(H$12=0,0,H257/H$12)</f>
        <v>1.1785249486707618E-2</v>
      </c>
      <c r="K257" s="1"/>
      <c r="L257" s="1">
        <f t="shared" ref="L257:L264" si="117">+D257-H257</f>
        <v>-1552.67</v>
      </c>
      <c r="M257" s="1"/>
      <c r="N257" s="5">
        <f t="shared" ref="N257:N264" si="118">IF(H257=0,0,L257/H257)</f>
        <v>-0.16403603854873847</v>
      </c>
      <c r="O257" s="13"/>
      <c r="P257" s="1">
        <f>SUM(OSRRefP22_20x_0)</f>
        <v>100985.21000000002</v>
      </c>
      <c r="Q257" s="1"/>
      <c r="R257" s="5">
        <f t="shared" ref="R257:R264" si="119">IF(P$12=0,0,P257/P$12)</f>
        <v>1.7808087930186105E-2</v>
      </c>
      <c r="S257" s="1"/>
      <c r="T257" s="1">
        <f>SUM(OSRRefT22_20x_0)</f>
        <v>74352.39</v>
      </c>
      <c r="U257" s="1"/>
      <c r="V257" s="5">
        <f t="shared" ref="V257:V264" si="120">IF(T$12=0,0,T257/T$12)</f>
        <v>7.2254980518079029E-3</v>
      </c>
      <c r="W257" s="1"/>
      <c r="X257" s="1">
        <f t="shared" ref="X257:X264" si="121">+P257-T257</f>
        <v>26632.820000000022</v>
      </c>
      <c r="Y257" s="1"/>
      <c r="Z257" s="5">
        <f t="shared" ref="Z257:Z264" si="122">IF(T257=0,0,X257/T257)</f>
        <v>0.358197228091794</v>
      </c>
    </row>
    <row r="258" spans="1:26" s="24" customFormat="1" hidden="1" outlineLevel="2" x14ac:dyDescent="0.25">
      <c r="A258" s="26"/>
      <c r="B258" s="11" t="str">
        <f>CONCATENATE("          ", "6234", " - ", "EXPENDABLE SUPPLIES &amp; EQUIPMEN")</f>
        <v xml:space="preserve">          6234 - EXPENDABLE SUPPLIES &amp; EQUIPMEN</v>
      </c>
      <c r="C258" s="11"/>
      <c r="D258" s="6"/>
      <c r="E258" s="2"/>
      <c r="F258" s="7">
        <f t="shared" si="115"/>
        <v>0</v>
      </c>
      <c r="G258" s="2"/>
      <c r="H258" s="6"/>
      <c r="I258" s="2"/>
      <c r="J258" s="7">
        <f t="shared" si="116"/>
        <v>0</v>
      </c>
      <c r="K258" s="2"/>
      <c r="L258" s="6">
        <f t="shared" si="117"/>
        <v>0</v>
      </c>
      <c r="M258" s="2"/>
      <c r="N258" s="7">
        <f t="shared" si="118"/>
        <v>0</v>
      </c>
      <c r="O258" s="11"/>
      <c r="P258" s="6">
        <v>-52.84</v>
      </c>
      <c r="Q258" s="2"/>
      <c r="R258" s="7">
        <f t="shared" si="119"/>
        <v>-9.3179918745629562E-6</v>
      </c>
      <c r="S258" s="2"/>
      <c r="T258" s="6">
        <v>3160.95</v>
      </c>
      <c r="U258" s="2"/>
      <c r="V258" s="7">
        <f t="shared" si="120"/>
        <v>3.0717826376344042E-4</v>
      </c>
      <c r="W258" s="2"/>
      <c r="X258" s="6">
        <f t="shared" si="121"/>
        <v>-3213.79</v>
      </c>
      <c r="Y258" s="2"/>
      <c r="Z258" s="7">
        <f t="shared" si="122"/>
        <v>-1.016716493459245</v>
      </c>
    </row>
    <row r="259" spans="1:26" s="24" customFormat="1" hidden="1" outlineLevel="2" x14ac:dyDescent="0.25">
      <c r="A259" s="26"/>
      <c r="B259" s="11" t="str">
        <f>CONCATENATE("          ", "6235", " - ", "COVID-19 EXPENSES")</f>
        <v xml:space="preserve">          6235 - COVID-19 EXPENSES</v>
      </c>
      <c r="C259" s="11"/>
      <c r="D259" s="6">
        <v>2992.14</v>
      </c>
      <c r="E259" s="2"/>
      <c r="F259" s="7">
        <f t="shared" si="115"/>
        <v>7.6963278144773824E-3</v>
      </c>
      <c r="G259" s="2"/>
      <c r="H259" s="6"/>
      <c r="I259" s="2"/>
      <c r="J259" s="7">
        <f t="shared" si="116"/>
        <v>0</v>
      </c>
      <c r="K259" s="2"/>
      <c r="L259" s="6">
        <f t="shared" si="117"/>
        <v>2992.14</v>
      </c>
      <c r="M259" s="2"/>
      <c r="N259" s="7">
        <f t="shared" si="118"/>
        <v>0</v>
      </c>
      <c r="O259" s="11"/>
      <c r="P259" s="6">
        <v>37959.29</v>
      </c>
      <c r="Q259" s="2"/>
      <c r="R259" s="7">
        <f t="shared" si="119"/>
        <v>6.6938750148406289E-3</v>
      </c>
      <c r="S259" s="2"/>
      <c r="T259" s="6"/>
      <c r="U259" s="2"/>
      <c r="V259" s="7">
        <f t="shared" si="120"/>
        <v>0</v>
      </c>
      <c r="W259" s="2"/>
      <c r="X259" s="6">
        <f t="shared" si="121"/>
        <v>37959.29</v>
      </c>
      <c r="Y259" s="2"/>
      <c r="Z259" s="7">
        <f t="shared" si="122"/>
        <v>0</v>
      </c>
    </row>
    <row r="260" spans="1:26" s="24" customFormat="1" hidden="1" outlineLevel="2" x14ac:dyDescent="0.25">
      <c r="A260" s="26"/>
      <c r="B260" s="11" t="str">
        <f>CONCATENATE("          ", "6237", " - ", "JANITORIAL SUPPLIES")</f>
        <v xml:space="preserve">          6237 - JANITORIAL SUPPLIES</v>
      </c>
      <c r="C260" s="11"/>
      <c r="D260" s="6"/>
      <c r="E260" s="2"/>
      <c r="F260" s="7">
        <f t="shared" si="115"/>
        <v>0</v>
      </c>
      <c r="G260" s="2"/>
      <c r="H260" s="6">
        <v>570</v>
      </c>
      <c r="I260" s="2"/>
      <c r="J260" s="7">
        <f t="shared" si="116"/>
        <v>7.0969827090856428E-4</v>
      </c>
      <c r="K260" s="2"/>
      <c r="L260" s="6">
        <f t="shared" si="117"/>
        <v>-570</v>
      </c>
      <c r="M260" s="2"/>
      <c r="N260" s="7">
        <f t="shared" si="118"/>
        <v>-1</v>
      </c>
      <c r="O260" s="11"/>
      <c r="P260" s="6">
        <v>2263.65</v>
      </c>
      <c r="Q260" s="2"/>
      <c r="R260" s="7">
        <f t="shared" si="119"/>
        <v>3.9918002094728298E-4</v>
      </c>
      <c r="S260" s="2"/>
      <c r="T260" s="6">
        <v>4352.13</v>
      </c>
      <c r="U260" s="2"/>
      <c r="V260" s="7">
        <f t="shared" si="120"/>
        <v>4.2293605943554373E-4</v>
      </c>
      <c r="W260" s="2"/>
      <c r="X260" s="6">
        <f t="shared" si="121"/>
        <v>-2088.48</v>
      </c>
      <c r="Y260" s="2"/>
      <c r="Z260" s="7">
        <f t="shared" si="122"/>
        <v>-0.47987537136988095</v>
      </c>
    </row>
    <row r="261" spans="1:26" s="24" customFormat="1" hidden="1" outlineLevel="2" x14ac:dyDescent="0.25">
      <c r="A261" s="26"/>
      <c r="B261" s="11" t="str">
        <f>CONCATENATE("          ", "6241", " - ", "OFFICE EXPENSE")</f>
        <v xml:space="preserve">          6241 - OFFICE EXPENSE</v>
      </c>
      <c r="C261" s="11"/>
      <c r="D261" s="6">
        <v>633.41999999999996</v>
      </c>
      <c r="E261" s="2"/>
      <c r="F261" s="7">
        <f t="shared" si="115"/>
        <v>1.6292713456744214E-3</v>
      </c>
      <c r="G261" s="2"/>
      <c r="H261" s="6">
        <v>283.7</v>
      </c>
      <c r="I261" s="2"/>
      <c r="J261" s="7">
        <f t="shared" si="116"/>
        <v>3.5323052536273628E-4</v>
      </c>
      <c r="K261" s="2"/>
      <c r="L261" s="6">
        <f t="shared" si="117"/>
        <v>349.71999999999997</v>
      </c>
      <c r="M261" s="2"/>
      <c r="N261" s="7">
        <f t="shared" si="118"/>
        <v>1.2327106097990834</v>
      </c>
      <c r="O261" s="11"/>
      <c r="P261" s="6">
        <v>11267.03</v>
      </c>
      <c r="Q261" s="2"/>
      <c r="R261" s="7">
        <f t="shared" si="119"/>
        <v>1.9868677893727679E-3</v>
      </c>
      <c r="S261" s="2"/>
      <c r="T261" s="6">
        <v>22801.47</v>
      </c>
      <c r="U261" s="2"/>
      <c r="V261" s="7">
        <f t="shared" si="120"/>
        <v>2.2158262439627881E-3</v>
      </c>
      <c r="W261" s="2"/>
      <c r="X261" s="6">
        <f t="shared" si="121"/>
        <v>-11534.44</v>
      </c>
      <c r="Y261" s="2"/>
      <c r="Z261" s="7">
        <f t="shared" si="122"/>
        <v>-0.50586387632025476</v>
      </c>
    </row>
    <row r="262" spans="1:26" s="24" customFormat="1" hidden="1" outlineLevel="2" x14ac:dyDescent="0.25">
      <c r="A262" s="26"/>
      <c r="B262" s="11" t="str">
        <f>CONCATENATE("          ", "6243", " - ", "PAPER SUPPLIES")</f>
        <v xml:space="preserve">          6243 - PAPER SUPPLIES</v>
      </c>
      <c r="C262" s="11"/>
      <c r="D262" s="6"/>
      <c r="E262" s="2"/>
      <c r="F262" s="7">
        <f t="shared" si="115"/>
        <v>0</v>
      </c>
      <c r="G262" s="2"/>
      <c r="H262" s="6">
        <v>-285.27999999999997</v>
      </c>
      <c r="I262" s="2"/>
      <c r="J262" s="7">
        <f t="shared" si="116"/>
        <v>-3.5519775916630737E-4</v>
      </c>
      <c r="K262" s="2"/>
      <c r="L262" s="6">
        <f t="shared" si="117"/>
        <v>285.27999999999997</v>
      </c>
      <c r="M262" s="2"/>
      <c r="N262" s="7">
        <f t="shared" si="118"/>
        <v>-1</v>
      </c>
      <c r="O262" s="11"/>
      <c r="P262" s="6">
        <v>6173.4</v>
      </c>
      <c r="Q262" s="2"/>
      <c r="R262" s="7">
        <f t="shared" si="119"/>
        <v>1.0886391188195863E-3</v>
      </c>
      <c r="S262" s="2"/>
      <c r="T262" s="6">
        <v>11567.55</v>
      </c>
      <c r="U262" s="2"/>
      <c r="V262" s="7">
        <f t="shared" si="120"/>
        <v>1.1241240528944733E-3</v>
      </c>
      <c r="W262" s="2"/>
      <c r="X262" s="6">
        <f t="shared" si="121"/>
        <v>-5394.15</v>
      </c>
      <c r="Y262" s="2"/>
      <c r="Z262" s="7">
        <f t="shared" si="122"/>
        <v>-0.46631741379981068</v>
      </c>
    </row>
    <row r="263" spans="1:26" s="24" customFormat="1" hidden="1" outlineLevel="2" x14ac:dyDescent="0.25">
      <c r="A263" s="26"/>
      <c r="B263" s="11" t="str">
        <f>CONCATENATE("          ", "6245", " - ", "PRINTING")</f>
        <v xml:space="preserve">          6245 - PRINTING</v>
      </c>
      <c r="C263" s="11"/>
      <c r="D263" s="6">
        <v>398.67</v>
      </c>
      <c r="E263" s="2"/>
      <c r="F263" s="7">
        <f t="shared" si="115"/>
        <v>1.0254516866850141E-3</v>
      </c>
      <c r="G263" s="2"/>
      <c r="H263" s="6">
        <v>3266.4</v>
      </c>
      <c r="I263" s="2"/>
      <c r="J263" s="7">
        <f t="shared" si="116"/>
        <v>4.0669446177118151E-3</v>
      </c>
      <c r="K263" s="2"/>
      <c r="L263" s="6">
        <f t="shared" si="117"/>
        <v>-2867.73</v>
      </c>
      <c r="M263" s="2"/>
      <c r="N263" s="7">
        <f t="shared" si="118"/>
        <v>-0.87794819985304917</v>
      </c>
      <c r="O263" s="11"/>
      <c r="P263" s="6">
        <v>906.94</v>
      </c>
      <c r="Q263" s="2"/>
      <c r="R263" s="7">
        <f t="shared" si="119"/>
        <v>1.599329967962931E-4</v>
      </c>
      <c r="S263" s="2"/>
      <c r="T263" s="6">
        <v>9786.6</v>
      </c>
      <c r="U263" s="2"/>
      <c r="V263" s="7">
        <f t="shared" si="120"/>
        <v>9.5105294172552121E-4</v>
      </c>
      <c r="W263" s="2"/>
      <c r="X263" s="6">
        <f t="shared" si="121"/>
        <v>-8879.66</v>
      </c>
      <c r="Y263" s="2"/>
      <c r="Z263" s="7">
        <f t="shared" si="122"/>
        <v>-0.90732838779555713</v>
      </c>
    </row>
    <row r="264" spans="1:26" s="24" customFormat="1" hidden="1" outlineLevel="2" x14ac:dyDescent="0.25">
      <c r="A264" s="26"/>
      <c r="B264" s="11" t="str">
        <f>CONCATENATE("          ", "6247", " - ", "STORE SUPPLIES")</f>
        <v xml:space="preserve">          6247 - STORE SUPPLIES</v>
      </c>
      <c r="C264" s="11"/>
      <c r="D264" s="6">
        <v>3888.52</v>
      </c>
      <c r="E264" s="2"/>
      <c r="F264" s="7">
        <f t="shared" si="115"/>
        <v>1.0001980065488778E-2</v>
      </c>
      <c r="G264" s="2"/>
      <c r="H264" s="6">
        <v>5630.6</v>
      </c>
      <c r="I264" s="2"/>
      <c r="J264" s="7">
        <f t="shared" si="116"/>
        <v>7.0105738318908114E-3</v>
      </c>
      <c r="K264" s="2"/>
      <c r="L264" s="6">
        <f t="shared" si="117"/>
        <v>-1742.0800000000004</v>
      </c>
      <c r="M264" s="2"/>
      <c r="N264" s="7">
        <f t="shared" si="118"/>
        <v>-0.30939509110929569</v>
      </c>
      <c r="O264" s="11"/>
      <c r="P264" s="6">
        <v>42467.740000000005</v>
      </c>
      <c r="Q264" s="2"/>
      <c r="R264" s="7">
        <f t="shared" si="119"/>
        <v>7.4889109812841075E-3</v>
      </c>
      <c r="S264" s="2"/>
      <c r="T264" s="6">
        <v>22683.69</v>
      </c>
      <c r="U264" s="2"/>
      <c r="V264" s="7">
        <f t="shared" si="120"/>
        <v>2.2043804900261361E-3</v>
      </c>
      <c r="W264" s="2"/>
      <c r="X264" s="6">
        <f t="shared" si="121"/>
        <v>19784.050000000007</v>
      </c>
      <c r="Y264" s="2"/>
      <c r="Z264" s="7">
        <f t="shared" si="122"/>
        <v>0.87217070943924946</v>
      </c>
    </row>
    <row r="265" spans="1:26" s="25" customFormat="1" outlineLevel="1" collapsed="1" x14ac:dyDescent="0.25">
      <c r="A265" s="27"/>
      <c r="B265" s="13" t="str">
        <f>CONCATENATE("     ","Telephone/Data Lines                              ")</f>
        <v xml:space="preserve">     Telephone/Data Lines                              </v>
      </c>
      <c r="C265" s="13"/>
      <c r="D265" s="1">
        <f>SUM(OSRRefD22_21x_0)</f>
        <v>1489.25</v>
      </c>
      <c r="E265" s="1"/>
      <c r="F265" s="5">
        <f t="shared" ref="F265:F267" si="123">IF(D$12=0,0,D265/D$12)</f>
        <v>3.8306216279019173E-3</v>
      </c>
      <c r="G265" s="1"/>
      <c r="H265" s="1">
        <f>SUM(OSRRefH22_21x_0)</f>
        <v>3071.06</v>
      </c>
      <c r="I265" s="1"/>
      <c r="J265" s="5">
        <f t="shared" ref="J265:J267" si="124">IF(H$12=0,0,H265/H$12)</f>
        <v>3.8237297751867638E-3</v>
      </c>
      <c r="K265" s="1"/>
      <c r="L265" s="1">
        <f t="shared" ref="L265:L267" si="125">+D265-H265</f>
        <v>-1581.81</v>
      </c>
      <c r="M265" s="1"/>
      <c r="N265" s="5">
        <f t="shared" ref="N265:N267" si="126">IF(H265=0,0,L265/H265)</f>
        <v>-0.51506971534258528</v>
      </c>
      <c r="O265" s="13"/>
      <c r="P265" s="1">
        <f>SUM(OSRRefP22_21x_0)</f>
        <v>20760</v>
      </c>
      <c r="Q265" s="1"/>
      <c r="R265" s="5">
        <f t="shared" ref="R265:R267" si="127">IF(P$12=0,0,P265/P$12)</f>
        <v>3.6608915843286704E-3</v>
      </c>
      <c r="S265" s="1"/>
      <c r="T265" s="1">
        <f>SUM(OSRRefT22_21x_0)</f>
        <v>23509.05</v>
      </c>
      <c r="U265" s="1"/>
      <c r="V265" s="5">
        <f t="shared" ref="V265:V267" si="128">IF(T$12=0,0,T265/T$12)</f>
        <v>2.2845882287691704E-3</v>
      </c>
      <c r="W265" s="1"/>
      <c r="X265" s="1">
        <f t="shared" ref="X265:X267" si="129">+P265-T265</f>
        <v>-2749.0499999999993</v>
      </c>
      <c r="Y265" s="1"/>
      <c r="Z265" s="5">
        <f t="shared" ref="Z265:Z267" si="130">IF(T265=0,0,X265/T265)</f>
        <v>-0.11693581833379058</v>
      </c>
    </row>
    <row r="266" spans="1:26" s="24" customFormat="1" hidden="1" outlineLevel="2" x14ac:dyDescent="0.25">
      <c r="A266" s="26"/>
      <c r="B266" s="11" t="str">
        <f>CONCATENATE("          ", "6303", " - ", "DATA PHONE LINES")</f>
        <v xml:space="preserve">          6303 - DATA PHONE LINES</v>
      </c>
      <c r="C266" s="11"/>
      <c r="D266" s="6">
        <v>590</v>
      </c>
      <c r="E266" s="2"/>
      <c r="F266" s="7">
        <f t="shared" si="123"/>
        <v>1.5175872153514393E-3</v>
      </c>
      <c r="G266" s="2"/>
      <c r="H266" s="6">
        <v>295</v>
      </c>
      <c r="I266" s="2"/>
      <c r="J266" s="7">
        <f t="shared" si="124"/>
        <v>3.6729998231232715E-4</v>
      </c>
      <c r="K266" s="2"/>
      <c r="L266" s="6">
        <f t="shared" si="125"/>
        <v>295</v>
      </c>
      <c r="M266" s="2"/>
      <c r="N266" s="7">
        <f t="shared" si="126"/>
        <v>1</v>
      </c>
      <c r="O266" s="11"/>
      <c r="P266" s="6">
        <v>2950</v>
      </c>
      <c r="Q266" s="2"/>
      <c r="R266" s="7">
        <f t="shared" si="127"/>
        <v>5.2021339950720504E-4</v>
      </c>
      <c r="S266" s="2"/>
      <c r="T266" s="6">
        <v>2360</v>
      </c>
      <c r="U266" s="2"/>
      <c r="V266" s="7">
        <f t="shared" si="128"/>
        <v>2.2934266675579158E-4</v>
      </c>
      <c r="W266" s="2"/>
      <c r="X266" s="6">
        <f t="shared" si="129"/>
        <v>590</v>
      </c>
      <c r="Y266" s="2"/>
      <c r="Z266" s="7">
        <f t="shared" si="130"/>
        <v>0.25</v>
      </c>
    </row>
    <row r="267" spans="1:26" s="24" customFormat="1" hidden="1" outlineLevel="2" x14ac:dyDescent="0.25">
      <c r="A267" s="26"/>
      <c r="B267" s="11" t="str">
        <f>CONCATENATE("          ", "6309", " - ", "TELEPHONE")</f>
        <v xml:space="preserve">          6309 - TELEPHONE</v>
      </c>
      <c r="C267" s="11"/>
      <c r="D267" s="6">
        <v>899.25</v>
      </c>
      <c r="E267" s="2"/>
      <c r="F267" s="7">
        <f t="shared" si="123"/>
        <v>2.3130344125504776E-3</v>
      </c>
      <c r="G267" s="2"/>
      <c r="H267" s="6">
        <v>2776.06</v>
      </c>
      <c r="I267" s="2"/>
      <c r="J267" s="7">
        <f t="shared" si="124"/>
        <v>3.4564297928744367E-3</v>
      </c>
      <c r="K267" s="2"/>
      <c r="L267" s="6">
        <f t="shared" si="125"/>
        <v>-1876.81</v>
      </c>
      <c r="M267" s="2"/>
      <c r="N267" s="7">
        <f t="shared" si="126"/>
        <v>-0.67606968149103408</v>
      </c>
      <c r="O267" s="11"/>
      <c r="P267" s="6">
        <v>17810</v>
      </c>
      <c r="Q267" s="2"/>
      <c r="R267" s="7">
        <f t="shared" si="127"/>
        <v>3.1406781848214655E-3</v>
      </c>
      <c r="S267" s="2"/>
      <c r="T267" s="6">
        <v>21149.05</v>
      </c>
      <c r="U267" s="2"/>
      <c r="V267" s="7">
        <f t="shared" si="128"/>
        <v>2.0552455620133788E-3</v>
      </c>
      <c r="W267" s="2"/>
      <c r="X267" s="6">
        <f t="shared" si="129"/>
        <v>-3339.0499999999993</v>
      </c>
      <c r="Y267" s="2"/>
      <c r="Z267" s="7">
        <f t="shared" si="130"/>
        <v>-0.15788179610904507</v>
      </c>
    </row>
    <row r="268" spans="1:26" s="25" customFormat="1" outlineLevel="1" collapsed="1" x14ac:dyDescent="0.25">
      <c r="A268" s="27"/>
      <c r="B268" s="13" t="str">
        <f>CONCATENATE("     ","Training                                          ")</f>
        <v xml:space="preserve">     Training                                          </v>
      </c>
      <c r="C268" s="13"/>
      <c r="D268" s="1">
        <f>SUM(OSRRefD22_22x_0)</f>
        <v>750</v>
      </c>
      <c r="E268" s="1"/>
      <c r="F268" s="5">
        <f t="shared" ref="F268:F273" si="131">IF(D$12=0,0,D268/D$12)</f>
        <v>1.9291362907009823E-3</v>
      </c>
      <c r="G268" s="1"/>
      <c r="H268" s="1">
        <f>SUM(OSRRefH22_22x_0)</f>
        <v>6414.9</v>
      </c>
      <c r="I268" s="1"/>
      <c r="J268" s="5">
        <f t="shared" ref="J268:J273" si="132">IF(H$12=0,0,H268/H$12)</f>
        <v>7.9870937509672786E-3</v>
      </c>
      <c r="K268" s="1"/>
      <c r="L268" s="1">
        <f t="shared" ref="L268:L273" si="133">+D268-H268</f>
        <v>-5664.9</v>
      </c>
      <c r="M268" s="1"/>
      <c r="N268" s="5">
        <f t="shared" ref="N268:N273" si="134">IF(H268=0,0,L268/H268)</f>
        <v>-0.88308469344806617</v>
      </c>
      <c r="O268" s="13"/>
      <c r="P268" s="1">
        <f>SUM(OSRRefP22_22x_0)</f>
        <v>995.63</v>
      </c>
      <c r="Q268" s="1"/>
      <c r="R268" s="5">
        <f t="shared" ref="R268:R273" si="135">IF(P$12=0,0,P268/P$12)</f>
        <v>1.75572904051308E-4</v>
      </c>
      <c r="S268" s="1"/>
      <c r="T268" s="1">
        <f>SUM(OSRRefT22_22x_0)</f>
        <v>17198.43</v>
      </c>
      <c r="U268" s="1"/>
      <c r="V268" s="5">
        <f t="shared" ref="V268:V273" si="136">IF(T$12=0,0,T268/T$12)</f>
        <v>1.6713278814461054E-3</v>
      </c>
      <c r="W268" s="1"/>
      <c r="X268" s="1">
        <f t="shared" ref="X268:X273" si="137">+P268-T268</f>
        <v>-16202.800000000001</v>
      </c>
      <c r="Y268" s="1"/>
      <c r="Z268" s="5">
        <f t="shared" ref="Z268:Z273" si="138">IF(T268=0,0,X268/T268)</f>
        <v>-0.94210925066997397</v>
      </c>
    </row>
    <row r="269" spans="1:26" s="24" customFormat="1" hidden="1" outlineLevel="2" x14ac:dyDescent="0.25">
      <c r="A269" s="26"/>
      <c r="B269" s="11" t="str">
        <f>CONCATENATE("          ", "6376", " - ", "TRAINING")</f>
        <v xml:space="preserve">          6376 - TRAINING</v>
      </c>
      <c r="C269" s="11"/>
      <c r="D269" s="6">
        <v>750</v>
      </c>
      <c r="E269" s="2"/>
      <c r="F269" s="7">
        <f t="shared" si="131"/>
        <v>1.9291362907009823E-3</v>
      </c>
      <c r="G269" s="2"/>
      <c r="H269" s="6">
        <v>6414.9</v>
      </c>
      <c r="I269" s="2"/>
      <c r="J269" s="7">
        <f t="shared" si="132"/>
        <v>7.9870937509672786E-3</v>
      </c>
      <c r="K269" s="2"/>
      <c r="L269" s="6">
        <f t="shared" si="133"/>
        <v>-5664.9</v>
      </c>
      <c r="M269" s="2"/>
      <c r="N269" s="7">
        <f t="shared" si="134"/>
        <v>-0.88308469344806617</v>
      </c>
      <c r="O269" s="11"/>
      <c r="P269" s="6">
        <v>995.63</v>
      </c>
      <c r="Q269" s="2"/>
      <c r="R269" s="7">
        <f t="shared" si="135"/>
        <v>1.75572904051308E-4</v>
      </c>
      <c r="S269" s="2"/>
      <c r="T269" s="6">
        <v>17198.43</v>
      </c>
      <c r="U269" s="2"/>
      <c r="V269" s="7">
        <f t="shared" si="136"/>
        <v>1.6713278814461054E-3</v>
      </c>
      <c r="W269" s="2"/>
      <c r="X269" s="6">
        <f t="shared" si="137"/>
        <v>-16202.800000000001</v>
      </c>
      <c r="Y269" s="2"/>
      <c r="Z269" s="7">
        <f t="shared" si="138"/>
        <v>-0.94210925066997397</v>
      </c>
    </row>
    <row r="270" spans="1:26" s="25" customFormat="1" outlineLevel="1" collapsed="1" x14ac:dyDescent="0.25">
      <c r="A270" s="27"/>
      <c r="B270" s="13" t="str">
        <f>CONCATENATE("     ","Travel                                            ")</f>
        <v xml:space="preserve">     Travel                                            </v>
      </c>
      <c r="C270" s="13"/>
      <c r="D270" s="1">
        <f>SUM(OSRRefD22_23x_0)</f>
        <v>0</v>
      </c>
      <c r="E270" s="1"/>
      <c r="F270" s="5">
        <f t="shared" si="131"/>
        <v>0</v>
      </c>
      <c r="G270" s="1"/>
      <c r="H270" s="1">
        <f>SUM(OSRRefH22_23x_0)</f>
        <v>102.13</v>
      </c>
      <c r="I270" s="1"/>
      <c r="J270" s="5">
        <f t="shared" si="132"/>
        <v>1.2716049896121346E-4</v>
      </c>
      <c r="K270" s="1"/>
      <c r="L270" s="1">
        <f t="shared" si="133"/>
        <v>-102.13</v>
      </c>
      <c r="M270" s="1"/>
      <c r="N270" s="5">
        <f t="shared" si="134"/>
        <v>-1</v>
      </c>
      <c r="O270" s="13"/>
      <c r="P270" s="1">
        <f>SUM(OSRRefP22_23x_0)</f>
        <v>810.31000000000006</v>
      </c>
      <c r="Q270" s="1"/>
      <c r="R270" s="5">
        <f t="shared" si="135"/>
        <v>1.4289292195074013E-4</v>
      </c>
      <c r="S270" s="1"/>
      <c r="T270" s="1">
        <f>SUM(OSRRefT22_23x_0)</f>
        <v>894.11</v>
      </c>
      <c r="U270" s="1"/>
      <c r="V270" s="5">
        <f t="shared" si="136"/>
        <v>8.6888801598737636E-5</v>
      </c>
      <c r="W270" s="1"/>
      <c r="X270" s="1">
        <f t="shared" si="137"/>
        <v>-83.799999999999955</v>
      </c>
      <c r="Y270" s="1"/>
      <c r="Z270" s="5">
        <f t="shared" si="138"/>
        <v>-9.3724485801523247E-2</v>
      </c>
    </row>
    <row r="271" spans="1:26" s="24" customFormat="1" hidden="1" outlineLevel="2" x14ac:dyDescent="0.25">
      <c r="A271" s="26"/>
      <c r="B271" s="11" t="str">
        <f>CONCATENATE("          ", "6292", " - ", "TRAVEL/CONFERENCE")</f>
        <v xml:space="preserve">          6292 - TRAVEL/CONFERENCE</v>
      </c>
      <c r="C271" s="11"/>
      <c r="D271" s="6"/>
      <c r="E271" s="2"/>
      <c r="F271" s="7">
        <f t="shared" si="131"/>
        <v>0</v>
      </c>
      <c r="G271" s="2"/>
      <c r="H271" s="6">
        <v>47.96</v>
      </c>
      <c r="I271" s="2"/>
      <c r="J271" s="7">
        <f t="shared" si="132"/>
        <v>5.9714261531183758E-5</v>
      </c>
      <c r="K271" s="2"/>
      <c r="L271" s="6">
        <f t="shared" si="133"/>
        <v>-47.96</v>
      </c>
      <c r="M271" s="2"/>
      <c r="N271" s="7">
        <f t="shared" si="134"/>
        <v>-1</v>
      </c>
      <c r="O271" s="11"/>
      <c r="P271" s="6">
        <v>299.16000000000003</v>
      </c>
      <c r="Q271" s="2"/>
      <c r="R271" s="7">
        <f t="shared" si="135"/>
        <v>5.2754929015788299E-5</v>
      </c>
      <c r="S271" s="2"/>
      <c r="T271" s="6">
        <v>235.5</v>
      </c>
      <c r="U271" s="2"/>
      <c r="V271" s="7">
        <f t="shared" si="136"/>
        <v>2.2885677127537677E-5</v>
      </c>
      <c r="W271" s="2"/>
      <c r="X271" s="6">
        <f t="shared" si="137"/>
        <v>63.660000000000025</v>
      </c>
      <c r="Y271" s="2"/>
      <c r="Z271" s="7">
        <f t="shared" si="138"/>
        <v>0.27031847133757975</v>
      </c>
    </row>
    <row r="272" spans="1:26" s="24" customFormat="1" hidden="1" outlineLevel="2" x14ac:dyDescent="0.25">
      <c r="A272" s="26"/>
      <c r="B272" s="11" t="str">
        <f>CONCATENATE("          ", "6294", " - ", "TRAVEL OPERATIONAL")</f>
        <v xml:space="preserve">          6294 - TRAVEL OPERATIONAL</v>
      </c>
      <c r="C272" s="11"/>
      <c r="D272" s="6"/>
      <c r="E272" s="2"/>
      <c r="F272" s="7">
        <f t="shared" si="131"/>
        <v>0</v>
      </c>
      <c r="G272" s="2"/>
      <c r="H272" s="6">
        <v>35.29</v>
      </c>
      <c r="I272" s="2"/>
      <c r="J272" s="7">
        <f t="shared" si="132"/>
        <v>4.3939038562040761E-5</v>
      </c>
      <c r="K272" s="2"/>
      <c r="L272" s="6">
        <f t="shared" si="133"/>
        <v>-35.29</v>
      </c>
      <c r="M272" s="2"/>
      <c r="N272" s="7">
        <f t="shared" si="134"/>
        <v>-1</v>
      </c>
      <c r="O272" s="11"/>
      <c r="P272" s="6">
        <v>451.26</v>
      </c>
      <c r="Q272" s="2"/>
      <c r="R272" s="7">
        <f t="shared" si="135"/>
        <v>7.9576779207329274E-5</v>
      </c>
      <c r="S272" s="2"/>
      <c r="T272" s="6">
        <v>347.48</v>
      </c>
      <c r="U272" s="2"/>
      <c r="V272" s="7">
        <f t="shared" si="136"/>
        <v>3.3767792306907823E-5</v>
      </c>
      <c r="W272" s="2"/>
      <c r="X272" s="6">
        <f t="shared" si="137"/>
        <v>103.77999999999997</v>
      </c>
      <c r="Y272" s="2"/>
      <c r="Z272" s="7">
        <f t="shared" si="138"/>
        <v>0.29866467134799118</v>
      </c>
    </row>
    <row r="273" spans="1:26" s="24" customFormat="1" hidden="1" outlineLevel="2" x14ac:dyDescent="0.25">
      <c r="A273" s="26"/>
      <c r="B273" s="11" t="str">
        <f>CONCATENATE("          ", "6298", " - ", "VEHICLE MILEAGE")</f>
        <v xml:space="preserve">          6298 - VEHICLE MILEAGE</v>
      </c>
      <c r="C273" s="11"/>
      <c r="D273" s="6"/>
      <c r="E273" s="2"/>
      <c r="F273" s="7">
        <f t="shared" si="131"/>
        <v>0</v>
      </c>
      <c r="G273" s="2"/>
      <c r="H273" s="6">
        <v>18.88</v>
      </c>
      <c r="I273" s="2"/>
      <c r="J273" s="7">
        <f t="shared" si="132"/>
        <v>2.3507198867988934E-5</v>
      </c>
      <c r="K273" s="2"/>
      <c r="L273" s="6">
        <f t="shared" si="133"/>
        <v>-18.88</v>
      </c>
      <c r="M273" s="2"/>
      <c r="N273" s="7">
        <f t="shared" si="134"/>
        <v>-1</v>
      </c>
      <c r="O273" s="11"/>
      <c r="P273" s="6">
        <v>59.89</v>
      </c>
      <c r="Q273" s="2"/>
      <c r="R273" s="7">
        <f t="shared" si="135"/>
        <v>1.0561213727622547E-5</v>
      </c>
      <c r="S273" s="2"/>
      <c r="T273" s="6">
        <v>311.13</v>
      </c>
      <c r="U273" s="2"/>
      <c r="V273" s="7">
        <f t="shared" si="136"/>
        <v>3.0235332164292133E-5</v>
      </c>
      <c r="W273" s="2"/>
      <c r="X273" s="6">
        <f t="shared" si="137"/>
        <v>-251.24</v>
      </c>
      <c r="Y273" s="2"/>
      <c r="Z273" s="7">
        <f t="shared" si="138"/>
        <v>-0.80750811557869706</v>
      </c>
    </row>
    <row r="274" spans="1:26" s="25" customFormat="1" outlineLevel="1" collapsed="1" x14ac:dyDescent="0.25">
      <c r="A274" s="27"/>
      <c r="B274" s="13" t="str">
        <f>CONCATENATE("     ","Utilities                                         ")</f>
        <v xml:space="preserve">     Utilities                                         </v>
      </c>
      <c r="C274" s="13"/>
      <c r="D274" s="1">
        <f>SUM(OSRRefD22_24x_0)</f>
        <v>6161.14</v>
      </c>
      <c r="E274" s="1"/>
      <c r="F274" s="5">
        <f t="shared" ref="F274:F275" si="139">IF(D$12=0,0,D274/D$12)</f>
        <v>1.5847571688119268E-2</v>
      </c>
      <c r="G274" s="1"/>
      <c r="H274" s="1">
        <f>SUM(OSRRefH22_24x_0)</f>
        <v>8525.9699999999993</v>
      </c>
      <c r="I274" s="1"/>
      <c r="J274" s="5">
        <f t="shared" ref="J274:J275" si="140">IF(H$12=0,0,H274/H$12)</f>
        <v>1.0615554678628581E-2</v>
      </c>
      <c r="K274" s="1"/>
      <c r="L274" s="1">
        <f t="shared" ref="L274:L275" si="141">+D274-H274</f>
        <v>-2364.829999999999</v>
      </c>
      <c r="M274" s="1"/>
      <c r="N274" s="5">
        <f t="shared" ref="N274:N275" si="142">IF(H274=0,0,L274/H274)</f>
        <v>-0.27736785374567341</v>
      </c>
      <c r="O274" s="13"/>
      <c r="P274" s="1">
        <f>SUM(OSRRefP22_24x_0)</f>
        <v>49088.17</v>
      </c>
      <c r="Q274" s="1"/>
      <c r="R274" s="5">
        <f t="shared" ref="R274:R275" si="143">IF(P$12=0,0,P274/P$12)</f>
        <v>8.6563809461991867E-3</v>
      </c>
      <c r="S274" s="1"/>
      <c r="T274" s="1">
        <f>SUM(OSRRefT22_24x_0)</f>
        <v>46858.79</v>
      </c>
      <c r="U274" s="1"/>
      <c r="V274" s="5">
        <f t="shared" ref="V274:V275" si="144">IF(T$12=0,0,T274/T$12)</f>
        <v>4.5536948557413637E-3</v>
      </c>
      <c r="W274" s="1"/>
      <c r="X274" s="1">
        <f t="shared" ref="X274:X275" si="145">+P274-T274</f>
        <v>2229.3799999999974</v>
      </c>
      <c r="Y274" s="1"/>
      <c r="Z274" s="5">
        <f t="shared" ref="Z274:Z275" si="146">IF(T274=0,0,X274/T274)</f>
        <v>4.7576559275218103E-2</v>
      </c>
    </row>
    <row r="275" spans="1:26" s="24" customFormat="1" hidden="1" outlineLevel="2" x14ac:dyDescent="0.25">
      <c r="A275" s="26"/>
      <c r="B275" s="11" t="str">
        <f>CONCATENATE("          ", "6274", " - ", "UTILITIES")</f>
        <v xml:space="preserve">          6274 - UTILITIES</v>
      </c>
      <c r="C275" s="11"/>
      <c r="D275" s="6">
        <v>6161.14</v>
      </c>
      <c r="E275" s="2"/>
      <c r="F275" s="7">
        <f t="shared" si="139"/>
        <v>1.5847571688119268E-2</v>
      </c>
      <c r="G275" s="2"/>
      <c r="H275" s="6">
        <v>8525.9699999999993</v>
      </c>
      <c r="I275" s="2"/>
      <c r="J275" s="7">
        <f t="shared" si="140"/>
        <v>1.0615554678628581E-2</v>
      </c>
      <c r="K275" s="2"/>
      <c r="L275" s="6">
        <f t="shared" si="141"/>
        <v>-2364.829999999999</v>
      </c>
      <c r="M275" s="2"/>
      <c r="N275" s="7">
        <f t="shared" si="142"/>
        <v>-0.27736785374567341</v>
      </c>
      <c r="O275" s="11"/>
      <c r="P275" s="6">
        <v>49088.17</v>
      </c>
      <c r="Q275" s="2"/>
      <c r="R275" s="7">
        <f t="shared" si="143"/>
        <v>8.6563809461991867E-3</v>
      </c>
      <c r="S275" s="2"/>
      <c r="T275" s="6">
        <v>46858.79</v>
      </c>
      <c r="U275" s="2"/>
      <c r="V275" s="7">
        <f t="shared" si="144"/>
        <v>4.5536948557413637E-3</v>
      </c>
      <c r="W275" s="2"/>
      <c r="X275" s="6">
        <f t="shared" si="145"/>
        <v>2229.3799999999974</v>
      </c>
      <c r="Y275" s="2"/>
      <c r="Z275" s="7">
        <f t="shared" si="146"/>
        <v>4.7576559275218103E-2</v>
      </c>
    </row>
    <row r="276" spans="1:26" s="52" customFormat="1" x14ac:dyDescent="0.25">
      <c r="A276" s="37"/>
      <c r="B276" s="37"/>
      <c r="C276" s="37"/>
      <c r="D276" s="1"/>
      <c r="E276" s="1"/>
      <c r="F276" s="5"/>
      <c r="G276" s="1"/>
      <c r="H276" s="1"/>
      <c r="I276" s="1"/>
      <c r="J276" s="5"/>
      <c r="K276" s="1"/>
      <c r="L276" s="1"/>
      <c r="M276" s="1"/>
      <c r="N276" s="5"/>
      <c r="O276" s="37"/>
      <c r="P276" s="1"/>
      <c r="Q276" s="1"/>
      <c r="R276" s="5"/>
      <c r="S276" s="1"/>
      <c r="T276" s="1"/>
      <c r="U276" s="1"/>
      <c r="V276" s="5"/>
      <c r="W276" s="1"/>
      <c r="X276" s="1"/>
      <c r="Y276" s="1"/>
      <c r="Z276" s="5"/>
    </row>
    <row r="277" spans="1:26" s="23" customFormat="1" collapsed="1" x14ac:dyDescent="0.25">
      <c r="A277" s="10"/>
      <c r="B277" s="28" t="s">
        <v>0</v>
      </c>
      <c r="C277" s="10"/>
      <c r="D277" s="4">
        <f>SUM(OSRRefD25x_0)</f>
        <v>197526.39999999999</v>
      </c>
      <c r="E277" s="4"/>
      <c r="F277" s="12">
        <f t="shared" ref="F277:F289" si="147">IF(D$12=0,0,D277/D$12)</f>
        <v>0.50807379548202469</v>
      </c>
      <c r="G277" s="4"/>
      <c r="H277" s="4">
        <f>SUM(OSRRefH25x_0)</f>
        <v>171470.09000000003</v>
      </c>
      <c r="I277" s="4"/>
      <c r="J277" s="12">
        <f t="shared" ref="J277:J289" si="148">IF(H$12=0,0,H277/H$12)</f>
        <v>0.21349478313251916</v>
      </c>
      <c r="K277" s="4"/>
      <c r="L277" s="4">
        <f t="shared" ref="L277:L289" si="149">+D277-H277</f>
        <v>26056.309999999969</v>
      </c>
      <c r="M277" s="4"/>
      <c r="N277" s="12">
        <f t="shared" ref="N277:N289" si="150">IF(H277=0,0,L277/H277)</f>
        <v>0.15195833862337138</v>
      </c>
      <c r="O277" s="10"/>
      <c r="P277" s="4">
        <f>SUM(OSRRefP25x_0)</f>
        <v>774534.05</v>
      </c>
      <c r="Q277" s="4"/>
      <c r="R277" s="12">
        <f t="shared" ref="R277:R289" si="151">IF(P$12=0,0,P277/P$12)</f>
        <v>0.13658406480833343</v>
      </c>
      <c r="S277" s="4"/>
      <c r="T277" s="4">
        <f>SUM(OSRRefT25x_0)</f>
        <v>651436.62</v>
      </c>
      <c r="U277" s="4"/>
      <c r="V277" s="12">
        <f t="shared" ref="V277:V289" si="152">IF(T$12=0,0,T277/T$12)</f>
        <v>6.3306021886940358E-2</v>
      </c>
      <c r="W277" s="4"/>
      <c r="X277" s="4">
        <f t="shared" ref="X277:X289" si="153">+P277-T277</f>
        <v>123097.43000000005</v>
      </c>
      <c r="Y277" s="4"/>
      <c r="Z277" s="12">
        <f t="shared" ref="Z277:Z289" si="154">IF(T277=0,0,X277/T277)</f>
        <v>0.1889630183823563</v>
      </c>
    </row>
    <row r="278" spans="1:26" s="24" customFormat="1" hidden="1" outlineLevel="1" x14ac:dyDescent="0.25">
      <c r="A278" s="44"/>
      <c r="B278" s="11" t="str">
        <f>CONCATENATE("          ", "4098", " - ", "TAXABLE SALES-GRAD RENTALS")</f>
        <v xml:space="preserve">          4098 - TAXABLE SALES-GRAD RENTALS</v>
      </c>
      <c r="C278" s="11"/>
      <c r="D278" s="2">
        <f>0</f>
        <v>0</v>
      </c>
      <c r="E278" s="2"/>
      <c r="F278" s="19">
        <f t="shared" si="147"/>
        <v>0</v>
      </c>
      <c r="G278" s="2"/>
      <c r="H278" s="2">
        <f>--110</f>
        <v>110</v>
      </c>
      <c r="I278" s="2"/>
      <c r="J278" s="19">
        <f t="shared" si="148"/>
        <v>1.3695931543849485E-4</v>
      </c>
      <c r="K278" s="2"/>
      <c r="L278" s="2">
        <f t="shared" si="149"/>
        <v>-110</v>
      </c>
      <c r="M278" s="2"/>
      <c r="N278" s="19">
        <f t="shared" si="150"/>
        <v>-1</v>
      </c>
      <c r="O278" s="11"/>
      <c r="P278" s="2">
        <f>0</f>
        <v>0</v>
      </c>
      <c r="Q278" s="2"/>
      <c r="R278" s="19">
        <f t="shared" si="151"/>
        <v>0</v>
      </c>
      <c r="S278" s="2"/>
      <c r="T278" s="2">
        <f>--2056.85</f>
        <v>2056.85</v>
      </c>
      <c r="U278" s="2"/>
      <c r="V278" s="19">
        <f t="shared" si="152"/>
        <v>1.9988282377824147E-4</v>
      </c>
      <c r="W278" s="2"/>
      <c r="X278" s="2">
        <f t="shared" si="153"/>
        <v>-2056.85</v>
      </c>
      <c r="Y278" s="2"/>
      <c r="Z278" s="19">
        <f t="shared" si="154"/>
        <v>-1</v>
      </c>
    </row>
    <row r="279" spans="1:26" s="24" customFormat="1" hidden="1" outlineLevel="1" x14ac:dyDescent="0.25">
      <c r="A279" s="44"/>
      <c r="B279" s="11" t="str">
        <f>CONCATENATE("          ", "4187", " - ", "NON-TAXABLE SALES-COMPUTER REP")</f>
        <v xml:space="preserve">          4187 - NON-TAXABLE SALES-COMPUTER REP</v>
      </c>
      <c r="C279" s="11"/>
      <c r="D279" s="2">
        <f>-231.36</f>
        <v>-231.36</v>
      </c>
      <c r="E279" s="2"/>
      <c r="F279" s="19">
        <f t="shared" si="147"/>
        <v>-5.95099962955439E-4</v>
      </c>
      <c r="G279" s="2"/>
      <c r="H279" s="2">
        <f>--681.93</f>
        <v>681.93</v>
      </c>
      <c r="I279" s="2"/>
      <c r="J279" s="19">
        <f t="shared" si="148"/>
        <v>8.490605997906618E-4</v>
      </c>
      <c r="K279" s="2"/>
      <c r="L279" s="2">
        <f t="shared" si="149"/>
        <v>-913.29</v>
      </c>
      <c r="M279" s="2"/>
      <c r="N279" s="19">
        <f t="shared" si="150"/>
        <v>-1.3392723593330693</v>
      </c>
      <c r="O279" s="11"/>
      <c r="P279" s="2">
        <f>--1454.51</f>
        <v>1454.51</v>
      </c>
      <c r="Q279" s="2"/>
      <c r="R279" s="19">
        <f t="shared" si="151"/>
        <v>2.5649342092109317E-4</v>
      </c>
      <c r="S279" s="2"/>
      <c r="T279" s="2">
        <f>--15792.86</f>
        <v>15792.86</v>
      </c>
      <c r="U279" s="2"/>
      <c r="V279" s="19">
        <f t="shared" si="152"/>
        <v>1.5347358593647757E-3</v>
      </c>
      <c r="W279" s="2"/>
      <c r="X279" s="2">
        <f t="shared" si="153"/>
        <v>-14338.35</v>
      </c>
      <c r="Y279" s="2"/>
      <c r="Z279" s="19">
        <f t="shared" si="154"/>
        <v>-0.90790078554486009</v>
      </c>
    </row>
    <row r="280" spans="1:26" s="24" customFormat="1" hidden="1" outlineLevel="1" x14ac:dyDescent="0.25">
      <c r="A280" s="44"/>
      <c r="B280" s="11" t="str">
        <f>CONCATENATE("          ", "4197", " - ", "NON-TAXABLE SALES-RETURNED CHE")</f>
        <v xml:space="preserve">          4197 - NON-TAXABLE SALES-RETURNED CHE</v>
      </c>
      <c r="C280" s="11"/>
      <c r="D280" s="2">
        <f t="shared" ref="D280:D283" si="155">0</f>
        <v>0</v>
      </c>
      <c r="E280" s="2"/>
      <c r="F280" s="19">
        <f t="shared" si="147"/>
        <v>0</v>
      </c>
      <c r="G280" s="2"/>
      <c r="H280" s="2">
        <f t="shared" ref="H280:H283" si="156">0</f>
        <v>0</v>
      </c>
      <c r="I280" s="2"/>
      <c r="J280" s="19">
        <f t="shared" si="148"/>
        <v>0</v>
      </c>
      <c r="K280" s="2"/>
      <c r="L280" s="2">
        <f t="shared" si="149"/>
        <v>0</v>
      </c>
      <c r="M280" s="2"/>
      <c r="N280" s="19">
        <f t="shared" si="150"/>
        <v>0</v>
      </c>
      <c r="O280" s="11"/>
      <c r="P280" s="2">
        <f t="shared" ref="P280:P283" si="157">0</f>
        <v>0</v>
      </c>
      <c r="Q280" s="2"/>
      <c r="R280" s="19">
        <f t="shared" si="151"/>
        <v>0</v>
      </c>
      <c r="S280" s="2"/>
      <c r="T280" s="2">
        <f>--30</f>
        <v>30</v>
      </c>
      <c r="U280" s="2"/>
      <c r="V280" s="19">
        <f t="shared" si="152"/>
        <v>2.9153728824888762E-6</v>
      </c>
      <c r="W280" s="2"/>
      <c r="X280" s="2">
        <f t="shared" si="153"/>
        <v>-30</v>
      </c>
      <c r="Y280" s="2"/>
      <c r="Z280" s="19">
        <f t="shared" si="154"/>
        <v>-1</v>
      </c>
    </row>
    <row r="281" spans="1:26" s="24" customFormat="1" hidden="1" outlineLevel="1" x14ac:dyDescent="0.25">
      <c r="A281" s="44"/>
      <c r="B281" s="11" t="str">
        <f>CONCATENATE("          ", "4198", " - ", "NON-TAXABLE SALES-GRAD RENTALS")</f>
        <v xml:space="preserve">          4198 - NON-TAXABLE SALES-GRAD RENTALS</v>
      </c>
      <c r="C281" s="11"/>
      <c r="D281" s="2">
        <f t="shared" si="155"/>
        <v>0</v>
      </c>
      <c r="E281" s="2"/>
      <c r="F281" s="19">
        <f t="shared" si="147"/>
        <v>0</v>
      </c>
      <c r="G281" s="2"/>
      <c r="H281" s="2">
        <f t="shared" si="156"/>
        <v>0</v>
      </c>
      <c r="I281" s="2"/>
      <c r="J281" s="19">
        <f t="shared" si="148"/>
        <v>0</v>
      </c>
      <c r="K281" s="2"/>
      <c r="L281" s="2">
        <f t="shared" si="149"/>
        <v>0</v>
      </c>
      <c r="M281" s="2"/>
      <c r="N281" s="19">
        <f t="shared" si="150"/>
        <v>0</v>
      </c>
      <c r="O281" s="11"/>
      <c r="P281" s="2">
        <f t="shared" si="157"/>
        <v>0</v>
      </c>
      <c r="Q281" s="2"/>
      <c r="R281" s="19">
        <f t="shared" si="151"/>
        <v>0</v>
      </c>
      <c r="S281" s="2"/>
      <c r="T281" s="2">
        <f>--3732.1</f>
        <v>3732.1</v>
      </c>
      <c r="U281" s="2"/>
      <c r="V281" s="19">
        <f t="shared" si="152"/>
        <v>3.6268210449122445E-4</v>
      </c>
      <c r="W281" s="2"/>
      <c r="X281" s="2">
        <f t="shared" si="153"/>
        <v>-3732.1</v>
      </c>
      <c r="Y281" s="2"/>
      <c r="Z281" s="19">
        <f t="shared" si="154"/>
        <v>-1</v>
      </c>
    </row>
    <row r="282" spans="1:26" s="24" customFormat="1" hidden="1" outlineLevel="1" x14ac:dyDescent="0.25">
      <c r="A282" s="44"/>
      <c r="B282" s="11" t="str">
        <f>CONCATENATE("          ", "4387", " - ", "SALES RETURN NON TAXABLE-COMPU")</f>
        <v xml:space="preserve">          4387 - SALES RETURN NON TAXABLE-COMPU</v>
      </c>
      <c r="C282" s="11"/>
      <c r="D282" s="2">
        <f t="shared" si="155"/>
        <v>0</v>
      </c>
      <c r="E282" s="2"/>
      <c r="F282" s="19">
        <f t="shared" si="147"/>
        <v>0</v>
      </c>
      <c r="G282" s="2"/>
      <c r="H282" s="2">
        <f t="shared" si="156"/>
        <v>0</v>
      </c>
      <c r="I282" s="2"/>
      <c r="J282" s="19">
        <f t="shared" si="148"/>
        <v>0</v>
      </c>
      <c r="K282" s="2"/>
      <c r="L282" s="2">
        <f t="shared" si="149"/>
        <v>0</v>
      </c>
      <c r="M282" s="2"/>
      <c r="N282" s="19">
        <f t="shared" si="150"/>
        <v>0</v>
      </c>
      <c r="O282" s="11"/>
      <c r="P282" s="2">
        <f t="shared" si="157"/>
        <v>0</v>
      </c>
      <c r="Q282" s="2"/>
      <c r="R282" s="19">
        <f t="shared" si="151"/>
        <v>0</v>
      </c>
      <c r="S282" s="2"/>
      <c r="T282" s="2">
        <f>-7889</f>
        <v>-7889</v>
      </c>
      <c r="U282" s="2"/>
      <c r="V282" s="19">
        <f t="shared" si="152"/>
        <v>-7.666458889984914E-4</v>
      </c>
      <c r="W282" s="2"/>
      <c r="X282" s="2">
        <f t="shared" si="153"/>
        <v>7889</v>
      </c>
      <c r="Y282" s="2"/>
      <c r="Z282" s="19">
        <f t="shared" si="154"/>
        <v>-1</v>
      </c>
    </row>
    <row r="283" spans="1:26" s="24" customFormat="1" hidden="1" outlineLevel="1" x14ac:dyDescent="0.25">
      <c r="A283" s="44"/>
      <c r="B283" s="11" t="str">
        <f>CONCATENATE("          ", "5087", " - ", "PURCHASES @ COST-COMPUTER REPA")</f>
        <v xml:space="preserve">          5087 - PURCHASES @ COST-COMPUTER REPA</v>
      </c>
      <c r="C283" s="11"/>
      <c r="D283" s="2">
        <f t="shared" si="155"/>
        <v>0</v>
      </c>
      <c r="E283" s="2"/>
      <c r="F283" s="19">
        <f t="shared" si="147"/>
        <v>0</v>
      </c>
      <c r="G283" s="2"/>
      <c r="H283" s="2">
        <f t="shared" si="156"/>
        <v>0</v>
      </c>
      <c r="I283" s="2"/>
      <c r="J283" s="19">
        <f t="shared" si="148"/>
        <v>0</v>
      </c>
      <c r="K283" s="2"/>
      <c r="L283" s="2">
        <f t="shared" si="149"/>
        <v>0</v>
      </c>
      <c r="M283" s="2"/>
      <c r="N283" s="19">
        <f t="shared" si="150"/>
        <v>0</v>
      </c>
      <c r="O283" s="11"/>
      <c r="P283" s="2">
        <f t="shared" si="157"/>
        <v>0</v>
      </c>
      <c r="Q283" s="2"/>
      <c r="R283" s="19">
        <f t="shared" si="151"/>
        <v>0</v>
      </c>
      <c r="S283" s="2"/>
      <c r="T283" s="2">
        <f>-56.72</f>
        <v>-56.72</v>
      </c>
      <c r="U283" s="2"/>
      <c r="V283" s="19">
        <f t="shared" si="152"/>
        <v>-5.5119983298256345E-6</v>
      </c>
      <c r="W283" s="2"/>
      <c r="X283" s="2">
        <f t="shared" si="153"/>
        <v>56.72</v>
      </c>
      <c r="Y283" s="2"/>
      <c r="Z283" s="19">
        <f t="shared" si="154"/>
        <v>-1</v>
      </c>
    </row>
    <row r="284" spans="1:26" s="24" customFormat="1" hidden="1" outlineLevel="1" x14ac:dyDescent="0.25">
      <c r="A284" s="44"/>
      <c r="B284" s="11" t="str">
        <f>CONCATENATE("          ", "9150", " - ", "MISC. INCOME")</f>
        <v xml:space="preserve">          9150 - MISC. INCOME</v>
      </c>
      <c r="C284" s="11"/>
      <c r="D284" s="2">
        <f>--53009.34</f>
        <v>53009.34</v>
      </c>
      <c r="E284" s="2"/>
      <c r="F284" s="19">
        <f t="shared" si="147"/>
        <v>0.1363496553868096</v>
      </c>
      <c r="G284" s="2"/>
      <c r="H284" s="2">
        <f>--77220.55</f>
        <v>77220.55</v>
      </c>
      <c r="I284" s="2"/>
      <c r="J284" s="19">
        <f t="shared" si="148"/>
        <v>9.6146124234400582E-2</v>
      </c>
      <c r="K284" s="2"/>
      <c r="L284" s="2">
        <f t="shared" si="149"/>
        <v>-24211.210000000006</v>
      </c>
      <c r="M284" s="2"/>
      <c r="N284" s="19">
        <f t="shared" si="150"/>
        <v>-0.31353324989267761</v>
      </c>
      <c r="O284" s="11"/>
      <c r="P284" s="2">
        <f>--300435.63</f>
        <v>300435.63</v>
      </c>
      <c r="Q284" s="2"/>
      <c r="R284" s="19">
        <f t="shared" si="151"/>
        <v>5.2979878106911474E-2</v>
      </c>
      <c r="S284" s="2"/>
      <c r="T284" s="2">
        <f>--369628.13</f>
        <v>369628.13</v>
      </c>
      <c r="U284" s="2"/>
      <c r="V284" s="19">
        <f t="shared" si="152"/>
        <v>3.5920127560235764E-2</v>
      </c>
      <c r="W284" s="2"/>
      <c r="X284" s="2">
        <f t="shared" si="153"/>
        <v>-69192.5</v>
      </c>
      <c r="Y284" s="2"/>
      <c r="Z284" s="19">
        <f t="shared" si="154"/>
        <v>-0.18719489774763626</v>
      </c>
    </row>
    <row r="285" spans="1:26" s="24" customFormat="1" hidden="1" outlineLevel="1" x14ac:dyDescent="0.25">
      <c r="A285" s="44"/>
      <c r="B285" s="11" t="str">
        <f>CONCATENATE("          ", "9151", " - ", "MISC. INCOME")</f>
        <v xml:space="preserve">          9151 - MISC. INCOME</v>
      </c>
      <c r="C285" s="11"/>
      <c r="D285" s="2">
        <f>--148653.31</f>
        <v>148653.31</v>
      </c>
      <c r="E285" s="2"/>
      <c r="F285" s="19">
        <f t="shared" si="147"/>
        <v>0.38236332673843099</v>
      </c>
      <c r="G285" s="2"/>
      <c r="H285" s="2">
        <f>--70124.28</f>
        <v>70124.28</v>
      </c>
      <c r="I285" s="2"/>
      <c r="J285" s="19">
        <f t="shared" si="148"/>
        <v>8.7310667131066694E-2</v>
      </c>
      <c r="K285" s="2"/>
      <c r="L285" s="2">
        <f t="shared" si="149"/>
        <v>78529.03</v>
      </c>
      <c r="M285" s="2"/>
      <c r="N285" s="19">
        <f t="shared" si="150"/>
        <v>1.1198550630395063</v>
      </c>
      <c r="O285" s="11"/>
      <c r="P285" s="2">
        <f>--297910.7</f>
        <v>297910.7</v>
      </c>
      <c r="Q285" s="2"/>
      <c r="R285" s="19">
        <f t="shared" si="151"/>
        <v>5.2534623049685127E-2</v>
      </c>
      <c r="S285" s="2"/>
      <c r="T285" s="2">
        <f>--156077.66</f>
        <v>156077.66</v>
      </c>
      <c r="U285" s="2"/>
      <c r="V285" s="19">
        <f t="shared" si="152"/>
        <v>1.5167485917543959E-2</v>
      </c>
      <c r="W285" s="2"/>
      <c r="X285" s="2">
        <f t="shared" si="153"/>
        <v>141833.04</v>
      </c>
      <c r="Y285" s="2"/>
      <c r="Z285" s="19">
        <f t="shared" si="154"/>
        <v>0.90873376753598178</v>
      </c>
    </row>
    <row r="286" spans="1:26" s="24" customFormat="1" hidden="1" outlineLevel="1" x14ac:dyDescent="0.25">
      <c r="A286" s="44"/>
      <c r="B286" s="11" t="str">
        <f>CONCATENATE("          ", "9152", " - ", "MISC. INCOME")</f>
        <v xml:space="preserve">          9152 - MISC. INCOME</v>
      </c>
      <c r="C286" s="11"/>
      <c r="D286" s="2">
        <f>--81.19</f>
        <v>81.19</v>
      </c>
      <c r="E286" s="2"/>
      <c r="F286" s="19">
        <f t="shared" si="147"/>
        <v>2.0883543392268366E-4</v>
      </c>
      <c r="G286" s="2"/>
      <c r="H286" s="2">
        <f t="shared" ref="H286:H288" si="158">0</f>
        <v>0</v>
      </c>
      <c r="I286" s="2"/>
      <c r="J286" s="19">
        <f t="shared" si="148"/>
        <v>0</v>
      </c>
      <c r="K286" s="2"/>
      <c r="L286" s="2">
        <f t="shared" si="149"/>
        <v>81.19</v>
      </c>
      <c r="M286" s="2"/>
      <c r="N286" s="19">
        <f t="shared" si="150"/>
        <v>0</v>
      </c>
      <c r="O286" s="11"/>
      <c r="P286" s="2">
        <f>--3313.45</f>
        <v>3313.45</v>
      </c>
      <c r="Q286" s="2"/>
      <c r="R286" s="19">
        <f t="shared" si="151"/>
        <v>5.8430545376174532E-4</v>
      </c>
      <c r="S286" s="2"/>
      <c r="T286" s="2">
        <f>--4699.86</f>
        <v>4699.8599999999997</v>
      </c>
      <c r="U286" s="2"/>
      <c r="V286" s="19">
        <f t="shared" si="152"/>
        <v>4.5672814651647229E-4</v>
      </c>
      <c r="W286" s="2"/>
      <c r="X286" s="2">
        <f t="shared" si="153"/>
        <v>-1386.4099999999999</v>
      </c>
      <c r="Y286" s="2"/>
      <c r="Z286" s="19">
        <f t="shared" si="154"/>
        <v>-0.29498963798921668</v>
      </c>
    </row>
    <row r="287" spans="1:26" s="24" customFormat="1" hidden="1" outlineLevel="1" x14ac:dyDescent="0.25">
      <c r="A287" s="44"/>
      <c r="B287" s="11" t="str">
        <f>CONCATENATE("          ", "9153", " - ", "MISC. INCOME")</f>
        <v xml:space="preserve">          9153 - MISC. INCOME</v>
      </c>
      <c r="C287" s="11"/>
      <c r="D287" s="2">
        <f t="shared" ref="D287:D288" si="159">0</f>
        <v>0</v>
      </c>
      <c r="E287" s="2"/>
      <c r="F287" s="19">
        <f t="shared" si="147"/>
        <v>0</v>
      </c>
      <c r="G287" s="2"/>
      <c r="H287" s="2">
        <f t="shared" si="158"/>
        <v>0</v>
      </c>
      <c r="I287" s="2"/>
      <c r="J287" s="19">
        <f t="shared" si="148"/>
        <v>0</v>
      </c>
      <c r="K287" s="2"/>
      <c r="L287" s="2">
        <f t="shared" si="149"/>
        <v>0</v>
      </c>
      <c r="M287" s="2"/>
      <c r="N287" s="19">
        <f t="shared" si="150"/>
        <v>0</v>
      </c>
      <c r="O287" s="11"/>
      <c r="P287" s="2">
        <f t="shared" ref="P287:P288" si="160">0</f>
        <v>0</v>
      </c>
      <c r="Q287" s="2"/>
      <c r="R287" s="19">
        <f t="shared" si="151"/>
        <v>0</v>
      </c>
      <c r="S287" s="2"/>
      <c r="T287" s="2">
        <f>--450</f>
        <v>450</v>
      </c>
      <c r="U287" s="2"/>
      <c r="V287" s="19">
        <f t="shared" si="152"/>
        <v>4.3730593237333142E-5</v>
      </c>
      <c r="W287" s="2"/>
      <c r="X287" s="2">
        <f t="shared" si="153"/>
        <v>-450</v>
      </c>
      <c r="Y287" s="2"/>
      <c r="Z287" s="19">
        <f t="shared" si="154"/>
        <v>-1</v>
      </c>
    </row>
    <row r="288" spans="1:26" s="24" customFormat="1" hidden="1" outlineLevel="1" x14ac:dyDescent="0.25">
      <c r="A288" s="44"/>
      <c r="B288" s="11" t="str">
        <f>CONCATENATE("          ", "9160", " - ", "MISC. INCOME")</f>
        <v xml:space="preserve">          9160 - MISC. INCOME</v>
      </c>
      <c r="C288" s="11"/>
      <c r="D288" s="2">
        <f t="shared" si="159"/>
        <v>0</v>
      </c>
      <c r="E288" s="2"/>
      <c r="F288" s="19">
        <f t="shared" si="147"/>
        <v>0</v>
      </c>
      <c r="G288" s="2"/>
      <c r="H288" s="2">
        <f t="shared" si="158"/>
        <v>0</v>
      </c>
      <c r="I288" s="2"/>
      <c r="J288" s="19">
        <f t="shared" si="148"/>
        <v>0</v>
      </c>
      <c r="K288" s="2"/>
      <c r="L288" s="2">
        <f t="shared" si="149"/>
        <v>0</v>
      </c>
      <c r="M288" s="2"/>
      <c r="N288" s="19">
        <f t="shared" si="150"/>
        <v>0</v>
      </c>
      <c r="O288" s="11"/>
      <c r="P288" s="2">
        <f t="shared" si="160"/>
        <v>0</v>
      </c>
      <c r="Q288" s="2"/>
      <c r="R288" s="19">
        <f t="shared" si="151"/>
        <v>0</v>
      </c>
      <c r="S288" s="2"/>
      <c r="T288" s="2">
        <f>--22475</f>
        <v>22475</v>
      </c>
      <c r="U288" s="2"/>
      <c r="V288" s="19">
        <f t="shared" si="152"/>
        <v>2.1841001844645829E-3</v>
      </c>
      <c r="W288" s="2"/>
      <c r="X288" s="2">
        <f t="shared" si="153"/>
        <v>-22475</v>
      </c>
      <c r="Y288" s="2"/>
      <c r="Z288" s="19">
        <f t="shared" si="154"/>
        <v>-1</v>
      </c>
    </row>
    <row r="289" spans="1:26" s="24" customFormat="1" hidden="1" outlineLevel="1" x14ac:dyDescent="0.25">
      <c r="A289" s="44"/>
      <c r="B289" s="11" t="str">
        <f>CONCATENATE("          ", "9163", " - ", "MISC. INCOME")</f>
        <v xml:space="preserve">          9163 - MISC. INCOME</v>
      </c>
      <c r="C289" s="11"/>
      <c r="D289" s="2">
        <f>-3986.08</f>
        <v>-3986.08</v>
      </c>
      <c r="E289" s="2"/>
      <c r="F289" s="19">
        <f t="shared" si="147"/>
        <v>-1.0252922114183162E-2</v>
      </c>
      <c r="G289" s="2"/>
      <c r="H289" s="2">
        <f>--23333.33</f>
        <v>23333.33</v>
      </c>
      <c r="I289" s="2"/>
      <c r="J289" s="19">
        <f t="shared" si="148"/>
        <v>2.9051971851822688E-2</v>
      </c>
      <c r="K289" s="2"/>
      <c r="L289" s="2">
        <f t="shared" si="149"/>
        <v>-27319.410000000003</v>
      </c>
      <c r="M289" s="2"/>
      <c r="N289" s="19">
        <f t="shared" si="150"/>
        <v>-1.1708320244045749</v>
      </c>
      <c r="O289" s="11"/>
      <c r="P289" s="2">
        <f>--171419.76</f>
        <v>171419.76</v>
      </c>
      <c r="Q289" s="2"/>
      <c r="R289" s="19">
        <f t="shared" si="151"/>
        <v>3.0228764777053971E-2</v>
      </c>
      <c r="S289" s="2"/>
      <c r="T289" s="2">
        <f>--84439.88</f>
        <v>84439.88</v>
      </c>
      <c r="U289" s="2"/>
      <c r="V289" s="19">
        <f t="shared" si="152"/>
        <v>8.2057912117538268E-3</v>
      </c>
      <c r="W289" s="2"/>
      <c r="X289" s="2">
        <f t="shared" si="153"/>
        <v>86979.88</v>
      </c>
      <c r="Y289" s="2"/>
      <c r="Z289" s="19">
        <f t="shared" si="154"/>
        <v>1.0300805733025675</v>
      </c>
    </row>
    <row r="290" spans="1:26" x14ac:dyDescent="0.25">
      <c r="A290" s="9"/>
      <c r="B290" s="10"/>
      <c r="C290" s="10"/>
      <c r="D290" s="3"/>
      <c r="E290" s="3"/>
      <c r="F290" s="8"/>
      <c r="G290" s="3"/>
      <c r="H290" s="3"/>
      <c r="I290" s="3"/>
      <c r="J290" s="8"/>
      <c r="K290" s="3"/>
      <c r="L290" s="3"/>
      <c r="M290" s="3"/>
      <c r="N290" s="8"/>
      <c r="O290" s="10"/>
      <c r="P290" s="3"/>
      <c r="Q290" s="3"/>
      <c r="R290" s="8"/>
      <c r="S290" s="3"/>
      <c r="T290" s="3"/>
      <c r="U290" s="3"/>
      <c r="V290" s="8"/>
      <c r="W290" s="3"/>
      <c r="X290" s="3"/>
      <c r="Y290" s="3"/>
      <c r="Z290" s="8"/>
    </row>
    <row r="291" spans="1:26" s="23" customFormat="1" x14ac:dyDescent="0.25">
      <c r="A291" s="10"/>
      <c r="B291" s="29" t="s">
        <v>3</v>
      </c>
      <c r="C291" s="29"/>
      <c r="D291" s="22">
        <f>+D186-D188+D277</f>
        <v>25728.609999999899</v>
      </c>
      <c r="E291" s="14"/>
      <c r="F291" s="20">
        <f>IF(D$12=0,0,D291/D$12)</f>
        <v>6.6178660347056009E-2</v>
      </c>
      <c r="G291" s="14"/>
      <c r="H291" s="22">
        <f>+H186-H188+H277</f>
        <v>3033.5399999998044</v>
      </c>
      <c r="I291" s="14"/>
      <c r="J291" s="20">
        <f>IF(H$12=0,0,H291/H$12)</f>
        <v>3.7770141977751357E-3</v>
      </c>
      <c r="K291" s="16"/>
      <c r="L291" s="22">
        <f>+D291-H291</f>
        <v>22695.070000000094</v>
      </c>
      <c r="M291" s="16"/>
      <c r="N291" s="20">
        <f>IF(H291=0,0,L291/H291)</f>
        <v>7.4813814882947174</v>
      </c>
      <c r="O291" s="28"/>
      <c r="P291" s="22">
        <f>+P186-P188+P277</f>
        <v>51078.240000000922</v>
      </c>
      <c r="Q291" s="14"/>
      <c r="R291" s="20">
        <f>IF(P$12=0,0,P291/P$12)</f>
        <v>9.0073169055069104E-3</v>
      </c>
      <c r="S291" s="14"/>
      <c r="T291" s="22">
        <f>+T186-T188+T277</f>
        <v>1115714.6999999988</v>
      </c>
      <c r="U291" s="14"/>
      <c r="V291" s="20">
        <f>IF(T$12=0,0,T291/T$12)</f>
        <v>0.10842414603247361</v>
      </c>
      <c r="W291" s="16"/>
      <c r="X291" s="22">
        <f>+P291-T291</f>
        <v>-1064636.4599999979</v>
      </c>
      <c r="Y291" s="16"/>
      <c r="Z291" s="20">
        <f>IF(T291=0,0,X291/T291)</f>
        <v>-0.95421926411832614</v>
      </c>
    </row>
    <row r="292" spans="1:26" x14ac:dyDescent="0.25">
      <c r="A292" s="9"/>
      <c r="B292" s="10"/>
      <c r="C292" s="9"/>
      <c r="D292" s="3"/>
      <c r="E292" s="3"/>
      <c r="F292" s="8"/>
      <c r="G292" s="3"/>
      <c r="H292" s="3"/>
      <c r="I292" s="3"/>
      <c r="J292" s="8"/>
      <c r="K292" s="3"/>
      <c r="L292" s="3"/>
      <c r="M292" s="3"/>
      <c r="N292" s="8"/>
      <c r="P292" s="3"/>
      <c r="Q292" s="3"/>
      <c r="R292" s="8"/>
      <c r="S292" s="3"/>
      <c r="T292" s="3"/>
      <c r="U292" s="3"/>
      <c r="V292" s="8"/>
      <c r="W292" s="3"/>
      <c r="X292" s="3"/>
      <c r="Y292" s="3"/>
      <c r="Z292" s="8"/>
    </row>
    <row r="293" spans="1:26" s="23" customFormat="1" x14ac:dyDescent="0.25">
      <c r="A293" s="51"/>
      <c r="B293" s="10" t="s">
        <v>13</v>
      </c>
      <c r="C293" s="10"/>
      <c r="D293" s="4">
        <v>164193.13</v>
      </c>
      <c r="E293" s="4"/>
      <c r="F293" s="12">
        <f>IF(D$12=0,0,D293/D$12)</f>
        <v>0.42233456768904559</v>
      </c>
      <c r="G293" s="4"/>
      <c r="H293" s="4">
        <v>59410.599999999991</v>
      </c>
      <c r="I293" s="4"/>
      <c r="J293" s="12">
        <f>IF(H$12=0,0,H293/H$12)</f>
        <v>7.3971228234456746E-2</v>
      </c>
      <c r="K293" s="4"/>
      <c r="L293" s="4">
        <f>+D293-H293</f>
        <v>104782.53000000001</v>
      </c>
      <c r="M293" s="4"/>
      <c r="N293" s="12">
        <f>IF(H293=0,0,L293/H293)</f>
        <v>1.7637009220576805</v>
      </c>
      <c r="O293" s="10"/>
      <c r="P293" s="4">
        <v>1123011.28</v>
      </c>
      <c r="Q293" s="4"/>
      <c r="R293" s="12">
        <f>IF(P$12=0,0,P293/P$12)</f>
        <v>0.19803576801821621</v>
      </c>
      <c r="S293" s="4"/>
      <c r="T293" s="4">
        <v>1048782.9099999999</v>
      </c>
      <c r="U293" s="4"/>
      <c r="V293" s="12">
        <f>IF(T$12=0,0,T293/T$12)</f>
        <v>0.10191977518105905</v>
      </c>
      <c r="W293" s="4"/>
      <c r="X293" s="4">
        <f>+P293-T293</f>
        <v>74228.370000000112</v>
      </c>
      <c r="Y293" s="4"/>
      <c r="Z293" s="12">
        <f>IF(T293=0,0,X293/T293)</f>
        <v>7.0775724215414726E-2</v>
      </c>
    </row>
    <row r="294" spans="1:26" x14ac:dyDescent="0.25">
      <c r="A294" s="9"/>
      <c r="B294" s="10"/>
      <c r="C294" s="10"/>
      <c r="D294" s="3"/>
      <c r="E294" s="3"/>
      <c r="F294" s="8"/>
      <c r="G294" s="3"/>
      <c r="H294" s="3"/>
      <c r="I294" s="3"/>
      <c r="J294" s="8"/>
      <c r="K294" s="3"/>
      <c r="L294" s="3"/>
      <c r="M294" s="3"/>
      <c r="N294" s="8"/>
      <c r="O294" s="10"/>
      <c r="P294" s="3"/>
      <c r="Q294" s="3"/>
      <c r="R294" s="8"/>
      <c r="S294" s="3"/>
      <c r="T294" s="3"/>
      <c r="U294" s="3"/>
      <c r="V294" s="8"/>
      <c r="W294" s="3"/>
      <c r="X294" s="3"/>
      <c r="Y294" s="3"/>
      <c r="Z294" s="8"/>
    </row>
    <row r="295" spans="1:26" s="23" customFormat="1" ht="15.75" thickBot="1" x14ac:dyDescent="0.3">
      <c r="A295" s="10"/>
      <c r="B295" s="29" t="s">
        <v>4</v>
      </c>
      <c r="C295" s="29"/>
      <c r="D295" s="35">
        <f>+D291-D293</f>
        <v>-138464.52000000011</v>
      </c>
      <c r="E295" s="14"/>
      <c r="F295" s="36">
        <f>IF(D$12=0,0,D295/D$12)</f>
        <v>-0.35615590734198954</v>
      </c>
      <c r="G295" s="14"/>
      <c r="H295" s="35">
        <f>+H291-H293</f>
        <v>-56377.060000000187</v>
      </c>
      <c r="I295" s="14"/>
      <c r="J295" s="36">
        <f>IF(H$12=0,0,H295/H$12)</f>
        <v>-7.0194214036681607E-2</v>
      </c>
      <c r="K295" s="16"/>
      <c r="L295" s="35">
        <f>D295-H295</f>
        <v>-82087.459999999919</v>
      </c>
      <c r="M295" s="16"/>
      <c r="N295" s="36">
        <f>IF(H295=0,0,L295/H295)</f>
        <v>1.4560436461213062</v>
      </c>
      <c r="O295" s="28"/>
      <c r="P295" s="35">
        <f>+P291-P293</f>
        <v>-1071933.0399999991</v>
      </c>
      <c r="Q295" s="14"/>
      <c r="R295" s="36">
        <f>IF(P$12=0,0,P295/P$12)</f>
        <v>-0.18902845111270927</v>
      </c>
      <c r="S295" s="14"/>
      <c r="T295" s="35">
        <f>+T291-T293</f>
        <v>66931.789999998873</v>
      </c>
      <c r="U295" s="14"/>
      <c r="V295" s="36">
        <f>IF(T$12=0,0,T295/T$12)</f>
        <v>6.5043708514145619E-3</v>
      </c>
      <c r="W295" s="16"/>
      <c r="X295" s="35">
        <f>P295-T295</f>
        <v>-1138864.829999998</v>
      </c>
      <c r="Y295" s="16"/>
      <c r="Z295" s="36">
        <f>IF(T295=0,0,X295/T295)</f>
        <v>-17.015305133778988</v>
      </c>
    </row>
    <row r="296" spans="1:26" ht="15.75" thickTop="1" x14ac:dyDescent="0.25">
      <c r="A296" s="9"/>
      <c r="B296" s="9"/>
      <c r="C296" s="9"/>
      <c r="D296" s="3"/>
      <c r="E296" s="3"/>
      <c r="F296" s="8"/>
      <c r="G296" s="3"/>
      <c r="H296" s="3"/>
      <c r="I296" s="3"/>
      <c r="J296" s="8"/>
      <c r="K296" s="3"/>
      <c r="L296" s="3"/>
      <c r="M296" s="3"/>
      <c r="N296" s="8"/>
      <c r="P296" s="3"/>
      <c r="Q296" s="3"/>
      <c r="R296" s="8"/>
      <c r="S296" s="3"/>
      <c r="T296" s="3"/>
      <c r="U296" s="3"/>
      <c r="V296" s="8"/>
      <c r="W296" s="3"/>
      <c r="X296" s="3"/>
      <c r="Y296" s="3"/>
      <c r="Z296" s="8"/>
    </row>
    <row r="297" spans="1:26" x14ac:dyDescent="0.25">
      <c r="A297" s="9"/>
      <c r="B297" s="9"/>
      <c r="C297" s="9"/>
      <c r="D297" s="3"/>
      <c r="E297" s="3"/>
      <c r="F297" s="8"/>
      <c r="G297" s="3"/>
      <c r="H297" s="3"/>
      <c r="I297" s="3"/>
      <c r="J297" s="8"/>
      <c r="K297" s="3"/>
      <c r="L297" s="3"/>
      <c r="M297" s="3"/>
      <c r="N297" s="8"/>
      <c r="P297" s="3"/>
      <c r="Q297" s="3"/>
      <c r="R297" s="8"/>
      <c r="S297" s="3"/>
      <c r="T297" s="3"/>
      <c r="U297" s="3"/>
      <c r="V297" s="8"/>
      <c r="W297" s="3"/>
      <c r="X297" s="3"/>
      <c r="Y297" s="3"/>
      <c r="Z297" s="8"/>
    </row>
    <row r="298" spans="1:26" s="23" customFormat="1" ht="15.75" thickBot="1" x14ac:dyDescent="0.3">
      <c r="A298" s="10"/>
      <c r="B298" s="29" t="s">
        <v>5</v>
      </c>
      <c r="C298" s="29"/>
      <c r="D298" s="31">
        <f>SUM(D295:D297)</f>
        <v>-138464.52000000011</v>
      </c>
      <c r="E298" s="14"/>
      <c r="F298" s="33">
        <f>IF(D$12=0,0,D298/D$12)</f>
        <v>-0.35615590734198954</v>
      </c>
      <c r="G298" s="14"/>
      <c r="H298" s="31">
        <f>SUM(H295:H297)</f>
        <v>-56377.060000000187</v>
      </c>
      <c r="I298" s="14"/>
      <c r="J298" s="33">
        <f>IF(H$12=0,0,H298/H$12)</f>
        <v>-7.0194214036681607E-2</v>
      </c>
      <c r="K298" s="16"/>
      <c r="L298" s="31">
        <f>+D298-H298</f>
        <v>-82087.459999999919</v>
      </c>
      <c r="M298" s="16"/>
      <c r="N298" s="33">
        <f>IF(H298=0,0,L298/H298)</f>
        <v>1.4560436461213062</v>
      </c>
      <c r="O298" s="28"/>
      <c r="P298" s="31">
        <f>SUM(P295:P297)</f>
        <v>-1071933.0399999991</v>
      </c>
      <c r="Q298" s="14"/>
      <c r="R298" s="33">
        <f>IF(P$12=0,0,P298/P$12)</f>
        <v>-0.18902845111270927</v>
      </c>
      <c r="S298" s="14"/>
      <c r="T298" s="31">
        <f>SUM(T295:T297)</f>
        <v>66931.789999998873</v>
      </c>
      <c r="U298" s="14"/>
      <c r="V298" s="33">
        <f>IF(T$12=0,0,T298/T$12)</f>
        <v>6.5043708514145619E-3</v>
      </c>
      <c r="W298" s="16"/>
      <c r="X298" s="31">
        <f>+P298-T298</f>
        <v>-1138864.829999998</v>
      </c>
      <c r="Y298" s="16"/>
      <c r="Z298" s="33">
        <f>IF(T298=0,0,X298/T298)</f>
        <v>-17.015305133778988</v>
      </c>
    </row>
    <row r="299" spans="1:26" ht="15.75" thickTop="1" x14ac:dyDescent="0.25">
      <c r="A299" s="9"/>
      <c r="C299" s="9"/>
      <c r="D299" s="18"/>
      <c r="E299" s="18"/>
      <c r="G299" s="18"/>
      <c r="H299" s="18"/>
      <c r="I299" s="18"/>
      <c r="J299" s="43"/>
      <c r="K299" s="18"/>
      <c r="L299" s="18"/>
      <c r="M299" s="18"/>
      <c r="P299" s="18"/>
      <c r="Q299" s="18"/>
      <c r="R299" s="43"/>
      <c r="S299" s="18"/>
      <c r="T299" s="18"/>
      <c r="U299" s="18"/>
      <c r="V299" s="43"/>
      <c r="W299" s="18"/>
      <c r="X299" s="18"/>
    </row>
    <row r="300" spans="1:26" x14ac:dyDescent="0.25">
      <c r="A300" s="9"/>
      <c r="B300" s="56">
        <v>44267.667829826387</v>
      </c>
      <c r="D300" s="18"/>
      <c r="E300" s="18"/>
      <c r="G300" s="18"/>
      <c r="H300" s="18"/>
      <c r="I300" s="18"/>
      <c r="J300" s="43"/>
      <c r="K300" s="18"/>
      <c r="L300" s="18"/>
      <c r="M300" s="18"/>
      <c r="P300" s="18"/>
      <c r="Q300" s="18"/>
      <c r="R300" s="43"/>
      <c r="S300" s="18"/>
      <c r="T300" s="18"/>
      <c r="U300" s="18"/>
      <c r="V300" s="43"/>
      <c r="W300" s="18"/>
      <c r="X300" s="18"/>
    </row>
    <row r="301" spans="1:26" x14ac:dyDescent="0.25">
      <c r="A301" s="9"/>
      <c r="B301" s="54" t="s">
        <v>313</v>
      </c>
      <c r="D301" s="18"/>
      <c r="E301" s="18"/>
      <c r="G301" s="18"/>
      <c r="H301" s="18"/>
      <c r="I301" s="18"/>
      <c r="J301" s="43"/>
      <c r="K301" s="18"/>
      <c r="L301" s="18"/>
      <c r="M301" s="18"/>
      <c r="P301" s="18"/>
      <c r="Q301" s="18"/>
      <c r="R301" s="43"/>
      <c r="S301" s="18"/>
      <c r="T301" s="18"/>
      <c r="U301" s="18"/>
      <c r="V301" s="43"/>
      <c r="W301" s="18"/>
      <c r="X301" s="18"/>
    </row>
    <row r="302" spans="1:26" x14ac:dyDescent="0.25">
      <c r="A302" s="9"/>
      <c r="B302" s="58"/>
      <c r="D302" s="18"/>
      <c r="E302" s="18"/>
      <c r="G302" s="18"/>
      <c r="H302" s="18"/>
      <c r="I302" s="18"/>
      <c r="J302" s="43"/>
      <c r="K302" s="18"/>
      <c r="L302" s="18"/>
      <c r="M302" s="18"/>
      <c r="P302" s="18"/>
      <c r="Q302" s="18"/>
      <c r="R302" s="43"/>
      <c r="S302" s="18"/>
      <c r="T302" s="18"/>
      <c r="U302" s="18"/>
      <c r="V302" s="43"/>
      <c r="W302" s="18"/>
      <c r="X302" s="18"/>
    </row>
    <row r="303" spans="1:26" x14ac:dyDescent="0.25">
      <c r="D303" s="18"/>
      <c r="E303" s="18"/>
      <c r="G303" s="18"/>
      <c r="H303" s="18"/>
      <c r="I303" s="18"/>
      <c r="J303" s="43"/>
      <c r="K303" s="18"/>
      <c r="L303" s="18"/>
      <c r="M303" s="18"/>
      <c r="P303" s="18"/>
      <c r="Q303" s="18"/>
      <c r="R303" s="43"/>
      <c r="S303" s="18"/>
      <c r="T303" s="18"/>
      <c r="U303" s="18"/>
      <c r="V303" s="43"/>
      <c r="W303" s="18"/>
      <c r="X303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","301", " - ", "Bookstore Operations")</f>
        <v>Department 301 - Bookstore Operations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123498.38999999996</v>
      </c>
      <c r="E18" s="21"/>
      <c r="F18" s="32">
        <f t="shared" ref="F18:F29" si="0">IF(D$12=0,0,D18/D$12)</f>
        <v>0</v>
      </c>
      <c r="G18" s="21"/>
      <c r="H18" s="21">
        <f>SUM(OSRRefH22x_0)</f>
        <v>82379.670000000013</v>
      </c>
      <c r="I18" s="21"/>
      <c r="J18" s="32">
        <f t="shared" ref="J18:J29" si="1">IF(H$12=0,0,H18/H$12)</f>
        <v>0</v>
      </c>
      <c r="K18" s="4"/>
      <c r="L18" s="21">
        <f t="shared" ref="L18:L29" si="2">+D18-H18</f>
        <v>41118.719999999943</v>
      </c>
      <c r="M18" s="4"/>
      <c r="N18" s="32">
        <f t="shared" ref="N18:N29" si="3">IF(H18=0,0,L18/H18)</f>
        <v>0.49913674089735899</v>
      </c>
      <c r="O18" s="10"/>
      <c r="P18" s="21">
        <f>SUM(OSRRefP22x_0)</f>
        <v>999545.90000000014</v>
      </c>
      <c r="Q18" s="21"/>
      <c r="R18" s="32">
        <f t="shared" ref="R18:R29" si="4">IF(P$12=0,0,P18/P$12)</f>
        <v>0</v>
      </c>
      <c r="S18" s="21"/>
      <c r="T18" s="21">
        <f>SUM(OSRRefT22x_0)</f>
        <v>1024091.26</v>
      </c>
      <c r="U18" s="21"/>
      <c r="V18" s="32">
        <f t="shared" ref="V18:V29" si="5">IF(T$12=0,0,T18/T$12)</f>
        <v>0</v>
      </c>
      <c r="W18" s="4"/>
      <c r="X18" s="21">
        <f t="shared" ref="X18:X29" si="6">+P18-T18</f>
        <v>-24545.35999999987</v>
      </c>
      <c r="Y18" s="4"/>
      <c r="Z18" s="32">
        <f t="shared" ref="Z18:Z29" si="7">IF(T18=0,0,X18/T18)</f>
        <v>-2.3967942075787143E-2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11356.98</v>
      </c>
      <c r="E19" s="1"/>
      <c r="F19" s="5">
        <f t="shared" si="0"/>
        <v>0</v>
      </c>
      <c r="G19" s="1"/>
      <c r="H19" s="1">
        <f>SUM(OSRRefH22_0x_0)</f>
        <v>9542.64</v>
      </c>
      <c r="I19" s="1"/>
      <c r="J19" s="5">
        <f t="shared" si="1"/>
        <v>0</v>
      </c>
      <c r="K19" s="1"/>
      <c r="L19" s="1">
        <f t="shared" si="2"/>
        <v>1814.3400000000001</v>
      </c>
      <c r="M19" s="1"/>
      <c r="N19" s="5">
        <f t="shared" si="3"/>
        <v>0.1901297754080632</v>
      </c>
      <c r="O19" s="13"/>
      <c r="P19" s="1">
        <f>SUM(OSRRefP22_0x_0)</f>
        <v>74168.800000000003</v>
      </c>
      <c r="Q19" s="1"/>
      <c r="R19" s="5">
        <f t="shared" si="4"/>
        <v>0</v>
      </c>
      <c r="S19" s="1"/>
      <c r="T19" s="1">
        <f>SUM(OSRRefT22_0x_0)</f>
        <v>100557.65</v>
      </c>
      <c r="U19" s="1"/>
      <c r="V19" s="5">
        <f t="shared" si="5"/>
        <v>0</v>
      </c>
      <c r="W19" s="1"/>
      <c r="X19" s="1">
        <f t="shared" si="6"/>
        <v>-26388.849999999991</v>
      </c>
      <c r="Y19" s="1"/>
      <c r="Z19" s="5">
        <f t="shared" si="7"/>
        <v>-0.26242508650510421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2042.25</v>
      </c>
      <c r="E20" s="2"/>
      <c r="F20" s="7">
        <f t="shared" si="0"/>
        <v>0</v>
      </c>
      <c r="G20" s="2"/>
      <c r="H20" s="6">
        <v>1697.98</v>
      </c>
      <c r="I20" s="2"/>
      <c r="J20" s="7">
        <f t="shared" si="1"/>
        <v>0</v>
      </c>
      <c r="K20" s="2"/>
      <c r="L20" s="6">
        <f t="shared" si="2"/>
        <v>344.27</v>
      </c>
      <c r="M20" s="2"/>
      <c r="N20" s="7">
        <f t="shared" si="3"/>
        <v>0.20275268259932389</v>
      </c>
      <c r="O20" s="11"/>
      <c r="P20" s="6">
        <v>19142.329999999998</v>
      </c>
      <c r="Q20" s="2"/>
      <c r="R20" s="7">
        <f t="shared" si="4"/>
        <v>0</v>
      </c>
      <c r="S20" s="2"/>
      <c r="T20" s="6">
        <v>20410.169999999998</v>
      </c>
      <c r="U20" s="2"/>
      <c r="V20" s="7">
        <f t="shared" si="5"/>
        <v>0</v>
      </c>
      <c r="W20" s="2"/>
      <c r="X20" s="6">
        <f t="shared" si="6"/>
        <v>-1267.8400000000001</v>
      </c>
      <c r="Y20" s="2"/>
      <c r="Z20" s="7">
        <f t="shared" si="7"/>
        <v>-6.2118051931953543E-2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626.67999999999995</v>
      </c>
      <c r="E21" s="2"/>
      <c r="F21" s="7">
        <f t="shared" si="0"/>
        <v>0</v>
      </c>
      <c r="G21" s="2"/>
      <c r="H21" s="6">
        <v>901.49</v>
      </c>
      <c r="I21" s="2"/>
      <c r="J21" s="7">
        <f t="shared" si="1"/>
        <v>0</v>
      </c>
      <c r="K21" s="2"/>
      <c r="L21" s="6">
        <f t="shared" si="2"/>
        <v>-274.81000000000006</v>
      </c>
      <c r="M21" s="2"/>
      <c r="N21" s="7">
        <f t="shared" si="3"/>
        <v>-0.30483976527748513</v>
      </c>
      <c r="O21" s="11"/>
      <c r="P21" s="6">
        <v>5858.63</v>
      </c>
      <c r="Q21" s="2"/>
      <c r="R21" s="7">
        <f t="shared" si="4"/>
        <v>0</v>
      </c>
      <c r="S21" s="2"/>
      <c r="T21" s="6">
        <v>5172.8599999999997</v>
      </c>
      <c r="U21" s="2"/>
      <c r="V21" s="7">
        <f t="shared" si="5"/>
        <v>0</v>
      </c>
      <c r="W21" s="2"/>
      <c r="X21" s="6">
        <f t="shared" si="6"/>
        <v>685.77000000000044</v>
      </c>
      <c r="Y21" s="2"/>
      <c r="Z21" s="7">
        <f t="shared" si="7"/>
        <v>0.13257076356213013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5096.28</v>
      </c>
      <c r="E22" s="2"/>
      <c r="F22" s="7">
        <f t="shared" si="0"/>
        <v>0</v>
      </c>
      <c r="G22" s="2"/>
      <c r="H22" s="6">
        <v>3247.78</v>
      </c>
      <c r="I22" s="2"/>
      <c r="J22" s="7">
        <f t="shared" si="1"/>
        <v>0</v>
      </c>
      <c r="K22" s="2"/>
      <c r="L22" s="6">
        <f t="shared" si="2"/>
        <v>1848.4999999999995</v>
      </c>
      <c r="M22" s="2"/>
      <c r="N22" s="7">
        <f t="shared" si="3"/>
        <v>0.56915800947108464</v>
      </c>
      <c r="O22" s="11"/>
      <c r="P22" s="6">
        <v>20044.289999999997</v>
      </c>
      <c r="Q22" s="2"/>
      <c r="R22" s="7">
        <f t="shared" si="4"/>
        <v>0</v>
      </c>
      <c r="S22" s="2"/>
      <c r="T22" s="6">
        <v>33815.550000000003</v>
      </c>
      <c r="U22" s="2"/>
      <c r="V22" s="7">
        <f t="shared" si="5"/>
        <v>0</v>
      </c>
      <c r="W22" s="2"/>
      <c r="X22" s="6">
        <f t="shared" si="6"/>
        <v>-13771.260000000006</v>
      </c>
      <c r="Y22" s="2"/>
      <c r="Z22" s="7">
        <f t="shared" si="7"/>
        <v>-0.40724637038285655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96.97</v>
      </c>
      <c r="E23" s="2"/>
      <c r="F23" s="7">
        <f t="shared" si="0"/>
        <v>0</v>
      </c>
      <c r="G23" s="2"/>
      <c r="H23" s="6">
        <v>135.44999999999999</v>
      </c>
      <c r="I23" s="2"/>
      <c r="J23" s="7">
        <f t="shared" si="1"/>
        <v>0</v>
      </c>
      <c r="K23" s="2"/>
      <c r="L23" s="6">
        <f t="shared" si="2"/>
        <v>-38.47999999999999</v>
      </c>
      <c r="M23" s="2"/>
      <c r="N23" s="7">
        <f t="shared" si="3"/>
        <v>-0.28409007013658172</v>
      </c>
      <c r="O23" s="11"/>
      <c r="P23" s="6">
        <v>917.39</v>
      </c>
      <c r="Q23" s="2"/>
      <c r="R23" s="7">
        <f t="shared" si="4"/>
        <v>0</v>
      </c>
      <c r="S23" s="2"/>
      <c r="T23" s="6">
        <v>1131.54</v>
      </c>
      <c r="U23" s="2"/>
      <c r="V23" s="7">
        <f t="shared" si="5"/>
        <v>0</v>
      </c>
      <c r="W23" s="2"/>
      <c r="X23" s="6">
        <f t="shared" si="6"/>
        <v>-214.14999999999998</v>
      </c>
      <c r="Y23" s="2"/>
      <c r="Z23" s="7">
        <f t="shared" si="7"/>
        <v>-0.18925535111441044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1040.94</v>
      </c>
      <c r="E24" s="2"/>
      <c r="F24" s="7">
        <f t="shared" si="0"/>
        <v>0</v>
      </c>
      <c r="G24" s="2"/>
      <c r="H24" s="6">
        <v>1534.61</v>
      </c>
      <c r="I24" s="2"/>
      <c r="J24" s="7">
        <f t="shared" si="1"/>
        <v>0</v>
      </c>
      <c r="K24" s="2"/>
      <c r="L24" s="6">
        <f t="shared" si="2"/>
        <v>-493.66999999999985</v>
      </c>
      <c r="M24" s="2"/>
      <c r="N24" s="7">
        <f t="shared" si="3"/>
        <v>-0.32169085305061212</v>
      </c>
      <c r="O24" s="11"/>
      <c r="P24" s="6">
        <v>10509.83</v>
      </c>
      <c r="Q24" s="2"/>
      <c r="R24" s="7">
        <f t="shared" si="4"/>
        <v>0</v>
      </c>
      <c r="S24" s="2"/>
      <c r="T24" s="6">
        <v>16136.21</v>
      </c>
      <c r="U24" s="2"/>
      <c r="V24" s="7">
        <f t="shared" si="5"/>
        <v>0</v>
      </c>
      <c r="W24" s="2"/>
      <c r="X24" s="6">
        <f t="shared" si="6"/>
        <v>-5626.3799999999992</v>
      </c>
      <c r="Y24" s="2"/>
      <c r="Z24" s="7">
        <f t="shared" si="7"/>
        <v>-0.34868039025272968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401.9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401.9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6">
        <v>210.48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210.48</v>
      </c>
      <c r="M26" s="2"/>
      <c r="N26" s="7">
        <f t="shared" si="3"/>
        <v>0</v>
      </c>
      <c r="O26" s="11"/>
      <c r="P26" s="6">
        <v>609.44000000000005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609.44000000000005</v>
      </c>
      <c r="Y26" s="2"/>
      <c r="Z26" s="7">
        <f t="shared" si="7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6">
        <v>1188.92</v>
      </c>
      <c r="E27" s="2"/>
      <c r="F27" s="7">
        <f t="shared" si="0"/>
        <v>0</v>
      </c>
      <c r="G27" s="2"/>
      <c r="H27" s="6">
        <v>952.72</v>
      </c>
      <c r="I27" s="2"/>
      <c r="J27" s="7">
        <f t="shared" si="1"/>
        <v>0</v>
      </c>
      <c r="K27" s="2"/>
      <c r="L27" s="6">
        <f t="shared" si="2"/>
        <v>236.20000000000005</v>
      </c>
      <c r="M27" s="2"/>
      <c r="N27" s="7">
        <f t="shared" si="3"/>
        <v>0.24792173986060967</v>
      </c>
      <c r="O27" s="11"/>
      <c r="P27" s="6">
        <v>9071.77</v>
      </c>
      <c r="Q27" s="2"/>
      <c r="R27" s="7">
        <f t="shared" si="4"/>
        <v>0</v>
      </c>
      <c r="S27" s="2"/>
      <c r="T27" s="6">
        <v>12927.01</v>
      </c>
      <c r="U27" s="2"/>
      <c r="V27" s="7">
        <f t="shared" si="5"/>
        <v>0</v>
      </c>
      <c r="W27" s="2"/>
      <c r="X27" s="6">
        <f t="shared" si="6"/>
        <v>-3855.24</v>
      </c>
      <c r="Y27" s="2"/>
      <c r="Z27" s="7">
        <f t="shared" si="7"/>
        <v>-0.2982313775575326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6">
        <v>832.35</v>
      </c>
      <c r="E28" s="2"/>
      <c r="F28" s="7">
        <f t="shared" si="0"/>
        <v>0</v>
      </c>
      <c r="G28" s="2"/>
      <c r="H28" s="6">
        <v>769.49</v>
      </c>
      <c r="I28" s="2"/>
      <c r="J28" s="7">
        <f t="shared" si="1"/>
        <v>0</v>
      </c>
      <c r="K28" s="2"/>
      <c r="L28" s="6">
        <f t="shared" si="2"/>
        <v>62.860000000000014</v>
      </c>
      <c r="M28" s="2"/>
      <c r="N28" s="7">
        <f t="shared" si="3"/>
        <v>8.1690470311505045E-2</v>
      </c>
      <c r="O28" s="11"/>
      <c r="P28" s="6">
        <v>6102.73</v>
      </c>
      <c r="Q28" s="2"/>
      <c r="R28" s="7">
        <f t="shared" si="4"/>
        <v>0</v>
      </c>
      <c r="S28" s="2"/>
      <c r="T28" s="6">
        <v>8046.69</v>
      </c>
      <c r="U28" s="2"/>
      <c r="V28" s="7">
        <f t="shared" si="5"/>
        <v>0</v>
      </c>
      <c r="W28" s="2"/>
      <c r="X28" s="6">
        <f t="shared" si="6"/>
        <v>-1943.96</v>
      </c>
      <c r="Y28" s="2"/>
      <c r="Z28" s="7">
        <f t="shared" si="7"/>
        <v>-0.24158504925627805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6">
        <v>222.11</v>
      </c>
      <c r="E29" s="2"/>
      <c r="F29" s="7">
        <f t="shared" si="0"/>
        <v>0</v>
      </c>
      <c r="G29" s="2"/>
      <c r="H29" s="6">
        <v>303.12</v>
      </c>
      <c r="I29" s="2"/>
      <c r="J29" s="7">
        <f t="shared" si="1"/>
        <v>0</v>
      </c>
      <c r="K29" s="2"/>
      <c r="L29" s="6">
        <f t="shared" si="2"/>
        <v>-81.009999999999991</v>
      </c>
      <c r="M29" s="2"/>
      <c r="N29" s="7">
        <f t="shared" si="3"/>
        <v>-0.26725389284771706</v>
      </c>
      <c r="O29" s="11"/>
      <c r="P29" s="6">
        <v>1510.49</v>
      </c>
      <c r="Q29" s="2"/>
      <c r="R29" s="7">
        <f t="shared" si="4"/>
        <v>0</v>
      </c>
      <c r="S29" s="2"/>
      <c r="T29" s="6">
        <v>2917.62</v>
      </c>
      <c r="U29" s="2"/>
      <c r="V29" s="7">
        <f t="shared" si="5"/>
        <v>0</v>
      </c>
      <c r="W29" s="2"/>
      <c r="X29" s="6">
        <f t="shared" si="6"/>
        <v>-1407.1299999999999</v>
      </c>
      <c r="Y29" s="2"/>
      <c r="Z29" s="7">
        <f t="shared" si="7"/>
        <v>-0.48228693249977717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35013.24</v>
      </c>
      <c r="E30" s="1"/>
      <c r="F30" s="5">
        <f t="shared" ref="F30:F37" si="8">IF(D$12=0,0,D30/D$12)</f>
        <v>0</v>
      </c>
      <c r="G30" s="1"/>
      <c r="H30" s="1">
        <f>SUM(OSRRefH22_1x_0)</f>
        <v>8200.17</v>
      </c>
      <c r="I30" s="1"/>
      <c r="J30" s="5">
        <f t="shared" ref="J30:J37" si="9">IF(H$12=0,0,H30/H$12)</f>
        <v>0</v>
      </c>
      <c r="K30" s="1"/>
      <c r="L30" s="1">
        <f t="shared" ref="L30:L37" si="10">+D30-H30</f>
        <v>26813.07</v>
      </c>
      <c r="M30" s="1"/>
      <c r="N30" s="5">
        <f t="shared" ref="N30:N37" si="11">IF(H30=0,0,L30/H30)</f>
        <v>3.2698187964395857</v>
      </c>
      <c r="O30" s="13"/>
      <c r="P30" s="1">
        <f>SUM(OSRRefP22_1x_0)</f>
        <v>343603.56</v>
      </c>
      <c r="Q30" s="1"/>
      <c r="R30" s="5">
        <f t="shared" ref="R30:R37" si="12">IF(P$12=0,0,P30/P$12)</f>
        <v>0</v>
      </c>
      <c r="S30" s="1"/>
      <c r="T30" s="1">
        <f>SUM(OSRRefT22_1x_0)</f>
        <v>355773.68</v>
      </c>
      <c r="U30" s="1"/>
      <c r="V30" s="5">
        <f t="shared" ref="V30:V37" si="13">IF(T$12=0,0,T30/T$12)</f>
        <v>0</v>
      </c>
      <c r="W30" s="1"/>
      <c r="X30" s="1">
        <f t="shared" ref="X30:X37" si="14">+P30-T30</f>
        <v>-12170.119999999995</v>
      </c>
      <c r="Y30" s="1"/>
      <c r="Z30" s="5">
        <f t="shared" ref="Z30:Z37" si="15">IF(T30=0,0,X30/T30)</f>
        <v>-3.4207477068005691E-2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6">
        <v>4280.74</v>
      </c>
      <c r="E31" s="2"/>
      <c r="F31" s="7">
        <f t="shared" si="8"/>
        <v>0</v>
      </c>
      <c r="G31" s="2"/>
      <c r="H31" s="6">
        <v>9109.57</v>
      </c>
      <c r="I31" s="2"/>
      <c r="J31" s="7">
        <f t="shared" si="9"/>
        <v>0</v>
      </c>
      <c r="K31" s="2"/>
      <c r="L31" s="6">
        <f t="shared" si="10"/>
        <v>-4828.83</v>
      </c>
      <c r="M31" s="2"/>
      <c r="N31" s="7">
        <f t="shared" si="11"/>
        <v>-0.53008319821901584</v>
      </c>
      <c r="O31" s="11"/>
      <c r="P31" s="6">
        <v>34807.910000000003</v>
      </c>
      <c r="Q31" s="2"/>
      <c r="R31" s="7">
        <f t="shared" si="12"/>
        <v>0</v>
      </c>
      <c r="S31" s="2"/>
      <c r="T31" s="6">
        <v>88416.11</v>
      </c>
      <c r="U31" s="2"/>
      <c r="V31" s="7">
        <f t="shared" si="13"/>
        <v>0</v>
      </c>
      <c r="W31" s="2"/>
      <c r="X31" s="6">
        <f t="shared" si="14"/>
        <v>-53608.2</v>
      </c>
      <c r="Y31" s="2"/>
      <c r="Z31" s="7">
        <f t="shared" si="15"/>
        <v>-0.60631710669017214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6">
        <v>9336.56</v>
      </c>
      <c r="E32" s="2"/>
      <c r="F32" s="7">
        <f t="shared" si="8"/>
        <v>0</v>
      </c>
      <c r="G32" s="2"/>
      <c r="H32" s="6">
        <v>-3181.12</v>
      </c>
      <c r="I32" s="2"/>
      <c r="J32" s="7">
        <f t="shared" si="9"/>
        <v>0</v>
      </c>
      <c r="K32" s="2"/>
      <c r="L32" s="6">
        <f t="shared" si="10"/>
        <v>12517.68</v>
      </c>
      <c r="M32" s="2"/>
      <c r="N32" s="7">
        <f t="shared" si="11"/>
        <v>-3.934991449552359</v>
      </c>
      <c r="O32" s="11"/>
      <c r="P32" s="6">
        <v>73079.360000000001</v>
      </c>
      <c r="Q32" s="2"/>
      <c r="R32" s="7">
        <f t="shared" si="12"/>
        <v>0</v>
      </c>
      <c r="S32" s="2"/>
      <c r="T32" s="6">
        <v>52828.08</v>
      </c>
      <c r="U32" s="2"/>
      <c r="V32" s="7">
        <f t="shared" si="13"/>
        <v>0</v>
      </c>
      <c r="W32" s="2"/>
      <c r="X32" s="6">
        <f t="shared" si="14"/>
        <v>20251.28</v>
      </c>
      <c r="Y32" s="2"/>
      <c r="Z32" s="7">
        <f t="shared" si="15"/>
        <v>0.38334310086605455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6">
        <v>5911.76</v>
      </c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5911.76</v>
      </c>
      <c r="M33" s="2"/>
      <c r="N33" s="7">
        <f t="shared" si="11"/>
        <v>0</v>
      </c>
      <c r="O33" s="11"/>
      <c r="P33" s="6">
        <v>22376.09</v>
      </c>
      <c r="Q33" s="2"/>
      <c r="R33" s="7">
        <f t="shared" si="12"/>
        <v>0</v>
      </c>
      <c r="S33" s="2"/>
      <c r="T33" s="6">
        <v>-1647.01</v>
      </c>
      <c r="U33" s="2"/>
      <c r="V33" s="7">
        <f t="shared" si="13"/>
        <v>0</v>
      </c>
      <c r="W33" s="2"/>
      <c r="X33" s="6">
        <f t="shared" si="14"/>
        <v>24023.1</v>
      </c>
      <c r="Y33" s="2"/>
      <c r="Z33" s="7">
        <f t="shared" si="15"/>
        <v>-14.585885938761756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>
        <v>6009.35</v>
      </c>
      <c r="E34" s="2"/>
      <c r="F34" s="7">
        <f t="shared" si="8"/>
        <v>0</v>
      </c>
      <c r="G34" s="2"/>
      <c r="H34" s="6">
        <v>5569.54</v>
      </c>
      <c r="I34" s="2"/>
      <c r="J34" s="7">
        <f t="shared" si="9"/>
        <v>0</v>
      </c>
      <c r="K34" s="2"/>
      <c r="L34" s="6">
        <f t="shared" si="10"/>
        <v>439.8100000000004</v>
      </c>
      <c r="M34" s="2"/>
      <c r="N34" s="7">
        <f t="shared" si="11"/>
        <v>7.8967024206667055E-2</v>
      </c>
      <c r="O34" s="11"/>
      <c r="P34" s="6">
        <v>60327.19</v>
      </c>
      <c r="Q34" s="2"/>
      <c r="R34" s="7">
        <f t="shared" si="12"/>
        <v>0</v>
      </c>
      <c r="S34" s="2"/>
      <c r="T34" s="6">
        <v>53032.61</v>
      </c>
      <c r="U34" s="2"/>
      <c r="V34" s="7">
        <f t="shared" si="13"/>
        <v>0</v>
      </c>
      <c r="W34" s="2"/>
      <c r="X34" s="6">
        <f t="shared" si="14"/>
        <v>7294.5800000000017</v>
      </c>
      <c r="Y34" s="2"/>
      <c r="Z34" s="7">
        <f t="shared" si="15"/>
        <v>0.13754895337038855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>
        <v>748.02</v>
      </c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748.02</v>
      </c>
      <c r="M35" s="2"/>
      <c r="N35" s="7">
        <f t="shared" si="11"/>
        <v>0</v>
      </c>
      <c r="O35" s="11"/>
      <c r="P35" s="6">
        <v>10233.69</v>
      </c>
      <c r="Q35" s="2"/>
      <c r="R35" s="7">
        <f t="shared" si="12"/>
        <v>0</v>
      </c>
      <c r="S35" s="2"/>
      <c r="T35" s="6">
        <v>11273.01</v>
      </c>
      <c r="U35" s="2"/>
      <c r="V35" s="7">
        <f t="shared" si="13"/>
        <v>0</v>
      </c>
      <c r="W35" s="2"/>
      <c r="X35" s="6">
        <f t="shared" si="14"/>
        <v>-1039.3199999999997</v>
      </c>
      <c r="Y35" s="2"/>
      <c r="Z35" s="7">
        <f t="shared" si="15"/>
        <v>-9.2195429614628191E-2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>
        <v>8726.81</v>
      </c>
      <c r="E36" s="2"/>
      <c r="F36" s="7">
        <f t="shared" si="8"/>
        <v>0</v>
      </c>
      <c r="G36" s="2"/>
      <c r="H36" s="6">
        <v>-3963.81</v>
      </c>
      <c r="I36" s="2"/>
      <c r="J36" s="7">
        <f t="shared" si="9"/>
        <v>0</v>
      </c>
      <c r="K36" s="2"/>
      <c r="L36" s="6">
        <f t="shared" si="10"/>
        <v>12690.619999999999</v>
      </c>
      <c r="M36" s="2"/>
      <c r="N36" s="7">
        <f t="shared" si="11"/>
        <v>-3.2016216720781268</v>
      </c>
      <c r="O36" s="11"/>
      <c r="P36" s="6">
        <v>142779.32</v>
      </c>
      <c r="Q36" s="2"/>
      <c r="R36" s="7">
        <f t="shared" si="12"/>
        <v>0</v>
      </c>
      <c r="S36" s="2"/>
      <c r="T36" s="6">
        <v>149603.14000000001</v>
      </c>
      <c r="U36" s="2"/>
      <c r="V36" s="7">
        <f t="shared" si="13"/>
        <v>0</v>
      </c>
      <c r="W36" s="2"/>
      <c r="X36" s="6">
        <f t="shared" si="14"/>
        <v>-6823.820000000007</v>
      </c>
      <c r="Y36" s="2"/>
      <c r="Z36" s="7">
        <f t="shared" si="15"/>
        <v>-4.5612812672247427E-2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665.99</v>
      </c>
      <c r="I37" s="2"/>
      <c r="J37" s="7">
        <f t="shared" si="9"/>
        <v>0</v>
      </c>
      <c r="K37" s="2"/>
      <c r="L37" s="6">
        <f t="shared" si="10"/>
        <v>-665.99</v>
      </c>
      <c r="M37" s="2"/>
      <c r="N37" s="7">
        <f t="shared" si="11"/>
        <v>-1</v>
      </c>
      <c r="O37" s="11"/>
      <c r="P37" s="6"/>
      <c r="Q37" s="2"/>
      <c r="R37" s="7">
        <f t="shared" si="12"/>
        <v>0</v>
      </c>
      <c r="S37" s="2"/>
      <c r="T37" s="6">
        <v>2267.7399999999998</v>
      </c>
      <c r="U37" s="2"/>
      <c r="V37" s="7">
        <f t="shared" si="13"/>
        <v>0</v>
      </c>
      <c r="W37" s="2"/>
      <c r="X37" s="6">
        <f t="shared" si="14"/>
        <v>-2267.7399999999998</v>
      </c>
      <c r="Y37" s="2"/>
      <c r="Z37" s="7">
        <f t="shared" si="15"/>
        <v>-1</v>
      </c>
    </row>
    <row r="38" spans="1:26" s="25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42" si="16">IF(D$12=0,0,D38/D$12)</f>
        <v>0</v>
      </c>
      <c r="G38" s="1"/>
      <c r="H38" s="1">
        <f>SUM(OSRRefH22_2x_0)</f>
        <v>187.29</v>
      </c>
      <c r="I38" s="1"/>
      <c r="J38" s="5">
        <f t="shared" ref="J38:J42" si="17">IF(H$12=0,0,H38/H$12)</f>
        <v>0</v>
      </c>
      <c r="K38" s="1"/>
      <c r="L38" s="1">
        <f t="shared" ref="L38:L42" si="18">+D38-H38</f>
        <v>-187.29</v>
      </c>
      <c r="M38" s="1"/>
      <c r="N38" s="5">
        <f t="shared" ref="N38:N42" si="19">IF(H38=0,0,L38/H38)</f>
        <v>-1</v>
      </c>
      <c r="O38" s="13"/>
      <c r="P38" s="1">
        <f>SUM(OSRRefP22_2x_0)</f>
        <v>225</v>
      </c>
      <c r="Q38" s="1"/>
      <c r="R38" s="5">
        <f t="shared" ref="R38:R42" si="20">IF(P$12=0,0,P38/P$12)</f>
        <v>0</v>
      </c>
      <c r="S38" s="1"/>
      <c r="T38" s="1">
        <f>SUM(OSRRefT22_2x_0)</f>
        <v>14190.07</v>
      </c>
      <c r="U38" s="1"/>
      <c r="V38" s="5">
        <f t="shared" ref="V38:V42" si="21">IF(T$12=0,0,T38/T$12)</f>
        <v>0</v>
      </c>
      <c r="W38" s="1"/>
      <c r="X38" s="1">
        <f t="shared" ref="X38:X42" si="22">+P38-T38</f>
        <v>-13965.07</v>
      </c>
      <c r="Y38" s="1"/>
      <c r="Z38" s="5">
        <f t="shared" ref="Z38:Z42" si="23">IF(T38=0,0,X38/T38)</f>
        <v>-0.98414384143277656</v>
      </c>
    </row>
    <row r="39" spans="1:26" s="24" customFormat="1" hidden="1" outlineLevel="2" x14ac:dyDescent="0.25">
      <c r="A39" s="26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16"/>
        <v>0</v>
      </c>
      <c r="G39" s="2"/>
      <c r="H39" s="6">
        <v>187.29</v>
      </c>
      <c r="I39" s="2"/>
      <c r="J39" s="7">
        <f t="shared" si="17"/>
        <v>0</v>
      </c>
      <c r="K39" s="2"/>
      <c r="L39" s="6">
        <f t="shared" si="18"/>
        <v>-187.29</v>
      </c>
      <c r="M39" s="2"/>
      <c r="N39" s="7">
        <f t="shared" si="19"/>
        <v>-1</v>
      </c>
      <c r="O39" s="11"/>
      <c r="P39" s="6">
        <v>225</v>
      </c>
      <c r="Q39" s="2"/>
      <c r="R39" s="7">
        <f t="shared" si="20"/>
        <v>0</v>
      </c>
      <c r="S39" s="2"/>
      <c r="T39" s="6">
        <v>14190.07</v>
      </c>
      <c r="U39" s="2"/>
      <c r="V39" s="7">
        <f t="shared" si="21"/>
        <v>0</v>
      </c>
      <c r="W39" s="2"/>
      <c r="X39" s="6">
        <f t="shared" si="22"/>
        <v>-13965.07</v>
      </c>
      <c r="Y39" s="2"/>
      <c r="Z39" s="7">
        <f t="shared" si="23"/>
        <v>-0.98414384143277656</v>
      </c>
    </row>
    <row r="40" spans="1:26" s="25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3283.5499999999997</v>
      </c>
      <c r="E40" s="1"/>
      <c r="F40" s="5">
        <f t="shared" si="16"/>
        <v>0</v>
      </c>
      <c r="G40" s="1"/>
      <c r="H40" s="1">
        <f>SUM(OSRRefH22_3x_0)</f>
        <v>-47.16</v>
      </c>
      <c r="I40" s="1"/>
      <c r="J40" s="5">
        <f t="shared" si="17"/>
        <v>0</v>
      </c>
      <c r="K40" s="1"/>
      <c r="L40" s="1">
        <f t="shared" si="18"/>
        <v>3330.7099999999996</v>
      </c>
      <c r="M40" s="1"/>
      <c r="N40" s="5">
        <f t="shared" si="19"/>
        <v>-70.625742154368112</v>
      </c>
      <c r="O40" s="13"/>
      <c r="P40" s="1">
        <f>SUM(OSRRefP22_3x_0)</f>
        <v>5202.3100000000004</v>
      </c>
      <c r="Q40" s="1"/>
      <c r="R40" s="5">
        <f t="shared" si="20"/>
        <v>0</v>
      </c>
      <c r="S40" s="1"/>
      <c r="T40" s="1">
        <f>SUM(OSRRefT22_3x_0)</f>
        <v>30.549999999999997</v>
      </c>
      <c r="U40" s="1"/>
      <c r="V40" s="5">
        <f t="shared" si="21"/>
        <v>0</v>
      </c>
      <c r="W40" s="1"/>
      <c r="X40" s="1">
        <f t="shared" si="22"/>
        <v>5171.76</v>
      </c>
      <c r="Y40" s="1"/>
      <c r="Z40" s="5">
        <f t="shared" si="23"/>
        <v>169.28837970540101</v>
      </c>
    </row>
    <row r="41" spans="1:26" s="24" customFormat="1" hidden="1" outlineLevel="2" x14ac:dyDescent="0.25">
      <c r="A41" s="26"/>
      <c r="B41" s="11" t="str">
        <f>CONCATENATE("          ", "6272", " - ", "CASH (OVER/SHORT)")</f>
        <v xml:space="preserve">          6272 - CASH (OVER/SHORT)</v>
      </c>
      <c r="C41" s="11"/>
      <c r="D41" s="6">
        <v>-69.09</v>
      </c>
      <c r="E41" s="2"/>
      <c r="F41" s="7">
        <f t="shared" si="16"/>
        <v>0</v>
      </c>
      <c r="G41" s="2"/>
      <c r="H41" s="6">
        <v>-47.16</v>
      </c>
      <c r="I41" s="2"/>
      <c r="J41" s="7">
        <f t="shared" si="17"/>
        <v>0</v>
      </c>
      <c r="K41" s="2"/>
      <c r="L41" s="6">
        <f t="shared" si="18"/>
        <v>-21.930000000000007</v>
      </c>
      <c r="M41" s="2"/>
      <c r="N41" s="7">
        <f t="shared" si="19"/>
        <v>0.46501272264631061</v>
      </c>
      <c r="O41" s="11"/>
      <c r="P41" s="6">
        <v>-147.11000000000001</v>
      </c>
      <c r="Q41" s="2"/>
      <c r="R41" s="7">
        <f t="shared" si="20"/>
        <v>0</v>
      </c>
      <c r="S41" s="2"/>
      <c r="T41" s="6">
        <v>-14.25</v>
      </c>
      <c r="U41" s="2"/>
      <c r="V41" s="7">
        <f t="shared" si="21"/>
        <v>0</v>
      </c>
      <c r="W41" s="2"/>
      <c r="X41" s="6">
        <f t="shared" si="22"/>
        <v>-132.86000000000001</v>
      </c>
      <c r="Y41" s="2"/>
      <c r="Z41" s="7">
        <f t="shared" si="23"/>
        <v>9.3235087719298253</v>
      </c>
    </row>
    <row r="42" spans="1:26" s="24" customFormat="1" hidden="1" outlineLevel="2" x14ac:dyDescent="0.25">
      <c r="A42" s="26"/>
      <c r="B42" s="11" t="str">
        <f>CONCATENATE("          ", "6342", " - ", "BAD DEBT")</f>
        <v xml:space="preserve">          6342 - BAD DEBT</v>
      </c>
      <c r="C42" s="11"/>
      <c r="D42" s="6">
        <v>3352.64</v>
      </c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3352.64</v>
      </c>
      <c r="M42" s="2"/>
      <c r="N42" s="7">
        <f t="shared" si="19"/>
        <v>0</v>
      </c>
      <c r="O42" s="11"/>
      <c r="P42" s="6">
        <v>5349.42</v>
      </c>
      <c r="Q42" s="2"/>
      <c r="R42" s="7">
        <f t="shared" si="20"/>
        <v>0</v>
      </c>
      <c r="S42" s="2"/>
      <c r="T42" s="6">
        <v>44.8</v>
      </c>
      <c r="U42" s="2"/>
      <c r="V42" s="7">
        <f t="shared" si="21"/>
        <v>0</v>
      </c>
      <c r="W42" s="2"/>
      <c r="X42" s="6">
        <f t="shared" si="22"/>
        <v>5304.62</v>
      </c>
      <c r="Y42" s="2"/>
      <c r="Z42" s="7">
        <f t="shared" si="23"/>
        <v>118.40669642857144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3447.7</v>
      </c>
      <c r="E43" s="1"/>
      <c r="F43" s="5">
        <f t="shared" ref="F43:F47" si="24">IF(D$12=0,0,D43/D$12)</f>
        <v>0</v>
      </c>
      <c r="G43" s="1"/>
      <c r="H43" s="1">
        <f>SUM(OSRRefH22_4x_0)</f>
        <v>13284.51</v>
      </c>
      <c r="I43" s="1"/>
      <c r="J43" s="5">
        <f t="shared" ref="J43:J47" si="25">IF(H$12=0,0,H43/H$12)</f>
        <v>0</v>
      </c>
      <c r="K43" s="1"/>
      <c r="L43" s="1">
        <f t="shared" ref="L43:L47" si="26">+D43-H43</f>
        <v>-9836.8100000000013</v>
      </c>
      <c r="M43" s="1"/>
      <c r="N43" s="5">
        <f t="shared" ref="N43:N47" si="27">IF(H43=0,0,L43/H43)</f>
        <v>-0.74047217398308263</v>
      </c>
      <c r="O43" s="13"/>
      <c r="P43" s="1">
        <f>SUM(OSRRefP22_4x_0)</f>
        <v>62633.35</v>
      </c>
      <c r="Q43" s="1"/>
      <c r="R43" s="5">
        <f t="shared" ref="R43:R47" si="28">IF(P$12=0,0,P43/P$12)</f>
        <v>0</v>
      </c>
      <c r="S43" s="1"/>
      <c r="T43" s="1">
        <f>SUM(OSRRefT22_4x_0)</f>
        <v>125435.23000000001</v>
      </c>
      <c r="U43" s="1"/>
      <c r="V43" s="5">
        <f t="shared" ref="V43:V47" si="29">IF(T$12=0,0,T43/T$12)</f>
        <v>0</v>
      </c>
      <c r="W43" s="1"/>
      <c r="X43" s="1">
        <f t="shared" ref="X43:X47" si="30">+P43-T43</f>
        <v>-62801.880000000012</v>
      </c>
      <c r="Y43" s="1"/>
      <c r="Z43" s="5">
        <f t="shared" ref="Z43:Z47" si="31">IF(T43=0,0,X43/T43)</f>
        <v>-0.50067178096616083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>
        <v>3447.7</v>
      </c>
      <c r="E44" s="2"/>
      <c r="F44" s="7">
        <f t="shared" si="24"/>
        <v>0</v>
      </c>
      <c r="G44" s="2"/>
      <c r="H44" s="6">
        <v>13284.51</v>
      </c>
      <c r="I44" s="2"/>
      <c r="J44" s="7">
        <f t="shared" si="25"/>
        <v>0</v>
      </c>
      <c r="K44" s="2"/>
      <c r="L44" s="6">
        <f t="shared" si="26"/>
        <v>-9836.8100000000013</v>
      </c>
      <c r="M44" s="2"/>
      <c r="N44" s="7">
        <f t="shared" si="27"/>
        <v>-0.74047217398308263</v>
      </c>
      <c r="O44" s="11"/>
      <c r="P44" s="6">
        <v>62633.35</v>
      </c>
      <c r="Q44" s="2"/>
      <c r="R44" s="7">
        <f t="shared" si="28"/>
        <v>0</v>
      </c>
      <c r="S44" s="2"/>
      <c r="T44" s="6">
        <v>125435.23000000001</v>
      </c>
      <c r="U44" s="2"/>
      <c r="V44" s="7">
        <f t="shared" si="29"/>
        <v>0</v>
      </c>
      <c r="W44" s="2"/>
      <c r="X44" s="6">
        <f t="shared" si="30"/>
        <v>-62801.880000000012</v>
      </c>
      <c r="Y44" s="2"/>
      <c r="Z44" s="7">
        <f t="shared" si="31"/>
        <v>-0.50067178096616083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30565.97</v>
      </c>
      <c r="E45" s="1"/>
      <c r="F45" s="5">
        <f t="shared" si="24"/>
        <v>0</v>
      </c>
      <c r="G45" s="1"/>
      <c r="H45" s="1">
        <f>SUM(OSRRefH22_5x_0)</f>
        <v>30128.33</v>
      </c>
      <c r="I45" s="1"/>
      <c r="J45" s="5">
        <f t="shared" si="25"/>
        <v>0</v>
      </c>
      <c r="K45" s="1"/>
      <c r="L45" s="1">
        <f t="shared" si="26"/>
        <v>437.63999999999942</v>
      </c>
      <c r="M45" s="1"/>
      <c r="N45" s="5">
        <f t="shared" si="27"/>
        <v>1.4525863199188253E-2</v>
      </c>
      <c r="O45" s="13"/>
      <c r="P45" s="1">
        <f>SUM(OSRRefP22_5x_0)</f>
        <v>244823.25</v>
      </c>
      <c r="Q45" s="1"/>
      <c r="R45" s="5">
        <f t="shared" si="28"/>
        <v>0</v>
      </c>
      <c r="S45" s="1"/>
      <c r="T45" s="1">
        <f>SUM(OSRRefT22_5x_0)</f>
        <v>237380.34</v>
      </c>
      <c r="U45" s="1"/>
      <c r="V45" s="5">
        <f t="shared" si="29"/>
        <v>0</v>
      </c>
      <c r="W45" s="1"/>
      <c r="X45" s="1">
        <f t="shared" si="30"/>
        <v>7442.9100000000035</v>
      </c>
      <c r="Y45" s="1"/>
      <c r="Z45" s="5">
        <f t="shared" si="31"/>
        <v>3.1354365740650654E-2</v>
      </c>
    </row>
    <row r="46" spans="1:26" s="24" customFormat="1" hidden="1" outlineLevel="2" x14ac:dyDescent="0.25">
      <c r="A46" s="26"/>
      <c r="B46" s="11" t="str">
        <f>CONCATENATE("          ", "6321", " - ", "BUILDING DEPRECIATION")</f>
        <v xml:space="preserve">          6321 - BUILDING DEPRECIATION</v>
      </c>
      <c r="C46" s="11"/>
      <c r="D46" s="6">
        <v>16396.52</v>
      </c>
      <c r="E46" s="2"/>
      <c r="F46" s="7">
        <f t="shared" si="24"/>
        <v>0</v>
      </c>
      <c r="G46" s="2"/>
      <c r="H46" s="6">
        <v>16396.52</v>
      </c>
      <c r="I46" s="2"/>
      <c r="J46" s="7">
        <f t="shared" si="25"/>
        <v>0</v>
      </c>
      <c r="K46" s="2"/>
      <c r="L46" s="6">
        <f t="shared" si="26"/>
        <v>0</v>
      </c>
      <c r="M46" s="2"/>
      <c r="N46" s="7">
        <f t="shared" si="27"/>
        <v>0</v>
      </c>
      <c r="O46" s="11"/>
      <c r="P46" s="6">
        <v>131172.16</v>
      </c>
      <c r="Q46" s="2"/>
      <c r="R46" s="7">
        <f t="shared" si="28"/>
        <v>0</v>
      </c>
      <c r="S46" s="2"/>
      <c r="T46" s="6">
        <v>131172.16</v>
      </c>
      <c r="U46" s="2"/>
      <c r="V46" s="7">
        <f t="shared" si="29"/>
        <v>0</v>
      </c>
      <c r="W46" s="2"/>
      <c r="X46" s="6">
        <f t="shared" si="30"/>
        <v>0</v>
      </c>
      <c r="Y46" s="2"/>
      <c r="Z46" s="7">
        <f t="shared" si="31"/>
        <v>0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14169.45</v>
      </c>
      <c r="E47" s="2"/>
      <c r="F47" s="7">
        <f t="shared" si="24"/>
        <v>0</v>
      </c>
      <c r="G47" s="2"/>
      <c r="H47" s="6">
        <v>13731.81</v>
      </c>
      <c r="I47" s="2"/>
      <c r="J47" s="7">
        <f t="shared" si="25"/>
        <v>0</v>
      </c>
      <c r="K47" s="2"/>
      <c r="L47" s="6">
        <f t="shared" si="26"/>
        <v>437.64000000000124</v>
      </c>
      <c r="M47" s="2"/>
      <c r="N47" s="7">
        <f t="shared" si="27"/>
        <v>3.1870525444205919E-2</v>
      </c>
      <c r="O47" s="11"/>
      <c r="P47" s="6">
        <v>113651.09000000001</v>
      </c>
      <c r="Q47" s="2"/>
      <c r="R47" s="7">
        <f t="shared" si="28"/>
        <v>0</v>
      </c>
      <c r="S47" s="2"/>
      <c r="T47" s="6">
        <v>106208.18</v>
      </c>
      <c r="U47" s="2"/>
      <c r="V47" s="7">
        <f t="shared" si="29"/>
        <v>0</v>
      </c>
      <c r="W47" s="2"/>
      <c r="X47" s="6">
        <f t="shared" si="30"/>
        <v>7442.910000000018</v>
      </c>
      <c r="Y47" s="2"/>
      <c r="Z47" s="7">
        <f t="shared" si="31"/>
        <v>7.0078500544873454E-2</v>
      </c>
    </row>
    <row r="48" spans="1:26" s="25" customFormat="1" outlineLevel="1" collapsed="1" x14ac:dyDescent="0.25">
      <c r="A48" s="27"/>
      <c r="B48" s="13" t="str">
        <f>CONCATENATE("     ","Discounts and Markdowns                           ")</f>
        <v xml:space="preserve">     Discounts and Markdowns                           </v>
      </c>
      <c r="C48" s="13"/>
      <c r="D48" s="1">
        <f>SUM(OSRRefD22_6x_0)</f>
        <v>0</v>
      </c>
      <c r="E48" s="1"/>
      <c r="F48" s="5">
        <f t="shared" ref="F48:F50" si="32">IF(D$12=0,0,D48/D$12)</f>
        <v>0</v>
      </c>
      <c r="G48" s="1"/>
      <c r="H48" s="1">
        <f>SUM(OSRRefH22_6x_0)</f>
        <v>-203.96</v>
      </c>
      <c r="I48" s="1"/>
      <c r="J48" s="5">
        <f t="shared" ref="J48:J50" si="33">IF(H$12=0,0,H48/H$12)</f>
        <v>0</v>
      </c>
      <c r="K48" s="1"/>
      <c r="L48" s="1">
        <f t="shared" ref="L48:L50" si="34">+D48-H48</f>
        <v>203.96</v>
      </c>
      <c r="M48" s="1"/>
      <c r="N48" s="5">
        <f t="shared" ref="N48:N50" si="35">IF(H48=0,0,L48/H48)</f>
        <v>-1</v>
      </c>
      <c r="O48" s="13"/>
      <c r="P48" s="1">
        <f>SUM(OSRRefP22_6x_0)</f>
        <v>0</v>
      </c>
      <c r="Q48" s="1"/>
      <c r="R48" s="5">
        <f t="shared" ref="R48:R50" si="36">IF(P$12=0,0,P48/P$12)</f>
        <v>0</v>
      </c>
      <c r="S48" s="1"/>
      <c r="T48" s="1">
        <f>SUM(OSRRefT22_6x_0)</f>
        <v>-2278.71</v>
      </c>
      <c r="U48" s="1"/>
      <c r="V48" s="5">
        <f t="shared" ref="V48:V50" si="37">IF(T$12=0,0,T48/T$12)</f>
        <v>0</v>
      </c>
      <c r="W48" s="1"/>
      <c r="X48" s="1">
        <f t="shared" ref="X48:X50" si="38">+P48-T48</f>
        <v>2278.71</v>
      </c>
      <c r="Y48" s="1"/>
      <c r="Z48" s="5">
        <f t="shared" ref="Z48:Z50" si="39">IF(T48=0,0,X48/T48)</f>
        <v>-1</v>
      </c>
    </row>
    <row r="49" spans="1:26" s="24" customFormat="1" hidden="1" outlineLevel="2" x14ac:dyDescent="0.25">
      <c r="A49" s="26"/>
      <c r="B49" s="11" t="str">
        <f>CONCATENATE("          ", "6382", " - ", "DISCOUNTS/MARK DOWNS")</f>
        <v xml:space="preserve">          6382 - DISCOUNTS/MARK DOWNS</v>
      </c>
      <c r="C49" s="11"/>
      <c r="D49" s="6"/>
      <c r="E49" s="2"/>
      <c r="F49" s="7">
        <f t="shared" si="32"/>
        <v>0</v>
      </c>
      <c r="G49" s="2"/>
      <c r="H49" s="6"/>
      <c r="I49" s="2"/>
      <c r="J49" s="7">
        <f t="shared" si="33"/>
        <v>0</v>
      </c>
      <c r="K49" s="2"/>
      <c r="L49" s="6">
        <f t="shared" si="34"/>
        <v>0</v>
      </c>
      <c r="M49" s="2"/>
      <c r="N49" s="7">
        <f t="shared" si="35"/>
        <v>0</v>
      </c>
      <c r="O49" s="11"/>
      <c r="P49" s="6"/>
      <c r="Q49" s="2"/>
      <c r="R49" s="7">
        <f t="shared" si="36"/>
        <v>0</v>
      </c>
      <c r="S49" s="2"/>
      <c r="T49" s="6">
        <v>345.4</v>
      </c>
      <c r="U49" s="2"/>
      <c r="V49" s="7">
        <f t="shared" si="37"/>
        <v>0</v>
      </c>
      <c r="W49" s="2"/>
      <c r="X49" s="6">
        <f t="shared" si="38"/>
        <v>-345.4</v>
      </c>
      <c r="Y49" s="2"/>
      <c r="Z49" s="7">
        <f t="shared" si="39"/>
        <v>-1</v>
      </c>
    </row>
    <row r="50" spans="1:26" s="24" customFormat="1" hidden="1" outlineLevel="2" x14ac:dyDescent="0.25">
      <c r="A50" s="26"/>
      <c r="B50" s="11" t="str">
        <f>CONCATENATE("          ", "9175", " - ", "EARNED DISCOUNTS")</f>
        <v xml:space="preserve">          9175 - EARNED DISCOUNTS</v>
      </c>
      <c r="C50" s="11"/>
      <c r="D50" s="6"/>
      <c r="E50" s="2"/>
      <c r="F50" s="7">
        <f t="shared" si="32"/>
        <v>0</v>
      </c>
      <c r="G50" s="2"/>
      <c r="H50" s="6">
        <v>-203.96</v>
      </c>
      <c r="I50" s="2"/>
      <c r="J50" s="7">
        <f t="shared" si="33"/>
        <v>0</v>
      </c>
      <c r="K50" s="2"/>
      <c r="L50" s="6">
        <f t="shared" si="34"/>
        <v>203.96</v>
      </c>
      <c r="M50" s="2"/>
      <c r="N50" s="7">
        <f t="shared" si="35"/>
        <v>-1</v>
      </c>
      <c r="O50" s="11"/>
      <c r="P50" s="6"/>
      <c r="Q50" s="2"/>
      <c r="R50" s="7">
        <f t="shared" si="36"/>
        <v>0</v>
      </c>
      <c r="S50" s="2"/>
      <c r="T50" s="6">
        <v>-2624.11</v>
      </c>
      <c r="U50" s="2"/>
      <c r="V50" s="7">
        <f t="shared" si="37"/>
        <v>0</v>
      </c>
      <c r="W50" s="2"/>
      <c r="X50" s="6">
        <f t="shared" si="38"/>
        <v>2624.11</v>
      </c>
      <c r="Y50" s="2"/>
      <c r="Z50" s="7">
        <f t="shared" si="39"/>
        <v>-1</v>
      </c>
    </row>
    <row r="51" spans="1:26" s="25" customFormat="1" outlineLevel="1" collapsed="1" x14ac:dyDescent="0.25">
      <c r="A51" s="27"/>
      <c r="B51" s="13" t="str">
        <f>CONCATENATE("     ","Donations                                         ")</f>
        <v xml:space="preserve">     Donations                                         </v>
      </c>
      <c r="C51" s="13"/>
      <c r="D51" s="1">
        <f>SUM(OSRRefD22_7x_0)</f>
        <v>0</v>
      </c>
      <c r="E51" s="1"/>
      <c r="F51" s="5">
        <f t="shared" ref="F51:F71" si="40">IF(D$12=0,0,D51/D$12)</f>
        <v>0</v>
      </c>
      <c r="G51" s="1"/>
      <c r="H51" s="1">
        <f>SUM(OSRRefH22_7x_0)</f>
        <v>1804</v>
      </c>
      <c r="I51" s="1"/>
      <c r="J51" s="5">
        <f t="shared" ref="J51:J71" si="41">IF(H$12=0,0,H51/H$12)</f>
        <v>0</v>
      </c>
      <c r="K51" s="1"/>
      <c r="L51" s="1">
        <f t="shared" ref="L51:L71" si="42">+D51-H51</f>
        <v>-1804</v>
      </c>
      <c r="M51" s="1"/>
      <c r="N51" s="5">
        <f t="shared" ref="N51:N71" si="43">IF(H51=0,0,L51/H51)</f>
        <v>-1</v>
      </c>
      <c r="O51" s="13"/>
      <c r="P51" s="1">
        <f>SUM(OSRRefP22_7x_0)</f>
        <v>0</v>
      </c>
      <c r="Q51" s="1"/>
      <c r="R51" s="5">
        <f t="shared" ref="R51:R71" si="44">IF(P$12=0,0,P51/P$12)</f>
        <v>0</v>
      </c>
      <c r="S51" s="1"/>
      <c r="T51" s="1">
        <f>SUM(OSRRefT22_7x_0)</f>
        <v>11602.22</v>
      </c>
      <c r="U51" s="1"/>
      <c r="V51" s="5">
        <f t="shared" ref="V51:V71" si="45">IF(T$12=0,0,T51/T$12)</f>
        <v>0</v>
      </c>
      <c r="W51" s="1"/>
      <c r="X51" s="1">
        <f t="shared" ref="X51:X71" si="46">+P51-T51</f>
        <v>-11602.22</v>
      </c>
      <c r="Y51" s="1"/>
      <c r="Z51" s="5">
        <f t="shared" ref="Z51:Z71" si="47">IF(T51=0,0,X51/T51)</f>
        <v>-1</v>
      </c>
    </row>
    <row r="52" spans="1:26" s="24" customFormat="1" hidden="1" outlineLevel="2" x14ac:dyDescent="0.25">
      <c r="A52" s="26"/>
      <c r="B52" s="11" t="str">
        <f>CONCATENATE("          ", "6399", " - ", "DONATION-ON CAMPUS")</f>
        <v xml:space="preserve">          6399 - DONATION-ON CAMPUS</v>
      </c>
      <c r="C52" s="11"/>
      <c r="D52" s="6"/>
      <c r="E52" s="2"/>
      <c r="F52" s="7">
        <f t="shared" si="40"/>
        <v>0</v>
      </c>
      <c r="G52" s="2"/>
      <c r="H52" s="6">
        <v>1804</v>
      </c>
      <c r="I52" s="2"/>
      <c r="J52" s="7">
        <f t="shared" si="41"/>
        <v>0</v>
      </c>
      <c r="K52" s="2"/>
      <c r="L52" s="6">
        <f t="shared" si="42"/>
        <v>-1804</v>
      </c>
      <c r="M52" s="2"/>
      <c r="N52" s="7">
        <f t="shared" si="43"/>
        <v>-1</v>
      </c>
      <c r="O52" s="11"/>
      <c r="P52" s="6"/>
      <c r="Q52" s="2"/>
      <c r="R52" s="7">
        <f t="shared" si="44"/>
        <v>0</v>
      </c>
      <c r="S52" s="2"/>
      <c r="T52" s="6">
        <v>11602.22</v>
      </c>
      <c r="U52" s="2"/>
      <c r="V52" s="7">
        <f t="shared" si="45"/>
        <v>0</v>
      </c>
      <c r="W52" s="2"/>
      <c r="X52" s="6">
        <f t="shared" si="46"/>
        <v>-11602.22</v>
      </c>
      <c r="Y52" s="2"/>
      <c r="Z52" s="7">
        <f t="shared" si="47"/>
        <v>-1</v>
      </c>
    </row>
    <row r="53" spans="1:26" s="25" customFormat="1" outlineLevel="1" collapsed="1" x14ac:dyDescent="0.25">
      <c r="A53" s="27"/>
      <c r="B53" s="13" t="str">
        <f>CONCATENATE("     ","Employees' Appreciation                           ")</f>
        <v xml:space="preserve">     Employees' Appreciation                           </v>
      </c>
      <c r="C53" s="13"/>
      <c r="D53" s="1">
        <f>SUM(OSRRefD22_8x_0)</f>
        <v>0</v>
      </c>
      <c r="E53" s="1"/>
      <c r="F53" s="5">
        <f t="shared" si="40"/>
        <v>0</v>
      </c>
      <c r="G53" s="1"/>
      <c r="H53" s="1">
        <f>SUM(OSRRefH22_8x_0)</f>
        <v>44.58</v>
      </c>
      <c r="I53" s="1"/>
      <c r="J53" s="5">
        <f t="shared" si="41"/>
        <v>0</v>
      </c>
      <c r="K53" s="1"/>
      <c r="L53" s="1">
        <f t="shared" si="42"/>
        <v>-44.58</v>
      </c>
      <c r="M53" s="1"/>
      <c r="N53" s="5">
        <f t="shared" si="43"/>
        <v>-1</v>
      </c>
      <c r="O53" s="13"/>
      <c r="P53" s="1">
        <f>SUM(OSRRefP22_8x_0)</f>
        <v>78.33</v>
      </c>
      <c r="Q53" s="1"/>
      <c r="R53" s="5">
        <f t="shared" si="44"/>
        <v>0</v>
      </c>
      <c r="S53" s="1"/>
      <c r="T53" s="1">
        <f>SUM(OSRRefT22_8x_0)</f>
        <v>870.33</v>
      </c>
      <c r="U53" s="1"/>
      <c r="V53" s="5">
        <f t="shared" si="45"/>
        <v>0</v>
      </c>
      <c r="W53" s="1"/>
      <c r="X53" s="1">
        <f t="shared" si="46"/>
        <v>-792</v>
      </c>
      <c r="Y53" s="1"/>
      <c r="Z53" s="5">
        <f t="shared" si="47"/>
        <v>-0.90999965530316085</v>
      </c>
    </row>
    <row r="54" spans="1:26" s="24" customFormat="1" hidden="1" outlineLevel="2" x14ac:dyDescent="0.25">
      <c r="A54" s="26"/>
      <c r="B54" s="11" t="str">
        <f>CONCATENATE("          ", "6277", " - ", "EMPLOYEE APPRECIATION")</f>
        <v xml:space="preserve">          6277 - EMPLOYEE APPRECIATION</v>
      </c>
      <c r="C54" s="11"/>
      <c r="D54" s="6"/>
      <c r="E54" s="2"/>
      <c r="F54" s="7">
        <f t="shared" si="40"/>
        <v>0</v>
      </c>
      <c r="G54" s="2"/>
      <c r="H54" s="6">
        <v>44.58</v>
      </c>
      <c r="I54" s="2"/>
      <c r="J54" s="7">
        <f t="shared" si="41"/>
        <v>0</v>
      </c>
      <c r="K54" s="2"/>
      <c r="L54" s="6">
        <f t="shared" si="42"/>
        <v>-44.58</v>
      </c>
      <c r="M54" s="2"/>
      <c r="N54" s="7">
        <f t="shared" si="43"/>
        <v>-1</v>
      </c>
      <c r="O54" s="11"/>
      <c r="P54" s="6">
        <v>78.33</v>
      </c>
      <c r="Q54" s="2"/>
      <c r="R54" s="7">
        <f t="shared" si="44"/>
        <v>0</v>
      </c>
      <c r="S54" s="2"/>
      <c r="T54" s="6">
        <v>870.33</v>
      </c>
      <c r="U54" s="2"/>
      <c r="V54" s="7">
        <f t="shared" si="45"/>
        <v>0</v>
      </c>
      <c r="W54" s="2"/>
      <c r="X54" s="6">
        <f t="shared" si="46"/>
        <v>-792</v>
      </c>
      <c r="Y54" s="2"/>
      <c r="Z54" s="7">
        <f t="shared" si="47"/>
        <v>-0.90999965530316085</v>
      </c>
    </row>
    <row r="55" spans="1:26" s="25" customFormat="1" outlineLevel="1" collapsed="1" x14ac:dyDescent="0.25">
      <c r="A55" s="27"/>
      <c r="B55" s="13" t="str">
        <f>CONCATENATE("     ","Equipment Rental                                  ")</f>
        <v xml:space="preserve">     Equipment Rental                                  </v>
      </c>
      <c r="C55" s="13"/>
      <c r="D55" s="1">
        <f>SUM(OSRRefD22_9x_0)</f>
        <v>487.31</v>
      </c>
      <c r="E55" s="1"/>
      <c r="F55" s="5">
        <f t="shared" si="40"/>
        <v>0</v>
      </c>
      <c r="G55" s="1"/>
      <c r="H55" s="1">
        <f>SUM(OSRRefH22_9x_0)</f>
        <v>0</v>
      </c>
      <c r="I55" s="1"/>
      <c r="J55" s="5">
        <f t="shared" si="41"/>
        <v>0</v>
      </c>
      <c r="K55" s="1"/>
      <c r="L55" s="1">
        <f t="shared" si="42"/>
        <v>487.31</v>
      </c>
      <c r="M55" s="1"/>
      <c r="N55" s="5">
        <f t="shared" si="43"/>
        <v>0</v>
      </c>
      <c r="O55" s="13"/>
      <c r="P55" s="1">
        <f>SUM(OSRRefP22_9x_0)</f>
        <v>1773.91</v>
      </c>
      <c r="Q55" s="1"/>
      <c r="R55" s="5">
        <f t="shared" si="44"/>
        <v>0</v>
      </c>
      <c r="S55" s="1"/>
      <c r="T55" s="1">
        <f>SUM(OSRRefT22_9x_0)</f>
        <v>0</v>
      </c>
      <c r="U55" s="1"/>
      <c r="V55" s="5">
        <f t="shared" si="45"/>
        <v>0</v>
      </c>
      <c r="W55" s="1"/>
      <c r="X55" s="1">
        <f t="shared" si="46"/>
        <v>1773.91</v>
      </c>
      <c r="Y55" s="1"/>
      <c r="Z55" s="5">
        <f t="shared" si="47"/>
        <v>0</v>
      </c>
    </row>
    <row r="56" spans="1:26" s="24" customFormat="1" hidden="1" outlineLevel="2" x14ac:dyDescent="0.25">
      <c r="A56" s="26"/>
      <c r="B56" s="11" t="str">
        <f>CONCATENATE("          ", "6351", " - ", "EQUIPMENT RENTAL")</f>
        <v xml:space="preserve">          6351 - EQUIPMENT RENTAL</v>
      </c>
      <c r="C56" s="11"/>
      <c r="D56" s="6">
        <v>487.31</v>
      </c>
      <c r="E56" s="2"/>
      <c r="F56" s="7">
        <f t="shared" si="40"/>
        <v>0</v>
      </c>
      <c r="G56" s="2"/>
      <c r="H56" s="6"/>
      <c r="I56" s="2"/>
      <c r="J56" s="7">
        <f t="shared" si="41"/>
        <v>0</v>
      </c>
      <c r="K56" s="2"/>
      <c r="L56" s="6">
        <f t="shared" si="42"/>
        <v>487.31</v>
      </c>
      <c r="M56" s="2"/>
      <c r="N56" s="7">
        <f t="shared" si="43"/>
        <v>0</v>
      </c>
      <c r="O56" s="11"/>
      <c r="P56" s="6">
        <v>1773.91</v>
      </c>
      <c r="Q56" s="2"/>
      <c r="R56" s="7">
        <f t="shared" si="44"/>
        <v>0</v>
      </c>
      <c r="S56" s="2"/>
      <c r="T56" s="6"/>
      <c r="U56" s="2"/>
      <c r="V56" s="7">
        <f t="shared" si="45"/>
        <v>0</v>
      </c>
      <c r="W56" s="2"/>
      <c r="X56" s="6">
        <f t="shared" si="46"/>
        <v>1773.91</v>
      </c>
      <c r="Y56" s="2"/>
      <c r="Z56" s="7">
        <f t="shared" si="47"/>
        <v>0</v>
      </c>
    </row>
    <row r="57" spans="1:26" s="25" customFormat="1" outlineLevel="1" collapsed="1" x14ac:dyDescent="0.25">
      <c r="A57" s="27"/>
      <c r="B57" s="13" t="str">
        <f>CONCATENATE("     ","Freight out/Postage                               ")</f>
        <v xml:space="preserve">     Freight out/Postage                               </v>
      </c>
      <c r="C57" s="13"/>
      <c r="D57" s="1">
        <f>SUM(OSRRefD22_10x_0)</f>
        <v>15.95</v>
      </c>
      <c r="E57" s="1"/>
      <c r="F57" s="5">
        <f t="shared" si="40"/>
        <v>0</v>
      </c>
      <c r="G57" s="1"/>
      <c r="H57" s="1">
        <f>SUM(OSRRefH22_10x_0)</f>
        <v>0</v>
      </c>
      <c r="I57" s="1"/>
      <c r="J57" s="5">
        <f t="shared" si="41"/>
        <v>0</v>
      </c>
      <c r="K57" s="1"/>
      <c r="L57" s="1">
        <f t="shared" si="42"/>
        <v>15.95</v>
      </c>
      <c r="M57" s="1"/>
      <c r="N57" s="5">
        <f t="shared" si="43"/>
        <v>0</v>
      </c>
      <c r="O57" s="13"/>
      <c r="P57" s="1">
        <f>SUM(OSRRefP22_10x_0)</f>
        <v>2017.65</v>
      </c>
      <c r="Q57" s="1"/>
      <c r="R57" s="5">
        <f t="shared" si="44"/>
        <v>0</v>
      </c>
      <c r="S57" s="1"/>
      <c r="T57" s="1">
        <f>SUM(OSRRefT22_10x_0)</f>
        <v>14.39</v>
      </c>
      <c r="U57" s="1"/>
      <c r="V57" s="5">
        <f t="shared" si="45"/>
        <v>0</v>
      </c>
      <c r="W57" s="1"/>
      <c r="X57" s="1">
        <f t="shared" si="46"/>
        <v>2003.26</v>
      </c>
      <c r="Y57" s="1"/>
      <c r="Z57" s="5">
        <f t="shared" si="47"/>
        <v>139.21195274496176</v>
      </c>
    </row>
    <row r="58" spans="1:26" s="24" customFormat="1" hidden="1" outlineLevel="2" x14ac:dyDescent="0.25">
      <c r="A58" s="26"/>
      <c r="B58" s="11" t="str">
        <f>CONCATENATE("          ", "6307", " - ", "POSTAGE")</f>
        <v xml:space="preserve">          6307 - POSTAGE</v>
      </c>
      <c r="C58" s="11"/>
      <c r="D58" s="6">
        <v>15.95</v>
      </c>
      <c r="E58" s="2"/>
      <c r="F58" s="7">
        <f t="shared" si="40"/>
        <v>0</v>
      </c>
      <c r="G58" s="2"/>
      <c r="H58" s="6"/>
      <c r="I58" s="2"/>
      <c r="J58" s="7">
        <f t="shared" si="41"/>
        <v>0</v>
      </c>
      <c r="K58" s="2"/>
      <c r="L58" s="6">
        <f t="shared" si="42"/>
        <v>15.95</v>
      </c>
      <c r="M58" s="2"/>
      <c r="N58" s="7">
        <f t="shared" si="43"/>
        <v>0</v>
      </c>
      <c r="O58" s="11"/>
      <c r="P58" s="6">
        <v>2017.65</v>
      </c>
      <c r="Q58" s="2"/>
      <c r="R58" s="7">
        <f t="shared" si="44"/>
        <v>0</v>
      </c>
      <c r="S58" s="2"/>
      <c r="T58" s="6">
        <v>14.39</v>
      </c>
      <c r="U58" s="2"/>
      <c r="V58" s="7">
        <f t="shared" si="45"/>
        <v>0</v>
      </c>
      <c r="W58" s="2"/>
      <c r="X58" s="6">
        <f t="shared" si="46"/>
        <v>2003.26</v>
      </c>
      <c r="Y58" s="2"/>
      <c r="Z58" s="7">
        <f t="shared" si="47"/>
        <v>139.21195274496176</v>
      </c>
    </row>
    <row r="59" spans="1:26" s="25" customFormat="1" outlineLevel="1" collapsed="1" x14ac:dyDescent="0.25">
      <c r="A59" s="27"/>
      <c r="B59" s="13" t="str">
        <f>CONCATENATE("     ","General                                           ")</f>
        <v xml:space="preserve">     General                                           </v>
      </c>
      <c r="C59" s="13"/>
      <c r="D59" s="1">
        <f>SUM(OSRRefD22_11x_0)</f>
        <v>0</v>
      </c>
      <c r="E59" s="1"/>
      <c r="F59" s="5">
        <f t="shared" si="40"/>
        <v>0</v>
      </c>
      <c r="G59" s="1"/>
      <c r="H59" s="1">
        <f>SUM(OSRRefH22_11x_0)</f>
        <v>0</v>
      </c>
      <c r="I59" s="1"/>
      <c r="J59" s="5">
        <f t="shared" si="41"/>
        <v>0</v>
      </c>
      <c r="K59" s="1"/>
      <c r="L59" s="1">
        <f t="shared" si="42"/>
        <v>0</v>
      </c>
      <c r="M59" s="1"/>
      <c r="N59" s="5">
        <f t="shared" si="43"/>
        <v>0</v>
      </c>
      <c r="O59" s="13"/>
      <c r="P59" s="1">
        <f>SUM(OSRRefP22_11x_0)</f>
        <v>1386.81</v>
      </c>
      <c r="Q59" s="1"/>
      <c r="R59" s="5">
        <f t="shared" si="44"/>
        <v>0</v>
      </c>
      <c r="S59" s="1"/>
      <c r="T59" s="1">
        <f>SUM(OSRRefT22_11x_0)</f>
        <v>-11754.76</v>
      </c>
      <c r="U59" s="1"/>
      <c r="V59" s="5">
        <f t="shared" si="45"/>
        <v>0</v>
      </c>
      <c r="W59" s="1"/>
      <c r="X59" s="1">
        <f t="shared" si="46"/>
        <v>13141.57</v>
      </c>
      <c r="Y59" s="1"/>
      <c r="Z59" s="5">
        <f t="shared" si="47"/>
        <v>-1.1179785890992244</v>
      </c>
    </row>
    <row r="60" spans="1:26" s="24" customFormat="1" hidden="1" outlineLevel="2" x14ac:dyDescent="0.25">
      <c r="A60" s="26"/>
      <c r="B60" s="11" t="str">
        <f>CONCATENATE("          ", "6279", " - ", "GENERAL EXPENSE")</f>
        <v xml:space="preserve">          6279 - GENERAL EXPENSE</v>
      </c>
      <c r="C60" s="11"/>
      <c r="D60" s="6"/>
      <c r="E60" s="2"/>
      <c r="F60" s="7">
        <f t="shared" si="40"/>
        <v>0</v>
      </c>
      <c r="G60" s="2"/>
      <c r="H60" s="6"/>
      <c r="I60" s="2"/>
      <c r="J60" s="7">
        <f t="shared" si="41"/>
        <v>0</v>
      </c>
      <c r="K60" s="2"/>
      <c r="L60" s="6">
        <f t="shared" si="42"/>
        <v>0</v>
      </c>
      <c r="M60" s="2"/>
      <c r="N60" s="7">
        <f t="shared" si="43"/>
        <v>0</v>
      </c>
      <c r="O60" s="11"/>
      <c r="P60" s="6">
        <v>1386.81</v>
      </c>
      <c r="Q60" s="2"/>
      <c r="R60" s="7">
        <f t="shared" si="44"/>
        <v>0</v>
      </c>
      <c r="S60" s="2"/>
      <c r="T60" s="6">
        <v>-11754.76</v>
      </c>
      <c r="U60" s="2"/>
      <c r="V60" s="7">
        <f t="shared" si="45"/>
        <v>0</v>
      </c>
      <c r="W60" s="2"/>
      <c r="X60" s="6">
        <f t="shared" si="46"/>
        <v>13141.57</v>
      </c>
      <c r="Y60" s="2"/>
      <c r="Z60" s="7">
        <f t="shared" si="47"/>
        <v>-1.1179785890992244</v>
      </c>
    </row>
    <row r="61" spans="1:26" s="25" customFormat="1" outlineLevel="1" collapsed="1" x14ac:dyDescent="0.25">
      <c r="A61" s="27"/>
      <c r="B61" s="13" t="str">
        <f>CONCATENATE("     ","Insurance                                         ")</f>
        <v xml:space="preserve">     Insurance                                         </v>
      </c>
      <c r="C61" s="13"/>
      <c r="D61" s="1">
        <f>SUM(OSRRefD22_12x_0)</f>
        <v>3883.56</v>
      </c>
      <c r="E61" s="1"/>
      <c r="F61" s="5">
        <f t="shared" si="40"/>
        <v>0</v>
      </c>
      <c r="G61" s="1"/>
      <c r="H61" s="1">
        <f>SUM(OSRRefH22_12x_0)</f>
        <v>3883.56</v>
      </c>
      <c r="I61" s="1"/>
      <c r="J61" s="5">
        <f t="shared" si="41"/>
        <v>0</v>
      </c>
      <c r="K61" s="1"/>
      <c r="L61" s="1">
        <f t="shared" si="42"/>
        <v>0</v>
      </c>
      <c r="M61" s="1"/>
      <c r="N61" s="5">
        <f t="shared" si="43"/>
        <v>0</v>
      </c>
      <c r="O61" s="13"/>
      <c r="P61" s="1">
        <f>SUM(OSRRefP22_12x_0)</f>
        <v>31068.48</v>
      </c>
      <c r="Q61" s="1"/>
      <c r="R61" s="5">
        <f t="shared" si="44"/>
        <v>0</v>
      </c>
      <c r="S61" s="1"/>
      <c r="T61" s="1">
        <f>SUM(OSRRefT22_12x_0)</f>
        <v>31068.48</v>
      </c>
      <c r="U61" s="1"/>
      <c r="V61" s="5">
        <f t="shared" si="45"/>
        <v>0</v>
      </c>
      <c r="W61" s="1"/>
      <c r="X61" s="1">
        <f t="shared" si="46"/>
        <v>0</v>
      </c>
      <c r="Y61" s="1"/>
      <c r="Z61" s="5">
        <f t="shared" si="47"/>
        <v>0</v>
      </c>
    </row>
    <row r="62" spans="1:26" s="24" customFormat="1" hidden="1" outlineLevel="2" x14ac:dyDescent="0.25">
      <c r="A62" s="26"/>
      <c r="B62" s="11" t="str">
        <f>CONCATENATE("          ", "6314", " - ", "LIABILITY INSURANCE")</f>
        <v xml:space="preserve">          6314 - LIABILITY INSURANCE</v>
      </c>
      <c r="C62" s="11"/>
      <c r="D62" s="6">
        <v>3883.56</v>
      </c>
      <c r="E62" s="2"/>
      <c r="F62" s="7">
        <f t="shared" si="40"/>
        <v>0</v>
      </c>
      <c r="G62" s="2"/>
      <c r="H62" s="6">
        <v>3883.56</v>
      </c>
      <c r="I62" s="2"/>
      <c r="J62" s="7">
        <f t="shared" si="41"/>
        <v>0</v>
      </c>
      <c r="K62" s="2"/>
      <c r="L62" s="6">
        <f t="shared" si="42"/>
        <v>0</v>
      </c>
      <c r="M62" s="2"/>
      <c r="N62" s="7">
        <f t="shared" si="43"/>
        <v>0</v>
      </c>
      <c r="O62" s="11"/>
      <c r="P62" s="6">
        <v>31068.48</v>
      </c>
      <c r="Q62" s="2"/>
      <c r="R62" s="7">
        <f t="shared" si="44"/>
        <v>0</v>
      </c>
      <c r="S62" s="2"/>
      <c r="T62" s="6">
        <v>31068.48</v>
      </c>
      <c r="U62" s="2"/>
      <c r="V62" s="7">
        <f t="shared" si="45"/>
        <v>0</v>
      </c>
      <c r="W62" s="2"/>
      <c r="X62" s="6">
        <f t="shared" si="46"/>
        <v>0</v>
      </c>
      <c r="Y62" s="2"/>
      <c r="Z62" s="7">
        <f t="shared" si="47"/>
        <v>0</v>
      </c>
    </row>
    <row r="63" spans="1:26" s="25" customFormat="1" outlineLevel="1" collapsed="1" x14ac:dyDescent="0.25">
      <c r="A63" s="27"/>
      <c r="B63" s="13" t="str">
        <f>CONCATENATE("     ","Professional Services                             ")</f>
        <v xml:space="preserve">     Professional Services                             </v>
      </c>
      <c r="C63" s="13"/>
      <c r="D63" s="1">
        <f>SUM(OSRRefD22_13x_0)</f>
        <v>0</v>
      </c>
      <c r="E63" s="1"/>
      <c r="F63" s="5">
        <f t="shared" si="40"/>
        <v>0</v>
      </c>
      <c r="G63" s="1"/>
      <c r="H63" s="1">
        <f>SUM(OSRRefH22_13x_0)</f>
        <v>0</v>
      </c>
      <c r="I63" s="1"/>
      <c r="J63" s="5">
        <f t="shared" si="41"/>
        <v>0</v>
      </c>
      <c r="K63" s="1"/>
      <c r="L63" s="1">
        <f t="shared" si="42"/>
        <v>0</v>
      </c>
      <c r="M63" s="1"/>
      <c r="N63" s="5">
        <f t="shared" si="43"/>
        <v>0</v>
      </c>
      <c r="O63" s="13"/>
      <c r="P63" s="1">
        <f>SUM(OSRRefP22_13x_0)</f>
        <v>0</v>
      </c>
      <c r="Q63" s="1"/>
      <c r="R63" s="5">
        <f t="shared" si="44"/>
        <v>0</v>
      </c>
      <c r="S63" s="1"/>
      <c r="T63" s="1">
        <f>SUM(OSRRefT22_13x_0)</f>
        <v>4658.41</v>
      </c>
      <c r="U63" s="1"/>
      <c r="V63" s="5">
        <f t="shared" si="45"/>
        <v>0</v>
      </c>
      <c r="W63" s="1"/>
      <c r="X63" s="1">
        <f t="shared" si="46"/>
        <v>-4658.41</v>
      </c>
      <c r="Y63" s="1"/>
      <c r="Z63" s="5">
        <f t="shared" si="47"/>
        <v>-1</v>
      </c>
    </row>
    <row r="64" spans="1:26" s="24" customFormat="1" hidden="1" outlineLevel="2" x14ac:dyDescent="0.25">
      <c r="A64" s="26"/>
      <c r="B64" s="11" t="str">
        <f>CONCATENATE("          ", "6336", " - ", "PROFESSIONAL SERVICES")</f>
        <v xml:space="preserve">          6336 - PROFESSIONAL SERVICES</v>
      </c>
      <c r="C64" s="11"/>
      <c r="D64" s="6"/>
      <c r="E64" s="2"/>
      <c r="F64" s="7">
        <f t="shared" si="40"/>
        <v>0</v>
      </c>
      <c r="G64" s="2"/>
      <c r="H64" s="6"/>
      <c r="I64" s="2"/>
      <c r="J64" s="7">
        <f t="shared" si="41"/>
        <v>0</v>
      </c>
      <c r="K64" s="2"/>
      <c r="L64" s="6">
        <f t="shared" si="42"/>
        <v>0</v>
      </c>
      <c r="M64" s="2"/>
      <c r="N64" s="7">
        <f t="shared" si="43"/>
        <v>0</v>
      </c>
      <c r="O64" s="11"/>
      <c r="P64" s="6"/>
      <c r="Q64" s="2"/>
      <c r="R64" s="7">
        <f t="shared" si="44"/>
        <v>0</v>
      </c>
      <c r="S64" s="2"/>
      <c r="T64" s="6">
        <v>4658.41</v>
      </c>
      <c r="U64" s="2"/>
      <c r="V64" s="7">
        <f t="shared" si="45"/>
        <v>0</v>
      </c>
      <c r="W64" s="2"/>
      <c r="X64" s="6">
        <f t="shared" si="46"/>
        <v>-4658.41</v>
      </c>
      <c r="Y64" s="2"/>
      <c r="Z64" s="7">
        <f t="shared" si="47"/>
        <v>-1</v>
      </c>
    </row>
    <row r="65" spans="1:26" s="25" customFormat="1" outlineLevel="1" collapsed="1" x14ac:dyDescent="0.25">
      <c r="A65" s="27"/>
      <c r="B65" s="13" t="str">
        <f>CONCATENATE("     ","Rent                                              ")</f>
        <v xml:space="preserve">     Rent                                              </v>
      </c>
      <c r="C65" s="13"/>
      <c r="D65" s="1">
        <f>SUM(OSRRefD22_14x_0)</f>
        <v>-800</v>
      </c>
      <c r="E65" s="1"/>
      <c r="F65" s="5">
        <f t="shared" si="40"/>
        <v>0</v>
      </c>
      <c r="G65" s="1"/>
      <c r="H65" s="1">
        <f>SUM(OSRRefH22_14x_0)</f>
        <v>-800</v>
      </c>
      <c r="I65" s="1"/>
      <c r="J65" s="5">
        <f t="shared" si="41"/>
        <v>0</v>
      </c>
      <c r="K65" s="1"/>
      <c r="L65" s="1">
        <f t="shared" si="42"/>
        <v>0</v>
      </c>
      <c r="M65" s="1"/>
      <c r="N65" s="5">
        <f t="shared" si="43"/>
        <v>0</v>
      </c>
      <c r="O65" s="13"/>
      <c r="P65" s="1">
        <f>SUM(OSRRefP22_14x_0)</f>
        <v>-6400</v>
      </c>
      <c r="Q65" s="1"/>
      <c r="R65" s="5">
        <f t="shared" si="44"/>
        <v>0</v>
      </c>
      <c r="S65" s="1"/>
      <c r="T65" s="1">
        <f>SUM(OSRRefT22_14x_0)</f>
        <v>-4800</v>
      </c>
      <c r="U65" s="1"/>
      <c r="V65" s="5">
        <f t="shared" si="45"/>
        <v>0</v>
      </c>
      <c r="W65" s="1"/>
      <c r="X65" s="1">
        <f t="shared" si="46"/>
        <v>-1600</v>
      </c>
      <c r="Y65" s="1"/>
      <c r="Z65" s="5">
        <f t="shared" si="47"/>
        <v>0.33333333333333331</v>
      </c>
    </row>
    <row r="66" spans="1:26" s="24" customFormat="1" hidden="1" outlineLevel="2" x14ac:dyDescent="0.25">
      <c r="A66" s="26"/>
      <c r="B66" s="11" t="str">
        <f>CONCATENATE("          ", "6273", " - ", "RENT")</f>
        <v xml:space="preserve">          6273 - RENT</v>
      </c>
      <c r="C66" s="11"/>
      <c r="D66" s="6">
        <v>-800</v>
      </c>
      <c r="E66" s="2"/>
      <c r="F66" s="7">
        <f t="shared" si="40"/>
        <v>0</v>
      </c>
      <c r="G66" s="2"/>
      <c r="H66" s="6">
        <v>-800</v>
      </c>
      <c r="I66" s="2"/>
      <c r="J66" s="7">
        <f t="shared" si="41"/>
        <v>0</v>
      </c>
      <c r="K66" s="2"/>
      <c r="L66" s="6">
        <f t="shared" si="42"/>
        <v>0</v>
      </c>
      <c r="M66" s="2"/>
      <c r="N66" s="7">
        <f t="shared" si="43"/>
        <v>0</v>
      </c>
      <c r="O66" s="11"/>
      <c r="P66" s="6">
        <v>-6400</v>
      </c>
      <c r="Q66" s="2"/>
      <c r="R66" s="7">
        <f t="shared" si="44"/>
        <v>0</v>
      </c>
      <c r="S66" s="2"/>
      <c r="T66" s="6">
        <v>-4800</v>
      </c>
      <c r="U66" s="2"/>
      <c r="V66" s="7">
        <f t="shared" si="45"/>
        <v>0</v>
      </c>
      <c r="W66" s="2"/>
      <c r="X66" s="6">
        <f t="shared" si="46"/>
        <v>-1600</v>
      </c>
      <c r="Y66" s="2"/>
      <c r="Z66" s="7">
        <f t="shared" si="47"/>
        <v>0.33333333333333331</v>
      </c>
    </row>
    <row r="67" spans="1:26" s="25" customFormat="1" outlineLevel="1" collapsed="1" x14ac:dyDescent="0.25">
      <c r="A67" s="27"/>
      <c r="B67" s="13" t="str">
        <f>CONCATENATE("     ","Repair and Maintenance                            ")</f>
        <v xml:space="preserve">     Repair and Maintenance                            </v>
      </c>
      <c r="C67" s="13"/>
      <c r="D67" s="1">
        <f>SUM(OSRRefD22_15x_0)</f>
        <v>15641.16</v>
      </c>
      <c r="E67" s="1"/>
      <c r="F67" s="5">
        <f t="shared" si="40"/>
        <v>0</v>
      </c>
      <c r="G67" s="1"/>
      <c r="H67" s="1">
        <f>SUM(OSRRefH22_15x_0)</f>
        <v>1727.26</v>
      </c>
      <c r="I67" s="1"/>
      <c r="J67" s="5">
        <f t="shared" si="41"/>
        <v>0</v>
      </c>
      <c r="K67" s="1"/>
      <c r="L67" s="1">
        <f t="shared" si="42"/>
        <v>13913.9</v>
      </c>
      <c r="M67" s="1"/>
      <c r="N67" s="5">
        <f t="shared" si="43"/>
        <v>8.0554751456063354</v>
      </c>
      <c r="O67" s="13"/>
      <c r="P67" s="1">
        <f>SUM(OSRRefP22_15x_0)</f>
        <v>97571.25</v>
      </c>
      <c r="Q67" s="1"/>
      <c r="R67" s="5">
        <f t="shared" si="44"/>
        <v>0</v>
      </c>
      <c r="S67" s="1"/>
      <c r="T67" s="1">
        <f>SUM(OSRRefT22_15x_0)</f>
        <v>56675.789999999994</v>
      </c>
      <c r="U67" s="1"/>
      <c r="V67" s="5">
        <f t="shared" si="45"/>
        <v>0</v>
      </c>
      <c r="W67" s="1"/>
      <c r="X67" s="1">
        <f t="shared" si="46"/>
        <v>40895.460000000006</v>
      </c>
      <c r="Y67" s="1"/>
      <c r="Z67" s="5">
        <f t="shared" si="47"/>
        <v>0.72156841572036334</v>
      </c>
    </row>
    <row r="68" spans="1:26" s="24" customFormat="1" hidden="1" outlineLevel="2" x14ac:dyDescent="0.25">
      <c r="A68" s="26"/>
      <c r="B68" s="11" t="str">
        <f>CONCATENATE("          ", "6371", " - ", "COMPUTER SOFTWARE MAINTENANCE")</f>
        <v xml:space="preserve">          6371 - COMPUTER SOFTWARE MAINTENANCE</v>
      </c>
      <c r="C68" s="11"/>
      <c r="D68" s="6">
        <v>1331.25</v>
      </c>
      <c r="E68" s="2"/>
      <c r="F68" s="7">
        <f t="shared" si="40"/>
        <v>0</v>
      </c>
      <c r="G68" s="2"/>
      <c r="H68" s="6">
        <v>601</v>
      </c>
      <c r="I68" s="2"/>
      <c r="J68" s="7">
        <f t="shared" si="41"/>
        <v>0</v>
      </c>
      <c r="K68" s="2"/>
      <c r="L68" s="6">
        <f t="shared" si="42"/>
        <v>730.25</v>
      </c>
      <c r="M68" s="2"/>
      <c r="N68" s="7">
        <f t="shared" si="43"/>
        <v>1.2150582362728786</v>
      </c>
      <c r="O68" s="11"/>
      <c r="P68" s="6">
        <v>59760.029999999992</v>
      </c>
      <c r="Q68" s="2"/>
      <c r="R68" s="7">
        <f t="shared" si="44"/>
        <v>0</v>
      </c>
      <c r="S68" s="2"/>
      <c r="T68" s="6">
        <v>15155.4</v>
      </c>
      <c r="U68" s="2"/>
      <c r="V68" s="7">
        <f t="shared" si="45"/>
        <v>0</v>
      </c>
      <c r="W68" s="2"/>
      <c r="X68" s="6">
        <f t="shared" si="46"/>
        <v>44604.62999999999</v>
      </c>
      <c r="Y68" s="2"/>
      <c r="Z68" s="7">
        <f t="shared" si="47"/>
        <v>2.9431509560948568</v>
      </c>
    </row>
    <row r="69" spans="1:26" s="24" customFormat="1" hidden="1" outlineLevel="2" x14ac:dyDescent="0.25">
      <c r="A69" s="26"/>
      <c r="B69" s="11" t="str">
        <f>CONCATENATE("          ", "6372", " - ", "COMPUTER HARDWARE MAINTENANCE")</f>
        <v xml:space="preserve">          6372 - COMPUTER HARDWARE MAINTENANCE</v>
      </c>
      <c r="C69" s="11"/>
      <c r="D69" s="6">
        <v>-0.63</v>
      </c>
      <c r="E69" s="2"/>
      <c r="F69" s="7">
        <f t="shared" si="40"/>
        <v>0</v>
      </c>
      <c r="G69" s="2"/>
      <c r="H69" s="6"/>
      <c r="I69" s="2"/>
      <c r="J69" s="7">
        <f t="shared" si="41"/>
        <v>0</v>
      </c>
      <c r="K69" s="2"/>
      <c r="L69" s="6">
        <f t="shared" si="42"/>
        <v>-0.63</v>
      </c>
      <c r="M69" s="2"/>
      <c r="N69" s="7">
        <f t="shared" si="43"/>
        <v>0</v>
      </c>
      <c r="O69" s="11"/>
      <c r="P69" s="6">
        <v>-0.63</v>
      </c>
      <c r="Q69" s="2"/>
      <c r="R69" s="7">
        <f t="shared" si="44"/>
        <v>0</v>
      </c>
      <c r="S69" s="2"/>
      <c r="T69" s="6">
        <v>52.32</v>
      </c>
      <c r="U69" s="2"/>
      <c r="V69" s="7">
        <f t="shared" si="45"/>
        <v>0</v>
      </c>
      <c r="W69" s="2"/>
      <c r="X69" s="6">
        <f t="shared" si="46"/>
        <v>-52.95</v>
      </c>
      <c r="Y69" s="2"/>
      <c r="Z69" s="7">
        <f t="shared" si="47"/>
        <v>-1.0120412844036697</v>
      </c>
    </row>
    <row r="70" spans="1:26" s="24" customFormat="1" hidden="1" outlineLevel="2" x14ac:dyDescent="0.25">
      <c r="A70" s="26"/>
      <c r="B70" s="11" t="str">
        <f>CONCATENATE("          ", "6373", " - ", "MAINTENANCE CONTRACTS")</f>
        <v xml:space="preserve">          6373 - MAINTENANCE CONTRACTS</v>
      </c>
      <c r="C70" s="11"/>
      <c r="D70" s="6">
        <v>2884.06</v>
      </c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2884.06</v>
      </c>
      <c r="M70" s="2"/>
      <c r="N70" s="7">
        <f t="shared" si="43"/>
        <v>0</v>
      </c>
      <c r="O70" s="11"/>
      <c r="P70" s="6">
        <v>12073.81</v>
      </c>
      <c r="Q70" s="2"/>
      <c r="R70" s="7">
        <f t="shared" si="44"/>
        <v>0</v>
      </c>
      <c r="S70" s="2"/>
      <c r="T70" s="6">
        <v>7244.37</v>
      </c>
      <c r="U70" s="2"/>
      <c r="V70" s="7">
        <f t="shared" si="45"/>
        <v>0</v>
      </c>
      <c r="W70" s="2"/>
      <c r="X70" s="6">
        <f t="shared" si="46"/>
        <v>4829.4399999999996</v>
      </c>
      <c r="Y70" s="2"/>
      <c r="Z70" s="7">
        <f t="shared" si="47"/>
        <v>0.6666473413147036</v>
      </c>
    </row>
    <row r="71" spans="1:26" s="24" customFormat="1" hidden="1" outlineLevel="2" x14ac:dyDescent="0.25">
      <c r="A71" s="26"/>
      <c r="B71" s="11" t="str">
        <f>CONCATENATE("          ", "6375", " - ", "OUTSIDE REPAIRS &amp; MAINTENANCE")</f>
        <v xml:space="preserve">          6375 - OUTSIDE REPAIRS &amp; MAINTENANCE</v>
      </c>
      <c r="C71" s="11"/>
      <c r="D71" s="6">
        <v>11426.48</v>
      </c>
      <c r="E71" s="2"/>
      <c r="F71" s="7">
        <f t="shared" si="40"/>
        <v>0</v>
      </c>
      <c r="G71" s="2"/>
      <c r="H71" s="6">
        <v>1126.26</v>
      </c>
      <c r="I71" s="2"/>
      <c r="J71" s="7">
        <f t="shared" si="41"/>
        <v>0</v>
      </c>
      <c r="K71" s="2"/>
      <c r="L71" s="6">
        <f t="shared" si="42"/>
        <v>10300.219999999999</v>
      </c>
      <c r="M71" s="2"/>
      <c r="N71" s="7">
        <f t="shared" si="43"/>
        <v>9.1455081419920798</v>
      </c>
      <c r="O71" s="11"/>
      <c r="P71" s="6">
        <v>25738.04</v>
      </c>
      <c r="Q71" s="2"/>
      <c r="R71" s="7">
        <f t="shared" si="44"/>
        <v>0</v>
      </c>
      <c r="S71" s="2"/>
      <c r="T71" s="6">
        <v>34223.699999999997</v>
      </c>
      <c r="U71" s="2"/>
      <c r="V71" s="7">
        <f t="shared" si="45"/>
        <v>0</v>
      </c>
      <c r="W71" s="2"/>
      <c r="X71" s="6">
        <f t="shared" si="46"/>
        <v>-8485.6599999999962</v>
      </c>
      <c r="Y71" s="2"/>
      <c r="Z71" s="7">
        <f t="shared" si="47"/>
        <v>-0.24794689060504846</v>
      </c>
    </row>
    <row r="72" spans="1:26" s="25" customFormat="1" outlineLevel="1" collapsed="1" x14ac:dyDescent="0.25">
      <c r="A72" s="27"/>
      <c r="B72" s="13" t="str">
        <f>CONCATENATE("     ","Services                                          ")</f>
        <v xml:space="preserve">     Services                                          </v>
      </c>
      <c r="C72" s="13"/>
      <c r="D72" s="1">
        <f>SUM(OSRRefD22_16x_0)</f>
        <v>3850.73</v>
      </c>
      <c r="E72" s="1"/>
      <c r="F72" s="5">
        <f t="shared" ref="F72:F75" si="48">IF(D$12=0,0,D72/D$12)</f>
        <v>0</v>
      </c>
      <c r="G72" s="1"/>
      <c r="H72" s="1">
        <f>SUM(OSRRefH22_16x_0)</f>
        <v>4330.68</v>
      </c>
      <c r="I72" s="1"/>
      <c r="J72" s="5">
        <f t="shared" ref="J72:J75" si="49">IF(H$12=0,0,H72/H$12)</f>
        <v>0</v>
      </c>
      <c r="K72" s="1"/>
      <c r="L72" s="1">
        <f t="shared" ref="L72:L75" si="50">+D72-H72</f>
        <v>-479.95000000000027</v>
      </c>
      <c r="M72" s="1"/>
      <c r="N72" s="5">
        <f t="shared" ref="N72:N75" si="51">IF(H72=0,0,L72/H72)</f>
        <v>-0.11082555164546913</v>
      </c>
      <c r="O72" s="13"/>
      <c r="P72" s="1">
        <f>SUM(OSRRefP22_16x_0)</f>
        <v>28286.889999999996</v>
      </c>
      <c r="Q72" s="1"/>
      <c r="R72" s="5">
        <f t="shared" ref="R72:R75" si="52">IF(P$12=0,0,P72/P$12)</f>
        <v>0</v>
      </c>
      <c r="S72" s="1"/>
      <c r="T72" s="1">
        <f>SUM(OSRRefT22_16x_0)</f>
        <v>32820.270000000004</v>
      </c>
      <c r="U72" s="1"/>
      <c r="V72" s="5">
        <f t="shared" ref="V72:V75" si="53">IF(T$12=0,0,T72/T$12)</f>
        <v>0</v>
      </c>
      <c r="W72" s="1"/>
      <c r="X72" s="1">
        <f t="shared" ref="X72:X75" si="54">+P72-T72</f>
        <v>-4533.3800000000083</v>
      </c>
      <c r="Y72" s="1"/>
      <c r="Z72" s="5">
        <f t="shared" ref="Z72:Z75" si="55">IF(T72=0,0,X72/T72)</f>
        <v>-0.13812744380226025</v>
      </c>
    </row>
    <row r="73" spans="1:26" s="24" customFormat="1" hidden="1" outlineLevel="2" x14ac:dyDescent="0.25">
      <c r="A73" s="26"/>
      <c r="B73" s="11" t="str">
        <f>CONCATENATE("          ", "6282", " - ", "JANITORIAL/EXTERMINATOR EXPENS")</f>
        <v xml:space="preserve">          6282 - JANITORIAL/EXTERMINATOR EXPENS</v>
      </c>
      <c r="C73" s="11"/>
      <c r="D73" s="6"/>
      <c r="E73" s="2"/>
      <c r="F73" s="7">
        <f t="shared" si="48"/>
        <v>0</v>
      </c>
      <c r="G73" s="2"/>
      <c r="H73" s="6">
        <v>222.5</v>
      </c>
      <c r="I73" s="2"/>
      <c r="J73" s="7">
        <f t="shared" si="49"/>
        <v>0</v>
      </c>
      <c r="K73" s="2"/>
      <c r="L73" s="6">
        <f t="shared" si="50"/>
        <v>-222.5</v>
      </c>
      <c r="M73" s="2"/>
      <c r="N73" s="7">
        <f t="shared" si="51"/>
        <v>-1</v>
      </c>
      <c r="O73" s="11"/>
      <c r="P73" s="6">
        <v>6777.12</v>
      </c>
      <c r="Q73" s="2"/>
      <c r="R73" s="7">
        <f t="shared" si="52"/>
        <v>0</v>
      </c>
      <c r="S73" s="2"/>
      <c r="T73" s="6">
        <v>1780</v>
      </c>
      <c r="U73" s="2"/>
      <c r="V73" s="7">
        <f t="shared" si="53"/>
        <v>0</v>
      </c>
      <c r="W73" s="2"/>
      <c r="X73" s="6">
        <f t="shared" si="54"/>
        <v>4997.12</v>
      </c>
      <c r="Y73" s="2"/>
      <c r="Z73" s="7">
        <f t="shared" si="55"/>
        <v>2.807370786516854</v>
      </c>
    </row>
    <row r="74" spans="1:26" s="24" customFormat="1" hidden="1" outlineLevel="2" x14ac:dyDescent="0.25">
      <c r="A74" s="26"/>
      <c r="B74" s="11" t="str">
        <f>CONCATENATE("          ", "6283", " - ", "PLANT SERVICE")</f>
        <v xml:space="preserve">          6283 - PLANT SERVICE</v>
      </c>
      <c r="C74" s="11"/>
      <c r="D74" s="6"/>
      <c r="E74" s="2"/>
      <c r="F74" s="7">
        <f t="shared" si="48"/>
        <v>0</v>
      </c>
      <c r="G74" s="2"/>
      <c r="H74" s="6"/>
      <c r="I74" s="2"/>
      <c r="J74" s="7">
        <f t="shared" si="49"/>
        <v>0</v>
      </c>
      <c r="K74" s="2"/>
      <c r="L74" s="6">
        <f t="shared" si="50"/>
        <v>0</v>
      </c>
      <c r="M74" s="2"/>
      <c r="N74" s="7">
        <f t="shared" si="51"/>
        <v>0</v>
      </c>
      <c r="O74" s="11"/>
      <c r="P74" s="6">
        <v>130</v>
      </c>
      <c r="Q74" s="2"/>
      <c r="R74" s="7">
        <f t="shared" si="52"/>
        <v>0</v>
      </c>
      <c r="S74" s="2"/>
      <c r="T74" s="6">
        <v>363.33</v>
      </c>
      <c r="U74" s="2"/>
      <c r="V74" s="7">
        <f t="shared" si="53"/>
        <v>0</v>
      </c>
      <c r="W74" s="2"/>
      <c r="X74" s="6">
        <f t="shared" si="54"/>
        <v>-233.32999999999998</v>
      </c>
      <c r="Y74" s="2"/>
      <c r="Z74" s="7">
        <f t="shared" si="55"/>
        <v>-0.6421985522802961</v>
      </c>
    </row>
    <row r="75" spans="1:26" s="24" customFormat="1" hidden="1" outlineLevel="2" x14ac:dyDescent="0.25">
      <c r="A75" s="26"/>
      <c r="B75" s="11" t="str">
        <f>CONCATENATE("          ", "6285", " - ", "JANITORIAL SERVICES")</f>
        <v xml:space="preserve">          6285 - JANITORIAL SERVICES</v>
      </c>
      <c r="C75" s="11"/>
      <c r="D75" s="6">
        <v>3850.73</v>
      </c>
      <c r="E75" s="2"/>
      <c r="F75" s="7">
        <f t="shared" si="48"/>
        <v>0</v>
      </c>
      <c r="G75" s="2"/>
      <c r="H75" s="6">
        <v>4108.18</v>
      </c>
      <c r="I75" s="2"/>
      <c r="J75" s="7">
        <f t="shared" si="49"/>
        <v>0</v>
      </c>
      <c r="K75" s="2"/>
      <c r="L75" s="6">
        <f t="shared" si="50"/>
        <v>-257.45000000000027</v>
      </c>
      <c r="M75" s="2"/>
      <c r="N75" s="7">
        <f t="shared" si="51"/>
        <v>-6.2667653316067037E-2</v>
      </c>
      <c r="O75" s="11"/>
      <c r="P75" s="6">
        <v>21379.769999999997</v>
      </c>
      <c r="Q75" s="2"/>
      <c r="R75" s="7">
        <f t="shared" si="52"/>
        <v>0</v>
      </c>
      <c r="S75" s="2"/>
      <c r="T75" s="6">
        <v>30676.940000000002</v>
      </c>
      <c r="U75" s="2"/>
      <c r="V75" s="7">
        <f t="shared" si="53"/>
        <v>0</v>
      </c>
      <c r="W75" s="2"/>
      <c r="X75" s="6">
        <f t="shared" si="54"/>
        <v>-9297.1700000000055</v>
      </c>
      <c r="Y75" s="2"/>
      <c r="Z75" s="7">
        <f t="shared" si="55"/>
        <v>-0.30306705949159224</v>
      </c>
    </row>
    <row r="76" spans="1:26" s="25" customFormat="1" outlineLevel="1" collapsed="1" x14ac:dyDescent="0.25">
      <c r="A76" s="27"/>
      <c r="B76" s="13" t="str">
        <f>CONCATENATE("     ","Subscriptions &amp; Dues                              ")</f>
        <v xml:space="preserve">     Subscriptions &amp; Dues                              </v>
      </c>
      <c r="C76" s="13"/>
      <c r="D76" s="1">
        <f>SUM(OSRRefD22_17x_0)</f>
        <v>0</v>
      </c>
      <c r="E76" s="1"/>
      <c r="F76" s="5">
        <f t="shared" ref="F76:F78" si="56">IF(D$12=0,0,D76/D$12)</f>
        <v>0</v>
      </c>
      <c r="G76" s="1"/>
      <c r="H76" s="1">
        <f>SUM(OSRRefH22_17x_0)</f>
        <v>875</v>
      </c>
      <c r="I76" s="1"/>
      <c r="J76" s="5">
        <f t="shared" ref="J76:J78" si="57">IF(H$12=0,0,H76/H$12)</f>
        <v>0</v>
      </c>
      <c r="K76" s="1"/>
      <c r="L76" s="1">
        <f t="shared" ref="L76:L78" si="58">+D76-H76</f>
        <v>-875</v>
      </c>
      <c r="M76" s="1"/>
      <c r="N76" s="5">
        <f t="shared" ref="N76:N78" si="59">IF(H76=0,0,L76/H76)</f>
        <v>-1</v>
      </c>
      <c r="O76" s="13"/>
      <c r="P76" s="1">
        <f>SUM(OSRRefP22_17x_0)</f>
        <v>0</v>
      </c>
      <c r="Q76" s="1"/>
      <c r="R76" s="5">
        <f t="shared" ref="R76:R78" si="60">IF(P$12=0,0,P76/P$12)</f>
        <v>0</v>
      </c>
      <c r="S76" s="1"/>
      <c r="T76" s="1">
        <f>SUM(OSRRefT22_17x_0)</f>
        <v>1280.3</v>
      </c>
      <c r="U76" s="1"/>
      <c r="V76" s="5">
        <f t="shared" ref="V76:V78" si="61">IF(T$12=0,0,T76/T$12)</f>
        <v>0</v>
      </c>
      <c r="W76" s="1"/>
      <c r="X76" s="1">
        <f t="shared" ref="X76:X78" si="62">+P76-T76</f>
        <v>-1280.3</v>
      </c>
      <c r="Y76" s="1"/>
      <c r="Z76" s="5">
        <f t="shared" ref="Z76:Z78" si="63">IF(T76=0,0,X76/T76)</f>
        <v>-1</v>
      </c>
    </row>
    <row r="77" spans="1:26" s="24" customFormat="1" hidden="1" outlineLevel="2" x14ac:dyDescent="0.25">
      <c r="A77" s="26"/>
      <c r="B77" s="11" t="str">
        <f>CONCATENATE("          ", "6258", " - ", "MEMBERSHIP DUES")</f>
        <v xml:space="preserve">          6258 - MEMBERSHIP DUES</v>
      </c>
      <c r="C77" s="11"/>
      <c r="D77" s="6"/>
      <c r="E77" s="2"/>
      <c r="F77" s="7">
        <f t="shared" si="56"/>
        <v>0</v>
      </c>
      <c r="G77" s="2"/>
      <c r="H77" s="6">
        <v>875</v>
      </c>
      <c r="I77" s="2"/>
      <c r="J77" s="7">
        <f t="shared" si="57"/>
        <v>0</v>
      </c>
      <c r="K77" s="2"/>
      <c r="L77" s="6">
        <f t="shared" si="58"/>
        <v>-875</v>
      </c>
      <c r="M77" s="2"/>
      <c r="N77" s="7">
        <f t="shared" si="59"/>
        <v>-1</v>
      </c>
      <c r="O77" s="11"/>
      <c r="P77" s="6"/>
      <c r="Q77" s="2"/>
      <c r="R77" s="7">
        <f t="shared" si="60"/>
        <v>0</v>
      </c>
      <c r="S77" s="2"/>
      <c r="T77" s="6">
        <v>875</v>
      </c>
      <c r="U77" s="2"/>
      <c r="V77" s="7">
        <f t="shared" si="61"/>
        <v>0</v>
      </c>
      <c r="W77" s="2"/>
      <c r="X77" s="6">
        <f t="shared" si="62"/>
        <v>-875</v>
      </c>
      <c r="Y77" s="2"/>
      <c r="Z77" s="7">
        <f t="shared" si="63"/>
        <v>-1</v>
      </c>
    </row>
    <row r="78" spans="1:26" s="24" customFormat="1" hidden="1" outlineLevel="2" x14ac:dyDescent="0.25">
      <c r="A78" s="26"/>
      <c r="B78" s="11" t="str">
        <f>CONCATENATE("          ", "6275", " - ", "SUBSCRIPTIONS")</f>
        <v xml:space="preserve">          6275 - SUBSCRIPTIONS</v>
      </c>
      <c r="C78" s="11"/>
      <c r="D78" s="6"/>
      <c r="E78" s="2"/>
      <c r="F78" s="7">
        <f t="shared" si="56"/>
        <v>0</v>
      </c>
      <c r="G78" s="2"/>
      <c r="H78" s="6"/>
      <c r="I78" s="2"/>
      <c r="J78" s="7">
        <f t="shared" si="57"/>
        <v>0</v>
      </c>
      <c r="K78" s="2"/>
      <c r="L78" s="6">
        <f t="shared" si="58"/>
        <v>0</v>
      </c>
      <c r="M78" s="2"/>
      <c r="N78" s="7">
        <f t="shared" si="59"/>
        <v>0</v>
      </c>
      <c r="O78" s="11"/>
      <c r="P78" s="6"/>
      <c r="Q78" s="2"/>
      <c r="R78" s="7">
        <f t="shared" si="60"/>
        <v>0</v>
      </c>
      <c r="S78" s="2"/>
      <c r="T78" s="6">
        <v>405.3</v>
      </c>
      <c r="U78" s="2"/>
      <c r="V78" s="7">
        <f t="shared" si="61"/>
        <v>0</v>
      </c>
      <c r="W78" s="2"/>
      <c r="X78" s="6">
        <f t="shared" si="62"/>
        <v>-405.3</v>
      </c>
      <c r="Y78" s="2"/>
      <c r="Z78" s="7">
        <f t="shared" si="63"/>
        <v>-1</v>
      </c>
    </row>
    <row r="79" spans="1:26" s="25" customFormat="1" outlineLevel="1" collapsed="1" x14ac:dyDescent="0.25">
      <c r="A79" s="27"/>
      <c r="B79" s="13" t="str">
        <f>CONCATENATE("     ","Supplies                                          ")</f>
        <v xml:space="preserve">     Supplies                                          </v>
      </c>
      <c r="C79" s="13"/>
      <c r="D79" s="1">
        <f>SUM(OSRRefD22_18x_0)</f>
        <v>9405.6299999999992</v>
      </c>
      <c r="E79" s="1"/>
      <c r="F79" s="5">
        <f t="shared" ref="F79:F85" si="64">IF(D$12=0,0,D79/D$12)</f>
        <v>0</v>
      </c>
      <c r="G79" s="1"/>
      <c r="H79" s="1">
        <f>SUM(OSRRefH22_18x_0)</f>
        <v>786.62</v>
      </c>
      <c r="I79" s="1"/>
      <c r="J79" s="5">
        <f t="shared" ref="J79:J85" si="65">IF(H$12=0,0,H79/H$12)</f>
        <v>0</v>
      </c>
      <c r="K79" s="1"/>
      <c r="L79" s="1">
        <f t="shared" ref="L79:L85" si="66">+D79-H79</f>
        <v>8619.0099999999984</v>
      </c>
      <c r="M79" s="1"/>
      <c r="N79" s="5">
        <f t="shared" ref="N79:N85" si="67">IF(H79=0,0,L79/H79)</f>
        <v>10.957018636698786</v>
      </c>
      <c r="O79" s="13"/>
      <c r="P79" s="1">
        <f>SUM(OSRRefP22_18x_0)</f>
        <v>58327.920000000013</v>
      </c>
      <c r="Q79" s="1"/>
      <c r="R79" s="5">
        <f t="shared" ref="R79:R85" si="68">IF(P$12=0,0,P79/P$12)</f>
        <v>0</v>
      </c>
      <c r="S79" s="1"/>
      <c r="T79" s="1">
        <f>SUM(OSRRefT22_18x_0)</f>
        <v>13121.339999999998</v>
      </c>
      <c r="U79" s="1"/>
      <c r="V79" s="5">
        <f t="shared" ref="V79:V85" si="69">IF(T$12=0,0,T79/T$12)</f>
        <v>0</v>
      </c>
      <c r="W79" s="1"/>
      <c r="X79" s="1">
        <f t="shared" ref="X79:X85" si="70">+P79-T79</f>
        <v>45206.580000000016</v>
      </c>
      <c r="Y79" s="1"/>
      <c r="Z79" s="5">
        <f t="shared" ref="Z79:Z85" si="71">IF(T79=0,0,X79/T79)</f>
        <v>3.4452715957364126</v>
      </c>
    </row>
    <row r="80" spans="1:26" s="24" customFormat="1" hidden="1" outlineLevel="2" x14ac:dyDescent="0.25">
      <c r="A80" s="26"/>
      <c r="B80" s="11" t="str">
        <f>CONCATENATE("          ", "6234", " - ", "EXPENDABLE SUPPLIES &amp; EQUIPMEN")</f>
        <v xml:space="preserve">          6234 - EXPENDABLE SUPPLIES &amp; EQUIPMEN</v>
      </c>
      <c r="C80" s="11"/>
      <c r="D80" s="6"/>
      <c r="E80" s="2"/>
      <c r="F80" s="7">
        <f t="shared" si="64"/>
        <v>0</v>
      </c>
      <c r="G80" s="2"/>
      <c r="H80" s="6"/>
      <c r="I80" s="2"/>
      <c r="J80" s="7">
        <f t="shared" si="65"/>
        <v>0</v>
      </c>
      <c r="K80" s="2"/>
      <c r="L80" s="6">
        <f t="shared" si="66"/>
        <v>0</v>
      </c>
      <c r="M80" s="2"/>
      <c r="N80" s="7">
        <f t="shared" si="67"/>
        <v>0</v>
      </c>
      <c r="O80" s="11"/>
      <c r="P80" s="6">
        <v>-449.34</v>
      </c>
      <c r="Q80" s="2"/>
      <c r="R80" s="7">
        <f t="shared" si="68"/>
        <v>0</v>
      </c>
      <c r="S80" s="2"/>
      <c r="T80" s="6">
        <v>1307.54</v>
      </c>
      <c r="U80" s="2"/>
      <c r="V80" s="7">
        <f t="shared" si="69"/>
        <v>0</v>
      </c>
      <c r="W80" s="2"/>
      <c r="X80" s="6">
        <f t="shared" si="70"/>
        <v>-1756.8799999999999</v>
      </c>
      <c r="Y80" s="2"/>
      <c r="Z80" s="7">
        <f t="shared" si="71"/>
        <v>-1.343652966639644</v>
      </c>
    </row>
    <row r="81" spans="1:26" s="24" customFormat="1" hidden="1" outlineLevel="2" x14ac:dyDescent="0.25">
      <c r="A81" s="26"/>
      <c r="B81" s="11" t="str">
        <f>CONCATENATE("          ", "6235", " - ", "COVID-19 EXPENSES")</f>
        <v xml:space="preserve">          6235 - COVID-19 EXPENSES</v>
      </c>
      <c r="C81" s="11"/>
      <c r="D81" s="6">
        <v>2992.14</v>
      </c>
      <c r="E81" s="2"/>
      <c r="F81" s="7">
        <f t="shared" si="64"/>
        <v>0</v>
      </c>
      <c r="G81" s="2"/>
      <c r="H81" s="6"/>
      <c r="I81" s="2"/>
      <c r="J81" s="7">
        <f t="shared" si="65"/>
        <v>0</v>
      </c>
      <c r="K81" s="2"/>
      <c r="L81" s="6">
        <f t="shared" si="66"/>
        <v>2992.14</v>
      </c>
      <c r="M81" s="2"/>
      <c r="N81" s="7">
        <f t="shared" si="67"/>
        <v>0</v>
      </c>
      <c r="O81" s="11"/>
      <c r="P81" s="6">
        <v>35243.83</v>
      </c>
      <c r="Q81" s="2"/>
      <c r="R81" s="7">
        <f t="shared" si="68"/>
        <v>0</v>
      </c>
      <c r="S81" s="2"/>
      <c r="T81" s="6"/>
      <c r="U81" s="2"/>
      <c r="V81" s="7">
        <f t="shared" si="69"/>
        <v>0</v>
      </c>
      <c r="W81" s="2"/>
      <c r="X81" s="6">
        <f t="shared" si="70"/>
        <v>35243.83</v>
      </c>
      <c r="Y81" s="2"/>
      <c r="Z81" s="7">
        <f t="shared" si="71"/>
        <v>0</v>
      </c>
    </row>
    <row r="82" spans="1:26" s="24" customFormat="1" hidden="1" outlineLevel="2" x14ac:dyDescent="0.25">
      <c r="A82" s="26"/>
      <c r="B82" s="11" t="str">
        <f>CONCATENATE("          ", "6237", " - ", "JANITORIAL SUPPLIES")</f>
        <v xml:space="preserve">          6237 - JANITORIAL SUPPLIES</v>
      </c>
      <c r="C82" s="11"/>
      <c r="D82" s="6"/>
      <c r="E82" s="2"/>
      <c r="F82" s="7">
        <f t="shared" si="64"/>
        <v>0</v>
      </c>
      <c r="G82" s="2"/>
      <c r="H82" s="6">
        <v>570</v>
      </c>
      <c r="I82" s="2"/>
      <c r="J82" s="7">
        <f t="shared" si="65"/>
        <v>0</v>
      </c>
      <c r="K82" s="2"/>
      <c r="L82" s="6">
        <f t="shared" si="66"/>
        <v>-570</v>
      </c>
      <c r="M82" s="2"/>
      <c r="N82" s="7">
        <f t="shared" si="67"/>
        <v>-1</v>
      </c>
      <c r="O82" s="11"/>
      <c r="P82" s="6">
        <v>2071.91</v>
      </c>
      <c r="Q82" s="2"/>
      <c r="R82" s="7">
        <f t="shared" si="68"/>
        <v>0</v>
      </c>
      <c r="S82" s="2"/>
      <c r="T82" s="6">
        <v>3837.46</v>
      </c>
      <c r="U82" s="2"/>
      <c r="V82" s="7">
        <f t="shared" si="69"/>
        <v>0</v>
      </c>
      <c r="W82" s="2"/>
      <c r="X82" s="6">
        <f t="shared" si="70"/>
        <v>-1765.5500000000002</v>
      </c>
      <c r="Y82" s="2"/>
      <c r="Z82" s="7">
        <f t="shared" si="71"/>
        <v>-0.46008297154888916</v>
      </c>
    </row>
    <row r="83" spans="1:26" s="24" customFormat="1" hidden="1" outlineLevel="2" x14ac:dyDescent="0.25">
      <c r="A83" s="26"/>
      <c r="B83" s="11" t="str">
        <f>CONCATENATE("          ", "6241", " - ", "OFFICE EXPENSE")</f>
        <v xml:space="preserve">          6241 - OFFICE EXPENSE</v>
      </c>
      <c r="C83" s="11"/>
      <c r="D83" s="6">
        <v>544.01</v>
      </c>
      <c r="E83" s="2"/>
      <c r="F83" s="7">
        <f t="shared" si="64"/>
        <v>0</v>
      </c>
      <c r="G83" s="2"/>
      <c r="H83" s="6">
        <v>418.12</v>
      </c>
      <c r="I83" s="2"/>
      <c r="J83" s="7">
        <f t="shared" si="65"/>
        <v>0</v>
      </c>
      <c r="K83" s="2"/>
      <c r="L83" s="6">
        <f t="shared" si="66"/>
        <v>125.88999999999999</v>
      </c>
      <c r="M83" s="2"/>
      <c r="N83" s="7">
        <f t="shared" si="67"/>
        <v>0.30108581268535345</v>
      </c>
      <c r="O83" s="11"/>
      <c r="P83" s="6">
        <v>2839.98</v>
      </c>
      <c r="Q83" s="2"/>
      <c r="R83" s="7">
        <f t="shared" si="68"/>
        <v>0</v>
      </c>
      <c r="S83" s="2"/>
      <c r="T83" s="6">
        <v>8417.73</v>
      </c>
      <c r="U83" s="2"/>
      <c r="V83" s="7">
        <f t="shared" si="69"/>
        <v>0</v>
      </c>
      <c r="W83" s="2"/>
      <c r="X83" s="6">
        <f t="shared" si="70"/>
        <v>-5577.75</v>
      </c>
      <c r="Y83" s="2"/>
      <c r="Z83" s="7">
        <f t="shared" si="71"/>
        <v>-0.66261925721067327</v>
      </c>
    </row>
    <row r="84" spans="1:26" s="24" customFormat="1" hidden="1" outlineLevel="2" x14ac:dyDescent="0.25">
      <c r="A84" s="26"/>
      <c r="B84" s="11" t="str">
        <f>CONCATENATE("          ", "6245", " - ", "PRINTING")</f>
        <v xml:space="preserve">          6245 - PRINTING</v>
      </c>
      <c r="C84" s="11"/>
      <c r="D84" s="6"/>
      <c r="E84" s="2"/>
      <c r="F84" s="7">
        <f t="shared" si="64"/>
        <v>0</v>
      </c>
      <c r="G84" s="2"/>
      <c r="H84" s="6"/>
      <c r="I84" s="2"/>
      <c r="J84" s="7">
        <f t="shared" si="65"/>
        <v>0</v>
      </c>
      <c r="K84" s="2"/>
      <c r="L84" s="6">
        <f t="shared" si="66"/>
        <v>0</v>
      </c>
      <c r="M84" s="2"/>
      <c r="N84" s="7">
        <f t="shared" si="67"/>
        <v>0</v>
      </c>
      <c r="O84" s="11"/>
      <c r="P84" s="6">
        <v>68.66</v>
      </c>
      <c r="Q84" s="2"/>
      <c r="R84" s="7">
        <f t="shared" si="68"/>
        <v>0</v>
      </c>
      <c r="S84" s="2"/>
      <c r="T84" s="6">
        <v>19.73</v>
      </c>
      <c r="U84" s="2"/>
      <c r="V84" s="7">
        <f t="shared" si="69"/>
        <v>0</v>
      </c>
      <c r="W84" s="2"/>
      <c r="X84" s="6">
        <f t="shared" si="70"/>
        <v>48.929999999999993</v>
      </c>
      <c r="Y84" s="2"/>
      <c r="Z84" s="7">
        <f t="shared" si="71"/>
        <v>2.4799797263051189</v>
      </c>
    </row>
    <row r="85" spans="1:26" s="24" customFormat="1" hidden="1" outlineLevel="2" x14ac:dyDescent="0.25">
      <c r="A85" s="26"/>
      <c r="B85" s="11" t="str">
        <f>CONCATENATE("          ", "6247", " - ", "STORE SUPPLIES")</f>
        <v xml:space="preserve">          6247 - STORE SUPPLIES</v>
      </c>
      <c r="C85" s="11"/>
      <c r="D85" s="6">
        <v>5869.48</v>
      </c>
      <c r="E85" s="2"/>
      <c r="F85" s="7">
        <f t="shared" si="64"/>
        <v>0</v>
      </c>
      <c r="G85" s="2"/>
      <c r="H85" s="6">
        <v>-201.5</v>
      </c>
      <c r="I85" s="2"/>
      <c r="J85" s="7">
        <f t="shared" si="65"/>
        <v>0</v>
      </c>
      <c r="K85" s="2"/>
      <c r="L85" s="6">
        <f t="shared" si="66"/>
        <v>6070.98</v>
      </c>
      <c r="M85" s="2"/>
      <c r="N85" s="7">
        <f t="shared" si="67"/>
        <v>-30.128933002481386</v>
      </c>
      <c r="O85" s="11"/>
      <c r="P85" s="6">
        <v>18552.88</v>
      </c>
      <c r="Q85" s="2"/>
      <c r="R85" s="7">
        <f t="shared" si="68"/>
        <v>0</v>
      </c>
      <c r="S85" s="2"/>
      <c r="T85" s="6">
        <v>-461.12</v>
      </c>
      <c r="U85" s="2"/>
      <c r="V85" s="7">
        <f t="shared" si="69"/>
        <v>0</v>
      </c>
      <c r="W85" s="2"/>
      <c r="X85" s="6">
        <f t="shared" si="70"/>
        <v>19014</v>
      </c>
      <c r="Y85" s="2"/>
      <c r="Z85" s="7">
        <f t="shared" si="71"/>
        <v>-41.234385843164468</v>
      </c>
    </row>
    <row r="86" spans="1:26" s="25" customFormat="1" outlineLevel="1" collapsed="1" x14ac:dyDescent="0.25">
      <c r="A86" s="27"/>
      <c r="B86" s="13" t="str">
        <f>CONCATENATE("     ","Telephone/Data Lines                              ")</f>
        <v xml:space="preserve">     Telephone/Data Lines                              </v>
      </c>
      <c r="C86" s="13"/>
      <c r="D86" s="1">
        <f>SUM(OSRRefD22_19x_0)</f>
        <v>463.61</v>
      </c>
      <c r="E86" s="1"/>
      <c r="F86" s="5">
        <f t="shared" ref="F86:F93" si="72">IF(D$12=0,0,D86/D$12)</f>
        <v>0</v>
      </c>
      <c r="G86" s="1"/>
      <c r="H86" s="1">
        <f>SUM(OSRRefH22_19x_0)</f>
        <v>592.96</v>
      </c>
      <c r="I86" s="1"/>
      <c r="J86" s="5">
        <f t="shared" ref="J86:J93" si="73">IF(H$12=0,0,H86/H$12)</f>
        <v>0</v>
      </c>
      <c r="K86" s="1"/>
      <c r="L86" s="1">
        <f t="shared" ref="L86:L93" si="74">+D86-H86</f>
        <v>-129.35000000000002</v>
      </c>
      <c r="M86" s="1"/>
      <c r="N86" s="5">
        <f t="shared" ref="N86:N93" si="75">IF(H86=0,0,L86/H86)</f>
        <v>-0.21814287641662172</v>
      </c>
      <c r="O86" s="13"/>
      <c r="P86" s="1">
        <f>SUM(OSRRefP22_19x_0)</f>
        <v>4669.87</v>
      </c>
      <c r="Q86" s="1"/>
      <c r="R86" s="5">
        <f t="shared" ref="R86:R93" si="76">IF(P$12=0,0,P86/P$12)</f>
        <v>0</v>
      </c>
      <c r="S86" s="1"/>
      <c r="T86" s="1">
        <f>SUM(OSRRefT22_19x_0)</f>
        <v>4293.3999999999996</v>
      </c>
      <c r="U86" s="1"/>
      <c r="V86" s="5">
        <f t="shared" ref="V86:V93" si="77">IF(T$12=0,0,T86/T$12)</f>
        <v>0</v>
      </c>
      <c r="W86" s="1"/>
      <c r="X86" s="1">
        <f t="shared" ref="X86:X93" si="78">+P86-T86</f>
        <v>376.47000000000025</v>
      </c>
      <c r="Y86" s="1"/>
      <c r="Z86" s="5">
        <f t="shared" ref="Z86:Z93" si="79">IF(T86=0,0,X86/T86)</f>
        <v>8.7685750221269926E-2</v>
      </c>
    </row>
    <row r="87" spans="1:26" s="24" customFormat="1" hidden="1" outlineLevel="2" x14ac:dyDescent="0.25">
      <c r="A87" s="26"/>
      <c r="B87" s="11" t="str">
        <f>CONCATENATE("          ", "6309", " - ", "TELEPHONE")</f>
        <v xml:space="preserve">          6309 - TELEPHONE</v>
      </c>
      <c r="C87" s="11"/>
      <c r="D87" s="6">
        <v>463.61</v>
      </c>
      <c r="E87" s="2"/>
      <c r="F87" s="7">
        <f t="shared" si="72"/>
        <v>0</v>
      </c>
      <c r="G87" s="2"/>
      <c r="H87" s="6">
        <v>592.96</v>
      </c>
      <c r="I87" s="2"/>
      <c r="J87" s="7">
        <f t="shared" si="73"/>
        <v>0</v>
      </c>
      <c r="K87" s="2"/>
      <c r="L87" s="6">
        <f t="shared" si="74"/>
        <v>-129.35000000000002</v>
      </c>
      <c r="M87" s="2"/>
      <c r="N87" s="7">
        <f t="shared" si="75"/>
        <v>-0.21814287641662172</v>
      </c>
      <c r="O87" s="11"/>
      <c r="P87" s="6">
        <v>4669.87</v>
      </c>
      <c r="Q87" s="2"/>
      <c r="R87" s="7">
        <f t="shared" si="76"/>
        <v>0</v>
      </c>
      <c r="S87" s="2"/>
      <c r="T87" s="6">
        <v>4293.3999999999996</v>
      </c>
      <c r="U87" s="2"/>
      <c r="V87" s="7">
        <f t="shared" si="77"/>
        <v>0</v>
      </c>
      <c r="W87" s="2"/>
      <c r="X87" s="6">
        <f t="shared" si="78"/>
        <v>376.47000000000025</v>
      </c>
      <c r="Y87" s="2"/>
      <c r="Z87" s="7">
        <f t="shared" si="79"/>
        <v>8.7685750221269926E-2</v>
      </c>
    </row>
    <row r="88" spans="1:26" s="25" customFormat="1" outlineLevel="1" collapsed="1" x14ac:dyDescent="0.25">
      <c r="A88" s="27"/>
      <c r="B88" s="13" t="str">
        <f>CONCATENATE("     ","Training                                          ")</f>
        <v xml:space="preserve">     Training                                          </v>
      </c>
      <c r="C88" s="13"/>
      <c r="D88" s="1">
        <f>SUM(OSRRefD22_20x_0)</f>
        <v>750</v>
      </c>
      <c r="E88" s="1"/>
      <c r="F88" s="5">
        <f t="shared" si="72"/>
        <v>0</v>
      </c>
      <c r="G88" s="1"/>
      <c r="H88" s="1">
        <f>SUM(OSRRefH22_20x_0)</f>
        <v>1843.35</v>
      </c>
      <c r="I88" s="1"/>
      <c r="J88" s="5">
        <f t="shared" si="73"/>
        <v>0</v>
      </c>
      <c r="K88" s="1"/>
      <c r="L88" s="1">
        <f t="shared" si="74"/>
        <v>-1093.3499999999999</v>
      </c>
      <c r="M88" s="1"/>
      <c r="N88" s="5">
        <f t="shared" si="75"/>
        <v>-0.59313206933029539</v>
      </c>
      <c r="O88" s="13"/>
      <c r="P88" s="1">
        <f>SUM(OSRRefP22_20x_0)</f>
        <v>881.63</v>
      </c>
      <c r="Q88" s="1"/>
      <c r="R88" s="5">
        <f t="shared" si="76"/>
        <v>0</v>
      </c>
      <c r="S88" s="1"/>
      <c r="T88" s="1">
        <f>SUM(OSRRefT22_20x_0)</f>
        <v>8434.8799999999992</v>
      </c>
      <c r="U88" s="1"/>
      <c r="V88" s="5">
        <f t="shared" si="77"/>
        <v>0</v>
      </c>
      <c r="W88" s="1"/>
      <c r="X88" s="1">
        <f t="shared" si="78"/>
        <v>-7553.2499999999991</v>
      </c>
      <c r="Y88" s="1"/>
      <c r="Z88" s="5">
        <f t="shared" si="79"/>
        <v>-0.89547806252133999</v>
      </c>
    </row>
    <row r="89" spans="1:26" s="24" customFormat="1" hidden="1" outlineLevel="2" x14ac:dyDescent="0.25">
      <c r="A89" s="26"/>
      <c r="B89" s="11" t="str">
        <f>CONCATENATE("          ", "6376", " - ", "TRAINING")</f>
        <v xml:space="preserve">          6376 - TRAINING</v>
      </c>
      <c r="C89" s="11"/>
      <c r="D89" s="6">
        <v>750</v>
      </c>
      <c r="E89" s="2"/>
      <c r="F89" s="7">
        <f t="shared" si="72"/>
        <v>0</v>
      </c>
      <c r="G89" s="2"/>
      <c r="H89" s="6">
        <v>1843.35</v>
      </c>
      <c r="I89" s="2"/>
      <c r="J89" s="7">
        <f t="shared" si="73"/>
        <v>0</v>
      </c>
      <c r="K89" s="2"/>
      <c r="L89" s="6">
        <f t="shared" si="74"/>
        <v>-1093.3499999999999</v>
      </c>
      <c r="M89" s="2"/>
      <c r="N89" s="7">
        <f t="shared" si="75"/>
        <v>-0.59313206933029539</v>
      </c>
      <c r="O89" s="11"/>
      <c r="P89" s="6">
        <v>881.63</v>
      </c>
      <c r="Q89" s="2"/>
      <c r="R89" s="7">
        <f t="shared" si="76"/>
        <v>0</v>
      </c>
      <c r="S89" s="2"/>
      <c r="T89" s="6">
        <v>8434.8799999999992</v>
      </c>
      <c r="U89" s="2"/>
      <c r="V89" s="7">
        <f t="shared" si="77"/>
        <v>0</v>
      </c>
      <c r="W89" s="2"/>
      <c r="X89" s="6">
        <f t="shared" si="78"/>
        <v>-7553.2499999999991</v>
      </c>
      <c r="Y89" s="2"/>
      <c r="Z89" s="7">
        <f t="shared" si="79"/>
        <v>-0.89547806252133999</v>
      </c>
    </row>
    <row r="90" spans="1:26" s="25" customFormat="1" outlineLevel="1" collapsed="1" x14ac:dyDescent="0.25">
      <c r="A90" s="27"/>
      <c r="B90" s="13" t="str">
        <f>CONCATENATE("     ","Travel                                            ")</f>
        <v xml:space="preserve">     Travel                                            </v>
      </c>
      <c r="C90" s="13"/>
      <c r="D90" s="1">
        <f>SUM(OSRRefD22_21x_0)</f>
        <v>0</v>
      </c>
      <c r="E90" s="1"/>
      <c r="F90" s="5">
        <f t="shared" si="72"/>
        <v>0</v>
      </c>
      <c r="G90" s="1"/>
      <c r="H90" s="1">
        <f>SUM(OSRRefH22_21x_0)</f>
        <v>66.84</v>
      </c>
      <c r="I90" s="1"/>
      <c r="J90" s="5">
        <f t="shared" si="73"/>
        <v>0</v>
      </c>
      <c r="K90" s="1"/>
      <c r="L90" s="1">
        <f t="shared" si="74"/>
        <v>-66.84</v>
      </c>
      <c r="M90" s="1"/>
      <c r="N90" s="5">
        <f t="shared" si="75"/>
        <v>-1</v>
      </c>
      <c r="O90" s="13"/>
      <c r="P90" s="1">
        <f>SUM(OSRRefP22_21x_0)</f>
        <v>358.89</v>
      </c>
      <c r="Q90" s="1"/>
      <c r="R90" s="5">
        <f t="shared" si="76"/>
        <v>0</v>
      </c>
      <c r="S90" s="1"/>
      <c r="T90" s="1">
        <f>SUM(OSRRefT22_21x_0)</f>
        <v>712.4</v>
      </c>
      <c r="U90" s="1"/>
      <c r="V90" s="5">
        <f t="shared" si="77"/>
        <v>0</v>
      </c>
      <c r="W90" s="1"/>
      <c r="X90" s="1">
        <f t="shared" si="78"/>
        <v>-353.51</v>
      </c>
      <c r="Y90" s="1"/>
      <c r="Z90" s="5">
        <f t="shared" si="79"/>
        <v>-0.49622403144300953</v>
      </c>
    </row>
    <row r="91" spans="1:26" s="24" customFormat="1" hidden="1" outlineLevel="2" x14ac:dyDescent="0.25">
      <c r="A91" s="26"/>
      <c r="B91" s="11" t="str">
        <f>CONCATENATE("          ", "6292", " - ", "TRAVEL/CONFERENCE")</f>
        <v xml:space="preserve">          6292 - TRAVEL/CONFERENCE</v>
      </c>
      <c r="C91" s="11"/>
      <c r="D91" s="6"/>
      <c r="E91" s="2"/>
      <c r="F91" s="7">
        <f t="shared" si="72"/>
        <v>0</v>
      </c>
      <c r="G91" s="2"/>
      <c r="H91" s="6">
        <v>47.96</v>
      </c>
      <c r="I91" s="2"/>
      <c r="J91" s="7">
        <f t="shared" si="73"/>
        <v>0</v>
      </c>
      <c r="K91" s="2"/>
      <c r="L91" s="6">
        <f t="shared" si="74"/>
        <v>-47.96</v>
      </c>
      <c r="M91" s="2"/>
      <c r="N91" s="7">
        <f t="shared" si="75"/>
        <v>-1</v>
      </c>
      <c r="O91" s="11"/>
      <c r="P91" s="6">
        <v>299</v>
      </c>
      <c r="Q91" s="2"/>
      <c r="R91" s="7">
        <f t="shared" si="76"/>
        <v>0</v>
      </c>
      <c r="S91" s="2"/>
      <c r="T91" s="6">
        <v>545.6</v>
      </c>
      <c r="U91" s="2"/>
      <c r="V91" s="7">
        <f t="shared" si="77"/>
        <v>0</v>
      </c>
      <c r="W91" s="2"/>
      <c r="X91" s="6">
        <f t="shared" si="78"/>
        <v>-246.60000000000002</v>
      </c>
      <c r="Y91" s="2"/>
      <c r="Z91" s="7">
        <f t="shared" si="79"/>
        <v>-0.45197947214076251</v>
      </c>
    </row>
    <row r="92" spans="1:26" s="24" customFormat="1" hidden="1" outlineLevel="2" x14ac:dyDescent="0.25">
      <c r="A92" s="26"/>
      <c r="B92" s="11" t="str">
        <f>CONCATENATE("          ", "6294", " - ", "TRAVEL OPERATIONAL")</f>
        <v xml:space="preserve">          6294 - TRAVEL OPERATIONAL</v>
      </c>
      <c r="C92" s="11"/>
      <c r="D92" s="6"/>
      <c r="E92" s="2"/>
      <c r="F92" s="7">
        <f t="shared" si="72"/>
        <v>0</v>
      </c>
      <c r="G92" s="2"/>
      <c r="H92" s="6"/>
      <c r="I92" s="2"/>
      <c r="J92" s="7">
        <f t="shared" si="73"/>
        <v>0</v>
      </c>
      <c r="K92" s="2"/>
      <c r="L92" s="6">
        <f t="shared" si="74"/>
        <v>0</v>
      </c>
      <c r="M92" s="2"/>
      <c r="N92" s="7">
        <f t="shared" si="75"/>
        <v>0</v>
      </c>
      <c r="O92" s="11"/>
      <c r="P92" s="6"/>
      <c r="Q92" s="2"/>
      <c r="R92" s="7">
        <f t="shared" si="76"/>
        <v>0</v>
      </c>
      <c r="S92" s="2"/>
      <c r="T92" s="6">
        <v>-144.33000000000001</v>
      </c>
      <c r="U92" s="2"/>
      <c r="V92" s="7">
        <f t="shared" si="77"/>
        <v>0</v>
      </c>
      <c r="W92" s="2"/>
      <c r="X92" s="6">
        <f t="shared" si="78"/>
        <v>144.33000000000001</v>
      </c>
      <c r="Y92" s="2"/>
      <c r="Z92" s="7">
        <f t="shared" si="79"/>
        <v>-1</v>
      </c>
    </row>
    <row r="93" spans="1:26" s="24" customFormat="1" hidden="1" outlineLevel="2" x14ac:dyDescent="0.25">
      <c r="A93" s="26"/>
      <c r="B93" s="11" t="str">
        <f>CONCATENATE("          ", "6298", " - ", "VEHICLE MILEAGE")</f>
        <v xml:space="preserve">          6298 - VEHICLE MILEAGE</v>
      </c>
      <c r="C93" s="11"/>
      <c r="D93" s="6"/>
      <c r="E93" s="2"/>
      <c r="F93" s="7">
        <f t="shared" si="72"/>
        <v>0</v>
      </c>
      <c r="G93" s="2"/>
      <c r="H93" s="6">
        <v>18.88</v>
      </c>
      <c r="I93" s="2"/>
      <c r="J93" s="7">
        <f t="shared" si="73"/>
        <v>0</v>
      </c>
      <c r="K93" s="2"/>
      <c r="L93" s="6">
        <f t="shared" si="74"/>
        <v>-18.88</v>
      </c>
      <c r="M93" s="2"/>
      <c r="N93" s="7">
        <f t="shared" si="75"/>
        <v>-1</v>
      </c>
      <c r="O93" s="11"/>
      <c r="P93" s="6">
        <v>59.89</v>
      </c>
      <c r="Q93" s="2"/>
      <c r="R93" s="7">
        <f t="shared" si="76"/>
        <v>0</v>
      </c>
      <c r="S93" s="2"/>
      <c r="T93" s="6">
        <v>311.13</v>
      </c>
      <c r="U93" s="2"/>
      <c r="V93" s="7">
        <f t="shared" si="77"/>
        <v>0</v>
      </c>
      <c r="W93" s="2"/>
      <c r="X93" s="6">
        <f t="shared" si="78"/>
        <v>-251.24</v>
      </c>
      <c r="Y93" s="2"/>
      <c r="Z93" s="7">
        <f t="shared" si="79"/>
        <v>-0.80750811557869706</v>
      </c>
    </row>
    <row r="94" spans="1:26" s="25" customFormat="1" outlineLevel="1" collapsed="1" x14ac:dyDescent="0.25">
      <c r="A94" s="27"/>
      <c r="B94" s="13" t="str">
        <f>CONCATENATE("     ","Utilities                                         ")</f>
        <v xml:space="preserve">     Utilities                                         </v>
      </c>
      <c r="C94" s="13"/>
      <c r="D94" s="1">
        <f>SUM(OSRRefD22_22x_0)</f>
        <v>6133</v>
      </c>
      <c r="E94" s="1"/>
      <c r="F94" s="5">
        <f t="shared" ref="F94:F95" si="80">IF(D$12=0,0,D94/D$12)</f>
        <v>0</v>
      </c>
      <c r="G94" s="1"/>
      <c r="H94" s="1">
        <f>SUM(OSRRefH22_22x_0)</f>
        <v>6133</v>
      </c>
      <c r="I94" s="1"/>
      <c r="J94" s="5">
        <f t="shared" ref="J94:J95" si="81">IF(H$12=0,0,H94/H$12)</f>
        <v>0</v>
      </c>
      <c r="K94" s="1"/>
      <c r="L94" s="1">
        <f t="shared" ref="L94:L95" si="82">+D94-H94</f>
        <v>0</v>
      </c>
      <c r="M94" s="1"/>
      <c r="N94" s="5">
        <f t="shared" ref="N94:N95" si="83">IF(H94=0,0,L94/H94)</f>
        <v>0</v>
      </c>
      <c r="O94" s="13"/>
      <c r="P94" s="1">
        <f>SUM(OSRRefP22_22x_0)</f>
        <v>48868</v>
      </c>
      <c r="Q94" s="1"/>
      <c r="R94" s="5">
        <f t="shared" ref="R94:R95" si="84">IF(P$12=0,0,P94/P$12)</f>
        <v>0</v>
      </c>
      <c r="S94" s="1"/>
      <c r="T94" s="1">
        <f>SUM(OSRRefT22_22x_0)</f>
        <v>44005</v>
      </c>
      <c r="U94" s="1"/>
      <c r="V94" s="5">
        <f t="shared" ref="V94:V95" si="85">IF(T$12=0,0,T94/T$12)</f>
        <v>0</v>
      </c>
      <c r="W94" s="1"/>
      <c r="X94" s="1">
        <f t="shared" ref="X94:X95" si="86">+P94-T94</f>
        <v>4863</v>
      </c>
      <c r="Y94" s="1"/>
      <c r="Z94" s="5">
        <f t="shared" ref="Z94:Z95" si="87">IF(T94=0,0,X94/T94)</f>
        <v>0.11051016929894331</v>
      </c>
    </row>
    <row r="95" spans="1:26" s="24" customFormat="1" hidden="1" outlineLevel="2" x14ac:dyDescent="0.25">
      <c r="A95" s="26"/>
      <c r="B95" s="11" t="str">
        <f>CONCATENATE("          ", "6274", " - ", "UTILITIES")</f>
        <v xml:space="preserve">          6274 - UTILITIES</v>
      </c>
      <c r="C95" s="11"/>
      <c r="D95" s="6">
        <v>6133</v>
      </c>
      <c r="E95" s="2"/>
      <c r="F95" s="7">
        <f t="shared" si="80"/>
        <v>0</v>
      </c>
      <c r="G95" s="2"/>
      <c r="H95" s="6">
        <v>6133</v>
      </c>
      <c r="I95" s="2"/>
      <c r="J95" s="7">
        <f t="shared" si="81"/>
        <v>0</v>
      </c>
      <c r="K95" s="2"/>
      <c r="L95" s="6">
        <f t="shared" si="82"/>
        <v>0</v>
      </c>
      <c r="M95" s="2"/>
      <c r="N95" s="7">
        <f t="shared" si="83"/>
        <v>0</v>
      </c>
      <c r="O95" s="11"/>
      <c r="P95" s="6">
        <v>48868</v>
      </c>
      <c r="Q95" s="2"/>
      <c r="R95" s="7">
        <f t="shared" si="84"/>
        <v>0</v>
      </c>
      <c r="S95" s="2"/>
      <c r="T95" s="6">
        <v>44005</v>
      </c>
      <c r="U95" s="2"/>
      <c r="V95" s="7">
        <f t="shared" si="85"/>
        <v>0</v>
      </c>
      <c r="W95" s="2"/>
      <c r="X95" s="6">
        <f t="shared" si="86"/>
        <v>4863</v>
      </c>
      <c r="Y95" s="2"/>
      <c r="Z95" s="7">
        <f t="shared" si="87"/>
        <v>0.11051016929894331</v>
      </c>
    </row>
    <row r="96" spans="1:26" s="52" customFormat="1" x14ac:dyDescent="0.25">
      <c r="A96" s="37"/>
      <c r="B96" s="37"/>
      <c r="C96" s="37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7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collapsed="1" x14ac:dyDescent="0.25">
      <c r="A97" s="10"/>
      <c r="B97" s="28" t="s">
        <v>0</v>
      </c>
      <c r="C97" s="10"/>
      <c r="D97" s="4">
        <f>SUM(OSRRefD25x_0)</f>
        <v>48964.67</v>
      </c>
      <c r="E97" s="4"/>
      <c r="F97" s="12">
        <f t="shared" ref="F97:F100" si="88">IF(D$12=0,0,D97/D$12)</f>
        <v>0</v>
      </c>
      <c r="G97" s="4"/>
      <c r="H97" s="4">
        <f>SUM(OSRRefH25x_0)</f>
        <v>30357.090000000004</v>
      </c>
      <c r="I97" s="4"/>
      <c r="J97" s="12">
        <f t="shared" ref="J97:J100" si="89">IF(H$12=0,0,H97/H$12)</f>
        <v>0</v>
      </c>
      <c r="K97" s="4"/>
      <c r="L97" s="4">
        <f t="shared" ref="L97:L100" si="90">+D97-H97</f>
        <v>18607.579999999994</v>
      </c>
      <c r="M97" s="4"/>
      <c r="N97" s="12">
        <f t="shared" ref="N97:N100" si="91">IF(H97=0,0,L97/H97)</f>
        <v>0.61295664373627357</v>
      </c>
      <c r="O97" s="10"/>
      <c r="P97" s="4">
        <f>SUM(OSRRefP25x_0)</f>
        <v>175268.44</v>
      </c>
      <c r="Q97" s="4"/>
      <c r="R97" s="12">
        <f t="shared" ref="R97:R100" si="92">IF(P$12=0,0,P97/P$12)</f>
        <v>0</v>
      </c>
      <c r="S97" s="4"/>
      <c r="T97" s="4">
        <f>SUM(OSRRefT25x_0)</f>
        <v>191220.71999999997</v>
      </c>
      <c r="U97" s="4"/>
      <c r="V97" s="12">
        <f t="shared" ref="V97:V100" si="93">IF(T$12=0,0,T97/T$12)</f>
        <v>0</v>
      </c>
      <c r="W97" s="4"/>
      <c r="X97" s="4">
        <f t="shared" ref="X97:X100" si="94">+P97-T97</f>
        <v>-15952.27999999997</v>
      </c>
      <c r="Y97" s="4"/>
      <c r="Z97" s="12">
        <f t="shared" ref="Z97:Z100" si="95">IF(T97=0,0,X97/T97)</f>
        <v>-8.3423386335957583E-2</v>
      </c>
    </row>
    <row r="98" spans="1:26" s="24" customFormat="1" hidden="1" outlineLevel="1" x14ac:dyDescent="0.25">
      <c r="A98" s="44"/>
      <c r="B98" s="11" t="str">
        <f>CONCATENATE("          ", "9150", " - ", "MISC. INCOME")</f>
        <v xml:space="preserve">          9150 - MISC. INCOME</v>
      </c>
      <c r="C98" s="11"/>
      <c r="D98" s="2">
        <f>--48964.67</f>
        <v>48964.67</v>
      </c>
      <c r="E98" s="2"/>
      <c r="F98" s="19">
        <f t="shared" si="88"/>
        <v>0</v>
      </c>
      <c r="G98" s="2"/>
      <c r="H98" s="2">
        <f>--35300.91</f>
        <v>35300.910000000003</v>
      </c>
      <c r="I98" s="2"/>
      <c r="J98" s="19">
        <f t="shared" si="89"/>
        <v>0</v>
      </c>
      <c r="K98" s="2"/>
      <c r="L98" s="2">
        <f t="shared" si="90"/>
        <v>13663.759999999995</v>
      </c>
      <c r="M98" s="2"/>
      <c r="N98" s="19">
        <f t="shared" si="91"/>
        <v>0.38706537593506779</v>
      </c>
      <c r="O98" s="11"/>
      <c r="P98" s="2">
        <f>--175268.44</f>
        <v>175268.44</v>
      </c>
      <c r="Q98" s="2"/>
      <c r="R98" s="19">
        <f t="shared" si="92"/>
        <v>0</v>
      </c>
      <c r="S98" s="2"/>
      <c r="T98" s="2">
        <f>--197437.36</f>
        <v>197437.36</v>
      </c>
      <c r="U98" s="2"/>
      <c r="V98" s="19">
        <f t="shared" si="93"/>
        <v>0</v>
      </c>
      <c r="W98" s="2"/>
      <c r="X98" s="2">
        <f t="shared" si="94"/>
        <v>-22168.919999999984</v>
      </c>
      <c r="Y98" s="2"/>
      <c r="Z98" s="19">
        <f t="shared" si="95"/>
        <v>-0.11228330848832251</v>
      </c>
    </row>
    <row r="99" spans="1:26" s="24" customFormat="1" hidden="1" outlineLevel="1" x14ac:dyDescent="0.25">
      <c r="A99" s="44"/>
      <c r="B99" s="11" t="str">
        <f>CONCATENATE("          ", "9151", " - ", "MISC. INCOME")</f>
        <v xml:space="preserve">          9151 - MISC. INCOME</v>
      </c>
      <c r="C99" s="11"/>
      <c r="D99" s="2">
        <f t="shared" ref="D99:D100" si="96">0</f>
        <v>0</v>
      </c>
      <c r="E99" s="2"/>
      <c r="F99" s="19">
        <f t="shared" si="88"/>
        <v>0</v>
      </c>
      <c r="G99" s="2"/>
      <c r="H99" s="2">
        <f>-4943.82</f>
        <v>-4943.82</v>
      </c>
      <c r="I99" s="2"/>
      <c r="J99" s="19">
        <f t="shared" si="89"/>
        <v>0</v>
      </c>
      <c r="K99" s="2"/>
      <c r="L99" s="2">
        <f t="shared" si="90"/>
        <v>4943.82</v>
      </c>
      <c r="M99" s="2"/>
      <c r="N99" s="19">
        <f t="shared" si="91"/>
        <v>-1</v>
      </c>
      <c r="O99" s="11"/>
      <c r="P99" s="2">
        <f t="shared" ref="P99:P100" si="97">0</f>
        <v>0</v>
      </c>
      <c r="Q99" s="2"/>
      <c r="R99" s="19">
        <f t="shared" si="92"/>
        <v>0</v>
      </c>
      <c r="S99" s="2"/>
      <c r="T99" s="2">
        <f>-6666.64</f>
        <v>-6666.64</v>
      </c>
      <c r="U99" s="2"/>
      <c r="V99" s="19">
        <f t="shared" si="93"/>
        <v>0</v>
      </c>
      <c r="W99" s="2"/>
      <c r="X99" s="2">
        <f t="shared" si="94"/>
        <v>6666.64</v>
      </c>
      <c r="Y99" s="2"/>
      <c r="Z99" s="19">
        <f t="shared" si="95"/>
        <v>-1</v>
      </c>
    </row>
    <row r="100" spans="1:26" s="24" customFormat="1" hidden="1" outlineLevel="1" x14ac:dyDescent="0.25">
      <c r="A100" s="44"/>
      <c r="B100" s="11" t="str">
        <f>CONCATENATE("          ", "9153", " - ", "MISC. INCOME")</f>
        <v xml:space="preserve">          9153 - MISC. INCOME</v>
      </c>
      <c r="C100" s="11"/>
      <c r="D100" s="2">
        <f t="shared" si="96"/>
        <v>0</v>
      </c>
      <c r="E100" s="2"/>
      <c r="F100" s="19">
        <f t="shared" si="88"/>
        <v>0</v>
      </c>
      <c r="G100" s="2"/>
      <c r="H100" s="2">
        <f>0</f>
        <v>0</v>
      </c>
      <c r="I100" s="2"/>
      <c r="J100" s="19">
        <f t="shared" si="89"/>
        <v>0</v>
      </c>
      <c r="K100" s="2"/>
      <c r="L100" s="2">
        <f t="shared" si="90"/>
        <v>0</v>
      </c>
      <c r="M100" s="2"/>
      <c r="N100" s="19">
        <f t="shared" si="91"/>
        <v>0</v>
      </c>
      <c r="O100" s="11"/>
      <c r="P100" s="2">
        <f t="shared" si="97"/>
        <v>0</v>
      </c>
      <c r="Q100" s="2"/>
      <c r="R100" s="19">
        <f t="shared" si="92"/>
        <v>0</v>
      </c>
      <c r="S100" s="2"/>
      <c r="T100" s="2">
        <f>--450</f>
        <v>450</v>
      </c>
      <c r="U100" s="2"/>
      <c r="V100" s="19">
        <f t="shared" si="93"/>
        <v>0</v>
      </c>
      <c r="W100" s="2"/>
      <c r="X100" s="2">
        <f t="shared" si="94"/>
        <v>-450</v>
      </c>
      <c r="Y100" s="2"/>
      <c r="Z100" s="19">
        <f t="shared" si="95"/>
        <v>-1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9" t="s">
        <v>3</v>
      </c>
      <c r="C102" s="29"/>
      <c r="D102" s="22">
        <f>+D16-D18+D97</f>
        <v>-74533.719999999958</v>
      </c>
      <c r="E102" s="14"/>
      <c r="F102" s="20">
        <f>IF(D$12=0,0,D102/D$12)</f>
        <v>0</v>
      </c>
      <c r="G102" s="14"/>
      <c r="H102" s="22">
        <f>+H16-H18+H97</f>
        <v>-52022.580000000009</v>
      </c>
      <c r="I102" s="14"/>
      <c r="J102" s="20">
        <f>IF(H$12=0,0,H102/H$12)</f>
        <v>0</v>
      </c>
      <c r="K102" s="16"/>
      <c r="L102" s="22">
        <f>+D102-H102</f>
        <v>-22511.139999999948</v>
      </c>
      <c r="M102" s="16"/>
      <c r="N102" s="20">
        <f>IF(H102=0,0,L102/H102)</f>
        <v>0.43271863871418803</v>
      </c>
      <c r="O102" s="28"/>
      <c r="P102" s="22">
        <f>+P16-P18+P97</f>
        <v>-824277.4600000002</v>
      </c>
      <c r="Q102" s="14"/>
      <c r="R102" s="20">
        <f>IF(P$12=0,0,P102/P$12)</f>
        <v>0</v>
      </c>
      <c r="S102" s="14"/>
      <c r="T102" s="22">
        <f>+T16-T18+T97</f>
        <v>-832870.54</v>
      </c>
      <c r="U102" s="14"/>
      <c r="V102" s="20">
        <f>IF(T$12=0,0,T102/T$12)</f>
        <v>0</v>
      </c>
      <c r="W102" s="16"/>
      <c r="X102" s="22">
        <f>+P102-T102</f>
        <v>8593.0799999998417</v>
      </c>
      <c r="Y102" s="16"/>
      <c r="Z102" s="20">
        <f>IF(T102=0,0,X102/T102)</f>
        <v>-1.0317425803054387E-2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1"/>
      <c r="B104" s="10" t="s">
        <v>13</v>
      </c>
      <c r="C104" s="10"/>
      <c r="D104" s="4"/>
      <c r="E104" s="4"/>
      <c r="F104" s="12">
        <f>IF(D$12=0,0,D104/D$12)</f>
        <v>0</v>
      </c>
      <c r="G104" s="4"/>
      <c r="H104" s="4"/>
      <c r="I104" s="4"/>
      <c r="J104" s="12">
        <f>IF(H$12=0,0,H104/H$12)</f>
        <v>0</v>
      </c>
      <c r="K104" s="4"/>
      <c r="L104" s="4">
        <f>+D104-H104</f>
        <v>0</v>
      </c>
      <c r="M104" s="4"/>
      <c r="N104" s="12">
        <f>IF(H104=0,0,L104/H104)</f>
        <v>0</v>
      </c>
      <c r="O104" s="10"/>
      <c r="P104" s="4"/>
      <c r="Q104" s="4"/>
      <c r="R104" s="12">
        <f>IF(P$12=0,0,P104/P$12)</f>
        <v>0</v>
      </c>
      <c r="S104" s="4"/>
      <c r="T104" s="4"/>
      <c r="U104" s="4"/>
      <c r="V104" s="12">
        <f>IF(T$12=0,0,T104/T$12)</f>
        <v>0</v>
      </c>
      <c r="W104" s="4"/>
      <c r="X104" s="4">
        <f>+P104-T104</f>
        <v>0</v>
      </c>
      <c r="Y104" s="4"/>
      <c r="Z104" s="12">
        <f>IF(T104=0,0,X104/T104)</f>
        <v>0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9" t="s">
        <v>4</v>
      </c>
      <c r="C106" s="29"/>
      <c r="D106" s="35">
        <f>+D102-D104</f>
        <v>-74533.719999999958</v>
      </c>
      <c r="E106" s="14"/>
      <c r="F106" s="36">
        <f>IF(D$12=0,0,D106/D$12)</f>
        <v>0</v>
      </c>
      <c r="G106" s="14"/>
      <c r="H106" s="35">
        <f>+H102-H104</f>
        <v>-52022.580000000009</v>
      </c>
      <c r="I106" s="14"/>
      <c r="J106" s="36">
        <f>IF(H$12=0,0,H106/H$12)</f>
        <v>0</v>
      </c>
      <c r="K106" s="16"/>
      <c r="L106" s="35">
        <f>D106-H106</f>
        <v>-22511.139999999948</v>
      </c>
      <c r="M106" s="16"/>
      <c r="N106" s="36">
        <f>IF(H106=0,0,L106/H106)</f>
        <v>0.43271863871418803</v>
      </c>
      <c r="O106" s="28"/>
      <c r="P106" s="35">
        <f>+P102-P104</f>
        <v>-824277.4600000002</v>
      </c>
      <c r="Q106" s="14"/>
      <c r="R106" s="36">
        <f>IF(P$12=0,0,P106/P$12)</f>
        <v>0</v>
      </c>
      <c r="S106" s="14"/>
      <c r="T106" s="35">
        <f>+T102-T104</f>
        <v>-832870.54</v>
      </c>
      <c r="U106" s="14"/>
      <c r="V106" s="36">
        <f>IF(T$12=0,0,T106/T$12)</f>
        <v>0</v>
      </c>
      <c r="W106" s="16"/>
      <c r="X106" s="35">
        <f>P106-T106</f>
        <v>8593.0799999998417</v>
      </c>
      <c r="Y106" s="16"/>
      <c r="Z106" s="36">
        <f>IF(T106=0,0,X106/T106)</f>
        <v>-1.0317425803054387E-2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9" t="s">
        <v>5</v>
      </c>
      <c r="C109" s="29"/>
      <c r="D109" s="31">
        <f>SUM(D106:D108)</f>
        <v>-74533.719999999958</v>
      </c>
      <c r="E109" s="14"/>
      <c r="F109" s="33">
        <f>IF(D$12=0,0,D109/D$12)</f>
        <v>0</v>
      </c>
      <c r="G109" s="14"/>
      <c r="H109" s="31">
        <f>SUM(H106:H108)</f>
        <v>-52022.580000000009</v>
      </c>
      <c r="I109" s="14"/>
      <c r="J109" s="33">
        <f>IF(H$12=0,0,H109/H$12)</f>
        <v>0</v>
      </c>
      <c r="K109" s="16"/>
      <c r="L109" s="31">
        <f>+D109-H109</f>
        <v>-22511.139999999948</v>
      </c>
      <c r="M109" s="16"/>
      <c r="N109" s="33">
        <f>IF(H109=0,0,L109/H109)</f>
        <v>0.43271863871418803</v>
      </c>
      <c r="O109" s="28"/>
      <c r="P109" s="31">
        <f>SUM(P106:P108)</f>
        <v>-824277.4600000002</v>
      </c>
      <c r="Q109" s="14"/>
      <c r="R109" s="33">
        <f>IF(P$12=0,0,P109/P$12)</f>
        <v>0</v>
      </c>
      <c r="S109" s="14"/>
      <c r="T109" s="31">
        <f>SUM(T106:T108)</f>
        <v>-832870.54</v>
      </c>
      <c r="U109" s="14"/>
      <c r="V109" s="33">
        <f>IF(T$12=0,0,T109/T$12)</f>
        <v>0</v>
      </c>
      <c r="W109" s="16"/>
      <c r="X109" s="31">
        <f>+P109-T109</f>
        <v>8593.0799999998417</v>
      </c>
      <c r="Y109" s="16"/>
      <c r="Z109" s="33">
        <f>IF(T109=0,0,X109/T109)</f>
        <v>-1.0317425803054387E-2</v>
      </c>
    </row>
    <row r="110" spans="1:26" ht="15.75" thickTop="1" x14ac:dyDescent="0.25">
      <c r="A110" s="9"/>
      <c r="C110" s="9"/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56">
        <v>44267.66812638889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54" t="s">
        <v>313</v>
      </c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1:24" x14ac:dyDescent="0.25">
      <c r="A113" s="9"/>
      <c r="B113" s="58"/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","306", " - ", "Warehouse")</f>
        <v>Department 306 - Warehouse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0</v>
      </c>
      <c r="E18" s="21"/>
      <c r="F18" s="32">
        <f t="shared" ref="F18:F28" si="0">IF(D$12=0,0,D18/D$12)</f>
        <v>0</v>
      </c>
      <c r="G18" s="21"/>
      <c r="H18" s="21">
        <f>SUM(OSRRefH22x_0)</f>
        <v>34283.75</v>
      </c>
      <c r="I18" s="21"/>
      <c r="J18" s="32">
        <f t="shared" ref="J18:J28" si="1">IF(H$12=0,0,H18/H$12)</f>
        <v>0</v>
      </c>
      <c r="K18" s="4"/>
      <c r="L18" s="21">
        <f t="shared" ref="L18:L28" si="2">+D18-H18</f>
        <v>-34283.75</v>
      </c>
      <c r="M18" s="4"/>
      <c r="N18" s="32">
        <f t="shared" ref="N18:N28" si="3">IF(H18=0,0,L18/H18)</f>
        <v>-1</v>
      </c>
      <c r="O18" s="10"/>
      <c r="P18" s="21">
        <f>SUM(OSRRefP22x_0)</f>
        <v>0.37000000000004318</v>
      </c>
      <c r="Q18" s="21"/>
      <c r="R18" s="32">
        <f t="shared" ref="R18:R28" si="4">IF(P$12=0,0,P18/P$12)</f>
        <v>0</v>
      </c>
      <c r="S18" s="21"/>
      <c r="T18" s="21">
        <f>SUM(OSRRefT22x_0)</f>
        <v>377256.21000000014</v>
      </c>
      <c r="U18" s="21"/>
      <c r="V18" s="32">
        <f t="shared" ref="V18:V28" si="5">IF(T$12=0,0,T18/T$12)</f>
        <v>0</v>
      </c>
      <c r="W18" s="4"/>
      <c r="X18" s="21">
        <f t="shared" ref="X18:X28" si="6">+P18-T18</f>
        <v>-377255.84000000014</v>
      </c>
      <c r="Y18" s="4"/>
      <c r="Z18" s="32">
        <f t="shared" ref="Z18:Z28" si="7">IF(T18=0,0,X18/T18)</f>
        <v>-0.99999901923416978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5376.67</v>
      </c>
      <c r="I19" s="1"/>
      <c r="J19" s="5">
        <f t="shared" si="1"/>
        <v>0</v>
      </c>
      <c r="K19" s="1"/>
      <c r="L19" s="1">
        <f t="shared" si="2"/>
        <v>-5376.67</v>
      </c>
      <c r="M19" s="1"/>
      <c r="N19" s="5">
        <f t="shared" si="3"/>
        <v>-1</v>
      </c>
      <c r="O19" s="13"/>
      <c r="P19" s="1">
        <f>SUM(OSRRefP22_0x_0)</f>
        <v>0.1400000000000432</v>
      </c>
      <c r="Q19" s="1"/>
      <c r="R19" s="5">
        <f t="shared" si="4"/>
        <v>0</v>
      </c>
      <c r="S19" s="1"/>
      <c r="T19" s="1">
        <f>SUM(OSRRefT22_0x_0)</f>
        <v>49589.049999999996</v>
      </c>
      <c r="U19" s="1"/>
      <c r="V19" s="5">
        <f t="shared" si="5"/>
        <v>0</v>
      </c>
      <c r="W19" s="1"/>
      <c r="X19" s="1">
        <f t="shared" si="6"/>
        <v>-49588.909999999996</v>
      </c>
      <c r="Y19" s="1"/>
      <c r="Z19" s="5">
        <f t="shared" si="7"/>
        <v>-0.99999717679608702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/>
      <c r="E20" s="2"/>
      <c r="F20" s="7">
        <f t="shared" si="0"/>
        <v>0</v>
      </c>
      <c r="G20" s="2"/>
      <c r="H20" s="6">
        <v>908.8</v>
      </c>
      <c r="I20" s="2"/>
      <c r="J20" s="7">
        <f t="shared" si="1"/>
        <v>0</v>
      </c>
      <c r="K20" s="2"/>
      <c r="L20" s="6">
        <f t="shared" si="2"/>
        <v>-908.8</v>
      </c>
      <c r="M20" s="2"/>
      <c r="N20" s="7">
        <f t="shared" si="3"/>
        <v>-1</v>
      </c>
      <c r="O20" s="11"/>
      <c r="P20" s="6">
        <v>402.04</v>
      </c>
      <c r="Q20" s="2"/>
      <c r="R20" s="7">
        <f t="shared" si="4"/>
        <v>0</v>
      </c>
      <c r="S20" s="2"/>
      <c r="T20" s="6">
        <v>11834.22</v>
      </c>
      <c r="U20" s="2"/>
      <c r="V20" s="7">
        <f t="shared" si="5"/>
        <v>0</v>
      </c>
      <c r="W20" s="2"/>
      <c r="X20" s="6">
        <f t="shared" si="6"/>
        <v>-11432.179999999998</v>
      </c>
      <c r="Y20" s="2"/>
      <c r="Z20" s="7">
        <f t="shared" si="7"/>
        <v>-0.9660273342898813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/>
      <c r="E21" s="2"/>
      <c r="F21" s="7">
        <f t="shared" si="0"/>
        <v>0</v>
      </c>
      <c r="G21" s="2"/>
      <c r="H21" s="6">
        <v>703.97</v>
      </c>
      <c r="I21" s="2"/>
      <c r="J21" s="7">
        <f t="shared" si="1"/>
        <v>0</v>
      </c>
      <c r="K21" s="2"/>
      <c r="L21" s="6">
        <f t="shared" si="2"/>
        <v>-703.97</v>
      </c>
      <c r="M21" s="2"/>
      <c r="N21" s="7">
        <f t="shared" si="3"/>
        <v>-1</v>
      </c>
      <c r="O21" s="11"/>
      <c r="P21" s="6"/>
      <c r="Q21" s="2"/>
      <c r="R21" s="7">
        <f t="shared" si="4"/>
        <v>0</v>
      </c>
      <c r="S21" s="2"/>
      <c r="T21" s="6">
        <v>5511.55</v>
      </c>
      <c r="U21" s="2"/>
      <c r="V21" s="7">
        <f t="shared" si="5"/>
        <v>0</v>
      </c>
      <c r="W21" s="2"/>
      <c r="X21" s="6">
        <f t="shared" si="6"/>
        <v>-5511.55</v>
      </c>
      <c r="Y21" s="2"/>
      <c r="Z21" s="7">
        <f t="shared" si="7"/>
        <v>-1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/>
      <c r="E22" s="2"/>
      <c r="F22" s="7">
        <f t="shared" si="0"/>
        <v>0</v>
      </c>
      <c r="G22" s="2"/>
      <c r="H22" s="6">
        <v>2064.35</v>
      </c>
      <c r="I22" s="2"/>
      <c r="J22" s="7">
        <f t="shared" si="1"/>
        <v>0</v>
      </c>
      <c r="K22" s="2"/>
      <c r="L22" s="6">
        <f t="shared" si="2"/>
        <v>-2064.35</v>
      </c>
      <c r="M22" s="2"/>
      <c r="N22" s="7">
        <f t="shared" si="3"/>
        <v>-1</v>
      </c>
      <c r="O22" s="11"/>
      <c r="P22" s="6"/>
      <c r="Q22" s="2"/>
      <c r="R22" s="7">
        <f t="shared" si="4"/>
        <v>0</v>
      </c>
      <c r="S22" s="2"/>
      <c r="T22" s="6">
        <v>15824.32</v>
      </c>
      <c r="U22" s="2"/>
      <c r="V22" s="7">
        <f t="shared" si="5"/>
        <v>0</v>
      </c>
      <c r="W22" s="2"/>
      <c r="X22" s="6">
        <f t="shared" si="6"/>
        <v>-15824.32</v>
      </c>
      <c r="Y22" s="2"/>
      <c r="Z22" s="7">
        <f t="shared" si="7"/>
        <v>-1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/>
      <c r="E23" s="2"/>
      <c r="F23" s="7">
        <f t="shared" si="0"/>
        <v>0</v>
      </c>
      <c r="G23" s="2"/>
      <c r="H23" s="6">
        <v>96.33</v>
      </c>
      <c r="I23" s="2"/>
      <c r="J23" s="7">
        <f t="shared" si="1"/>
        <v>0</v>
      </c>
      <c r="K23" s="2"/>
      <c r="L23" s="6">
        <f t="shared" si="2"/>
        <v>-96.33</v>
      </c>
      <c r="M23" s="2"/>
      <c r="N23" s="7">
        <f t="shared" si="3"/>
        <v>-1</v>
      </c>
      <c r="O23" s="11"/>
      <c r="P23" s="6"/>
      <c r="Q23" s="2"/>
      <c r="R23" s="7">
        <f t="shared" si="4"/>
        <v>0</v>
      </c>
      <c r="S23" s="2"/>
      <c r="T23" s="6">
        <v>847.71</v>
      </c>
      <c r="U23" s="2"/>
      <c r="V23" s="7">
        <f t="shared" si="5"/>
        <v>0</v>
      </c>
      <c r="W23" s="2"/>
      <c r="X23" s="6">
        <f t="shared" si="6"/>
        <v>-847.71</v>
      </c>
      <c r="Y23" s="2"/>
      <c r="Z23" s="7">
        <f t="shared" si="7"/>
        <v>-1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724</v>
      </c>
      <c r="I24" s="2"/>
      <c r="J24" s="7">
        <f t="shared" si="1"/>
        <v>0</v>
      </c>
      <c r="K24" s="2"/>
      <c r="L24" s="6">
        <f t="shared" si="2"/>
        <v>-724</v>
      </c>
      <c r="M24" s="2"/>
      <c r="N24" s="7">
        <f t="shared" si="3"/>
        <v>-1</v>
      </c>
      <c r="O24" s="11"/>
      <c r="P24" s="6"/>
      <c r="Q24" s="2"/>
      <c r="R24" s="7">
        <f t="shared" si="4"/>
        <v>0</v>
      </c>
      <c r="S24" s="2"/>
      <c r="T24" s="6">
        <v>6222.07</v>
      </c>
      <c r="U24" s="2"/>
      <c r="V24" s="7">
        <f t="shared" si="5"/>
        <v>0</v>
      </c>
      <c r="W24" s="2"/>
      <c r="X24" s="6">
        <f t="shared" si="6"/>
        <v>-6222.07</v>
      </c>
      <c r="Y24" s="2"/>
      <c r="Z24" s="7">
        <f t="shared" si="7"/>
        <v>-1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-401.9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-401.9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/>
      <c r="E26" s="2"/>
      <c r="F26" s="7">
        <f t="shared" si="0"/>
        <v>0</v>
      </c>
      <c r="G26" s="2"/>
      <c r="H26" s="6">
        <v>167.96</v>
      </c>
      <c r="I26" s="2"/>
      <c r="J26" s="7">
        <f t="shared" si="1"/>
        <v>0</v>
      </c>
      <c r="K26" s="2"/>
      <c r="L26" s="6">
        <f t="shared" si="2"/>
        <v>-167.96</v>
      </c>
      <c r="M26" s="2"/>
      <c r="N26" s="7">
        <f t="shared" si="3"/>
        <v>-1</v>
      </c>
      <c r="O26" s="11"/>
      <c r="P26" s="6"/>
      <c r="Q26" s="2"/>
      <c r="R26" s="7">
        <f t="shared" si="4"/>
        <v>0</v>
      </c>
      <c r="S26" s="2"/>
      <c r="T26" s="6">
        <v>2682.39</v>
      </c>
      <c r="U26" s="2"/>
      <c r="V26" s="7">
        <f t="shared" si="5"/>
        <v>0</v>
      </c>
      <c r="W26" s="2"/>
      <c r="X26" s="6">
        <f t="shared" si="6"/>
        <v>-2682.39</v>
      </c>
      <c r="Y26" s="2"/>
      <c r="Z26" s="7">
        <f t="shared" si="7"/>
        <v>-1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/>
      <c r="E27" s="2"/>
      <c r="F27" s="7">
        <f t="shared" si="0"/>
        <v>0</v>
      </c>
      <c r="G27" s="2"/>
      <c r="H27" s="6">
        <v>389.2</v>
      </c>
      <c r="I27" s="2"/>
      <c r="J27" s="7">
        <f t="shared" si="1"/>
        <v>0</v>
      </c>
      <c r="K27" s="2"/>
      <c r="L27" s="6">
        <f t="shared" si="2"/>
        <v>-389.2</v>
      </c>
      <c r="M27" s="2"/>
      <c r="N27" s="7">
        <f t="shared" si="3"/>
        <v>-1</v>
      </c>
      <c r="O27" s="11"/>
      <c r="P27" s="6"/>
      <c r="Q27" s="2"/>
      <c r="R27" s="7">
        <f t="shared" si="4"/>
        <v>0</v>
      </c>
      <c r="S27" s="2"/>
      <c r="T27" s="6">
        <v>4090.89</v>
      </c>
      <c r="U27" s="2"/>
      <c r="V27" s="7">
        <f t="shared" si="5"/>
        <v>0</v>
      </c>
      <c r="W27" s="2"/>
      <c r="X27" s="6">
        <f t="shared" si="6"/>
        <v>-4090.89</v>
      </c>
      <c r="Y27" s="2"/>
      <c r="Z27" s="7">
        <f t="shared" si="7"/>
        <v>-1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0"/>
        <v>0</v>
      </c>
      <c r="G28" s="2"/>
      <c r="H28" s="6">
        <v>322.06</v>
      </c>
      <c r="I28" s="2"/>
      <c r="J28" s="7">
        <f t="shared" si="1"/>
        <v>0</v>
      </c>
      <c r="K28" s="2"/>
      <c r="L28" s="6">
        <f t="shared" si="2"/>
        <v>-322.06</v>
      </c>
      <c r="M28" s="2"/>
      <c r="N28" s="7">
        <f t="shared" si="3"/>
        <v>-1</v>
      </c>
      <c r="O28" s="11"/>
      <c r="P28" s="6"/>
      <c r="Q28" s="2"/>
      <c r="R28" s="7">
        <f t="shared" si="4"/>
        <v>0</v>
      </c>
      <c r="S28" s="2"/>
      <c r="T28" s="6">
        <v>2575.9</v>
      </c>
      <c r="U28" s="2"/>
      <c r="V28" s="7">
        <f t="shared" si="5"/>
        <v>0</v>
      </c>
      <c r="W28" s="2"/>
      <c r="X28" s="6">
        <f t="shared" si="6"/>
        <v>-2575.9</v>
      </c>
      <c r="Y28" s="2"/>
      <c r="Z28" s="7">
        <f t="shared" si="7"/>
        <v>-1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0</v>
      </c>
      <c r="E29" s="1"/>
      <c r="F29" s="5">
        <f t="shared" ref="F29:F35" si="8">IF(D$12=0,0,D29/D$12)</f>
        <v>0</v>
      </c>
      <c r="G29" s="1"/>
      <c r="H29" s="1">
        <f>SUM(OSRRefH22_1x_0)</f>
        <v>26952.080000000002</v>
      </c>
      <c r="I29" s="1"/>
      <c r="J29" s="5">
        <f t="shared" ref="J29:J35" si="9">IF(H$12=0,0,H29/H$12)</f>
        <v>0</v>
      </c>
      <c r="K29" s="1"/>
      <c r="L29" s="1">
        <f t="shared" ref="L29:L35" si="10">+D29-H29</f>
        <v>-26952.080000000002</v>
      </c>
      <c r="M29" s="1"/>
      <c r="N29" s="5">
        <f t="shared" ref="N29:N35" si="11">IF(H29=0,0,L29/H29)</f>
        <v>-1</v>
      </c>
      <c r="O29" s="13"/>
      <c r="P29" s="1">
        <f>SUM(OSRRefP22_1x_0)</f>
        <v>0.23</v>
      </c>
      <c r="Q29" s="1"/>
      <c r="R29" s="5">
        <f t="shared" ref="R29:R35" si="12">IF(P$12=0,0,P29/P$12)</f>
        <v>0</v>
      </c>
      <c r="S29" s="1"/>
      <c r="T29" s="1">
        <f>SUM(OSRRefT22_1x_0)</f>
        <v>319300.24000000005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-319300.01000000007</v>
      </c>
      <c r="Y29" s="1"/>
      <c r="Z29" s="5">
        <f t="shared" ref="Z29:Z35" si="15">IF(T29=0,0,X29/T29)</f>
        <v>-0.99999927967482904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8"/>
        <v>0</v>
      </c>
      <c r="G30" s="2"/>
      <c r="H30" s="6">
        <v>8021.84</v>
      </c>
      <c r="I30" s="2"/>
      <c r="J30" s="7">
        <f t="shared" si="9"/>
        <v>0</v>
      </c>
      <c r="K30" s="2"/>
      <c r="L30" s="6">
        <f t="shared" si="10"/>
        <v>-8021.84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68828.240000000005</v>
      </c>
      <c r="U30" s="2"/>
      <c r="V30" s="7">
        <f t="shared" si="13"/>
        <v>0</v>
      </c>
      <c r="W30" s="2"/>
      <c r="X30" s="6">
        <f t="shared" si="14"/>
        <v>-68828.240000000005</v>
      </c>
      <c r="Y30" s="2"/>
      <c r="Z30" s="7">
        <f t="shared" si="15"/>
        <v>-1</v>
      </c>
    </row>
    <row r="31" spans="1:26" s="24" customFormat="1" hidden="1" outlineLevel="2" x14ac:dyDescent="0.25">
      <c r="A31" s="26"/>
      <c r="B31" s="11" t="str">
        <f>CONCATENATE("          ", "6004", " - ", "STAFF HOURLY")</f>
        <v xml:space="preserve">          6004 - STAFF HOURLY</v>
      </c>
      <c r="C31" s="11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>
        <v>0.23</v>
      </c>
      <c r="Q31" s="2"/>
      <c r="R31" s="7">
        <f t="shared" si="12"/>
        <v>0</v>
      </c>
      <c r="S31" s="2"/>
      <c r="T31" s="6"/>
      <c r="U31" s="2"/>
      <c r="V31" s="7">
        <f t="shared" si="13"/>
        <v>0</v>
      </c>
      <c r="W31" s="2"/>
      <c r="X31" s="6">
        <f t="shared" si="14"/>
        <v>0.23</v>
      </c>
      <c r="Y31" s="2"/>
      <c r="Z31" s="7">
        <f t="shared" si="15"/>
        <v>0</v>
      </c>
    </row>
    <row r="32" spans="1:26" s="24" customFormat="1" hidden="1" outlineLevel="2" x14ac:dyDescent="0.25">
      <c r="A32" s="26"/>
      <c r="B32" s="11" t="str">
        <f>CONCATENATE("          ", "6005", " - ", "TEMPORARY WAGES-HOURLY")</f>
        <v xml:space="preserve">          6005 - TEMPORARY WAGES-HOURLY</v>
      </c>
      <c r="C32" s="11"/>
      <c r="D32" s="6"/>
      <c r="E32" s="2"/>
      <c r="F32" s="7">
        <f t="shared" si="8"/>
        <v>0</v>
      </c>
      <c r="G32" s="2"/>
      <c r="H32" s="6">
        <v>2253.9299999999998</v>
      </c>
      <c r="I32" s="2"/>
      <c r="J32" s="7">
        <f t="shared" si="9"/>
        <v>0</v>
      </c>
      <c r="K32" s="2"/>
      <c r="L32" s="6">
        <f t="shared" si="10"/>
        <v>-2253.9299999999998</v>
      </c>
      <c r="M32" s="2"/>
      <c r="N32" s="7">
        <f t="shared" si="11"/>
        <v>-1</v>
      </c>
      <c r="O32" s="11"/>
      <c r="P32" s="6"/>
      <c r="Q32" s="2"/>
      <c r="R32" s="7">
        <f t="shared" si="12"/>
        <v>0</v>
      </c>
      <c r="S32" s="2"/>
      <c r="T32" s="6">
        <v>16374.14</v>
      </c>
      <c r="U32" s="2"/>
      <c r="V32" s="7">
        <f t="shared" si="13"/>
        <v>0</v>
      </c>
      <c r="W32" s="2"/>
      <c r="X32" s="6">
        <f t="shared" si="14"/>
        <v>-16374.14</v>
      </c>
      <c r="Y32" s="2"/>
      <c r="Z32" s="7">
        <f t="shared" si="15"/>
        <v>-1</v>
      </c>
    </row>
    <row r="33" spans="1:26" s="24" customFormat="1" hidden="1" outlineLevel="2" x14ac:dyDescent="0.25">
      <c r="A33" s="26"/>
      <c r="B33" s="11" t="str">
        <f>CONCATENATE("          ", "6006", " - ", "TEMPORARY PART TIME")</f>
        <v xml:space="preserve">          6006 - TEMPORARY PART TIME</v>
      </c>
      <c r="C33" s="11"/>
      <c r="D33" s="6"/>
      <c r="E33" s="2"/>
      <c r="F33" s="7">
        <f t="shared" si="8"/>
        <v>0</v>
      </c>
      <c r="G33" s="2"/>
      <c r="H33" s="6">
        <v>868.04</v>
      </c>
      <c r="I33" s="2"/>
      <c r="J33" s="7">
        <f t="shared" si="9"/>
        <v>0</v>
      </c>
      <c r="K33" s="2"/>
      <c r="L33" s="6">
        <f t="shared" si="10"/>
        <v>-868.04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10845.22</v>
      </c>
      <c r="U33" s="2"/>
      <c r="V33" s="7">
        <f t="shared" si="13"/>
        <v>0</v>
      </c>
      <c r="W33" s="2"/>
      <c r="X33" s="6">
        <f t="shared" si="14"/>
        <v>-10845.22</v>
      </c>
      <c r="Y33" s="2"/>
      <c r="Z33" s="7">
        <f t="shared" si="15"/>
        <v>-1</v>
      </c>
    </row>
    <row r="34" spans="1:26" s="24" customFormat="1" hidden="1" outlineLevel="2" x14ac:dyDescent="0.25">
      <c r="A34" s="26"/>
      <c r="B34" s="11" t="str">
        <f>CONCATENATE("          ", "6007", " - ", "STUDENT HOURLY")</f>
        <v xml:space="preserve">          6007 - STUDENT HOURLY</v>
      </c>
      <c r="C34" s="11"/>
      <c r="D34" s="6"/>
      <c r="E34" s="2"/>
      <c r="F34" s="7">
        <f t="shared" si="8"/>
        <v>0</v>
      </c>
      <c r="G34" s="2"/>
      <c r="H34" s="6">
        <v>13889.32</v>
      </c>
      <c r="I34" s="2"/>
      <c r="J34" s="7">
        <f t="shared" si="9"/>
        <v>0</v>
      </c>
      <c r="K34" s="2"/>
      <c r="L34" s="6">
        <f t="shared" si="10"/>
        <v>-13889.32</v>
      </c>
      <c r="M34" s="2"/>
      <c r="N34" s="7">
        <f t="shared" si="11"/>
        <v>-1</v>
      </c>
      <c r="O34" s="11"/>
      <c r="P34" s="6"/>
      <c r="Q34" s="2"/>
      <c r="R34" s="7">
        <f t="shared" si="12"/>
        <v>0</v>
      </c>
      <c r="S34" s="2"/>
      <c r="T34" s="6">
        <v>212127.80000000002</v>
      </c>
      <c r="U34" s="2"/>
      <c r="V34" s="7">
        <f t="shared" si="13"/>
        <v>0</v>
      </c>
      <c r="W34" s="2"/>
      <c r="X34" s="6">
        <f t="shared" si="14"/>
        <v>-212127.80000000002</v>
      </c>
      <c r="Y34" s="2"/>
      <c r="Z34" s="7">
        <f t="shared" si="15"/>
        <v>-1</v>
      </c>
    </row>
    <row r="35" spans="1:26" s="24" customFormat="1" hidden="1" outlineLevel="2" x14ac:dyDescent="0.25">
      <c r="A35" s="26"/>
      <c r="B35" s="11" t="str">
        <f>CONCATENATE("          ", "6008", " - ", "STUDENT HOURLY-FICA EXEMPT")</f>
        <v xml:space="preserve">          6008 - STUDENT HOURLY-FICA EXEMPT</v>
      </c>
      <c r="C35" s="11"/>
      <c r="D35" s="6"/>
      <c r="E35" s="2"/>
      <c r="F35" s="7">
        <f t="shared" si="8"/>
        <v>0</v>
      </c>
      <c r="G35" s="2"/>
      <c r="H35" s="6">
        <v>1918.95</v>
      </c>
      <c r="I35" s="2"/>
      <c r="J35" s="7">
        <f t="shared" si="9"/>
        <v>0</v>
      </c>
      <c r="K35" s="2"/>
      <c r="L35" s="6">
        <f t="shared" si="10"/>
        <v>-1918.95</v>
      </c>
      <c r="M35" s="2"/>
      <c r="N35" s="7">
        <f t="shared" si="11"/>
        <v>-1</v>
      </c>
      <c r="O35" s="11"/>
      <c r="P35" s="6"/>
      <c r="Q35" s="2"/>
      <c r="R35" s="7">
        <f t="shared" si="12"/>
        <v>0</v>
      </c>
      <c r="S35" s="2"/>
      <c r="T35" s="6">
        <v>11124.84</v>
      </c>
      <c r="U35" s="2"/>
      <c r="V35" s="7">
        <f t="shared" si="13"/>
        <v>0</v>
      </c>
      <c r="W35" s="2"/>
      <c r="X35" s="6">
        <f t="shared" si="14"/>
        <v>-11124.84</v>
      </c>
      <c r="Y35" s="2"/>
      <c r="Z35" s="7">
        <f t="shared" si="15"/>
        <v>-1</v>
      </c>
    </row>
    <row r="36" spans="1:26" s="25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6" si="16">IF(D$12=0,0,D36/D$12)</f>
        <v>0</v>
      </c>
      <c r="G36" s="1"/>
      <c r="H36" s="1">
        <f>SUM(OSRRefH22_2x_0)</f>
        <v>0</v>
      </c>
      <c r="I36" s="1"/>
      <c r="J36" s="5">
        <f t="shared" ref="J36:J46" si="17">IF(H$12=0,0,H36/H$12)</f>
        <v>0</v>
      </c>
      <c r="K36" s="1"/>
      <c r="L36" s="1">
        <f t="shared" ref="L36:L46" si="18">+D36-H36</f>
        <v>0</v>
      </c>
      <c r="M36" s="1"/>
      <c r="N36" s="5">
        <f t="shared" ref="N36:N46" si="19">IF(H36=0,0,L36/H36)</f>
        <v>0</v>
      </c>
      <c r="O36" s="13"/>
      <c r="P36" s="1">
        <f>SUM(OSRRefP22_2x_0)</f>
        <v>0</v>
      </c>
      <c r="Q36" s="1"/>
      <c r="R36" s="5">
        <f t="shared" ref="R36:R46" si="20">IF(P$12=0,0,P36/P$12)</f>
        <v>0</v>
      </c>
      <c r="S36" s="1"/>
      <c r="T36" s="1">
        <f>SUM(OSRRefT22_2x_0)</f>
        <v>360</v>
      </c>
      <c r="U36" s="1"/>
      <c r="V36" s="5">
        <f t="shared" ref="V36:V46" si="21">IF(T$12=0,0,T36/T$12)</f>
        <v>0</v>
      </c>
      <c r="W36" s="1"/>
      <c r="X36" s="1">
        <f t="shared" ref="X36:X46" si="22">+P36-T36</f>
        <v>-360</v>
      </c>
      <c r="Y36" s="1"/>
      <c r="Z36" s="5">
        <f t="shared" ref="Z36:Z46" si="23">IF(T36=0,0,X36/T36)</f>
        <v>-1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1"/>
      <c r="P37" s="6"/>
      <c r="Q37" s="2"/>
      <c r="R37" s="7">
        <f t="shared" si="20"/>
        <v>0</v>
      </c>
      <c r="S37" s="2"/>
      <c r="T37" s="6">
        <v>360</v>
      </c>
      <c r="U37" s="2"/>
      <c r="V37" s="7">
        <f t="shared" si="21"/>
        <v>0</v>
      </c>
      <c r="W37" s="2"/>
      <c r="X37" s="6">
        <f t="shared" si="22"/>
        <v>-360</v>
      </c>
      <c r="Y37" s="2"/>
      <c r="Z37" s="7">
        <f t="shared" si="23"/>
        <v>-1</v>
      </c>
    </row>
    <row r="38" spans="1:26" s="25" customFormat="1" outlineLevel="1" collapsed="1" x14ac:dyDescent="0.25">
      <c r="A38" s="27"/>
      <c r="B38" s="13" t="str">
        <f>CONCATENATE("     ","Equipment Rental                                  ")</f>
        <v xml:space="preserve">     Equipment Rental                                  </v>
      </c>
      <c r="C38" s="13"/>
      <c r="D38" s="1">
        <f>SUM(OSRRefD22_3x_0)</f>
        <v>0</v>
      </c>
      <c r="E38" s="1"/>
      <c r="F38" s="5">
        <f t="shared" si="16"/>
        <v>0</v>
      </c>
      <c r="G38" s="1"/>
      <c r="H38" s="1">
        <f>SUM(OSRRefH22_3x_0)</f>
        <v>91.26</v>
      </c>
      <c r="I38" s="1"/>
      <c r="J38" s="5">
        <f t="shared" si="17"/>
        <v>0</v>
      </c>
      <c r="K38" s="1"/>
      <c r="L38" s="1">
        <f t="shared" si="18"/>
        <v>-91.26</v>
      </c>
      <c r="M38" s="1"/>
      <c r="N38" s="5">
        <f t="shared" si="19"/>
        <v>-1</v>
      </c>
      <c r="O38" s="13"/>
      <c r="P38" s="1">
        <f>SUM(OSRRefP22_3x_0)</f>
        <v>0</v>
      </c>
      <c r="Q38" s="1"/>
      <c r="R38" s="5">
        <f t="shared" si="20"/>
        <v>0</v>
      </c>
      <c r="S38" s="1"/>
      <c r="T38" s="1">
        <f>SUM(OSRRefT22_3x_0)</f>
        <v>792.94</v>
      </c>
      <c r="U38" s="1"/>
      <c r="V38" s="5">
        <f t="shared" si="21"/>
        <v>0</v>
      </c>
      <c r="W38" s="1"/>
      <c r="X38" s="1">
        <f t="shared" si="22"/>
        <v>-792.94</v>
      </c>
      <c r="Y38" s="1"/>
      <c r="Z38" s="5">
        <f t="shared" si="23"/>
        <v>-1</v>
      </c>
    </row>
    <row r="39" spans="1:26" s="24" customFormat="1" hidden="1" outlineLevel="2" x14ac:dyDescent="0.25">
      <c r="A39" s="26"/>
      <c r="B39" s="11" t="str">
        <f>CONCATENATE("          ", "6351", " - ", "EQUIPMENT RENTAL")</f>
        <v xml:space="preserve">          6351 - EQUIPMENT RENTAL</v>
      </c>
      <c r="C39" s="11"/>
      <c r="D39" s="6"/>
      <c r="E39" s="2"/>
      <c r="F39" s="7">
        <f t="shared" si="16"/>
        <v>0</v>
      </c>
      <c r="G39" s="2"/>
      <c r="H39" s="6">
        <v>91.26</v>
      </c>
      <c r="I39" s="2"/>
      <c r="J39" s="7">
        <f t="shared" si="17"/>
        <v>0</v>
      </c>
      <c r="K39" s="2"/>
      <c r="L39" s="6">
        <f t="shared" si="18"/>
        <v>-91.26</v>
      </c>
      <c r="M39" s="2"/>
      <c r="N39" s="7">
        <f t="shared" si="19"/>
        <v>-1</v>
      </c>
      <c r="O39" s="11"/>
      <c r="P39" s="6"/>
      <c r="Q39" s="2"/>
      <c r="R39" s="7">
        <f t="shared" si="20"/>
        <v>0</v>
      </c>
      <c r="S39" s="2"/>
      <c r="T39" s="6">
        <v>792.94</v>
      </c>
      <c r="U39" s="2"/>
      <c r="V39" s="7">
        <f t="shared" si="21"/>
        <v>0</v>
      </c>
      <c r="W39" s="2"/>
      <c r="X39" s="6">
        <f t="shared" si="22"/>
        <v>-792.94</v>
      </c>
      <c r="Y39" s="2"/>
      <c r="Z39" s="7">
        <f t="shared" si="23"/>
        <v>-1</v>
      </c>
    </row>
    <row r="40" spans="1:26" s="25" customFormat="1" outlineLevel="1" collapsed="1" x14ac:dyDescent="0.25">
      <c r="A40" s="27"/>
      <c r="B40" s="13" t="str">
        <f>CONCATENATE("     ","Freight out/Postage                               ")</f>
        <v xml:space="preserve">     Freight out/Postage                               </v>
      </c>
      <c r="C40" s="13"/>
      <c r="D40" s="1">
        <f>SUM(OSRRefD22_4x_0)</f>
        <v>0</v>
      </c>
      <c r="E40" s="1"/>
      <c r="F40" s="5">
        <f t="shared" si="16"/>
        <v>0</v>
      </c>
      <c r="G40" s="1"/>
      <c r="H40" s="1">
        <f>SUM(OSRRefH22_4x_0)</f>
        <v>2115.9499999999998</v>
      </c>
      <c r="I40" s="1"/>
      <c r="J40" s="5">
        <f t="shared" si="17"/>
        <v>0</v>
      </c>
      <c r="K40" s="1"/>
      <c r="L40" s="1">
        <f t="shared" si="18"/>
        <v>-2115.9499999999998</v>
      </c>
      <c r="M40" s="1"/>
      <c r="N40" s="5">
        <f t="shared" si="19"/>
        <v>-1</v>
      </c>
      <c r="O40" s="13"/>
      <c r="P40" s="1">
        <f>SUM(OSRRefP22_4x_0)</f>
        <v>0</v>
      </c>
      <c r="Q40" s="1"/>
      <c r="R40" s="5">
        <f t="shared" si="20"/>
        <v>0</v>
      </c>
      <c r="S40" s="1"/>
      <c r="T40" s="1">
        <f>SUM(OSRRefT22_4x_0)</f>
        <v>3081.9</v>
      </c>
      <c r="U40" s="1"/>
      <c r="V40" s="5">
        <f t="shared" si="21"/>
        <v>0</v>
      </c>
      <c r="W40" s="1"/>
      <c r="X40" s="1">
        <f t="shared" si="22"/>
        <v>-3081.9</v>
      </c>
      <c r="Y40" s="1"/>
      <c r="Z40" s="5">
        <f t="shared" si="23"/>
        <v>-1</v>
      </c>
    </row>
    <row r="41" spans="1:26" s="24" customFormat="1" hidden="1" outlineLevel="2" x14ac:dyDescent="0.25">
      <c r="A41" s="26"/>
      <c r="B41" s="11" t="str">
        <f>CONCATENATE("          ", "6307", " - ", "POSTAGE")</f>
        <v xml:space="preserve">          6307 - POSTAGE</v>
      </c>
      <c r="C41" s="11"/>
      <c r="D41" s="6"/>
      <c r="E41" s="2"/>
      <c r="F41" s="7">
        <f t="shared" si="16"/>
        <v>0</v>
      </c>
      <c r="G41" s="2"/>
      <c r="H41" s="6">
        <v>2115.9499999999998</v>
      </c>
      <c r="I41" s="2"/>
      <c r="J41" s="7">
        <f t="shared" si="17"/>
        <v>0</v>
      </c>
      <c r="K41" s="2"/>
      <c r="L41" s="6">
        <f t="shared" si="18"/>
        <v>-2115.9499999999998</v>
      </c>
      <c r="M41" s="2"/>
      <c r="N41" s="7">
        <f t="shared" si="19"/>
        <v>-1</v>
      </c>
      <c r="O41" s="11"/>
      <c r="P41" s="6"/>
      <c r="Q41" s="2"/>
      <c r="R41" s="7">
        <f t="shared" si="20"/>
        <v>0</v>
      </c>
      <c r="S41" s="2"/>
      <c r="T41" s="6">
        <v>3081.9</v>
      </c>
      <c r="U41" s="2"/>
      <c r="V41" s="7">
        <f t="shared" si="21"/>
        <v>0</v>
      </c>
      <c r="W41" s="2"/>
      <c r="X41" s="6">
        <f t="shared" si="22"/>
        <v>-3081.9</v>
      </c>
      <c r="Y41" s="2"/>
      <c r="Z41" s="7">
        <f t="shared" si="23"/>
        <v>-1</v>
      </c>
    </row>
    <row r="42" spans="1:26" s="25" customFormat="1" outlineLevel="1" collapsed="1" x14ac:dyDescent="0.25">
      <c r="A42" s="27"/>
      <c r="B42" s="13" t="str">
        <f>CONCATENATE("     ","General                                           ")</f>
        <v xml:space="preserve">     General                                           </v>
      </c>
      <c r="C42" s="13"/>
      <c r="D42" s="1">
        <f>SUM(OSRRefD22_5x_0)</f>
        <v>0</v>
      </c>
      <c r="E42" s="1"/>
      <c r="F42" s="5">
        <f t="shared" si="16"/>
        <v>0</v>
      </c>
      <c r="G42" s="1"/>
      <c r="H42" s="1">
        <f>SUM(OSRRefH22_5x_0)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3"/>
      <c r="P42" s="1">
        <f>SUM(OSRRefP22_5x_0)</f>
        <v>0</v>
      </c>
      <c r="Q42" s="1"/>
      <c r="R42" s="5">
        <f t="shared" si="20"/>
        <v>0</v>
      </c>
      <c r="S42" s="1"/>
      <c r="T42" s="1">
        <f>SUM(OSRRefT22_5x_0)</f>
        <v>89.45</v>
      </c>
      <c r="U42" s="1"/>
      <c r="V42" s="5">
        <f t="shared" si="21"/>
        <v>0</v>
      </c>
      <c r="W42" s="1"/>
      <c r="X42" s="1">
        <f t="shared" si="22"/>
        <v>-89.45</v>
      </c>
      <c r="Y42" s="1"/>
      <c r="Z42" s="5">
        <f t="shared" si="23"/>
        <v>-1</v>
      </c>
    </row>
    <row r="43" spans="1:26" s="24" customFormat="1" hidden="1" outlineLevel="2" x14ac:dyDescent="0.25">
      <c r="A43" s="26"/>
      <c r="B43" s="11" t="str">
        <f>CONCATENATE("          ", "6279", " - ", "GENERAL EXPENSE")</f>
        <v xml:space="preserve">          6279 - GENERAL EXPENSE</v>
      </c>
      <c r="C43" s="11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1"/>
      <c r="P43" s="6"/>
      <c r="Q43" s="2"/>
      <c r="R43" s="7">
        <f t="shared" si="20"/>
        <v>0</v>
      </c>
      <c r="S43" s="2"/>
      <c r="T43" s="6">
        <v>89.45</v>
      </c>
      <c r="U43" s="2"/>
      <c r="V43" s="7">
        <f t="shared" si="21"/>
        <v>0</v>
      </c>
      <c r="W43" s="2"/>
      <c r="X43" s="6">
        <f t="shared" si="22"/>
        <v>-89.45</v>
      </c>
      <c r="Y43" s="2"/>
      <c r="Z43" s="7">
        <f t="shared" si="23"/>
        <v>-1</v>
      </c>
    </row>
    <row r="44" spans="1:26" s="25" customFormat="1" outlineLevel="1" collapsed="1" x14ac:dyDescent="0.25">
      <c r="A44" s="27"/>
      <c r="B44" s="13" t="str">
        <f>CONCATENATE("     ","Repair and Maintenance                            ")</f>
        <v xml:space="preserve">     Repair and Maintenance                            </v>
      </c>
      <c r="C44" s="13"/>
      <c r="D44" s="1">
        <f>SUM(OSRRefD22_6x_0)</f>
        <v>0</v>
      </c>
      <c r="E44" s="1"/>
      <c r="F44" s="5">
        <f t="shared" si="16"/>
        <v>0</v>
      </c>
      <c r="G44" s="1"/>
      <c r="H44" s="1">
        <f>SUM(OSRRefH22_6x_0)</f>
        <v>90.18</v>
      </c>
      <c r="I44" s="1"/>
      <c r="J44" s="5">
        <f t="shared" si="17"/>
        <v>0</v>
      </c>
      <c r="K44" s="1"/>
      <c r="L44" s="1">
        <f t="shared" si="18"/>
        <v>-90.18</v>
      </c>
      <c r="M44" s="1"/>
      <c r="N44" s="5">
        <f t="shared" si="19"/>
        <v>-1</v>
      </c>
      <c r="O44" s="13"/>
      <c r="P44" s="1">
        <f>SUM(OSRRefP22_6x_0)</f>
        <v>0</v>
      </c>
      <c r="Q44" s="1"/>
      <c r="R44" s="5">
        <f t="shared" si="20"/>
        <v>0</v>
      </c>
      <c r="S44" s="1"/>
      <c r="T44" s="1">
        <f>SUM(OSRRefT22_6x_0)</f>
        <v>341.73</v>
      </c>
      <c r="U44" s="1"/>
      <c r="V44" s="5">
        <f t="shared" si="21"/>
        <v>0</v>
      </c>
      <c r="W44" s="1"/>
      <c r="X44" s="1">
        <f t="shared" si="22"/>
        <v>-341.73</v>
      </c>
      <c r="Y44" s="1"/>
      <c r="Z44" s="5">
        <f t="shared" si="23"/>
        <v>-1</v>
      </c>
    </row>
    <row r="45" spans="1:26" s="24" customFormat="1" hidden="1" outlineLevel="2" x14ac:dyDescent="0.25">
      <c r="A45" s="26"/>
      <c r="B45" s="11" t="str">
        <f>CONCATENATE("          ", "6373", " - ", "MAINTENANCE CONTRACTS")</f>
        <v xml:space="preserve">          6373 - MAINTENANCE CONTRACTS</v>
      </c>
      <c r="C45" s="11"/>
      <c r="D45" s="6"/>
      <c r="E45" s="2"/>
      <c r="F45" s="7">
        <f t="shared" si="16"/>
        <v>0</v>
      </c>
      <c r="G45" s="2"/>
      <c r="H45" s="6">
        <v>90.18</v>
      </c>
      <c r="I45" s="2"/>
      <c r="J45" s="7">
        <f t="shared" si="17"/>
        <v>0</v>
      </c>
      <c r="K45" s="2"/>
      <c r="L45" s="6">
        <f t="shared" si="18"/>
        <v>-90.18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149.4</v>
      </c>
      <c r="U45" s="2"/>
      <c r="V45" s="7">
        <f t="shared" si="21"/>
        <v>0</v>
      </c>
      <c r="W45" s="2"/>
      <c r="X45" s="6">
        <f t="shared" si="22"/>
        <v>-149.4</v>
      </c>
      <c r="Y45" s="2"/>
      <c r="Z45" s="7">
        <f t="shared" si="23"/>
        <v>-1</v>
      </c>
    </row>
    <row r="46" spans="1:26" s="24" customFormat="1" hidden="1" outlineLevel="2" x14ac:dyDescent="0.25">
      <c r="A46" s="26"/>
      <c r="B46" s="11" t="str">
        <f>CONCATENATE("          ", "6375", " - ", "OUTSIDE REPAIRS &amp; MAINTENANCE")</f>
        <v xml:space="preserve">          6375 - OUTSIDE REPAIRS &amp; MAINTENANCE</v>
      </c>
      <c r="C46" s="11"/>
      <c r="D46" s="6"/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0</v>
      </c>
      <c r="M46" s="2"/>
      <c r="N46" s="7">
        <f t="shared" si="19"/>
        <v>0</v>
      </c>
      <c r="O46" s="11"/>
      <c r="P46" s="6"/>
      <c r="Q46" s="2"/>
      <c r="R46" s="7">
        <f t="shared" si="20"/>
        <v>0</v>
      </c>
      <c r="S46" s="2"/>
      <c r="T46" s="6">
        <v>192.33</v>
      </c>
      <c r="U46" s="2"/>
      <c r="V46" s="7">
        <f t="shared" si="21"/>
        <v>0</v>
      </c>
      <c r="W46" s="2"/>
      <c r="X46" s="6">
        <f t="shared" si="22"/>
        <v>-192.33</v>
      </c>
      <c r="Y46" s="2"/>
      <c r="Z46" s="7">
        <f t="shared" si="23"/>
        <v>-1</v>
      </c>
    </row>
    <row r="47" spans="1:26" s="25" customFormat="1" outlineLevel="1" collapsed="1" x14ac:dyDescent="0.25">
      <c r="A47" s="27"/>
      <c r="B47" s="13" t="str">
        <f>CONCATENATE("     ","Supplies                                          ")</f>
        <v xml:space="preserve">     Supplies                                          </v>
      </c>
      <c r="C47" s="13"/>
      <c r="D47" s="1">
        <f>SUM(OSRRefD22_7x_0)</f>
        <v>0</v>
      </c>
      <c r="E47" s="1"/>
      <c r="F47" s="5">
        <f t="shared" ref="F47:F50" si="24">IF(D$12=0,0,D47/D$12)</f>
        <v>0</v>
      </c>
      <c r="G47" s="1"/>
      <c r="H47" s="1">
        <f>SUM(OSRRefH22_7x_0)</f>
        <v>-486.64</v>
      </c>
      <c r="I47" s="1"/>
      <c r="J47" s="5">
        <f t="shared" ref="J47:J50" si="25">IF(H$12=0,0,H47/H$12)</f>
        <v>0</v>
      </c>
      <c r="K47" s="1"/>
      <c r="L47" s="1">
        <f t="shared" ref="L47:L50" si="26">+D47-H47</f>
        <v>486.64</v>
      </c>
      <c r="M47" s="1"/>
      <c r="N47" s="5">
        <f t="shared" ref="N47:N50" si="27">IF(H47=0,0,L47/H47)</f>
        <v>-1</v>
      </c>
      <c r="O47" s="13"/>
      <c r="P47" s="1">
        <f>SUM(OSRRefP22_7x_0)</f>
        <v>0</v>
      </c>
      <c r="Q47" s="1"/>
      <c r="R47" s="5">
        <f t="shared" ref="R47:R50" si="28">IF(P$12=0,0,P47/P$12)</f>
        <v>0</v>
      </c>
      <c r="S47" s="1"/>
      <c r="T47" s="1">
        <f>SUM(OSRRefT22_7x_0)</f>
        <v>2394.75</v>
      </c>
      <c r="U47" s="1"/>
      <c r="V47" s="5">
        <f t="shared" ref="V47:V50" si="29">IF(T$12=0,0,T47/T$12)</f>
        <v>0</v>
      </c>
      <c r="W47" s="1"/>
      <c r="X47" s="1">
        <f t="shared" ref="X47:X50" si="30">+P47-T47</f>
        <v>-2394.75</v>
      </c>
      <c r="Y47" s="1"/>
      <c r="Z47" s="5">
        <f t="shared" ref="Z47:Z50" si="31">IF(T47=0,0,X47/T47)</f>
        <v>-1</v>
      </c>
    </row>
    <row r="48" spans="1:26" s="24" customFormat="1" hidden="1" outlineLevel="2" x14ac:dyDescent="0.25">
      <c r="A48" s="26"/>
      <c r="B48" s="11" t="str">
        <f>CONCATENATE("          ", "6237", " - ", "JANITORIAL SUPPLIES")</f>
        <v xml:space="preserve">          6237 - JANITORIAL SUPPLIES</v>
      </c>
      <c r="C48" s="11"/>
      <c r="D48" s="6"/>
      <c r="E48" s="2"/>
      <c r="F48" s="7">
        <f t="shared" si="24"/>
        <v>0</v>
      </c>
      <c r="G48" s="2"/>
      <c r="H48" s="6"/>
      <c r="I48" s="2"/>
      <c r="J48" s="7">
        <f t="shared" si="25"/>
        <v>0</v>
      </c>
      <c r="K48" s="2"/>
      <c r="L48" s="6">
        <f t="shared" si="26"/>
        <v>0</v>
      </c>
      <c r="M48" s="2"/>
      <c r="N48" s="7">
        <f t="shared" si="27"/>
        <v>0</v>
      </c>
      <c r="O48" s="11"/>
      <c r="P48" s="6"/>
      <c r="Q48" s="2"/>
      <c r="R48" s="7">
        <f t="shared" si="28"/>
        <v>0</v>
      </c>
      <c r="S48" s="2"/>
      <c r="T48" s="6">
        <v>226.95</v>
      </c>
      <c r="U48" s="2"/>
      <c r="V48" s="7">
        <f t="shared" si="29"/>
        <v>0</v>
      </c>
      <c r="W48" s="2"/>
      <c r="X48" s="6">
        <f t="shared" si="30"/>
        <v>-226.95</v>
      </c>
      <c r="Y48" s="2"/>
      <c r="Z48" s="7">
        <f t="shared" si="31"/>
        <v>-1</v>
      </c>
    </row>
    <row r="49" spans="1:26" s="24" customFormat="1" hidden="1" outlineLevel="2" x14ac:dyDescent="0.25">
      <c r="A49" s="26"/>
      <c r="B49" s="11" t="str">
        <f>CONCATENATE("          ", "6241", " - ", "OFFICE EXPENSE")</f>
        <v xml:space="preserve">          6241 - OFFICE EXPENSE</v>
      </c>
      <c r="C49" s="11"/>
      <c r="D49" s="6"/>
      <c r="E49" s="2"/>
      <c r="F49" s="7">
        <f t="shared" si="24"/>
        <v>0</v>
      </c>
      <c r="G49" s="2"/>
      <c r="H49" s="6">
        <v>-486.64</v>
      </c>
      <c r="I49" s="2"/>
      <c r="J49" s="7">
        <f t="shared" si="25"/>
        <v>0</v>
      </c>
      <c r="K49" s="2"/>
      <c r="L49" s="6">
        <f t="shared" si="26"/>
        <v>486.64</v>
      </c>
      <c r="M49" s="2"/>
      <c r="N49" s="7">
        <f t="shared" si="27"/>
        <v>-1</v>
      </c>
      <c r="O49" s="11"/>
      <c r="P49" s="6"/>
      <c r="Q49" s="2"/>
      <c r="R49" s="7">
        <f t="shared" si="28"/>
        <v>0</v>
      </c>
      <c r="S49" s="2"/>
      <c r="T49" s="6">
        <v>1533.07</v>
      </c>
      <c r="U49" s="2"/>
      <c r="V49" s="7">
        <f t="shared" si="29"/>
        <v>0</v>
      </c>
      <c r="W49" s="2"/>
      <c r="X49" s="6">
        <f t="shared" si="30"/>
        <v>-1533.07</v>
      </c>
      <c r="Y49" s="2"/>
      <c r="Z49" s="7">
        <f t="shared" si="31"/>
        <v>-1</v>
      </c>
    </row>
    <row r="50" spans="1:26" s="24" customFormat="1" hidden="1" outlineLevel="2" x14ac:dyDescent="0.25">
      <c r="A50" s="26"/>
      <c r="B50" s="11" t="str">
        <f>CONCATENATE("          ", "6247", " - ", "STORE SUPPLIES")</f>
        <v xml:space="preserve">          6247 - STORE SUPPLIES</v>
      </c>
      <c r="C50" s="11"/>
      <c r="D50" s="6"/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0</v>
      </c>
      <c r="M50" s="2"/>
      <c r="N50" s="7">
        <f t="shared" si="27"/>
        <v>0</v>
      </c>
      <c r="O50" s="11"/>
      <c r="P50" s="6"/>
      <c r="Q50" s="2"/>
      <c r="R50" s="7">
        <f t="shared" si="28"/>
        <v>0</v>
      </c>
      <c r="S50" s="2"/>
      <c r="T50" s="6">
        <v>634.73</v>
      </c>
      <c r="U50" s="2"/>
      <c r="V50" s="7">
        <f t="shared" si="29"/>
        <v>0</v>
      </c>
      <c r="W50" s="2"/>
      <c r="X50" s="6">
        <f t="shared" si="30"/>
        <v>-634.73</v>
      </c>
      <c r="Y50" s="2"/>
      <c r="Z50" s="7">
        <f t="shared" si="31"/>
        <v>-1</v>
      </c>
    </row>
    <row r="51" spans="1:26" s="25" customFormat="1" outlineLevel="1" collapsed="1" x14ac:dyDescent="0.25">
      <c r="A51" s="27"/>
      <c r="B51" s="13" t="str">
        <f>CONCATENATE("     ","Telephone/Data Lines                              ")</f>
        <v xml:space="preserve">     Telephone/Data Lines                              </v>
      </c>
      <c r="C51" s="13"/>
      <c r="D51" s="1">
        <f>SUM(OSRRefD22_8x_0)</f>
        <v>0</v>
      </c>
      <c r="E51" s="1"/>
      <c r="F51" s="5">
        <f t="shared" ref="F51:F54" si="32">IF(D$12=0,0,D51/D$12)</f>
        <v>0</v>
      </c>
      <c r="G51" s="1"/>
      <c r="H51" s="1">
        <f>SUM(OSRRefH22_8x_0)</f>
        <v>144.25</v>
      </c>
      <c r="I51" s="1"/>
      <c r="J51" s="5">
        <f t="shared" ref="J51:J54" si="33">IF(H$12=0,0,H51/H$12)</f>
        <v>0</v>
      </c>
      <c r="K51" s="1"/>
      <c r="L51" s="1">
        <f t="shared" ref="L51:L54" si="34">+D51-H51</f>
        <v>-144.25</v>
      </c>
      <c r="M51" s="1"/>
      <c r="N51" s="5">
        <f t="shared" ref="N51:N54" si="35">IF(H51=0,0,L51/H51)</f>
        <v>-1</v>
      </c>
      <c r="O51" s="13"/>
      <c r="P51" s="1">
        <f>SUM(OSRRefP22_8x_0)</f>
        <v>0</v>
      </c>
      <c r="Q51" s="1"/>
      <c r="R51" s="5">
        <f t="shared" ref="R51:R54" si="36">IF(P$12=0,0,P51/P$12)</f>
        <v>0</v>
      </c>
      <c r="S51" s="1"/>
      <c r="T51" s="1">
        <f>SUM(OSRRefT22_8x_0)</f>
        <v>1226.1500000000001</v>
      </c>
      <c r="U51" s="1"/>
      <c r="V51" s="5">
        <f t="shared" ref="V51:V54" si="37">IF(T$12=0,0,T51/T$12)</f>
        <v>0</v>
      </c>
      <c r="W51" s="1"/>
      <c r="X51" s="1">
        <f t="shared" ref="X51:X54" si="38">+P51-T51</f>
        <v>-1226.1500000000001</v>
      </c>
      <c r="Y51" s="1"/>
      <c r="Z51" s="5">
        <f t="shared" ref="Z51:Z54" si="39">IF(T51=0,0,X51/T51)</f>
        <v>-1</v>
      </c>
    </row>
    <row r="52" spans="1:26" s="24" customFormat="1" hidden="1" outlineLevel="2" x14ac:dyDescent="0.25">
      <c r="A52" s="26"/>
      <c r="B52" s="11" t="str">
        <f>CONCATENATE("          ", "6309", " - ", "TELEPHONE")</f>
        <v xml:space="preserve">          6309 - TELEPHONE</v>
      </c>
      <c r="C52" s="11"/>
      <c r="D52" s="6"/>
      <c r="E52" s="2"/>
      <c r="F52" s="7">
        <f t="shared" si="32"/>
        <v>0</v>
      </c>
      <c r="G52" s="2"/>
      <c r="H52" s="6">
        <v>144.25</v>
      </c>
      <c r="I52" s="2"/>
      <c r="J52" s="7">
        <f t="shared" si="33"/>
        <v>0</v>
      </c>
      <c r="K52" s="2"/>
      <c r="L52" s="6">
        <f t="shared" si="34"/>
        <v>-144.25</v>
      </c>
      <c r="M52" s="2"/>
      <c r="N52" s="7">
        <f t="shared" si="35"/>
        <v>-1</v>
      </c>
      <c r="O52" s="11"/>
      <c r="P52" s="6"/>
      <c r="Q52" s="2"/>
      <c r="R52" s="7">
        <f t="shared" si="36"/>
        <v>0</v>
      </c>
      <c r="S52" s="2"/>
      <c r="T52" s="6">
        <v>1226.1500000000001</v>
      </c>
      <c r="U52" s="2"/>
      <c r="V52" s="7">
        <f t="shared" si="37"/>
        <v>0</v>
      </c>
      <c r="W52" s="2"/>
      <c r="X52" s="6">
        <f t="shared" si="38"/>
        <v>-1226.1500000000001</v>
      </c>
      <c r="Y52" s="2"/>
      <c r="Z52" s="7">
        <f t="shared" si="39"/>
        <v>-1</v>
      </c>
    </row>
    <row r="53" spans="1:26" s="25" customFormat="1" outlineLevel="1" collapsed="1" x14ac:dyDescent="0.25">
      <c r="A53" s="27"/>
      <c r="B53" s="13" t="str">
        <f>CONCATENATE("     ","Training                                          ")</f>
        <v xml:space="preserve">     Training                                          </v>
      </c>
      <c r="C53" s="13"/>
      <c r="D53" s="1">
        <f>SUM(OSRRefD22_9x_0)</f>
        <v>0</v>
      </c>
      <c r="E53" s="1"/>
      <c r="F53" s="5">
        <f t="shared" si="32"/>
        <v>0</v>
      </c>
      <c r="G53" s="1"/>
      <c r="H53" s="1">
        <f>SUM(OSRRefH22_9x_0)</f>
        <v>0</v>
      </c>
      <c r="I53" s="1"/>
      <c r="J53" s="5">
        <f t="shared" si="33"/>
        <v>0</v>
      </c>
      <c r="K53" s="1"/>
      <c r="L53" s="1">
        <f t="shared" si="34"/>
        <v>0</v>
      </c>
      <c r="M53" s="1"/>
      <c r="N53" s="5">
        <f t="shared" si="35"/>
        <v>0</v>
      </c>
      <c r="O53" s="13"/>
      <c r="P53" s="1">
        <f>SUM(OSRRefP22_9x_0)</f>
        <v>0</v>
      </c>
      <c r="Q53" s="1"/>
      <c r="R53" s="5">
        <f t="shared" si="36"/>
        <v>0</v>
      </c>
      <c r="S53" s="1"/>
      <c r="T53" s="1">
        <f>SUM(OSRRefT22_9x_0)</f>
        <v>80</v>
      </c>
      <c r="U53" s="1"/>
      <c r="V53" s="5">
        <f t="shared" si="37"/>
        <v>0</v>
      </c>
      <c r="W53" s="1"/>
      <c r="X53" s="1">
        <f t="shared" si="38"/>
        <v>-80</v>
      </c>
      <c r="Y53" s="1"/>
      <c r="Z53" s="5">
        <f t="shared" si="39"/>
        <v>-1</v>
      </c>
    </row>
    <row r="54" spans="1:26" s="24" customFormat="1" hidden="1" outlineLevel="2" x14ac:dyDescent="0.25">
      <c r="A54" s="26"/>
      <c r="B54" s="11" t="str">
        <f>CONCATENATE("          ", "6376", " - ", "TRAINING")</f>
        <v xml:space="preserve">          6376 - TRAINING</v>
      </c>
      <c r="C54" s="11"/>
      <c r="D54" s="6"/>
      <c r="E54" s="2"/>
      <c r="F54" s="7">
        <f t="shared" si="32"/>
        <v>0</v>
      </c>
      <c r="G54" s="2"/>
      <c r="H54" s="6"/>
      <c r="I54" s="2"/>
      <c r="J54" s="7">
        <f t="shared" si="33"/>
        <v>0</v>
      </c>
      <c r="K54" s="2"/>
      <c r="L54" s="6">
        <f t="shared" si="34"/>
        <v>0</v>
      </c>
      <c r="M54" s="2"/>
      <c r="N54" s="7">
        <f t="shared" si="35"/>
        <v>0</v>
      </c>
      <c r="O54" s="11"/>
      <c r="P54" s="6"/>
      <c r="Q54" s="2"/>
      <c r="R54" s="7">
        <f t="shared" si="36"/>
        <v>0</v>
      </c>
      <c r="S54" s="2"/>
      <c r="T54" s="6">
        <v>80</v>
      </c>
      <c r="U54" s="2"/>
      <c r="V54" s="7">
        <f t="shared" si="37"/>
        <v>0</v>
      </c>
      <c r="W54" s="2"/>
      <c r="X54" s="6">
        <f t="shared" si="38"/>
        <v>-80</v>
      </c>
      <c r="Y54" s="2"/>
      <c r="Z54" s="7">
        <f t="shared" si="39"/>
        <v>-1</v>
      </c>
    </row>
    <row r="55" spans="1:26" s="52" customFormat="1" x14ac:dyDescent="0.25">
      <c r="A55" s="37"/>
      <c r="B55" s="37"/>
      <c r="C55" s="37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8" t="s">
        <v>0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9" t="s">
        <v>3</v>
      </c>
      <c r="C58" s="29"/>
      <c r="D58" s="22">
        <f>+D16-D18+D56</f>
        <v>0</v>
      </c>
      <c r="E58" s="14"/>
      <c r="F58" s="20">
        <f>IF(D$12=0,0,D58/D$12)</f>
        <v>0</v>
      </c>
      <c r="G58" s="14"/>
      <c r="H58" s="22">
        <f>+H16-H18+H56</f>
        <v>-34283.75</v>
      </c>
      <c r="I58" s="14"/>
      <c r="J58" s="20">
        <f>IF(H$12=0,0,H58/H$12)</f>
        <v>0</v>
      </c>
      <c r="K58" s="16"/>
      <c r="L58" s="22">
        <f>+D58-H58</f>
        <v>34283.75</v>
      </c>
      <c r="M58" s="16"/>
      <c r="N58" s="20">
        <f>IF(H58=0,0,L58/H58)</f>
        <v>-1</v>
      </c>
      <c r="O58" s="28"/>
      <c r="P58" s="22">
        <f>+P16-P18+P56</f>
        <v>-0.37000000000004318</v>
      </c>
      <c r="Q58" s="14"/>
      <c r="R58" s="20">
        <f>IF(P$12=0,0,P58/P$12)</f>
        <v>0</v>
      </c>
      <c r="S58" s="14"/>
      <c r="T58" s="22">
        <f>+T16-T18+T56</f>
        <v>-377256.21000000014</v>
      </c>
      <c r="U58" s="14"/>
      <c r="V58" s="20">
        <f>IF(T$12=0,0,T58/T$12)</f>
        <v>0</v>
      </c>
      <c r="W58" s="16"/>
      <c r="X58" s="22">
        <f>+P58-T58</f>
        <v>377255.84000000014</v>
      </c>
      <c r="Y58" s="16"/>
      <c r="Z58" s="20">
        <f>IF(T58=0,0,X58/T58)</f>
        <v>-0.99999901923416978</v>
      </c>
    </row>
    <row r="59" spans="1:26" x14ac:dyDescent="0.2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51"/>
      <c r="B60" s="10" t="s">
        <v>13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9" t="s">
        <v>4</v>
      </c>
      <c r="C62" s="29"/>
      <c r="D62" s="35">
        <f>+D58-D60</f>
        <v>0</v>
      </c>
      <c r="E62" s="14"/>
      <c r="F62" s="36">
        <f>IF(D$12=0,0,D62/D$12)</f>
        <v>0</v>
      </c>
      <c r="G62" s="14"/>
      <c r="H62" s="35">
        <f>+H58-H60</f>
        <v>-34283.75</v>
      </c>
      <c r="I62" s="14"/>
      <c r="J62" s="36">
        <f>IF(H$12=0,0,H62/H$12)</f>
        <v>0</v>
      </c>
      <c r="K62" s="16"/>
      <c r="L62" s="35">
        <f>D62-H62</f>
        <v>34283.75</v>
      </c>
      <c r="M62" s="16"/>
      <c r="N62" s="36">
        <f>IF(H62=0,0,L62/H62)</f>
        <v>-1</v>
      </c>
      <c r="O62" s="28"/>
      <c r="P62" s="35">
        <f>+P58-P60</f>
        <v>-0.37000000000004318</v>
      </c>
      <c r="Q62" s="14"/>
      <c r="R62" s="36">
        <f>IF(P$12=0,0,P62/P$12)</f>
        <v>0</v>
      </c>
      <c r="S62" s="14"/>
      <c r="T62" s="35">
        <f>+T58-T60</f>
        <v>-377256.21000000014</v>
      </c>
      <c r="U62" s="14"/>
      <c r="V62" s="36">
        <f>IF(T$12=0,0,T62/T$12)</f>
        <v>0</v>
      </c>
      <c r="W62" s="16"/>
      <c r="X62" s="35">
        <f>P62-T62</f>
        <v>377255.84000000014</v>
      </c>
      <c r="Y62" s="16"/>
      <c r="Z62" s="36">
        <f>IF(T62=0,0,X62/T62)</f>
        <v>-0.99999901923416978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9" t="s">
        <v>5</v>
      </c>
      <c r="C65" s="29"/>
      <c r="D65" s="31">
        <f>SUM(D62:D64)</f>
        <v>0</v>
      </c>
      <c r="E65" s="14"/>
      <c r="F65" s="33">
        <f>IF(D$12=0,0,D65/D$12)</f>
        <v>0</v>
      </c>
      <c r="G65" s="14"/>
      <c r="H65" s="31">
        <f>SUM(H62:H64)</f>
        <v>-34283.75</v>
      </c>
      <c r="I65" s="14"/>
      <c r="J65" s="33">
        <f>IF(H$12=0,0,H65/H$12)</f>
        <v>0</v>
      </c>
      <c r="K65" s="16"/>
      <c r="L65" s="31">
        <f>+D65-H65</f>
        <v>34283.75</v>
      </c>
      <c r="M65" s="16"/>
      <c r="N65" s="33">
        <f>IF(H65=0,0,L65/H65)</f>
        <v>-1</v>
      </c>
      <c r="O65" s="28"/>
      <c r="P65" s="31">
        <f>SUM(P62:P64)</f>
        <v>-0.37000000000004318</v>
      </c>
      <c r="Q65" s="14"/>
      <c r="R65" s="33">
        <f>IF(P$12=0,0,P65/P$12)</f>
        <v>0</v>
      </c>
      <c r="S65" s="14"/>
      <c r="T65" s="31">
        <f>SUM(T62:T64)</f>
        <v>-377256.21000000014</v>
      </c>
      <c r="U65" s="14"/>
      <c r="V65" s="33">
        <f>IF(T$12=0,0,T65/T$12)</f>
        <v>0</v>
      </c>
      <c r="W65" s="16"/>
      <c r="X65" s="31">
        <f>+P65-T65</f>
        <v>377255.84000000014</v>
      </c>
      <c r="Y65" s="16"/>
      <c r="Z65" s="33">
        <f>IF(T65=0,0,X65/T65)</f>
        <v>-0.99999901923416978</v>
      </c>
    </row>
    <row r="66" spans="1:26" ht="15.75" thickTop="1" x14ac:dyDescent="0.25">
      <c r="A66" s="9"/>
      <c r="C66" s="9"/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6" x14ac:dyDescent="0.25">
      <c r="A67" s="9"/>
      <c r="B67" s="56">
        <v>44267.668179976848</v>
      </c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6" x14ac:dyDescent="0.25">
      <c r="A68" s="9"/>
      <c r="B68" s="54" t="s">
        <v>313</v>
      </c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25">
      <c r="A69" s="9"/>
      <c r="B69" s="58"/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304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116818.28</v>
      </c>
      <c r="I12" s="4"/>
      <c r="J12" s="12"/>
      <c r="K12" s="4"/>
      <c r="L12" s="4">
        <f t="shared" ref="L12:L53" si="0">+D12-H12</f>
        <v>-116818.28</v>
      </c>
      <c r="M12" s="4"/>
      <c r="N12" s="12">
        <f t="shared" ref="N12:N53" si="1">IF(H12=0,0,L12/H12)</f>
        <v>-1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770703.1100000001</v>
      </c>
      <c r="U12" s="4"/>
      <c r="V12" s="12"/>
      <c r="W12" s="4"/>
      <c r="X12" s="4">
        <f t="shared" ref="X12:X53" si="2">+P12-T12</f>
        <v>-749391.19000000006</v>
      </c>
      <c r="Y12" s="4"/>
      <c r="Z12" s="12">
        <f t="shared" ref="Z12:Z53" si="3">IF(T12=0,0,X12/T12)</f>
        <v>-0.97234743220382225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53" si="4"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-1096.44</f>
        <v>-1096.44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-1096.44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si="4"/>
        <v>0</v>
      </c>
      <c r="E14" s="2"/>
      <c r="F14" s="19"/>
      <c r="G14" s="2"/>
      <c r="H14" s="2">
        <f>--16.47</f>
        <v>16.47</v>
      </c>
      <c r="I14" s="2"/>
      <c r="J14" s="19"/>
      <c r="K14" s="2"/>
      <c r="L14" s="2">
        <f t="shared" si="0"/>
        <v>-16.47</v>
      </c>
      <c r="M14" s="2"/>
      <c r="N14" s="19">
        <f t="shared" si="1"/>
        <v>-1</v>
      </c>
      <c r="O14" s="11"/>
      <c r="P14" s="2">
        <f t="shared" ref="P14:P16" si="5">0</f>
        <v>0</v>
      </c>
      <c r="Q14" s="2"/>
      <c r="R14" s="19"/>
      <c r="S14" s="2"/>
      <c r="T14" s="2">
        <f>--271.59</f>
        <v>271.58999999999997</v>
      </c>
      <c r="U14" s="2"/>
      <c r="V14" s="19"/>
      <c r="W14" s="2"/>
      <c r="X14" s="2">
        <f t="shared" si="2"/>
        <v>-271.58999999999997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 t="shared" si="4"/>
        <v>0</v>
      </c>
      <c r="E15" s="2"/>
      <c r="F15" s="19"/>
      <c r="G15" s="2"/>
      <c r="H15" s="2">
        <f>--8.97</f>
        <v>8.9700000000000006</v>
      </c>
      <c r="I15" s="2"/>
      <c r="J15" s="19"/>
      <c r="K15" s="2"/>
      <c r="L15" s="2">
        <f t="shared" si="0"/>
        <v>-8.9700000000000006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--42.85</f>
        <v>42.85</v>
      </c>
      <c r="U15" s="2"/>
      <c r="V15" s="19"/>
      <c r="W15" s="2"/>
      <c r="X15" s="2">
        <f t="shared" si="2"/>
        <v>-42.85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 t="shared" si="4"/>
        <v>0</v>
      </c>
      <c r="E16" s="2"/>
      <c r="F16" s="19"/>
      <c r="G16" s="2"/>
      <c r="H16" s="2">
        <f>--11343.24</f>
        <v>11343.24</v>
      </c>
      <c r="I16" s="2"/>
      <c r="J16" s="19"/>
      <c r="K16" s="2"/>
      <c r="L16" s="2">
        <f t="shared" si="0"/>
        <v>-11343.24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--51770.07</f>
        <v>51770.07</v>
      </c>
      <c r="U16" s="2"/>
      <c r="V16" s="19"/>
      <c r="W16" s="2"/>
      <c r="X16" s="2">
        <f t="shared" si="2"/>
        <v>-51770.07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 t="shared" si="4"/>
        <v>0</v>
      </c>
      <c r="E17" s="2"/>
      <c r="F17" s="19"/>
      <c r="G17" s="2"/>
      <c r="H17" s="2">
        <f>--11734.27</f>
        <v>11734.27</v>
      </c>
      <c r="I17" s="2"/>
      <c r="J17" s="19"/>
      <c r="K17" s="2"/>
      <c r="L17" s="2">
        <f t="shared" si="0"/>
        <v>-11734.27</v>
      </c>
      <c r="M17" s="2"/>
      <c r="N17" s="19">
        <f t="shared" si="1"/>
        <v>-1</v>
      </c>
      <c r="O17" s="11"/>
      <c r="P17" s="2">
        <f>--17.51</f>
        <v>17.510000000000002</v>
      </c>
      <c r="Q17" s="2"/>
      <c r="R17" s="19"/>
      <c r="S17" s="2"/>
      <c r="T17" s="2">
        <f>--75249.13</f>
        <v>75249.13</v>
      </c>
      <c r="U17" s="2"/>
      <c r="V17" s="19"/>
      <c r="W17" s="2"/>
      <c r="X17" s="2">
        <f t="shared" si="2"/>
        <v>-75231.62000000001</v>
      </c>
      <c r="Y17" s="2"/>
      <c r="Z17" s="19">
        <f t="shared" si="3"/>
        <v>-0.99976730627982013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 t="shared" si="4"/>
        <v>0</v>
      </c>
      <c r="E18" s="2"/>
      <c r="F18" s="19"/>
      <c r="G18" s="2"/>
      <c r="H18" s="2">
        <f>--30024.06</f>
        <v>30024.06</v>
      </c>
      <c r="I18" s="2"/>
      <c r="J18" s="19"/>
      <c r="K18" s="2"/>
      <c r="L18" s="2">
        <f t="shared" si="0"/>
        <v>-30024.06</v>
      </c>
      <c r="M18" s="2"/>
      <c r="N18" s="19">
        <f t="shared" si="1"/>
        <v>-1</v>
      </c>
      <c r="O18" s="11"/>
      <c r="P18" s="2">
        <f>--7990.32</f>
        <v>7990.32</v>
      </c>
      <c r="Q18" s="2"/>
      <c r="R18" s="19"/>
      <c r="S18" s="2"/>
      <c r="T18" s="2">
        <f>--261531.74</f>
        <v>261531.74</v>
      </c>
      <c r="U18" s="2"/>
      <c r="V18" s="19"/>
      <c r="W18" s="2"/>
      <c r="X18" s="2">
        <f t="shared" si="2"/>
        <v>-253541.41999999998</v>
      </c>
      <c r="Y18" s="2"/>
      <c r="Z18" s="19">
        <f t="shared" si="3"/>
        <v>-0.96944799128396419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 t="shared" si="4"/>
        <v>0</v>
      </c>
      <c r="E19" s="2"/>
      <c r="F19" s="19"/>
      <c r="G19" s="2"/>
      <c r="H19" s="2">
        <f>--42663.45</f>
        <v>42663.45</v>
      </c>
      <c r="I19" s="2"/>
      <c r="J19" s="19"/>
      <c r="K19" s="2"/>
      <c r="L19" s="2">
        <f t="shared" si="0"/>
        <v>-42663.45</v>
      </c>
      <c r="M19" s="2"/>
      <c r="N19" s="19">
        <f t="shared" si="1"/>
        <v>-1</v>
      </c>
      <c r="O19" s="11"/>
      <c r="P19" s="2">
        <f>--12479.05</f>
        <v>12479.05</v>
      </c>
      <c r="Q19" s="2"/>
      <c r="R19" s="19"/>
      <c r="S19" s="2"/>
      <c r="T19" s="2">
        <f>--275336.23</f>
        <v>275336.23</v>
      </c>
      <c r="U19" s="2"/>
      <c r="V19" s="19"/>
      <c r="W19" s="2"/>
      <c r="X19" s="2">
        <f t="shared" si="2"/>
        <v>-262857.18</v>
      </c>
      <c r="Y19" s="2"/>
      <c r="Z19" s="19">
        <f t="shared" si="3"/>
        <v>-0.95467705067364372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 t="shared" si="4"/>
        <v>0</v>
      </c>
      <c r="E20" s="2"/>
      <c r="F20" s="19"/>
      <c r="G20" s="2"/>
      <c r="H20" s="2">
        <f>--92.07</f>
        <v>92.07</v>
      </c>
      <c r="I20" s="2"/>
      <c r="J20" s="19"/>
      <c r="K20" s="2"/>
      <c r="L20" s="2">
        <f t="shared" si="0"/>
        <v>-92.07</v>
      </c>
      <c r="M20" s="2"/>
      <c r="N20" s="19">
        <f t="shared" si="1"/>
        <v>-1</v>
      </c>
      <c r="O20" s="11"/>
      <c r="P20" s="2">
        <f>--374.55</f>
        <v>374.55</v>
      </c>
      <c r="Q20" s="2"/>
      <c r="R20" s="19"/>
      <c r="S20" s="2"/>
      <c r="T20" s="2">
        <f>--442.04</f>
        <v>442.04</v>
      </c>
      <c r="U20" s="2"/>
      <c r="V20" s="19"/>
      <c r="W20" s="2"/>
      <c r="X20" s="2">
        <f t="shared" si="2"/>
        <v>-67.490000000000009</v>
      </c>
      <c r="Y20" s="2"/>
      <c r="Z20" s="19">
        <f t="shared" si="3"/>
        <v>-0.15267849063433175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 t="shared" si="4"/>
        <v>0</v>
      </c>
      <c r="E21" s="2"/>
      <c r="F21" s="19"/>
      <c r="G21" s="2"/>
      <c r="H21" s="2">
        <f>--555.66</f>
        <v>555.66</v>
      </c>
      <c r="I21" s="2"/>
      <c r="J21" s="19"/>
      <c r="K21" s="2"/>
      <c r="L21" s="2">
        <f t="shared" si="0"/>
        <v>-555.66</v>
      </c>
      <c r="M21" s="2"/>
      <c r="N21" s="19">
        <f t="shared" si="1"/>
        <v>-1</v>
      </c>
      <c r="O21" s="11"/>
      <c r="P21" s="2">
        <f t="shared" ref="P21:P28" si="6">0</f>
        <v>0</v>
      </c>
      <c r="Q21" s="2"/>
      <c r="R21" s="19"/>
      <c r="S21" s="2"/>
      <c r="T21" s="2">
        <f>--1664.25</f>
        <v>1664.25</v>
      </c>
      <c r="U21" s="2"/>
      <c r="V21" s="19"/>
      <c r="W21" s="2"/>
      <c r="X21" s="2">
        <f t="shared" si="2"/>
        <v>-1664.25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 t="shared" si="4"/>
        <v>0</v>
      </c>
      <c r="E22" s="2"/>
      <c r="F22" s="19"/>
      <c r="G22" s="2"/>
      <c r="H22" s="2">
        <f>--33.83</f>
        <v>33.83</v>
      </c>
      <c r="I22" s="2"/>
      <c r="J22" s="19"/>
      <c r="K22" s="2"/>
      <c r="L22" s="2">
        <f t="shared" si="0"/>
        <v>-33.83</v>
      </c>
      <c r="M22" s="2"/>
      <c r="N22" s="19">
        <f t="shared" si="1"/>
        <v>-1</v>
      </c>
      <c r="O22" s="11"/>
      <c r="P22" s="2">
        <f t="shared" si="6"/>
        <v>0</v>
      </c>
      <c r="Q22" s="2"/>
      <c r="R22" s="19"/>
      <c r="S22" s="2"/>
      <c r="T22" s="2">
        <f>--179.98</f>
        <v>179.98</v>
      </c>
      <c r="U22" s="2"/>
      <c r="V22" s="19"/>
      <c r="W22" s="2"/>
      <c r="X22" s="2">
        <f t="shared" si="2"/>
        <v>-179.98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 t="shared" si="4"/>
        <v>0</v>
      </c>
      <c r="E23" s="2"/>
      <c r="F23" s="19"/>
      <c r="G23" s="2"/>
      <c r="H23" s="2">
        <f>--1452.19</f>
        <v>1452.19</v>
      </c>
      <c r="I23" s="2"/>
      <c r="J23" s="19"/>
      <c r="K23" s="2"/>
      <c r="L23" s="2">
        <f t="shared" si="0"/>
        <v>-1452.19</v>
      </c>
      <c r="M23" s="2"/>
      <c r="N23" s="19">
        <f t="shared" si="1"/>
        <v>-1</v>
      </c>
      <c r="O23" s="11"/>
      <c r="P23" s="2">
        <f t="shared" si="6"/>
        <v>0</v>
      </c>
      <c r="Q23" s="2"/>
      <c r="R23" s="19"/>
      <c r="S23" s="2"/>
      <c r="T23" s="2">
        <f>--7203.43</f>
        <v>7203.43</v>
      </c>
      <c r="U23" s="2"/>
      <c r="V23" s="19"/>
      <c r="W23" s="2"/>
      <c r="X23" s="2">
        <f t="shared" si="2"/>
        <v>-7203.43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 t="shared" si="4"/>
        <v>0</v>
      </c>
      <c r="E24" s="2"/>
      <c r="F24" s="19"/>
      <c r="G24" s="2"/>
      <c r="H24" s="2">
        <f>--442.03</f>
        <v>442.03</v>
      </c>
      <c r="I24" s="2"/>
      <c r="J24" s="19"/>
      <c r="K24" s="2"/>
      <c r="L24" s="2">
        <f t="shared" si="0"/>
        <v>-442.03</v>
      </c>
      <c r="M24" s="2"/>
      <c r="N24" s="19">
        <f t="shared" si="1"/>
        <v>-1</v>
      </c>
      <c r="O24" s="11"/>
      <c r="P24" s="2">
        <f t="shared" si="6"/>
        <v>0</v>
      </c>
      <c r="Q24" s="2"/>
      <c r="R24" s="19"/>
      <c r="S24" s="2"/>
      <c r="T24" s="2">
        <f>--1880.52</f>
        <v>1880.52</v>
      </c>
      <c r="U24" s="2"/>
      <c r="V24" s="19"/>
      <c r="W24" s="2"/>
      <c r="X24" s="2">
        <f t="shared" si="2"/>
        <v>-1880.52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 t="shared" si="4"/>
        <v>0</v>
      </c>
      <c r="E25" s="2"/>
      <c r="F25" s="19"/>
      <c r="G25" s="2"/>
      <c r="H25" s="2">
        <f>--74.61</f>
        <v>74.61</v>
      </c>
      <c r="I25" s="2"/>
      <c r="J25" s="19"/>
      <c r="K25" s="2"/>
      <c r="L25" s="2">
        <f t="shared" si="0"/>
        <v>-74.61</v>
      </c>
      <c r="M25" s="2"/>
      <c r="N25" s="19">
        <f t="shared" si="1"/>
        <v>-1</v>
      </c>
      <c r="O25" s="11"/>
      <c r="P25" s="2">
        <f t="shared" si="6"/>
        <v>0</v>
      </c>
      <c r="Q25" s="2"/>
      <c r="R25" s="19"/>
      <c r="S25" s="2"/>
      <c r="T25" s="2">
        <f>--488.71</f>
        <v>488.71</v>
      </c>
      <c r="U25" s="2"/>
      <c r="V25" s="19"/>
      <c r="W25" s="2"/>
      <c r="X25" s="2">
        <f t="shared" si="2"/>
        <v>-488.71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"4041", " - ", "TAXABLE SALES-LOGO GIFTS")</f>
        <v xml:space="preserve">          4041 - TAXABLE SALES-LOGO GIFTS</v>
      </c>
      <c r="C26" s="11"/>
      <c r="D26" s="2">
        <f t="shared" si="4"/>
        <v>0</v>
      </c>
      <c r="E26" s="2"/>
      <c r="F26" s="19"/>
      <c r="G26" s="2"/>
      <c r="H26" s="2">
        <f>--363.67</f>
        <v>363.67</v>
      </c>
      <c r="I26" s="2"/>
      <c r="J26" s="19"/>
      <c r="K26" s="2"/>
      <c r="L26" s="2">
        <f t="shared" si="0"/>
        <v>-363.67</v>
      </c>
      <c r="M26" s="2"/>
      <c r="N26" s="19">
        <f t="shared" si="1"/>
        <v>-1</v>
      </c>
      <c r="O26" s="11"/>
      <c r="P26" s="2">
        <f t="shared" si="6"/>
        <v>0</v>
      </c>
      <c r="Q26" s="2"/>
      <c r="R26" s="19"/>
      <c r="S26" s="2"/>
      <c r="T26" s="2">
        <f>--363.67</f>
        <v>363.67</v>
      </c>
      <c r="U26" s="2"/>
      <c r="V26" s="19"/>
      <c r="W26" s="2"/>
      <c r="X26" s="2">
        <f t="shared" si="2"/>
        <v>-363.67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"4042", " - ", "TAXABLE SALES-EVERYDAY GIFTS")</f>
        <v xml:space="preserve">          4042 - TAXABLE SALES-EVERYDAY GIFTS</v>
      </c>
      <c r="C27" s="11"/>
      <c r="D27" s="2">
        <f t="shared" si="4"/>
        <v>0</v>
      </c>
      <c r="E27" s="2"/>
      <c r="F27" s="19"/>
      <c r="G27" s="2"/>
      <c r="H27" s="2">
        <f>--394.76</f>
        <v>394.76</v>
      </c>
      <c r="I27" s="2"/>
      <c r="J27" s="19"/>
      <c r="K27" s="2"/>
      <c r="L27" s="2">
        <f t="shared" si="0"/>
        <v>-394.76</v>
      </c>
      <c r="M27" s="2"/>
      <c r="N27" s="19">
        <f t="shared" si="1"/>
        <v>-1</v>
      </c>
      <c r="O27" s="11"/>
      <c r="P27" s="2">
        <f t="shared" si="6"/>
        <v>0</v>
      </c>
      <c r="Q27" s="2"/>
      <c r="R27" s="19"/>
      <c r="S27" s="2"/>
      <c r="T27" s="2">
        <f>--427.71</f>
        <v>427.71</v>
      </c>
      <c r="U27" s="2"/>
      <c r="V27" s="19"/>
      <c r="W27" s="2"/>
      <c r="X27" s="2">
        <f t="shared" si="2"/>
        <v>-427.71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"4044", " - ", "TAXABLE SALES-ACCESSORIES")</f>
        <v xml:space="preserve">          4044 - TAXABLE SALES-ACCESSORIES</v>
      </c>
      <c r="C28" s="11"/>
      <c r="D28" s="2">
        <f t="shared" si="4"/>
        <v>0</v>
      </c>
      <c r="E28" s="2"/>
      <c r="F28" s="19"/>
      <c r="G28" s="2"/>
      <c r="H28" s="2">
        <f>--159.55</f>
        <v>159.55000000000001</v>
      </c>
      <c r="I28" s="2"/>
      <c r="J28" s="19"/>
      <c r="K28" s="2"/>
      <c r="L28" s="2">
        <f t="shared" si="0"/>
        <v>-159.55000000000001</v>
      </c>
      <c r="M28" s="2"/>
      <c r="N28" s="19">
        <f t="shared" si="1"/>
        <v>-1</v>
      </c>
      <c r="O28" s="11"/>
      <c r="P28" s="2">
        <f t="shared" si="6"/>
        <v>0</v>
      </c>
      <c r="Q28" s="2"/>
      <c r="R28" s="19"/>
      <c r="S28" s="2"/>
      <c r="T28" s="2">
        <f>--159.55</f>
        <v>159.55000000000001</v>
      </c>
      <c r="U28" s="2"/>
      <c r="V28" s="19"/>
      <c r="W28" s="2"/>
      <c r="X28" s="2">
        <f t="shared" si="2"/>
        <v>-159.55000000000001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"4081", " - ", "TAXABLE SALES-ELECTRONICS")</f>
        <v xml:space="preserve">          4081 - TAXABLE SALES-ELECTRONICS</v>
      </c>
      <c r="C29" s="11"/>
      <c r="D29" s="2">
        <f t="shared" si="4"/>
        <v>0</v>
      </c>
      <c r="E29" s="2"/>
      <c r="F29" s="19"/>
      <c r="G29" s="2"/>
      <c r="H29" s="2">
        <f>--308.7</f>
        <v>308.7</v>
      </c>
      <c r="I29" s="2"/>
      <c r="J29" s="19"/>
      <c r="K29" s="2"/>
      <c r="L29" s="2">
        <f t="shared" si="0"/>
        <v>-308.7</v>
      </c>
      <c r="M29" s="2"/>
      <c r="N29" s="19">
        <f t="shared" si="1"/>
        <v>-1</v>
      </c>
      <c r="O29" s="11"/>
      <c r="P29" s="2">
        <f>--71.95</f>
        <v>71.95</v>
      </c>
      <c r="Q29" s="2"/>
      <c r="R29" s="19"/>
      <c r="S29" s="2"/>
      <c r="T29" s="2">
        <f>--3109.98</f>
        <v>3109.98</v>
      </c>
      <c r="U29" s="2"/>
      <c r="V29" s="19"/>
      <c r="W29" s="2"/>
      <c r="X29" s="2">
        <f t="shared" si="2"/>
        <v>-3038.03</v>
      </c>
      <c r="Y29" s="2"/>
      <c r="Z29" s="19">
        <f t="shared" si="3"/>
        <v>-0.97686480298908684</v>
      </c>
    </row>
    <row r="30" spans="1:26" s="24" customFormat="1" hidden="1" outlineLevel="1" x14ac:dyDescent="0.25">
      <c r="A30" s="44"/>
      <c r="B30" s="11" t="str">
        <f>CONCATENATE("          ", "4082", " - ", "TAXABLE SALES-COMPUTER HARDWAR")</f>
        <v xml:space="preserve">          4082 - TAXABLE SALES-COMPUTER HARDWAR</v>
      </c>
      <c r="C30" s="11"/>
      <c r="D30" s="2">
        <f t="shared" si="4"/>
        <v>0</v>
      </c>
      <c r="E30" s="2"/>
      <c r="F30" s="19"/>
      <c r="G30" s="2"/>
      <c r="H30" s="2">
        <f>--76.98</f>
        <v>76.98</v>
      </c>
      <c r="I30" s="2"/>
      <c r="J30" s="19"/>
      <c r="K30" s="2"/>
      <c r="L30" s="2">
        <f t="shared" si="0"/>
        <v>-76.98</v>
      </c>
      <c r="M30" s="2"/>
      <c r="N30" s="19">
        <f t="shared" si="1"/>
        <v>-1</v>
      </c>
      <c r="O30" s="11"/>
      <c r="P30" s="2">
        <f>0</f>
        <v>0</v>
      </c>
      <c r="Q30" s="2"/>
      <c r="R30" s="19"/>
      <c r="S30" s="2"/>
      <c r="T30" s="2">
        <f>--295.98</f>
        <v>295.98</v>
      </c>
      <c r="U30" s="2"/>
      <c r="V30" s="19"/>
      <c r="W30" s="2"/>
      <c r="X30" s="2">
        <f t="shared" si="2"/>
        <v>-295.98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"4083", " - ", "TAXABLE SALES-COMPUTER EQUIPME")</f>
        <v xml:space="preserve">          4083 - TAXABLE SALES-COMPUTER EQUIPME</v>
      </c>
      <c r="C31" s="11"/>
      <c r="D31" s="2">
        <f t="shared" si="4"/>
        <v>0</v>
      </c>
      <c r="E31" s="2"/>
      <c r="F31" s="19"/>
      <c r="G31" s="2"/>
      <c r="H31" s="2">
        <f>--34.97</f>
        <v>34.97</v>
      </c>
      <c r="I31" s="2"/>
      <c r="J31" s="19"/>
      <c r="K31" s="2"/>
      <c r="L31" s="2">
        <f t="shared" si="0"/>
        <v>-34.97</v>
      </c>
      <c r="M31" s="2"/>
      <c r="N31" s="19">
        <f t="shared" si="1"/>
        <v>-1</v>
      </c>
      <c r="O31" s="11"/>
      <c r="P31" s="2">
        <f>--9.99</f>
        <v>9.99</v>
      </c>
      <c r="Q31" s="2"/>
      <c r="R31" s="19"/>
      <c r="S31" s="2"/>
      <c r="T31" s="2">
        <f>--884.36</f>
        <v>884.36</v>
      </c>
      <c r="U31" s="2"/>
      <c r="V31" s="19"/>
      <c r="W31" s="2"/>
      <c r="X31" s="2">
        <f t="shared" si="2"/>
        <v>-874.37</v>
      </c>
      <c r="Y31" s="2"/>
      <c r="Z31" s="19">
        <f t="shared" si="3"/>
        <v>-0.98870369532769464</v>
      </c>
    </row>
    <row r="32" spans="1:26" s="24" customFormat="1" hidden="1" outlineLevel="1" x14ac:dyDescent="0.25">
      <c r="A32" s="44"/>
      <c r="B32" s="11" t="str">
        <f>CONCATENATE("          ", "4086", " - ", "TAXABLE SALES-COMPUTER SUPPLIE")</f>
        <v xml:space="preserve">          4086 - TAXABLE SALES-COMPUTER SUPPLIE</v>
      </c>
      <c r="C32" s="11"/>
      <c r="D32" s="2">
        <f t="shared" si="4"/>
        <v>0</v>
      </c>
      <c r="E32" s="2"/>
      <c r="F32" s="19"/>
      <c r="G32" s="2"/>
      <c r="H32" s="2">
        <f>--28.98</f>
        <v>28.98</v>
      </c>
      <c r="I32" s="2"/>
      <c r="J32" s="19"/>
      <c r="K32" s="2"/>
      <c r="L32" s="2">
        <f t="shared" si="0"/>
        <v>-28.98</v>
      </c>
      <c r="M32" s="2"/>
      <c r="N32" s="19">
        <f t="shared" si="1"/>
        <v>-1</v>
      </c>
      <c r="O32" s="11"/>
      <c r="P32" s="2">
        <f t="shared" ref="P32:P36" si="7">0</f>
        <v>0</v>
      </c>
      <c r="Q32" s="2"/>
      <c r="R32" s="19"/>
      <c r="S32" s="2"/>
      <c r="T32" s="2">
        <f>--804.74</f>
        <v>804.74</v>
      </c>
      <c r="U32" s="2"/>
      <c r="V32" s="19"/>
      <c r="W32" s="2"/>
      <c r="X32" s="2">
        <f t="shared" si="2"/>
        <v>-804.74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"4125", " - ", "NON-TAXABLE SALES-TEST FORMS")</f>
        <v xml:space="preserve">          4125 - NON-TAXABLE SALES-TEST FORMS</v>
      </c>
      <c r="C33" s="11"/>
      <c r="D33" s="2">
        <f t="shared" si="4"/>
        <v>0</v>
      </c>
      <c r="E33" s="2"/>
      <c r="F33" s="19"/>
      <c r="G33" s="2"/>
      <c r="H33" s="2">
        <f>--40.39</f>
        <v>40.39</v>
      </c>
      <c r="I33" s="2"/>
      <c r="J33" s="19"/>
      <c r="K33" s="2"/>
      <c r="L33" s="2">
        <f t="shared" si="0"/>
        <v>-40.39</v>
      </c>
      <c r="M33" s="2"/>
      <c r="N33" s="19">
        <f t="shared" si="1"/>
        <v>-1</v>
      </c>
      <c r="O33" s="11"/>
      <c r="P33" s="2">
        <f t="shared" si="7"/>
        <v>0</v>
      </c>
      <c r="Q33" s="2"/>
      <c r="R33" s="19"/>
      <c r="S33" s="2"/>
      <c r="T33" s="2">
        <f>--263.07</f>
        <v>263.07</v>
      </c>
      <c r="U33" s="2"/>
      <c r="V33" s="19"/>
      <c r="W33" s="2"/>
      <c r="X33" s="2">
        <f t="shared" si="2"/>
        <v>-263.07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"4126", " - ", "NON-TAXABLE SALES-WRITING INST")</f>
        <v xml:space="preserve">          4126 - NON-TAXABLE SALES-WRITING INST</v>
      </c>
      <c r="C34" s="11"/>
      <c r="D34" s="2">
        <f t="shared" si="4"/>
        <v>0</v>
      </c>
      <c r="E34" s="2"/>
      <c r="F34" s="19"/>
      <c r="G34" s="2"/>
      <c r="H34" s="2">
        <f>--349.94</f>
        <v>349.94</v>
      </c>
      <c r="I34" s="2"/>
      <c r="J34" s="19"/>
      <c r="K34" s="2"/>
      <c r="L34" s="2">
        <f t="shared" si="0"/>
        <v>-349.94</v>
      </c>
      <c r="M34" s="2"/>
      <c r="N34" s="19">
        <f t="shared" si="1"/>
        <v>-1</v>
      </c>
      <c r="O34" s="11"/>
      <c r="P34" s="2">
        <f t="shared" si="7"/>
        <v>0</v>
      </c>
      <c r="Q34" s="2"/>
      <c r="R34" s="19"/>
      <c r="S34" s="2"/>
      <c r="T34" s="2">
        <f>--2906.58</f>
        <v>2906.58</v>
      </c>
      <c r="U34" s="2"/>
      <c r="V34" s="19"/>
      <c r="W34" s="2"/>
      <c r="X34" s="2">
        <f t="shared" si="2"/>
        <v>-2906.58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"4127", " - ", "NON-TAXABLE SALES-SCHOOL SUPPL")</f>
        <v xml:space="preserve">          4127 - NON-TAXABLE SALES-SCHOOL SUPPL</v>
      </c>
      <c r="C35" s="11"/>
      <c r="D35" s="2">
        <f t="shared" si="4"/>
        <v>0</v>
      </c>
      <c r="E35" s="2"/>
      <c r="F35" s="19"/>
      <c r="G35" s="2"/>
      <c r="H35" s="2">
        <f>--527.81</f>
        <v>527.80999999999995</v>
      </c>
      <c r="I35" s="2"/>
      <c r="J35" s="19"/>
      <c r="K35" s="2"/>
      <c r="L35" s="2">
        <f t="shared" si="0"/>
        <v>-527.80999999999995</v>
      </c>
      <c r="M35" s="2"/>
      <c r="N35" s="19">
        <f t="shared" si="1"/>
        <v>-1</v>
      </c>
      <c r="O35" s="11"/>
      <c r="P35" s="2">
        <f t="shared" si="7"/>
        <v>0</v>
      </c>
      <c r="Q35" s="2"/>
      <c r="R35" s="19"/>
      <c r="S35" s="2"/>
      <c r="T35" s="2">
        <f>--4662.41</f>
        <v>4662.41</v>
      </c>
      <c r="U35" s="2"/>
      <c r="V35" s="19"/>
      <c r="W35" s="2"/>
      <c r="X35" s="2">
        <f t="shared" si="2"/>
        <v>-4662.41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"4128", " - ", "NON-TAXABLE SALES-ART/TECH")</f>
        <v xml:space="preserve">          4128 - NON-TAXABLE SALES-ART/TECH</v>
      </c>
      <c r="C36" s="11"/>
      <c r="D36" s="2">
        <f t="shared" si="4"/>
        <v>0</v>
      </c>
      <c r="E36" s="2"/>
      <c r="F36" s="19"/>
      <c r="G36" s="2"/>
      <c r="H36" s="2">
        <f>--147.48</f>
        <v>147.47999999999999</v>
      </c>
      <c r="I36" s="2"/>
      <c r="J36" s="19"/>
      <c r="K36" s="2"/>
      <c r="L36" s="2">
        <f t="shared" si="0"/>
        <v>-147.47999999999999</v>
      </c>
      <c r="M36" s="2"/>
      <c r="N36" s="19">
        <f t="shared" si="1"/>
        <v>-1</v>
      </c>
      <c r="O36" s="11"/>
      <c r="P36" s="2">
        <f t="shared" si="7"/>
        <v>0</v>
      </c>
      <c r="Q36" s="2"/>
      <c r="R36" s="19"/>
      <c r="S36" s="2"/>
      <c r="T36" s="2">
        <f>--678.5</f>
        <v>678.5</v>
      </c>
      <c r="U36" s="2"/>
      <c r="V36" s="19"/>
      <c r="W36" s="2"/>
      <c r="X36" s="2">
        <f t="shared" si="2"/>
        <v>-678.5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"4131", " - ", "NON-TAXABLE SALES-FOOD")</f>
        <v xml:space="preserve">          4131 - NON-TAXABLE SALES-FOOD</v>
      </c>
      <c r="C37" s="11"/>
      <c r="D37" s="2">
        <f t="shared" si="4"/>
        <v>0</v>
      </c>
      <c r="E37" s="2"/>
      <c r="F37" s="19"/>
      <c r="G37" s="2"/>
      <c r="H37" s="2">
        <f>--10371.21</f>
        <v>10371.209999999999</v>
      </c>
      <c r="I37" s="2"/>
      <c r="J37" s="19"/>
      <c r="K37" s="2"/>
      <c r="L37" s="2">
        <f t="shared" si="0"/>
        <v>-10371.209999999999</v>
      </c>
      <c r="M37" s="2"/>
      <c r="N37" s="19">
        <f t="shared" si="1"/>
        <v>-1</v>
      </c>
      <c r="O37" s="11"/>
      <c r="P37" s="2">
        <f>--1847.16</f>
        <v>1847.16</v>
      </c>
      <c r="Q37" s="2"/>
      <c r="R37" s="19"/>
      <c r="S37" s="2"/>
      <c r="T37" s="2">
        <f>--53401.55</f>
        <v>53401.55</v>
      </c>
      <c r="U37" s="2"/>
      <c r="V37" s="19"/>
      <c r="W37" s="2"/>
      <c r="X37" s="2">
        <f t="shared" si="2"/>
        <v>-51554.39</v>
      </c>
      <c r="Y37" s="2"/>
      <c r="Z37" s="19">
        <f t="shared" si="3"/>
        <v>-0.96540999278110839</v>
      </c>
    </row>
    <row r="38" spans="1:26" s="24" customFormat="1" hidden="1" outlineLevel="1" x14ac:dyDescent="0.25">
      <c r="A38" s="44"/>
      <c r="B38" s="11" t="str">
        <f>CONCATENATE("          ", "4132", " - ", "NON-TAXABLE SALES-JUICE")</f>
        <v xml:space="preserve">          4132 - NON-TAXABLE SALES-JUICE</v>
      </c>
      <c r="C38" s="11"/>
      <c r="D38" s="2">
        <f t="shared" si="4"/>
        <v>0</v>
      </c>
      <c r="E38" s="2"/>
      <c r="F38" s="19"/>
      <c r="G38" s="2"/>
      <c r="H38" s="2">
        <f>--2501.74</f>
        <v>2501.7399999999998</v>
      </c>
      <c r="I38" s="2"/>
      <c r="J38" s="19"/>
      <c r="K38" s="2"/>
      <c r="L38" s="2">
        <f t="shared" si="0"/>
        <v>-2501.7399999999998</v>
      </c>
      <c r="M38" s="2"/>
      <c r="N38" s="19">
        <f t="shared" si="1"/>
        <v>-1</v>
      </c>
      <c r="O38" s="11"/>
      <c r="P38" s="2">
        <f t="shared" ref="P38:P46" si="8">0</f>
        <v>0</v>
      </c>
      <c r="Q38" s="2"/>
      <c r="R38" s="19"/>
      <c r="S38" s="2"/>
      <c r="T38" s="2">
        <f>--15049.17</f>
        <v>15049.17</v>
      </c>
      <c r="U38" s="2"/>
      <c r="V38" s="19"/>
      <c r="W38" s="2"/>
      <c r="X38" s="2">
        <f t="shared" si="2"/>
        <v>-15049.17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"4133", " - ", "NON-TAXABLE SALES-CANDY")</f>
        <v xml:space="preserve">          4133 - NON-TAXABLE SALES-CANDY</v>
      </c>
      <c r="C39" s="11"/>
      <c r="D39" s="2">
        <f t="shared" si="4"/>
        <v>0</v>
      </c>
      <c r="E39" s="2"/>
      <c r="F39" s="19"/>
      <c r="G39" s="2"/>
      <c r="H39" s="2">
        <f>--3264.8</f>
        <v>3264.8</v>
      </c>
      <c r="I39" s="2"/>
      <c r="J39" s="19"/>
      <c r="K39" s="2"/>
      <c r="L39" s="2">
        <f t="shared" si="0"/>
        <v>-3264.8</v>
      </c>
      <c r="M39" s="2"/>
      <c r="N39" s="19">
        <f t="shared" si="1"/>
        <v>-1</v>
      </c>
      <c r="O39" s="11"/>
      <c r="P39" s="2">
        <f t="shared" si="8"/>
        <v>0</v>
      </c>
      <c r="Q39" s="2"/>
      <c r="R39" s="19"/>
      <c r="S39" s="2"/>
      <c r="T39" s="2">
        <f>--16822.98</f>
        <v>16822.98</v>
      </c>
      <c r="U39" s="2"/>
      <c r="V39" s="19"/>
      <c r="W39" s="2"/>
      <c r="X39" s="2">
        <f t="shared" si="2"/>
        <v>-16822.98</v>
      </c>
      <c r="Y39" s="2"/>
      <c r="Z39" s="19">
        <f t="shared" si="3"/>
        <v>-1</v>
      </c>
    </row>
    <row r="40" spans="1:26" s="24" customFormat="1" hidden="1" outlineLevel="1" x14ac:dyDescent="0.25">
      <c r="A40" s="44"/>
      <c r="B40" s="11" t="str">
        <f>CONCATENATE("          ", "4134", " - ", "NON-TAXABLE SALES-SODA")</f>
        <v xml:space="preserve">          4134 - NON-TAXABLE SALES-SODA</v>
      </c>
      <c r="C40" s="11"/>
      <c r="D40" s="2">
        <f t="shared" si="4"/>
        <v>0</v>
      </c>
      <c r="E40" s="2"/>
      <c r="F40" s="19"/>
      <c r="G40" s="2"/>
      <c r="H40" s="2">
        <f>--1.89</f>
        <v>1.89</v>
      </c>
      <c r="I40" s="2"/>
      <c r="J40" s="19"/>
      <c r="K40" s="2"/>
      <c r="L40" s="2">
        <f t="shared" si="0"/>
        <v>-1.89</v>
      </c>
      <c r="M40" s="2"/>
      <c r="N40" s="19">
        <f t="shared" si="1"/>
        <v>-1</v>
      </c>
      <c r="O40" s="11"/>
      <c r="P40" s="2">
        <f t="shared" si="8"/>
        <v>0</v>
      </c>
      <c r="Q40" s="2"/>
      <c r="R40" s="19"/>
      <c r="S40" s="2"/>
      <c r="T40" s="2">
        <f>--1.89</f>
        <v>1.89</v>
      </c>
      <c r="U40" s="2"/>
      <c r="V40" s="19"/>
      <c r="W40" s="2"/>
      <c r="X40" s="2">
        <f t="shared" si="2"/>
        <v>-1.89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"4135", " - ", "NON-TAXABLE SALES")</f>
        <v xml:space="preserve">          4135 - NON-TAXABLE SALES</v>
      </c>
      <c r="C41" s="11"/>
      <c r="D41" s="2">
        <f t="shared" si="4"/>
        <v>0</v>
      </c>
      <c r="E41" s="2"/>
      <c r="F41" s="19"/>
      <c r="G41" s="2"/>
      <c r="H41" s="2">
        <f>--21.54</f>
        <v>21.54</v>
      </c>
      <c r="I41" s="2"/>
      <c r="J41" s="19"/>
      <c r="K41" s="2"/>
      <c r="L41" s="2">
        <f t="shared" si="0"/>
        <v>-21.54</v>
      </c>
      <c r="M41" s="2"/>
      <c r="N41" s="19">
        <f t="shared" si="1"/>
        <v>-1</v>
      </c>
      <c r="O41" s="11"/>
      <c r="P41" s="2">
        <f t="shared" si="8"/>
        <v>0</v>
      </c>
      <c r="Q41" s="2"/>
      <c r="R41" s="19"/>
      <c r="S41" s="2"/>
      <c r="T41" s="2">
        <f>--161.4</f>
        <v>161.4</v>
      </c>
      <c r="U41" s="2"/>
      <c r="V41" s="19"/>
      <c r="W41" s="2"/>
      <c r="X41" s="2">
        <f t="shared" si="2"/>
        <v>-161.4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"4137", " - ", "NON-TAXABLE SALES-WATER")</f>
        <v xml:space="preserve">          4137 - NON-TAXABLE SALES-WATER</v>
      </c>
      <c r="C42" s="11"/>
      <c r="D42" s="2">
        <f t="shared" si="4"/>
        <v>0</v>
      </c>
      <c r="E42" s="2"/>
      <c r="F42" s="19"/>
      <c r="G42" s="2"/>
      <c r="H42" s="2">
        <f>--1327.6</f>
        <v>1327.6</v>
      </c>
      <c r="I42" s="2"/>
      <c r="J42" s="19"/>
      <c r="K42" s="2"/>
      <c r="L42" s="2">
        <f t="shared" si="0"/>
        <v>-1327.6</v>
      </c>
      <c r="M42" s="2"/>
      <c r="N42" s="19">
        <f t="shared" si="1"/>
        <v>-1</v>
      </c>
      <c r="O42" s="11"/>
      <c r="P42" s="2">
        <f t="shared" si="8"/>
        <v>0</v>
      </c>
      <c r="Q42" s="2"/>
      <c r="R42" s="19"/>
      <c r="S42" s="2"/>
      <c r="T42" s="2">
        <f>--7773.06</f>
        <v>7773.06</v>
      </c>
      <c r="U42" s="2"/>
      <c r="V42" s="19"/>
      <c r="W42" s="2"/>
      <c r="X42" s="2">
        <f t="shared" si="2"/>
        <v>-7773.06</v>
      </c>
      <c r="Y42" s="2"/>
      <c r="Z42" s="19">
        <f t="shared" si="3"/>
        <v>-1</v>
      </c>
    </row>
    <row r="43" spans="1:26" s="24" customFormat="1" hidden="1" outlineLevel="1" x14ac:dyDescent="0.25">
      <c r="A43" s="44"/>
      <c r="B43" s="11" t="str">
        <f>CONCATENATE("          ", "4186", " - ", "NON-TAXABLE SALES-COMPUTER SUP")</f>
        <v xml:space="preserve">          4186 - NON-TAXABLE SALES-COMPUTER SUP</v>
      </c>
      <c r="C43" s="11"/>
      <c r="D43" s="2">
        <f t="shared" si="4"/>
        <v>0</v>
      </c>
      <c r="E43" s="2"/>
      <c r="F43" s="19"/>
      <c r="G43" s="2"/>
      <c r="H43" s="2">
        <f t="shared" ref="H43:H44" si="9">0</f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 t="shared" si="8"/>
        <v>0</v>
      </c>
      <c r="Q43" s="2"/>
      <c r="R43" s="19"/>
      <c r="S43" s="2"/>
      <c r="T43" s="2">
        <f>-30.97</f>
        <v>-30.97</v>
      </c>
      <c r="U43" s="2"/>
      <c r="V43" s="19"/>
      <c r="W43" s="2"/>
      <c r="X43" s="2">
        <f t="shared" si="2"/>
        <v>30.97</v>
      </c>
      <c r="Y43" s="2"/>
      <c r="Z43" s="19">
        <f t="shared" si="3"/>
        <v>-1</v>
      </c>
    </row>
    <row r="44" spans="1:26" s="24" customFormat="1" hidden="1" outlineLevel="1" x14ac:dyDescent="0.25">
      <c r="A44" s="44"/>
      <c r="B44" s="11" t="str">
        <f>CONCATENATE("          ", "4217", " - ", "NON-TAXABLE SALES-DORM/HOUSEWA")</f>
        <v xml:space="preserve">          4217 - NON-TAXABLE SALES-DORM/HOUSEWA</v>
      </c>
      <c r="C44" s="11"/>
      <c r="D44" s="2">
        <f t="shared" si="4"/>
        <v>0</v>
      </c>
      <c r="E44" s="2"/>
      <c r="F44" s="19"/>
      <c r="G44" s="2"/>
      <c r="H44" s="2">
        <f t="shared" si="9"/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 t="shared" si="8"/>
        <v>0</v>
      </c>
      <c r="Q44" s="2"/>
      <c r="R44" s="19"/>
      <c r="S44" s="2"/>
      <c r="T44" s="2">
        <f>-2.98</f>
        <v>-2.98</v>
      </c>
      <c r="U44" s="2"/>
      <c r="V44" s="19"/>
      <c r="W44" s="2"/>
      <c r="X44" s="2">
        <f t="shared" si="2"/>
        <v>2.98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"4225", " - ", "SALES RETURN TAXABLE-TEST FORM")</f>
        <v xml:space="preserve">          4225 - SALES RETURN TAXABLE-TEST FORM</v>
      </c>
      <c r="C45" s="11"/>
      <c r="D45" s="2">
        <f t="shared" si="4"/>
        <v>0</v>
      </c>
      <c r="E45" s="2"/>
      <c r="F45" s="19"/>
      <c r="G45" s="2"/>
      <c r="H45" s="2">
        <f>-72.54</f>
        <v>-72.540000000000006</v>
      </c>
      <c r="I45" s="2"/>
      <c r="J45" s="19"/>
      <c r="K45" s="2"/>
      <c r="L45" s="2">
        <f t="shared" si="0"/>
        <v>72.540000000000006</v>
      </c>
      <c r="M45" s="2"/>
      <c r="N45" s="19">
        <f t="shared" si="1"/>
        <v>-1</v>
      </c>
      <c r="O45" s="11"/>
      <c r="P45" s="2">
        <f t="shared" si="8"/>
        <v>0</v>
      </c>
      <c r="Q45" s="2"/>
      <c r="R45" s="19"/>
      <c r="S45" s="2"/>
      <c r="T45" s="2">
        <f>-168.25</f>
        <v>-168.25</v>
      </c>
      <c r="U45" s="2"/>
      <c r="V45" s="19"/>
      <c r="W45" s="2"/>
      <c r="X45" s="2">
        <f t="shared" si="2"/>
        <v>168.25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"4226", " - ", "SALES RETURN TAXABLE-WRITING I")</f>
        <v xml:space="preserve">          4226 - SALES RETURN TAXABLE-WRITING I</v>
      </c>
      <c r="C46" s="11"/>
      <c r="D46" s="2">
        <f t="shared" si="4"/>
        <v>0</v>
      </c>
      <c r="E46" s="2"/>
      <c r="F46" s="19"/>
      <c r="G46" s="2"/>
      <c r="H46" s="2">
        <f>-72.88</f>
        <v>-72.88</v>
      </c>
      <c r="I46" s="2"/>
      <c r="J46" s="19"/>
      <c r="K46" s="2"/>
      <c r="L46" s="2">
        <f t="shared" si="0"/>
        <v>72.88</v>
      </c>
      <c r="M46" s="2"/>
      <c r="N46" s="19">
        <f t="shared" si="1"/>
        <v>-1</v>
      </c>
      <c r="O46" s="11"/>
      <c r="P46" s="2">
        <f t="shared" si="8"/>
        <v>0</v>
      </c>
      <c r="Q46" s="2"/>
      <c r="R46" s="19"/>
      <c r="S46" s="2"/>
      <c r="T46" s="2">
        <f>-618.99</f>
        <v>-618.99</v>
      </c>
      <c r="U46" s="2"/>
      <c r="V46" s="19"/>
      <c r="W46" s="2"/>
      <c r="X46" s="2">
        <f t="shared" si="2"/>
        <v>618.99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"4227", " - ", "SALES RETURN TAXABLE-SCHOOL SU")</f>
        <v xml:space="preserve">          4227 - SALES RETURN TAXABLE-SCHOOL SU</v>
      </c>
      <c r="C47" s="11"/>
      <c r="D47" s="2">
        <f t="shared" si="4"/>
        <v>0</v>
      </c>
      <c r="E47" s="2"/>
      <c r="F47" s="19"/>
      <c r="G47" s="2"/>
      <c r="H47" s="2">
        <f>-703.56</f>
        <v>-703.56</v>
      </c>
      <c r="I47" s="2"/>
      <c r="J47" s="19"/>
      <c r="K47" s="2"/>
      <c r="L47" s="2">
        <f t="shared" si="0"/>
        <v>703.56</v>
      </c>
      <c r="M47" s="2"/>
      <c r="N47" s="19">
        <f t="shared" si="1"/>
        <v>-1</v>
      </c>
      <c r="O47" s="11"/>
      <c r="P47" s="2">
        <f>-159.97</f>
        <v>-159.97</v>
      </c>
      <c r="Q47" s="2"/>
      <c r="R47" s="19"/>
      <c r="S47" s="2"/>
      <c r="T47" s="2">
        <f>-7614.42</f>
        <v>-7614.42</v>
      </c>
      <c r="U47" s="2"/>
      <c r="V47" s="19"/>
      <c r="W47" s="2"/>
      <c r="X47" s="2">
        <f t="shared" si="2"/>
        <v>7454.45</v>
      </c>
      <c r="Y47" s="2"/>
      <c r="Z47" s="19">
        <f t="shared" si="3"/>
        <v>-0.97899117726629203</v>
      </c>
    </row>
    <row r="48" spans="1:26" s="24" customFormat="1" hidden="1" outlineLevel="1" x14ac:dyDescent="0.25">
      <c r="A48" s="44"/>
      <c r="B48" s="11" t="str">
        <f>CONCATENATE("          ", "4228", " - ", "SALES RETURN TAXABLE-ART/TECH")</f>
        <v xml:space="preserve">          4228 - SALES RETURN TAXABLE-ART/TECH</v>
      </c>
      <c r="C48" s="11"/>
      <c r="D48" s="2">
        <f t="shared" si="4"/>
        <v>0</v>
      </c>
      <c r="E48" s="2"/>
      <c r="F48" s="19"/>
      <c r="G48" s="2"/>
      <c r="H48" s="2">
        <f>-685.23</f>
        <v>-685.23</v>
      </c>
      <c r="I48" s="2"/>
      <c r="J48" s="19"/>
      <c r="K48" s="2"/>
      <c r="L48" s="2">
        <f t="shared" si="0"/>
        <v>685.23</v>
      </c>
      <c r="M48" s="2"/>
      <c r="N48" s="19">
        <f t="shared" si="1"/>
        <v>-1</v>
      </c>
      <c r="O48" s="11"/>
      <c r="P48" s="2">
        <f>-222.2</f>
        <v>-222.2</v>
      </c>
      <c r="Q48" s="2"/>
      <c r="R48" s="19"/>
      <c r="S48" s="2"/>
      <c r="T48" s="2">
        <f>-4599.92</f>
        <v>-4599.92</v>
      </c>
      <c r="U48" s="2"/>
      <c r="V48" s="19"/>
      <c r="W48" s="2"/>
      <c r="X48" s="2">
        <f t="shared" si="2"/>
        <v>4377.72</v>
      </c>
      <c r="Y48" s="2"/>
      <c r="Z48" s="19">
        <f t="shared" si="3"/>
        <v>-0.95169481208368845</v>
      </c>
    </row>
    <row r="49" spans="1:26" s="24" customFormat="1" hidden="1" outlineLevel="1" x14ac:dyDescent="0.25">
      <c r="A49" s="44"/>
      <c r="B49" s="11" t="str">
        <f>CONCATENATE("          ", "4233", " - ", "SALES RETURN TAXABLE-CANDY")</f>
        <v xml:space="preserve">          4233 - SALES RETURN TAXABLE-CANDY</v>
      </c>
      <c r="C49" s="11"/>
      <c r="D49" s="2">
        <f t="shared" si="4"/>
        <v>0</v>
      </c>
      <c r="E49" s="2"/>
      <c r="F49" s="19"/>
      <c r="G49" s="2"/>
      <c r="H49" s="2">
        <f t="shared" ref="H49:H51" si="10">0</f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 t="shared" ref="P49:P53" si="11">0</f>
        <v>0</v>
      </c>
      <c r="Q49" s="2"/>
      <c r="R49" s="19"/>
      <c r="S49" s="2"/>
      <c r="T49" s="2">
        <f>-1.29</f>
        <v>-1.29</v>
      </c>
      <c r="U49" s="2"/>
      <c r="V49" s="19"/>
      <c r="W49" s="2"/>
      <c r="X49" s="2">
        <f t="shared" si="2"/>
        <v>1.29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"4281", " - ", "SALES RETURN TAXABLE-ELECTRONI")</f>
        <v xml:space="preserve">          4281 - SALES RETURN TAXABLE-ELECTRONI</v>
      </c>
      <c r="C50" s="11"/>
      <c r="D50" s="2">
        <f t="shared" si="4"/>
        <v>0</v>
      </c>
      <c r="E50" s="2"/>
      <c r="F50" s="19"/>
      <c r="G50" s="2"/>
      <c r="H50" s="2">
        <f t="shared" si="10"/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 t="shared" si="11"/>
        <v>0</v>
      </c>
      <c r="Q50" s="2"/>
      <c r="R50" s="19"/>
      <c r="S50" s="2"/>
      <c r="T50" s="2">
        <f>-54.97</f>
        <v>-54.97</v>
      </c>
      <c r="U50" s="2"/>
      <c r="V50" s="19"/>
      <c r="W50" s="2"/>
      <c r="X50" s="2">
        <f t="shared" si="2"/>
        <v>54.97</v>
      </c>
      <c r="Y50" s="2"/>
      <c r="Z50" s="19">
        <f t="shared" si="3"/>
        <v>-1</v>
      </c>
    </row>
    <row r="51" spans="1:26" s="24" customFormat="1" hidden="1" outlineLevel="1" x14ac:dyDescent="0.25">
      <c r="A51" s="44"/>
      <c r="B51" s="11" t="str">
        <f>CONCATENATE("          ", "4327", " - ", "SALES RETURN NON TAXABLE-SCHOO")</f>
        <v xml:space="preserve">          4327 - SALES RETURN NON TAXABLE-SCHOO</v>
      </c>
      <c r="C51" s="11"/>
      <c r="D51" s="2">
        <f t="shared" si="4"/>
        <v>0</v>
      </c>
      <c r="E51" s="2"/>
      <c r="F51" s="19"/>
      <c r="G51" s="2"/>
      <c r="H51" s="2">
        <f t="shared" si="10"/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 t="shared" si="11"/>
        <v>0</v>
      </c>
      <c r="Q51" s="2"/>
      <c r="R51" s="19"/>
      <c r="S51" s="2"/>
      <c r="T51" s="2">
        <f>-21.87</f>
        <v>-21.87</v>
      </c>
      <c r="U51" s="2"/>
      <c r="V51" s="19"/>
      <c r="W51" s="2"/>
      <c r="X51" s="2">
        <f t="shared" si="2"/>
        <v>21.87</v>
      </c>
      <c r="Y51" s="2"/>
      <c r="Z51" s="19">
        <f t="shared" si="3"/>
        <v>-1</v>
      </c>
    </row>
    <row r="52" spans="1:26" s="24" customFormat="1" hidden="1" outlineLevel="1" x14ac:dyDescent="0.25">
      <c r="A52" s="44"/>
      <c r="B52" s="11" t="str">
        <f>CONCATENATE("          ", "4331", " - ", "SALES RETURN NON TAXABLE-FOOD")</f>
        <v xml:space="preserve">          4331 - SALES RETURN NON TAXABLE-FOOD</v>
      </c>
      <c r="C52" s="11"/>
      <c r="D52" s="2">
        <f t="shared" si="4"/>
        <v>0</v>
      </c>
      <c r="E52" s="2"/>
      <c r="F52" s="19"/>
      <c r="G52" s="2"/>
      <c r="H52" s="2">
        <f>-7.58</f>
        <v>-7.58</v>
      </c>
      <c r="I52" s="2"/>
      <c r="J52" s="19"/>
      <c r="K52" s="2"/>
      <c r="L52" s="2">
        <f t="shared" si="0"/>
        <v>7.58</v>
      </c>
      <c r="M52" s="2"/>
      <c r="N52" s="19">
        <f t="shared" si="1"/>
        <v>-1</v>
      </c>
      <c r="O52" s="11"/>
      <c r="P52" s="2">
        <f t="shared" si="11"/>
        <v>0</v>
      </c>
      <c r="Q52" s="2"/>
      <c r="R52" s="19"/>
      <c r="S52" s="2"/>
      <c r="T52" s="2">
        <f>-7.58</f>
        <v>-7.58</v>
      </c>
      <c r="U52" s="2"/>
      <c r="V52" s="19"/>
      <c r="W52" s="2"/>
      <c r="X52" s="2">
        <f t="shared" si="2"/>
        <v>7.58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"4332", " - ", "SALES RETURN NON TAXABLE-JUICE")</f>
        <v xml:space="preserve">          4332 - SALES RETURN NON TAXABLE-JUICE</v>
      </c>
      <c r="C53" s="11"/>
      <c r="D53" s="2">
        <f t="shared" si="4"/>
        <v>0</v>
      </c>
      <c r="E53" s="2"/>
      <c r="F53" s="19"/>
      <c r="G53" s="2"/>
      <c r="H53" s="2">
        <f>-2.79</f>
        <v>-2.79</v>
      </c>
      <c r="I53" s="2"/>
      <c r="J53" s="19"/>
      <c r="K53" s="2"/>
      <c r="L53" s="2">
        <f t="shared" si="0"/>
        <v>2.79</v>
      </c>
      <c r="M53" s="2"/>
      <c r="N53" s="19">
        <f t="shared" si="1"/>
        <v>-1</v>
      </c>
      <c r="O53" s="11"/>
      <c r="P53" s="2">
        <f t="shared" si="11"/>
        <v>0</v>
      </c>
      <c r="Q53" s="2"/>
      <c r="R53" s="19"/>
      <c r="S53" s="2"/>
      <c r="T53" s="2">
        <f>-2.79</f>
        <v>-2.79</v>
      </c>
      <c r="U53" s="2"/>
      <c r="V53" s="19"/>
      <c r="W53" s="2"/>
      <c r="X53" s="2">
        <f t="shared" si="2"/>
        <v>2.79</v>
      </c>
      <c r="Y53" s="2"/>
      <c r="Z53" s="19">
        <f t="shared" si="3"/>
        <v>-1</v>
      </c>
    </row>
    <row r="54" spans="1:26" x14ac:dyDescent="0.25">
      <c r="A54" s="9"/>
      <c r="B54" s="10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collapsed="1" x14ac:dyDescent="0.25">
      <c r="A55" s="10"/>
      <c r="B55" s="28" t="s">
        <v>8</v>
      </c>
      <c r="C55" s="10"/>
      <c r="D55" s="4">
        <f>SUM(OSRRefD16x_0)</f>
        <v>12.76</v>
      </c>
      <c r="E55" s="4"/>
      <c r="F55" s="12">
        <f t="shared" ref="F55:F78" si="12">IF(D$12=0,0,D55/D$12)</f>
        <v>0</v>
      </c>
      <c r="G55" s="4"/>
      <c r="H55" s="4">
        <f>SUM(OSRRefH16x_0)</f>
        <v>58937.920000000006</v>
      </c>
      <c r="I55" s="4"/>
      <c r="J55" s="12">
        <f t="shared" ref="J55:J78" si="13">IF(H$12=0,0,H55/H$12)</f>
        <v>0.50452651759638989</v>
      </c>
      <c r="K55" s="4"/>
      <c r="L55" s="4">
        <f t="shared" ref="L55:L78" si="14">+D55-H55</f>
        <v>-58925.16</v>
      </c>
      <c r="M55" s="4"/>
      <c r="N55" s="12">
        <f t="shared" ref="N55:N78" si="15">IF(H55=0,0,L55/H55)</f>
        <v>-0.99978350101259084</v>
      </c>
      <c r="O55" s="10"/>
      <c r="P55" s="4">
        <f>SUM(OSRRefP16x_0)</f>
        <v>13743.019999999993</v>
      </c>
      <c r="Q55" s="4"/>
      <c r="R55" s="12">
        <f t="shared" ref="R55:R78" si="16">IF(P$12=0,0,P55/P$12)</f>
        <v>0.64485133202451939</v>
      </c>
      <c r="S55" s="4"/>
      <c r="T55" s="4">
        <f>SUM(OSRRefT16x_0)</f>
        <v>385701.54999999993</v>
      </c>
      <c r="U55" s="4"/>
      <c r="V55" s="12">
        <f t="shared" ref="V55:V78" si="17">IF(T$12=0,0,T55/T$12)</f>
        <v>0.50045412428658798</v>
      </c>
      <c r="W55" s="4"/>
      <c r="X55" s="4">
        <f t="shared" ref="X55:X78" si="18">+P55-T55</f>
        <v>-371958.52999999991</v>
      </c>
      <c r="Y55" s="4"/>
      <c r="Z55" s="12">
        <f t="shared" ref="Z55:Z78" si="19">IF(T55=0,0,X55/T55)</f>
        <v>-0.96436877165777524</v>
      </c>
    </row>
    <row r="56" spans="1:26" s="24" customFormat="1" hidden="1" outlineLevel="1" x14ac:dyDescent="0.25">
      <c r="A56" s="44"/>
      <c r="B56" s="11" t="str">
        <f>CONCATENATE("          ", "5014", " - ", "PURCHASES @ COST-REMAINDERS")</f>
        <v xml:space="preserve">          5014 - PURCHASES @ COST-REMAINDERS</v>
      </c>
      <c r="C56" s="11"/>
      <c r="D56" s="2"/>
      <c r="E56" s="2"/>
      <c r="F56" s="19">
        <f t="shared" si="12"/>
        <v>0</v>
      </c>
      <c r="G56" s="2"/>
      <c r="H56" s="2"/>
      <c r="I56" s="2"/>
      <c r="J56" s="19">
        <f t="shared" si="13"/>
        <v>0</v>
      </c>
      <c r="K56" s="2"/>
      <c r="L56" s="2">
        <f t="shared" si="14"/>
        <v>0</v>
      </c>
      <c r="M56" s="2"/>
      <c r="N56" s="19">
        <f t="shared" si="15"/>
        <v>0</v>
      </c>
      <c r="O56" s="11"/>
      <c r="P56" s="2"/>
      <c r="Q56" s="2"/>
      <c r="R56" s="19">
        <f t="shared" si="16"/>
        <v>0</v>
      </c>
      <c r="S56" s="2"/>
      <c r="T56" s="2">
        <v>14.46</v>
      </c>
      <c r="U56" s="2"/>
      <c r="V56" s="19">
        <f t="shared" si="17"/>
        <v>1.8762088555734514E-5</v>
      </c>
      <c r="W56" s="2"/>
      <c r="X56" s="2">
        <f t="shared" si="18"/>
        <v>-14.46</v>
      </c>
      <c r="Y56" s="2"/>
      <c r="Z56" s="19">
        <f t="shared" si="19"/>
        <v>-1</v>
      </c>
    </row>
    <row r="57" spans="1:26" s="24" customFormat="1" hidden="1" outlineLevel="1" x14ac:dyDescent="0.25">
      <c r="A57" s="44"/>
      <c r="B57" s="11" t="str">
        <f>CONCATENATE("          ", "5017", " - ", "PURCHASES @ COST-DORM/HOUSEWAR")</f>
        <v xml:space="preserve">          5017 - PURCHASES @ COST-DORM/HOUSEWAR</v>
      </c>
      <c r="C57" s="11"/>
      <c r="D57" s="2"/>
      <c r="E57" s="2"/>
      <c r="F57" s="19">
        <f t="shared" si="12"/>
        <v>0</v>
      </c>
      <c r="G57" s="2"/>
      <c r="H57" s="2"/>
      <c r="I57" s="2"/>
      <c r="J57" s="19">
        <f t="shared" si="13"/>
        <v>0</v>
      </c>
      <c r="K57" s="2"/>
      <c r="L57" s="2">
        <f t="shared" si="14"/>
        <v>0</v>
      </c>
      <c r="M57" s="2"/>
      <c r="N57" s="19">
        <f t="shared" si="15"/>
        <v>0</v>
      </c>
      <c r="O57" s="11"/>
      <c r="P57" s="2"/>
      <c r="Q57" s="2"/>
      <c r="R57" s="19">
        <f t="shared" si="16"/>
        <v>0</v>
      </c>
      <c r="S57" s="2"/>
      <c r="T57" s="2">
        <v>0</v>
      </c>
      <c r="U57" s="2"/>
      <c r="V57" s="19">
        <f t="shared" si="17"/>
        <v>0</v>
      </c>
      <c r="W57" s="2"/>
      <c r="X57" s="2">
        <f t="shared" si="18"/>
        <v>0</v>
      </c>
      <c r="Y57" s="2"/>
      <c r="Z57" s="19">
        <f t="shared" si="19"/>
        <v>0</v>
      </c>
    </row>
    <row r="58" spans="1:26" s="24" customFormat="1" hidden="1" outlineLevel="1" x14ac:dyDescent="0.25">
      <c r="A58" s="44"/>
      <c r="B58" s="11" t="str">
        <f>CONCATENATE("          ", "5025", " - ", "PURCHASES @ COST-TEST FORMS")</f>
        <v xml:space="preserve">          5025 - PURCHASES @ COST-TEST FORMS</v>
      </c>
      <c r="C58" s="11"/>
      <c r="D58" s="2"/>
      <c r="E58" s="2"/>
      <c r="F58" s="19">
        <f t="shared" si="12"/>
        <v>0</v>
      </c>
      <c r="G58" s="2"/>
      <c r="H58" s="2">
        <v>3423</v>
      </c>
      <c r="I58" s="2"/>
      <c r="J58" s="19">
        <f t="shared" si="13"/>
        <v>2.9301920897996443E-2</v>
      </c>
      <c r="K58" s="2"/>
      <c r="L58" s="2">
        <f t="shared" si="14"/>
        <v>-3423</v>
      </c>
      <c r="M58" s="2"/>
      <c r="N58" s="19">
        <f t="shared" si="15"/>
        <v>-1</v>
      </c>
      <c r="O58" s="11"/>
      <c r="P58" s="2"/>
      <c r="Q58" s="2"/>
      <c r="R58" s="19">
        <f t="shared" si="16"/>
        <v>0</v>
      </c>
      <c r="S58" s="2"/>
      <c r="T58" s="2">
        <v>26395.329999999998</v>
      </c>
      <c r="U58" s="2"/>
      <c r="V58" s="19">
        <f t="shared" si="17"/>
        <v>3.424837613539667E-2</v>
      </c>
      <c r="W58" s="2"/>
      <c r="X58" s="2">
        <f t="shared" si="18"/>
        <v>-26395.329999999998</v>
      </c>
      <c r="Y58" s="2"/>
      <c r="Z58" s="19">
        <f t="shared" si="19"/>
        <v>-1</v>
      </c>
    </row>
    <row r="59" spans="1:26" s="24" customFormat="1" hidden="1" outlineLevel="1" x14ac:dyDescent="0.25">
      <c r="A59" s="44"/>
      <c r="B59" s="11" t="str">
        <f>CONCATENATE("          ", "5026", " - ", "PURCHASES @ COST-WRITING INSTR")</f>
        <v xml:space="preserve">          5026 - PURCHASES @ COST-WRITING INSTR</v>
      </c>
      <c r="C59" s="11"/>
      <c r="D59" s="2"/>
      <c r="E59" s="2"/>
      <c r="F59" s="19">
        <f t="shared" si="12"/>
        <v>0</v>
      </c>
      <c r="G59" s="2"/>
      <c r="H59" s="2">
        <v>2342.9299999999998</v>
      </c>
      <c r="I59" s="2"/>
      <c r="J59" s="19">
        <f t="shared" si="13"/>
        <v>2.0056193260164418E-2</v>
      </c>
      <c r="K59" s="2"/>
      <c r="L59" s="2">
        <f t="shared" si="14"/>
        <v>-2342.9299999999998</v>
      </c>
      <c r="M59" s="2"/>
      <c r="N59" s="19">
        <f t="shared" si="15"/>
        <v>-1</v>
      </c>
      <c r="O59" s="11"/>
      <c r="P59" s="2">
        <v>364.91</v>
      </c>
      <c r="Q59" s="2"/>
      <c r="R59" s="19">
        <f t="shared" si="16"/>
        <v>1.7122342801587094E-2</v>
      </c>
      <c r="S59" s="2"/>
      <c r="T59" s="2">
        <v>44563.939999999995</v>
      </c>
      <c r="U59" s="2"/>
      <c r="V59" s="19">
        <f t="shared" si="17"/>
        <v>5.7822447349407981E-2</v>
      </c>
      <c r="W59" s="2"/>
      <c r="X59" s="2">
        <f t="shared" si="18"/>
        <v>-44199.029999999992</v>
      </c>
      <c r="Y59" s="2"/>
      <c r="Z59" s="19">
        <f t="shared" si="19"/>
        <v>-0.99181154090055768</v>
      </c>
    </row>
    <row r="60" spans="1:26" s="24" customFormat="1" hidden="1" outlineLevel="1" x14ac:dyDescent="0.25">
      <c r="A60" s="44"/>
      <c r="B60" s="11" t="str">
        <f>CONCATENATE("          ", "5027", " - ", "PURCHASES @ COST-SCHOOL SUPPLI")</f>
        <v xml:space="preserve">          5027 - PURCHASES @ COST-SCHOOL SUPPLI</v>
      </c>
      <c r="C60" s="11"/>
      <c r="D60" s="2"/>
      <c r="E60" s="2"/>
      <c r="F60" s="19">
        <f t="shared" si="12"/>
        <v>0</v>
      </c>
      <c r="G60" s="2"/>
      <c r="H60" s="2">
        <v>-2481.7199999999998</v>
      </c>
      <c r="I60" s="2"/>
      <c r="J60" s="19">
        <f t="shared" si="13"/>
        <v>-2.1244277864731442E-2</v>
      </c>
      <c r="K60" s="2"/>
      <c r="L60" s="2">
        <f t="shared" si="14"/>
        <v>2481.7199999999998</v>
      </c>
      <c r="M60" s="2"/>
      <c r="N60" s="19">
        <f t="shared" si="15"/>
        <v>-1</v>
      </c>
      <c r="O60" s="11"/>
      <c r="P60" s="2">
        <v>895.47</v>
      </c>
      <c r="Q60" s="2"/>
      <c r="R60" s="19">
        <f t="shared" si="16"/>
        <v>4.201733114613794E-2</v>
      </c>
      <c r="S60" s="2"/>
      <c r="T60" s="2">
        <v>118025.75</v>
      </c>
      <c r="U60" s="2"/>
      <c r="V60" s="19">
        <f t="shared" si="17"/>
        <v>0.15314035777019244</v>
      </c>
      <c r="W60" s="2"/>
      <c r="X60" s="2">
        <f t="shared" si="18"/>
        <v>-117130.28</v>
      </c>
      <c r="Y60" s="2"/>
      <c r="Z60" s="19">
        <f t="shared" si="19"/>
        <v>-0.9924129268401175</v>
      </c>
    </row>
    <row r="61" spans="1:26" s="24" customFormat="1" hidden="1" outlineLevel="1" x14ac:dyDescent="0.25">
      <c r="A61" s="44"/>
      <c r="B61" s="11" t="str">
        <f>CONCATENATE("          ", "5028", " - ", "PURCHASES @ COST-ART/TECH")</f>
        <v xml:space="preserve">          5028 - PURCHASES @ COST-ART/TECH</v>
      </c>
      <c r="C61" s="11"/>
      <c r="D61" s="2"/>
      <c r="E61" s="2"/>
      <c r="F61" s="19">
        <f t="shared" si="12"/>
        <v>0</v>
      </c>
      <c r="G61" s="2"/>
      <c r="H61" s="2">
        <v>11525.28</v>
      </c>
      <c r="I61" s="2"/>
      <c r="J61" s="19">
        <f t="shared" si="13"/>
        <v>9.8659901515413526E-2</v>
      </c>
      <c r="K61" s="2"/>
      <c r="L61" s="2">
        <f t="shared" si="14"/>
        <v>-11525.28</v>
      </c>
      <c r="M61" s="2"/>
      <c r="N61" s="19">
        <f t="shared" si="15"/>
        <v>-1</v>
      </c>
      <c r="O61" s="11"/>
      <c r="P61" s="2">
        <v>41441.85</v>
      </c>
      <c r="Q61" s="2"/>
      <c r="R61" s="19">
        <f t="shared" si="16"/>
        <v>1.9445385493188789</v>
      </c>
      <c r="S61" s="2"/>
      <c r="T61" s="2">
        <v>146652.78</v>
      </c>
      <c r="U61" s="2"/>
      <c r="V61" s="19">
        <f t="shared" si="17"/>
        <v>0.19028440147335071</v>
      </c>
      <c r="W61" s="2"/>
      <c r="X61" s="2">
        <f t="shared" si="18"/>
        <v>-105210.93</v>
      </c>
      <c r="Y61" s="2"/>
      <c r="Z61" s="19">
        <f t="shared" si="19"/>
        <v>-0.71741517617327122</v>
      </c>
    </row>
    <row r="62" spans="1:26" s="24" customFormat="1" hidden="1" outlineLevel="1" x14ac:dyDescent="0.25">
      <c r="A62" s="44"/>
      <c r="B62" s="11" t="str">
        <f>CONCATENATE("          ", "5031", " - ", "PURCHASES @ COST-FOOD")</f>
        <v xml:space="preserve">          5031 - PURCHASES @ COST-FOOD</v>
      </c>
      <c r="C62" s="11"/>
      <c r="D62" s="2"/>
      <c r="E62" s="2"/>
      <c r="F62" s="19">
        <f t="shared" si="12"/>
        <v>0</v>
      </c>
      <c r="G62" s="2"/>
      <c r="H62" s="2">
        <v>5225.67</v>
      </c>
      <c r="I62" s="2"/>
      <c r="J62" s="19">
        <f t="shared" si="13"/>
        <v>4.4733324270824736E-2</v>
      </c>
      <c r="K62" s="2"/>
      <c r="L62" s="2">
        <f t="shared" si="14"/>
        <v>-5225.67</v>
      </c>
      <c r="M62" s="2"/>
      <c r="N62" s="19">
        <f t="shared" si="15"/>
        <v>-1</v>
      </c>
      <c r="O62" s="11"/>
      <c r="P62" s="2">
        <v>2441.5700000000002</v>
      </c>
      <c r="Q62" s="2"/>
      <c r="R62" s="19">
        <f t="shared" si="16"/>
        <v>0.11456358695040149</v>
      </c>
      <c r="S62" s="2"/>
      <c r="T62" s="2">
        <v>30126.060000000005</v>
      </c>
      <c r="U62" s="2"/>
      <c r="V62" s="19">
        <f t="shared" si="17"/>
        <v>3.9089059858601068E-2</v>
      </c>
      <c r="W62" s="2"/>
      <c r="X62" s="2">
        <f t="shared" si="18"/>
        <v>-27684.490000000005</v>
      </c>
      <c r="Y62" s="2"/>
      <c r="Z62" s="19">
        <f t="shared" si="19"/>
        <v>-0.91895488490695432</v>
      </c>
    </row>
    <row r="63" spans="1:26" s="24" customFormat="1" hidden="1" outlineLevel="1" x14ac:dyDescent="0.25">
      <c r="A63" s="44"/>
      <c r="B63" s="11" t="str">
        <f>CONCATENATE("          ", "5032", " - ", "PURCHASES @ COST-JUICE")</f>
        <v xml:space="preserve">          5032 - PURCHASES @ COST-JUICE</v>
      </c>
      <c r="C63" s="11"/>
      <c r="D63" s="2"/>
      <c r="E63" s="2"/>
      <c r="F63" s="19">
        <f t="shared" si="12"/>
        <v>0</v>
      </c>
      <c r="G63" s="2"/>
      <c r="H63" s="2">
        <v>1720.97</v>
      </c>
      <c r="I63" s="2"/>
      <c r="J63" s="19">
        <f t="shared" si="13"/>
        <v>1.4732026528724785E-2</v>
      </c>
      <c r="K63" s="2"/>
      <c r="L63" s="2">
        <f t="shared" si="14"/>
        <v>-1720.97</v>
      </c>
      <c r="M63" s="2"/>
      <c r="N63" s="19">
        <f t="shared" si="15"/>
        <v>-1</v>
      </c>
      <c r="O63" s="11"/>
      <c r="P63" s="2"/>
      <c r="Q63" s="2"/>
      <c r="R63" s="19">
        <f t="shared" si="16"/>
        <v>0</v>
      </c>
      <c r="S63" s="2"/>
      <c r="T63" s="2">
        <v>7113.48</v>
      </c>
      <c r="U63" s="2"/>
      <c r="V63" s="19">
        <f t="shared" si="17"/>
        <v>9.2298576555633702E-3</v>
      </c>
      <c r="W63" s="2"/>
      <c r="X63" s="2">
        <f t="shared" si="18"/>
        <v>-7113.48</v>
      </c>
      <c r="Y63" s="2"/>
      <c r="Z63" s="19">
        <f t="shared" si="19"/>
        <v>-1</v>
      </c>
    </row>
    <row r="64" spans="1:26" s="24" customFormat="1" hidden="1" outlineLevel="1" x14ac:dyDescent="0.25">
      <c r="A64" s="44"/>
      <c r="B64" s="11" t="str">
        <f>CONCATENATE("          ", "5033", " - ", "PURCHASES @ COST-CANDY")</f>
        <v xml:space="preserve">          5033 - PURCHASES @ COST-CANDY</v>
      </c>
      <c r="C64" s="11"/>
      <c r="D64" s="2"/>
      <c r="E64" s="2"/>
      <c r="F64" s="19">
        <f t="shared" si="12"/>
        <v>0</v>
      </c>
      <c r="G64" s="2"/>
      <c r="H64" s="2">
        <v>1821.44</v>
      </c>
      <c r="I64" s="2"/>
      <c r="J64" s="19">
        <f t="shared" si="13"/>
        <v>1.5592080280586224E-2</v>
      </c>
      <c r="K64" s="2"/>
      <c r="L64" s="2">
        <f t="shared" si="14"/>
        <v>-1821.44</v>
      </c>
      <c r="M64" s="2"/>
      <c r="N64" s="19">
        <f t="shared" si="15"/>
        <v>-1</v>
      </c>
      <c r="O64" s="11"/>
      <c r="P64" s="2"/>
      <c r="Q64" s="2"/>
      <c r="R64" s="19">
        <f t="shared" si="16"/>
        <v>0</v>
      </c>
      <c r="S64" s="2"/>
      <c r="T64" s="2">
        <v>8825.06</v>
      </c>
      <c r="U64" s="2"/>
      <c r="V64" s="19">
        <f t="shared" si="17"/>
        <v>1.1450660942577484E-2</v>
      </c>
      <c r="W64" s="2"/>
      <c r="X64" s="2">
        <f t="shared" si="18"/>
        <v>-8825.06</v>
      </c>
      <c r="Y64" s="2"/>
      <c r="Z64" s="19">
        <f t="shared" si="19"/>
        <v>-1</v>
      </c>
    </row>
    <row r="65" spans="1:26" s="24" customFormat="1" hidden="1" outlineLevel="1" x14ac:dyDescent="0.25">
      <c r="A65" s="44"/>
      <c r="B65" s="11" t="str">
        <f>CONCATENATE("          ", "5034", " - ", "PURCHASES @ COST-SODA")</f>
        <v xml:space="preserve">          5034 - PURCHASES @ COST-SODA</v>
      </c>
      <c r="C65" s="11"/>
      <c r="D65" s="2"/>
      <c r="E65" s="2"/>
      <c r="F65" s="19">
        <f t="shared" si="12"/>
        <v>0</v>
      </c>
      <c r="G65" s="2"/>
      <c r="H65" s="2">
        <v>1637.93</v>
      </c>
      <c r="I65" s="2"/>
      <c r="J65" s="19">
        <f t="shared" si="13"/>
        <v>1.4021178877141488E-2</v>
      </c>
      <c r="K65" s="2"/>
      <c r="L65" s="2">
        <f t="shared" si="14"/>
        <v>-1637.93</v>
      </c>
      <c r="M65" s="2"/>
      <c r="N65" s="19">
        <f t="shared" si="15"/>
        <v>-1</v>
      </c>
      <c r="O65" s="11"/>
      <c r="P65" s="2"/>
      <c r="Q65" s="2"/>
      <c r="R65" s="19">
        <f t="shared" si="16"/>
        <v>0</v>
      </c>
      <c r="S65" s="2"/>
      <c r="T65" s="2">
        <v>3762.09</v>
      </c>
      <c r="U65" s="2"/>
      <c r="V65" s="19">
        <f t="shared" si="17"/>
        <v>4.8813738405700732E-3</v>
      </c>
      <c r="W65" s="2"/>
      <c r="X65" s="2">
        <f t="shared" si="18"/>
        <v>-3762.09</v>
      </c>
      <c r="Y65" s="2"/>
      <c r="Z65" s="19">
        <f t="shared" si="19"/>
        <v>-1</v>
      </c>
    </row>
    <row r="66" spans="1:26" s="24" customFormat="1" hidden="1" outlineLevel="1" x14ac:dyDescent="0.25">
      <c r="A66" s="44"/>
      <c r="B66" s="11" t="str">
        <f>CONCATENATE("          ", "5035", " - ", "PURCHASES @ COST-HEALTH &amp; BEAU")</f>
        <v xml:space="preserve">          5035 - PURCHASES @ COST-HEALTH &amp; BEAU</v>
      </c>
      <c r="C66" s="11"/>
      <c r="D66" s="2"/>
      <c r="E66" s="2"/>
      <c r="F66" s="19">
        <f t="shared" si="12"/>
        <v>0</v>
      </c>
      <c r="G66" s="2"/>
      <c r="H66" s="2">
        <v>198.47</v>
      </c>
      <c r="I66" s="2"/>
      <c r="J66" s="19">
        <f t="shared" si="13"/>
        <v>1.6989635526220726E-3</v>
      </c>
      <c r="K66" s="2"/>
      <c r="L66" s="2">
        <f t="shared" si="14"/>
        <v>-198.47</v>
      </c>
      <c r="M66" s="2"/>
      <c r="N66" s="19">
        <f t="shared" si="15"/>
        <v>-1</v>
      </c>
      <c r="O66" s="11"/>
      <c r="P66" s="2"/>
      <c r="Q66" s="2"/>
      <c r="R66" s="19">
        <f t="shared" si="16"/>
        <v>0</v>
      </c>
      <c r="S66" s="2"/>
      <c r="T66" s="2">
        <v>1055.67</v>
      </c>
      <c r="U66" s="2"/>
      <c r="V66" s="19">
        <f t="shared" si="17"/>
        <v>1.3697492410534064E-3</v>
      </c>
      <c r="W66" s="2"/>
      <c r="X66" s="2">
        <f t="shared" si="18"/>
        <v>-1055.67</v>
      </c>
      <c r="Y66" s="2"/>
      <c r="Z66" s="19">
        <f t="shared" si="19"/>
        <v>-1</v>
      </c>
    </row>
    <row r="67" spans="1:26" s="24" customFormat="1" hidden="1" outlineLevel="1" x14ac:dyDescent="0.25">
      <c r="A67" s="44"/>
      <c r="B67" s="11" t="str">
        <f>CONCATENATE("          ", "5037", " - ", "PURCHASES @ COST-WATER")</f>
        <v xml:space="preserve">          5037 - PURCHASES @ COST-WATER</v>
      </c>
      <c r="C67" s="11"/>
      <c r="D67" s="2"/>
      <c r="E67" s="2"/>
      <c r="F67" s="19">
        <f t="shared" si="12"/>
        <v>0</v>
      </c>
      <c r="G67" s="2"/>
      <c r="H67" s="2">
        <v>1540.46</v>
      </c>
      <c r="I67" s="2"/>
      <c r="J67" s="19">
        <f t="shared" si="13"/>
        <v>1.3186806037548234E-2</v>
      </c>
      <c r="K67" s="2"/>
      <c r="L67" s="2">
        <f t="shared" si="14"/>
        <v>-1540.46</v>
      </c>
      <c r="M67" s="2"/>
      <c r="N67" s="19">
        <f t="shared" si="15"/>
        <v>-1</v>
      </c>
      <c r="O67" s="11"/>
      <c r="P67" s="2"/>
      <c r="Q67" s="2"/>
      <c r="R67" s="19">
        <f t="shared" si="16"/>
        <v>0</v>
      </c>
      <c r="S67" s="2"/>
      <c r="T67" s="2">
        <v>5269.97</v>
      </c>
      <c r="U67" s="2"/>
      <c r="V67" s="19">
        <f t="shared" si="17"/>
        <v>6.8378730170168892E-3</v>
      </c>
      <c r="W67" s="2"/>
      <c r="X67" s="2">
        <f t="shared" si="18"/>
        <v>-5269.97</v>
      </c>
      <c r="Y67" s="2"/>
      <c r="Z67" s="19">
        <f t="shared" si="19"/>
        <v>-1</v>
      </c>
    </row>
    <row r="68" spans="1:26" s="24" customFormat="1" hidden="1" outlineLevel="1" x14ac:dyDescent="0.25">
      <c r="A68" s="44"/>
      <c r="B68" s="11" t="str">
        <f>CONCATENATE("          ", "5081", " - ", "PURCHASES @ COST-ELECTRONICS")</f>
        <v xml:space="preserve">          5081 - PURCHASES @ COST-ELECTRONICS</v>
      </c>
      <c r="C68" s="11"/>
      <c r="D68" s="2"/>
      <c r="E68" s="2"/>
      <c r="F68" s="19">
        <f t="shared" si="12"/>
        <v>0</v>
      </c>
      <c r="G68" s="2"/>
      <c r="H68" s="2"/>
      <c r="I68" s="2"/>
      <c r="J68" s="19">
        <f t="shared" si="13"/>
        <v>0</v>
      </c>
      <c r="K68" s="2"/>
      <c r="L68" s="2">
        <f t="shared" si="14"/>
        <v>0</v>
      </c>
      <c r="M68" s="2"/>
      <c r="N68" s="19">
        <f t="shared" si="15"/>
        <v>0</v>
      </c>
      <c r="O68" s="11"/>
      <c r="P68" s="2"/>
      <c r="Q68" s="2"/>
      <c r="R68" s="19">
        <f t="shared" si="16"/>
        <v>0</v>
      </c>
      <c r="S68" s="2"/>
      <c r="T68" s="2">
        <v>1891.21</v>
      </c>
      <c r="U68" s="2"/>
      <c r="V68" s="19">
        <f t="shared" si="17"/>
        <v>2.4538761754834488E-3</v>
      </c>
      <c r="W68" s="2"/>
      <c r="X68" s="2">
        <f t="shared" si="18"/>
        <v>-1891.21</v>
      </c>
      <c r="Y68" s="2"/>
      <c r="Z68" s="19">
        <f t="shared" si="19"/>
        <v>-1</v>
      </c>
    </row>
    <row r="69" spans="1:26" s="24" customFormat="1" hidden="1" outlineLevel="1" x14ac:dyDescent="0.25">
      <c r="A69" s="44"/>
      <c r="B69" s="11" t="str">
        <f>CONCATENATE("          ", "5082", " - ", "PURCHASES @ COST-COMPUTER HARD")</f>
        <v xml:space="preserve">          5082 - PURCHASES @ COST-COMPUTER HARD</v>
      </c>
      <c r="C69" s="11"/>
      <c r="D69" s="2"/>
      <c r="E69" s="2"/>
      <c r="F69" s="19">
        <f t="shared" si="12"/>
        <v>0</v>
      </c>
      <c r="G69" s="2"/>
      <c r="H69" s="2"/>
      <c r="I69" s="2"/>
      <c r="J69" s="19">
        <f t="shared" si="13"/>
        <v>0</v>
      </c>
      <c r="K69" s="2"/>
      <c r="L69" s="2">
        <f t="shared" si="14"/>
        <v>0</v>
      </c>
      <c r="M69" s="2"/>
      <c r="N69" s="19">
        <f t="shared" si="15"/>
        <v>0</v>
      </c>
      <c r="O69" s="11"/>
      <c r="P69" s="2"/>
      <c r="Q69" s="2"/>
      <c r="R69" s="19">
        <f t="shared" si="16"/>
        <v>0</v>
      </c>
      <c r="S69" s="2"/>
      <c r="T69" s="2">
        <v>349.6</v>
      </c>
      <c r="U69" s="2"/>
      <c r="V69" s="19">
        <f t="shared" si="17"/>
        <v>4.5361176757156201E-4</v>
      </c>
      <c r="W69" s="2"/>
      <c r="X69" s="2">
        <f t="shared" si="18"/>
        <v>-349.6</v>
      </c>
      <c r="Y69" s="2"/>
      <c r="Z69" s="19">
        <f t="shared" si="19"/>
        <v>-1</v>
      </c>
    </row>
    <row r="70" spans="1:26" s="24" customFormat="1" hidden="1" outlineLevel="1" x14ac:dyDescent="0.25">
      <c r="A70" s="44"/>
      <c r="B70" s="11" t="str">
        <f>CONCATENATE("          ", "5083", " - ", "PURCHASES @ COST-COMPUTER EQUI")</f>
        <v xml:space="preserve">          5083 - PURCHASES @ COST-COMPUTER EQUI</v>
      </c>
      <c r="C70" s="11"/>
      <c r="D70" s="2"/>
      <c r="E70" s="2"/>
      <c r="F70" s="19">
        <f t="shared" si="12"/>
        <v>0</v>
      </c>
      <c r="G70" s="2"/>
      <c r="H70" s="2">
        <v>-67.650000000000006</v>
      </c>
      <c r="I70" s="2"/>
      <c r="J70" s="19">
        <f t="shared" si="13"/>
        <v>-5.7910457164751957E-4</v>
      </c>
      <c r="K70" s="2"/>
      <c r="L70" s="2">
        <f t="shared" si="14"/>
        <v>67.650000000000006</v>
      </c>
      <c r="M70" s="2"/>
      <c r="N70" s="19">
        <f t="shared" si="15"/>
        <v>-1</v>
      </c>
      <c r="O70" s="11"/>
      <c r="P70" s="2"/>
      <c r="Q70" s="2"/>
      <c r="R70" s="19">
        <f t="shared" si="16"/>
        <v>0</v>
      </c>
      <c r="S70" s="2"/>
      <c r="T70" s="2">
        <v>304.70999999999998</v>
      </c>
      <c r="U70" s="2"/>
      <c r="V70" s="19">
        <f t="shared" si="17"/>
        <v>3.9536625199293663E-4</v>
      </c>
      <c r="W70" s="2"/>
      <c r="X70" s="2">
        <f t="shared" si="18"/>
        <v>-304.70999999999998</v>
      </c>
      <c r="Y70" s="2"/>
      <c r="Z70" s="19">
        <f t="shared" si="19"/>
        <v>-1</v>
      </c>
    </row>
    <row r="71" spans="1:26" s="24" customFormat="1" hidden="1" outlineLevel="1" x14ac:dyDescent="0.25">
      <c r="A71" s="44"/>
      <c r="B71" s="11" t="str">
        <f>CONCATENATE("          ", "5086", " - ", "PURCHASES @ COST-COMPUTER SUPP")</f>
        <v xml:space="preserve">          5086 - PURCHASES @ COST-COMPUTER SUPP</v>
      </c>
      <c r="C71" s="11"/>
      <c r="D71" s="2"/>
      <c r="E71" s="2"/>
      <c r="F71" s="19">
        <f t="shared" si="12"/>
        <v>0</v>
      </c>
      <c r="G71" s="2"/>
      <c r="H71" s="2">
        <v>9.98</v>
      </c>
      <c r="I71" s="2"/>
      <c r="J71" s="19">
        <f t="shared" si="13"/>
        <v>8.5431834812154398E-5</v>
      </c>
      <c r="K71" s="2"/>
      <c r="L71" s="2">
        <f t="shared" si="14"/>
        <v>-9.98</v>
      </c>
      <c r="M71" s="2"/>
      <c r="N71" s="19">
        <f t="shared" si="15"/>
        <v>-1</v>
      </c>
      <c r="O71" s="11"/>
      <c r="P71" s="2"/>
      <c r="Q71" s="2"/>
      <c r="R71" s="19">
        <f t="shared" si="16"/>
        <v>0</v>
      </c>
      <c r="S71" s="2"/>
      <c r="T71" s="2">
        <v>426.22</v>
      </c>
      <c r="U71" s="2"/>
      <c r="V71" s="19">
        <f t="shared" si="17"/>
        <v>5.5302748161999756E-4</v>
      </c>
      <c r="W71" s="2"/>
      <c r="X71" s="2">
        <f t="shared" si="18"/>
        <v>-426.22</v>
      </c>
      <c r="Y71" s="2"/>
      <c r="Z71" s="19">
        <f t="shared" si="19"/>
        <v>-1</v>
      </c>
    </row>
    <row r="72" spans="1:26" s="24" customFormat="1" hidden="1" outlineLevel="1" x14ac:dyDescent="0.25">
      <c r="A72" s="44"/>
      <c r="B72" s="11" t="str">
        <f>CONCATENATE("          ", "5200", " - ", "PURCHASES OFFSET")</f>
        <v xml:space="preserve">          5200 - PURCHASES OFFSET</v>
      </c>
      <c r="C72" s="11"/>
      <c r="D72" s="2"/>
      <c r="E72" s="2"/>
      <c r="F72" s="19">
        <f t="shared" si="12"/>
        <v>0</v>
      </c>
      <c r="G72" s="2"/>
      <c r="H72" s="2">
        <v>-28026</v>
      </c>
      <c r="I72" s="2"/>
      <c r="J72" s="19">
        <f t="shared" si="13"/>
        <v>-0.23991108240936265</v>
      </c>
      <c r="K72" s="2"/>
      <c r="L72" s="2">
        <f t="shared" si="14"/>
        <v>28026</v>
      </c>
      <c r="M72" s="2"/>
      <c r="N72" s="19">
        <f t="shared" si="15"/>
        <v>-1</v>
      </c>
      <c r="O72" s="11"/>
      <c r="P72" s="2">
        <v>-45863.33</v>
      </c>
      <c r="Q72" s="2"/>
      <c r="R72" s="19">
        <f t="shared" si="16"/>
        <v>-2.1520036674311842</v>
      </c>
      <c r="S72" s="2"/>
      <c r="T72" s="2">
        <v>-399343</v>
      </c>
      <c r="U72" s="2"/>
      <c r="V72" s="19">
        <f t="shared" si="17"/>
        <v>-0.51815413071318728</v>
      </c>
      <c r="W72" s="2"/>
      <c r="X72" s="2">
        <f t="shared" si="18"/>
        <v>353479.67</v>
      </c>
      <c r="Y72" s="2"/>
      <c r="Z72" s="19">
        <f t="shared" si="19"/>
        <v>-0.88515303886633789</v>
      </c>
    </row>
    <row r="73" spans="1:26" s="24" customFormat="1" hidden="1" outlineLevel="1" x14ac:dyDescent="0.25">
      <c r="A73" s="44"/>
      <c r="B73" s="11" t="str">
        <f>CONCATENATE("          ", "5300", " - ", "COG$ OFFSET")</f>
        <v xml:space="preserve">          5300 - COG$ OFFSET</v>
      </c>
      <c r="C73" s="11"/>
      <c r="D73" s="2"/>
      <c r="E73" s="2"/>
      <c r="F73" s="19">
        <f t="shared" si="12"/>
        <v>0</v>
      </c>
      <c r="G73" s="2"/>
      <c r="H73" s="2">
        <v>58938</v>
      </c>
      <c r="I73" s="2"/>
      <c r="J73" s="19">
        <f t="shared" si="13"/>
        <v>0.50452720242071702</v>
      </c>
      <c r="K73" s="2"/>
      <c r="L73" s="2">
        <f t="shared" si="14"/>
        <v>-58938</v>
      </c>
      <c r="M73" s="2"/>
      <c r="N73" s="19">
        <f t="shared" si="15"/>
        <v>-1</v>
      </c>
      <c r="O73" s="11"/>
      <c r="P73" s="2">
        <v>14145</v>
      </c>
      <c r="Q73" s="2"/>
      <c r="R73" s="19">
        <f t="shared" si="16"/>
        <v>0.66371307700103988</v>
      </c>
      <c r="S73" s="2"/>
      <c r="T73" s="2">
        <v>385619</v>
      </c>
      <c r="U73" s="2"/>
      <c r="V73" s="19">
        <f t="shared" si="17"/>
        <v>0.50034701429970863</v>
      </c>
      <c r="W73" s="2"/>
      <c r="X73" s="2">
        <f t="shared" si="18"/>
        <v>-371474</v>
      </c>
      <c r="Y73" s="2"/>
      <c r="Z73" s="19">
        <f t="shared" si="19"/>
        <v>-0.96331871614209885</v>
      </c>
    </row>
    <row r="74" spans="1:26" s="24" customFormat="1" hidden="1" outlineLevel="1" x14ac:dyDescent="0.25">
      <c r="A74" s="44"/>
      <c r="B74" s="11" t="str">
        <f>CONCATENATE("          ", "5500", " - ", "FREIGHT-IN")</f>
        <v xml:space="preserve">          5500 - FREIGHT-IN</v>
      </c>
      <c r="C74" s="11"/>
      <c r="D74" s="2"/>
      <c r="E74" s="2"/>
      <c r="F74" s="19">
        <f t="shared" si="12"/>
        <v>0</v>
      </c>
      <c r="G74" s="2"/>
      <c r="H74" s="2"/>
      <c r="I74" s="2"/>
      <c r="J74" s="19">
        <f t="shared" si="13"/>
        <v>0</v>
      </c>
      <c r="K74" s="2"/>
      <c r="L74" s="2">
        <f t="shared" si="14"/>
        <v>0</v>
      </c>
      <c r="M74" s="2"/>
      <c r="N74" s="19">
        <f t="shared" si="15"/>
        <v>0</v>
      </c>
      <c r="O74" s="11"/>
      <c r="P74" s="2"/>
      <c r="Q74" s="2"/>
      <c r="R74" s="19">
        <f t="shared" si="16"/>
        <v>0</v>
      </c>
      <c r="S74" s="2"/>
      <c r="T74" s="2">
        <v>86</v>
      </c>
      <c r="U74" s="2"/>
      <c r="V74" s="19">
        <f t="shared" si="17"/>
        <v>1.1158641879620804E-4</v>
      </c>
      <c r="W74" s="2"/>
      <c r="X74" s="2">
        <f t="shared" si="18"/>
        <v>-86</v>
      </c>
      <c r="Y74" s="2"/>
      <c r="Z74" s="19">
        <f t="shared" si="19"/>
        <v>-1</v>
      </c>
    </row>
    <row r="75" spans="1:26" s="24" customFormat="1" hidden="1" outlineLevel="1" x14ac:dyDescent="0.25">
      <c r="A75" s="44"/>
      <c r="B75" s="11" t="str">
        <f>CONCATENATE("          ", "5525", " - ", "FREIGHT-IN-TEST FORMS")</f>
        <v xml:space="preserve">          5525 - FREIGHT-IN-TEST FORMS</v>
      </c>
      <c r="C75" s="11"/>
      <c r="D75" s="2"/>
      <c r="E75" s="2"/>
      <c r="F75" s="19">
        <f t="shared" si="12"/>
        <v>0</v>
      </c>
      <c r="G75" s="2"/>
      <c r="H75" s="2">
        <v>532.61</v>
      </c>
      <c r="I75" s="2"/>
      <c r="J75" s="19">
        <f t="shared" si="13"/>
        <v>4.55930356105226E-3</v>
      </c>
      <c r="K75" s="2"/>
      <c r="L75" s="2">
        <f t="shared" si="14"/>
        <v>-532.61</v>
      </c>
      <c r="M75" s="2"/>
      <c r="N75" s="19">
        <f t="shared" si="15"/>
        <v>-1</v>
      </c>
      <c r="O75" s="11"/>
      <c r="P75" s="2"/>
      <c r="Q75" s="2"/>
      <c r="R75" s="19">
        <f t="shared" si="16"/>
        <v>0</v>
      </c>
      <c r="S75" s="2"/>
      <c r="T75" s="2">
        <v>1155.02</v>
      </c>
      <c r="U75" s="2"/>
      <c r="V75" s="19">
        <f t="shared" si="17"/>
        <v>1.4986575050929792E-3</v>
      </c>
      <c r="W75" s="2"/>
      <c r="X75" s="2">
        <f t="shared" si="18"/>
        <v>-1155.02</v>
      </c>
      <c r="Y75" s="2"/>
      <c r="Z75" s="19">
        <f t="shared" si="19"/>
        <v>-1</v>
      </c>
    </row>
    <row r="76" spans="1:26" s="24" customFormat="1" hidden="1" outlineLevel="1" x14ac:dyDescent="0.25">
      <c r="A76" s="44"/>
      <c r="B76" s="11" t="str">
        <f>CONCATENATE("          ", "5526", " - ", "FREIGHT-IN-WRITING INSTRUMENTS")</f>
        <v xml:space="preserve">          5526 - FREIGHT-IN-WRITING INSTRUMENTS</v>
      </c>
      <c r="C76" s="11"/>
      <c r="D76" s="2"/>
      <c r="E76" s="2"/>
      <c r="F76" s="19">
        <f t="shared" si="12"/>
        <v>0</v>
      </c>
      <c r="G76" s="2"/>
      <c r="H76" s="2"/>
      <c r="I76" s="2"/>
      <c r="J76" s="19">
        <f t="shared" si="13"/>
        <v>0</v>
      </c>
      <c r="K76" s="2"/>
      <c r="L76" s="2">
        <f t="shared" si="14"/>
        <v>0</v>
      </c>
      <c r="M76" s="2"/>
      <c r="N76" s="19">
        <f t="shared" si="15"/>
        <v>0</v>
      </c>
      <c r="O76" s="11"/>
      <c r="P76" s="2"/>
      <c r="Q76" s="2"/>
      <c r="R76" s="19">
        <f t="shared" si="16"/>
        <v>0</v>
      </c>
      <c r="S76" s="2"/>
      <c r="T76" s="2">
        <v>260.35000000000002</v>
      </c>
      <c r="U76" s="2"/>
      <c r="V76" s="19">
        <f t="shared" si="17"/>
        <v>3.3780842015805542E-4</v>
      </c>
      <c r="W76" s="2"/>
      <c r="X76" s="2">
        <f t="shared" si="18"/>
        <v>-260.35000000000002</v>
      </c>
      <c r="Y76" s="2"/>
      <c r="Z76" s="19">
        <f t="shared" si="19"/>
        <v>-1</v>
      </c>
    </row>
    <row r="77" spans="1:26" s="24" customFormat="1" hidden="1" outlineLevel="1" x14ac:dyDescent="0.25">
      <c r="A77" s="44"/>
      <c r="B77" s="11" t="str">
        <f>CONCATENATE("          ", "5527", " - ", "FREIGHT-IN-SCHOOL SUPPLIES")</f>
        <v xml:space="preserve">          5527 - FREIGHT-IN-SCHOOL SUPPLIES</v>
      </c>
      <c r="C77" s="11"/>
      <c r="D77" s="2"/>
      <c r="E77" s="2"/>
      <c r="F77" s="19">
        <f t="shared" si="12"/>
        <v>0</v>
      </c>
      <c r="G77" s="2"/>
      <c r="H77" s="2">
        <v>431.76</v>
      </c>
      <c r="I77" s="2"/>
      <c r="J77" s="19">
        <f t="shared" si="13"/>
        <v>3.695996893636852E-3</v>
      </c>
      <c r="K77" s="2"/>
      <c r="L77" s="2">
        <f t="shared" si="14"/>
        <v>-431.76</v>
      </c>
      <c r="M77" s="2"/>
      <c r="N77" s="19">
        <f t="shared" si="15"/>
        <v>-1</v>
      </c>
      <c r="O77" s="11"/>
      <c r="P77" s="2"/>
      <c r="Q77" s="2"/>
      <c r="R77" s="19">
        <f t="shared" si="16"/>
        <v>0</v>
      </c>
      <c r="S77" s="2"/>
      <c r="T77" s="2">
        <v>1651.6</v>
      </c>
      <c r="U77" s="2"/>
      <c r="V77" s="19">
        <f t="shared" si="17"/>
        <v>2.1429782474862462E-3</v>
      </c>
      <c r="W77" s="2"/>
      <c r="X77" s="2">
        <f t="shared" si="18"/>
        <v>-1651.6</v>
      </c>
      <c r="Y77" s="2"/>
      <c r="Z77" s="19">
        <f t="shared" si="19"/>
        <v>-1</v>
      </c>
    </row>
    <row r="78" spans="1:26" s="24" customFormat="1" hidden="1" outlineLevel="1" x14ac:dyDescent="0.25">
      <c r="A78" s="44"/>
      <c r="B78" s="11" t="str">
        <f>CONCATENATE("          ", "5528", " - ", "FREIGHT-IN-ART/TECH")</f>
        <v xml:space="preserve">          5528 - FREIGHT-IN-ART/TECH</v>
      </c>
      <c r="C78" s="11"/>
      <c r="D78" s="2">
        <v>12.76</v>
      </c>
      <c r="E78" s="2"/>
      <c r="F78" s="19">
        <f t="shared" si="12"/>
        <v>0</v>
      </c>
      <c r="G78" s="2"/>
      <c r="H78" s="2">
        <v>164.79</v>
      </c>
      <c r="I78" s="2"/>
      <c r="J78" s="19">
        <f t="shared" si="13"/>
        <v>1.4106525108912749E-3</v>
      </c>
      <c r="K78" s="2"/>
      <c r="L78" s="2">
        <f t="shared" si="14"/>
        <v>-152.03</v>
      </c>
      <c r="M78" s="2"/>
      <c r="N78" s="19">
        <f t="shared" si="15"/>
        <v>-0.92256811699739072</v>
      </c>
      <c r="O78" s="11"/>
      <c r="P78" s="2">
        <v>317.55</v>
      </c>
      <c r="Q78" s="2"/>
      <c r="R78" s="19">
        <f t="shared" si="16"/>
        <v>1.4900112237658551E-2</v>
      </c>
      <c r="S78" s="2"/>
      <c r="T78" s="2">
        <v>1496.25</v>
      </c>
      <c r="U78" s="2"/>
      <c r="V78" s="19">
        <f t="shared" si="17"/>
        <v>1.9414090595793753E-3</v>
      </c>
      <c r="W78" s="2"/>
      <c r="X78" s="2">
        <f t="shared" si="18"/>
        <v>-1178.7</v>
      </c>
      <c r="Y78" s="2"/>
      <c r="Z78" s="19">
        <f t="shared" si="19"/>
        <v>-0.78776942355889723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9" t="s">
        <v>6</v>
      </c>
      <c r="C80" s="29"/>
      <c r="D80" s="22">
        <f>D12-D55</f>
        <v>-12.76</v>
      </c>
      <c r="E80" s="14"/>
      <c r="F80" s="20">
        <f>IF(D$12=0,0,D80/D$12)</f>
        <v>0</v>
      </c>
      <c r="G80" s="14"/>
      <c r="H80" s="22">
        <f>H12-H55</f>
        <v>57880.359999999993</v>
      </c>
      <c r="I80" s="14"/>
      <c r="J80" s="20">
        <f>IF(H$12=0,0,H80/H$12)</f>
        <v>0.49547348240361005</v>
      </c>
      <c r="K80" s="16"/>
      <c r="L80" s="22">
        <f>+D80-H80</f>
        <v>-57893.119999999995</v>
      </c>
      <c r="M80" s="16"/>
      <c r="N80" s="20">
        <f>IF(H80=0,0,L80/H80)</f>
        <v>-1.0002204547449256</v>
      </c>
      <c r="O80" s="28"/>
      <c r="P80" s="22">
        <f>P12-P55</f>
        <v>7568.9000000000051</v>
      </c>
      <c r="Q80" s="14"/>
      <c r="R80" s="20">
        <f>IF(P$12=0,0,P80/P$12)</f>
        <v>0.35514866797548067</v>
      </c>
      <c r="S80" s="14"/>
      <c r="T80" s="22">
        <f>T12-T55</f>
        <v>385001.56000000017</v>
      </c>
      <c r="U80" s="14"/>
      <c r="V80" s="20">
        <f>IF(T$12=0,0,T80/T$12)</f>
        <v>0.49954587571341202</v>
      </c>
      <c r="W80" s="16"/>
      <c r="X80" s="22">
        <f>+P80-T80</f>
        <v>-377432.66000000015</v>
      </c>
      <c r="Y80" s="16"/>
      <c r="Z80" s="20">
        <f>IF(T80=0,0,X80/T80)</f>
        <v>-0.98034059913939042</v>
      </c>
    </row>
    <row r="81" spans="1:26" x14ac:dyDescent="0.25">
      <c r="A81" s="9"/>
      <c r="B81" s="10"/>
      <c r="C81" s="9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8" t="s">
        <v>9</v>
      </c>
      <c r="C82" s="10"/>
      <c r="D82" s="21">
        <f>SUM(OSRRefD22x_0)</f>
        <v>53</v>
      </c>
      <c r="E82" s="21"/>
      <c r="F82" s="32">
        <f t="shared" ref="F82:F91" si="20">IF(D$12=0,0,D82/D$12)</f>
        <v>0</v>
      </c>
      <c r="G82" s="21"/>
      <c r="H82" s="21">
        <f>SUM(OSRRefH22x_0)</f>
        <v>25037.250000000004</v>
      </c>
      <c r="I82" s="21"/>
      <c r="J82" s="32">
        <f t="shared" ref="J82:J91" si="21">IF(H$12=0,0,H82/H$12)</f>
        <v>0.21432647356218568</v>
      </c>
      <c r="K82" s="4"/>
      <c r="L82" s="21">
        <f t="shared" ref="L82:L91" si="22">+D82-H82</f>
        <v>-24984.250000000004</v>
      </c>
      <c r="M82" s="4"/>
      <c r="N82" s="32">
        <f t="shared" ref="N82:N91" si="23">IF(H82=0,0,L82/H82)</f>
        <v>-0.99788315410039041</v>
      </c>
      <c r="O82" s="10"/>
      <c r="P82" s="21">
        <f>SUM(OSRRefP22x_0)</f>
        <v>12533.749999999996</v>
      </c>
      <c r="Q82" s="21"/>
      <c r="R82" s="32">
        <f t="shared" ref="R82:R91" si="24">IF(P$12=0,0,P82/P$12)</f>
        <v>0.58810984650843268</v>
      </c>
      <c r="S82" s="21"/>
      <c r="T82" s="21">
        <f>SUM(OSRRefT22x_0)</f>
        <v>181979.11999999991</v>
      </c>
      <c r="U82" s="21"/>
      <c r="V82" s="32">
        <f t="shared" ref="V82:V91" si="25">IF(T$12=0,0,T82/T$12)</f>
        <v>0.23612091042424868</v>
      </c>
      <c r="W82" s="4"/>
      <c r="X82" s="21">
        <f t="shared" ref="X82:X91" si="26">+P82-T82</f>
        <v>-169445.36999999991</v>
      </c>
      <c r="Y82" s="4"/>
      <c r="Z82" s="32">
        <f t="shared" ref="Z82:Z91" si="27">IF(T82=0,0,X82/T82)</f>
        <v>-0.93112534009396242</v>
      </c>
    </row>
    <row r="83" spans="1:26" s="25" customFormat="1" outlineLevel="1" collapsed="1" x14ac:dyDescent="0.25">
      <c r="A83" s="27"/>
      <c r="B83" s="13" t="str">
        <f>CONCATENATE("     ","*Benefits                                         ")</f>
        <v xml:space="preserve">     *Benefits                                         </v>
      </c>
      <c r="C83" s="13"/>
      <c r="D83" s="1">
        <f>SUM(OSRRefD22_0x_0)</f>
        <v>0</v>
      </c>
      <c r="E83" s="1"/>
      <c r="F83" s="5">
        <f t="shared" si="20"/>
        <v>0</v>
      </c>
      <c r="G83" s="1"/>
      <c r="H83" s="1">
        <f>SUM(OSRRefH22_0x_0)</f>
        <v>4441.25</v>
      </c>
      <c r="I83" s="1"/>
      <c r="J83" s="5">
        <f t="shared" si="21"/>
        <v>3.8018450537022117E-2</v>
      </c>
      <c r="K83" s="1"/>
      <c r="L83" s="1">
        <f t="shared" si="22"/>
        <v>-4441.25</v>
      </c>
      <c r="M83" s="1"/>
      <c r="N83" s="5">
        <f t="shared" si="23"/>
        <v>-1</v>
      </c>
      <c r="O83" s="13"/>
      <c r="P83" s="1">
        <f>SUM(OSRRefP22_0x_0)</f>
        <v>778.2</v>
      </c>
      <c r="Q83" s="1"/>
      <c r="R83" s="5">
        <f t="shared" si="24"/>
        <v>3.6514776707119778E-2</v>
      </c>
      <c r="S83" s="1"/>
      <c r="T83" s="1">
        <f>SUM(OSRRefT22_0x_0)</f>
        <v>31188.84</v>
      </c>
      <c r="U83" s="1"/>
      <c r="V83" s="5">
        <f t="shared" si="25"/>
        <v>4.0468034441952613E-2</v>
      </c>
      <c r="W83" s="1"/>
      <c r="X83" s="1">
        <f t="shared" si="26"/>
        <v>-30410.639999999999</v>
      </c>
      <c r="Y83" s="1"/>
      <c r="Z83" s="5">
        <f t="shared" si="27"/>
        <v>-0.97504876744373947</v>
      </c>
    </row>
    <row r="84" spans="1:26" s="24" customFormat="1" hidden="1" outlineLevel="2" x14ac:dyDescent="0.25">
      <c r="A84" s="26"/>
      <c r="B84" s="11" t="str">
        <f>CONCATENATE("          ", "6111", " - ", "F.I.C.A.")</f>
        <v xml:space="preserve">          6111 - F.I.C.A.</v>
      </c>
      <c r="C84" s="11"/>
      <c r="D84" s="6"/>
      <c r="E84" s="2"/>
      <c r="F84" s="7">
        <f t="shared" si="20"/>
        <v>0</v>
      </c>
      <c r="G84" s="2"/>
      <c r="H84" s="6">
        <v>558.25</v>
      </c>
      <c r="I84" s="2"/>
      <c r="J84" s="7">
        <f t="shared" si="21"/>
        <v>4.7787897579043281E-3</v>
      </c>
      <c r="K84" s="2"/>
      <c r="L84" s="6">
        <f t="shared" si="22"/>
        <v>-558.25</v>
      </c>
      <c r="M84" s="2"/>
      <c r="N84" s="7">
        <f t="shared" si="23"/>
        <v>-1</v>
      </c>
      <c r="O84" s="11"/>
      <c r="P84" s="6">
        <v>484.61</v>
      </c>
      <c r="Q84" s="2"/>
      <c r="R84" s="7">
        <f t="shared" si="24"/>
        <v>2.2738917938881154E-2</v>
      </c>
      <c r="S84" s="2"/>
      <c r="T84" s="6">
        <v>4514.26</v>
      </c>
      <c r="U84" s="2"/>
      <c r="V84" s="7">
        <f t="shared" si="25"/>
        <v>5.8573268245926758E-3</v>
      </c>
      <c r="W84" s="2"/>
      <c r="X84" s="6">
        <f t="shared" si="26"/>
        <v>-4029.65</v>
      </c>
      <c r="Y84" s="2"/>
      <c r="Z84" s="7">
        <f t="shared" si="27"/>
        <v>-0.89264907205167621</v>
      </c>
    </row>
    <row r="85" spans="1:26" s="24" customFormat="1" hidden="1" outlineLevel="2" x14ac:dyDescent="0.25">
      <c r="A85" s="26"/>
      <c r="B85" s="11" t="str">
        <f>CONCATENATE("          ", "6112", " - ", "COMPENSATION INSURANCE")</f>
        <v xml:space="preserve">          6112 - COMPENSATION INSURANCE</v>
      </c>
      <c r="C85" s="11"/>
      <c r="D85" s="6"/>
      <c r="E85" s="2"/>
      <c r="F85" s="7">
        <f t="shared" si="20"/>
        <v>0</v>
      </c>
      <c r="G85" s="2"/>
      <c r="H85" s="6">
        <v>365.04</v>
      </c>
      <c r="I85" s="2"/>
      <c r="J85" s="7">
        <f t="shared" si="21"/>
        <v>3.1248534047924694E-3</v>
      </c>
      <c r="K85" s="2"/>
      <c r="L85" s="6">
        <f t="shared" si="22"/>
        <v>-365.04</v>
      </c>
      <c r="M85" s="2"/>
      <c r="N85" s="7">
        <f t="shared" si="23"/>
        <v>-1</v>
      </c>
      <c r="O85" s="11"/>
      <c r="P85" s="6">
        <v>255.57</v>
      </c>
      <c r="Q85" s="2"/>
      <c r="R85" s="7">
        <f t="shared" si="24"/>
        <v>1.1991880600152403E-2</v>
      </c>
      <c r="S85" s="2"/>
      <c r="T85" s="6">
        <v>2114.46</v>
      </c>
      <c r="U85" s="2"/>
      <c r="V85" s="7">
        <f t="shared" si="25"/>
        <v>2.7435467335794189E-3</v>
      </c>
      <c r="W85" s="2"/>
      <c r="X85" s="6">
        <f t="shared" si="26"/>
        <v>-1858.89</v>
      </c>
      <c r="Y85" s="2"/>
      <c r="Z85" s="7">
        <f t="shared" si="27"/>
        <v>-0.87913226071904882</v>
      </c>
    </row>
    <row r="86" spans="1:26" s="24" customFormat="1" hidden="1" outlineLevel="2" x14ac:dyDescent="0.25">
      <c r="A86" s="26"/>
      <c r="B86" s="11" t="str">
        <f>CONCATENATE("          ", "6113", " - ", "GROUP INSURANCE")</f>
        <v xml:space="preserve">          6113 - GROUP INSURANCE</v>
      </c>
      <c r="C86" s="11"/>
      <c r="D86" s="6"/>
      <c r="E86" s="2"/>
      <c r="F86" s="7">
        <f t="shared" si="20"/>
        <v>0</v>
      </c>
      <c r="G86" s="2"/>
      <c r="H86" s="6">
        <v>2240.4499999999998</v>
      </c>
      <c r="I86" s="2"/>
      <c r="J86" s="7">
        <f t="shared" si="21"/>
        <v>1.9178933297083298E-2</v>
      </c>
      <c r="K86" s="2"/>
      <c r="L86" s="6">
        <f t="shared" si="22"/>
        <v>-2240.4499999999998</v>
      </c>
      <c r="M86" s="2"/>
      <c r="N86" s="7">
        <f t="shared" si="23"/>
        <v>-1</v>
      </c>
      <c r="O86" s="11"/>
      <c r="P86" s="6"/>
      <c r="Q86" s="2"/>
      <c r="R86" s="7">
        <f t="shared" si="24"/>
        <v>0</v>
      </c>
      <c r="S86" s="2"/>
      <c r="T86" s="6">
        <v>14561.14</v>
      </c>
      <c r="U86" s="2"/>
      <c r="V86" s="7">
        <f t="shared" si="25"/>
        <v>1.8893319374304843E-2</v>
      </c>
      <c r="W86" s="2"/>
      <c r="X86" s="6">
        <f t="shared" si="26"/>
        <v>-14561.14</v>
      </c>
      <c r="Y86" s="2"/>
      <c r="Z86" s="7">
        <f t="shared" si="27"/>
        <v>-1</v>
      </c>
    </row>
    <row r="87" spans="1:26" s="24" customFormat="1" hidden="1" outlineLevel="2" x14ac:dyDescent="0.25">
      <c r="A87" s="26"/>
      <c r="B87" s="11" t="str">
        <f>CONCATENATE("          ", "6114", " - ", "STATE UNEMPLOYMENT INSURANCE")</f>
        <v xml:space="preserve">          6114 - STATE UNEMPLOYMENT INSURANCE</v>
      </c>
      <c r="C87" s="11"/>
      <c r="D87" s="6"/>
      <c r="E87" s="2"/>
      <c r="F87" s="7">
        <f t="shared" si="20"/>
        <v>0</v>
      </c>
      <c r="G87" s="2"/>
      <c r="H87" s="6">
        <v>49.95</v>
      </c>
      <c r="I87" s="2"/>
      <c r="J87" s="7">
        <f t="shared" si="21"/>
        <v>4.2758718926524171E-4</v>
      </c>
      <c r="K87" s="2"/>
      <c r="L87" s="6">
        <f t="shared" si="22"/>
        <v>-49.95</v>
      </c>
      <c r="M87" s="2"/>
      <c r="N87" s="7">
        <f t="shared" si="23"/>
        <v>-1</v>
      </c>
      <c r="O87" s="11"/>
      <c r="P87" s="6">
        <v>38.020000000000003</v>
      </c>
      <c r="Q87" s="2"/>
      <c r="R87" s="7">
        <f t="shared" si="24"/>
        <v>1.7839781680862169E-3</v>
      </c>
      <c r="S87" s="2"/>
      <c r="T87" s="6">
        <v>331.32</v>
      </c>
      <c r="U87" s="2"/>
      <c r="V87" s="7">
        <f t="shared" si="25"/>
        <v>4.2989316599487961E-4</v>
      </c>
      <c r="W87" s="2"/>
      <c r="X87" s="6">
        <f t="shared" si="26"/>
        <v>-293.3</v>
      </c>
      <c r="Y87" s="2"/>
      <c r="Z87" s="7">
        <f t="shared" si="27"/>
        <v>-0.88524689122298694</v>
      </c>
    </row>
    <row r="88" spans="1:26" s="24" customFormat="1" hidden="1" outlineLevel="2" x14ac:dyDescent="0.25">
      <c r="A88" s="26"/>
      <c r="B88" s="11" t="str">
        <f>CONCATENATE("          ", "6115", " - ", "P.E.R.S.")</f>
        <v xml:space="preserve">          6115 - P.E.R.S.</v>
      </c>
      <c r="C88" s="11"/>
      <c r="D88" s="6"/>
      <c r="E88" s="2"/>
      <c r="F88" s="7">
        <f t="shared" si="20"/>
        <v>0</v>
      </c>
      <c r="G88" s="2"/>
      <c r="H88" s="6">
        <v>399.23</v>
      </c>
      <c r="I88" s="2"/>
      <c r="J88" s="7">
        <f t="shared" si="21"/>
        <v>3.4175302016088579E-3</v>
      </c>
      <c r="K88" s="2"/>
      <c r="L88" s="6">
        <f t="shared" si="22"/>
        <v>-399.23</v>
      </c>
      <c r="M88" s="2"/>
      <c r="N88" s="7">
        <f t="shared" si="23"/>
        <v>-1</v>
      </c>
      <c r="O88" s="11"/>
      <c r="P88" s="6"/>
      <c r="Q88" s="2"/>
      <c r="R88" s="7">
        <f t="shared" si="24"/>
        <v>0</v>
      </c>
      <c r="S88" s="2"/>
      <c r="T88" s="6">
        <v>3263.13</v>
      </c>
      <c r="U88" s="2"/>
      <c r="V88" s="7">
        <f t="shared" si="25"/>
        <v>4.2339650089124456E-3</v>
      </c>
      <c r="W88" s="2"/>
      <c r="X88" s="6">
        <f t="shared" si="26"/>
        <v>-3263.13</v>
      </c>
      <c r="Y88" s="2"/>
      <c r="Z88" s="7">
        <f t="shared" si="27"/>
        <v>-1</v>
      </c>
    </row>
    <row r="89" spans="1:26" s="24" customFormat="1" hidden="1" outlineLevel="2" x14ac:dyDescent="0.25">
      <c r="A89" s="26"/>
      <c r="B89" s="11" t="str">
        <f>CONCATENATE("          ", "6118", " - ", "VACATION")</f>
        <v xml:space="preserve">          6118 - VACATION</v>
      </c>
      <c r="C89" s="11"/>
      <c r="D89" s="6"/>
      <c r="E89" s="2"/>
      <c r="F89" s="7">
        <f t="shared" si="20"/>
        <v>0</v>
      </c>
      <c r="G89" s="2"/>
      <c r="H89" s="6">
        <v>281.82</v>
      </c>
      <c r="I89" s="2"/>
      <c r="J89" s="7">
        <f t="shared" si="21"/>
        <v>2.4124648984730815E-3</v>
      </c>
      <c r="K89" s="2"/>
      <c r="L89" s="6">
        <f t="shared" si="22"/>
        <v>-281.82</v>
      </c>
      <c r="M89" s="2"/>
      <c r="N89" s="7">
        <f t="shared" si="23"/>
        <v>-1</v>
      </c>
      <c r="O89" s="11"/>
      <c r="P89" s="6"/>
      <c r="Q89" s="2"/>
      <c r="R89" s="7">
        <f t="shared" si="24"/>
        <v>0</v>
      </c>
      <c r="S89" s="2"/>
      <c r="T89" s="6">
        <v>2810.82</v>
      </c>
      <c r="U89" s="2"/>
      <c r="V89" s="7">
        <f t="shared" si="25"/>
        <v>3.647085321869273E-3</v>
      </c>
      <c r="W89" s="2"/>
      <c r="X89" s="6">
        <f t="shared" si="26"/>
        <v>-2810.82</v>
      </c>
      <c r="Y89" s="2"/>
      <c r="Z89" s="7">
        <f t="shared" si="27"/>
        <v>-1</v>
      </c>
    </row>
    <row r="90" spans="1:26" s="24" customFormat="1" hidden="1" outlineLevel="2" x14ac:dyDescent="0.25">
      <c r="A90" s="26"/>
      <c r="B90" s="11" t="str">
        <f>CONCATENATE("          ", "6119", " - ", "SICK LEAVE")</f>
        <v xml:space="preserve">          6119 - SICK LEAVE</v>
      </c>
      <c r="C90" s="11"/>
      <c r="D90" s="6"/>
      <c r="E90" s="2"/>
      <c r="F90" s="7">
        <f t="shared" si="20"/>
        <v>0</v>
      </c>
      <c r="G90" s="2"/>
      <c r="H90" s="6">
        <v>263.63</v>
      </c>
      <c r="I90" s="2"/>
      <c r="J90" s="7">
        <f t="shared" si="21"/>
        <v>2.2567529670870002E-3</v>
      </c>
      <c r="K90" s="2"/>
      <c r="L90" s="6">
        <f t="shared" si="22"/>
        <v>-263.63</v>
      </c>
      <c r="M90" s="2"/>
      <c r="N90" s="7">
        <f t="shared" si="23"/>
        <v>-1</v>
      </c>
      <c r="O90" s="11"/>
      <c r="P90" s="6"/>
      <c r="Q90" s="2"/>
      <c r="R90" s="7">
        <f t="shared" si="24"/>
        <v>0</v>
      </c>
      <c r="S90" s="2"/>
      <c r="T90" s="6">
        <v>2008.77</v>
      </c>
      <c r="U90" s="2"/>
      <c r="V90" s="7">
        <f t="shared" si="25"/>
        <v>2.6064122149448699E-3</v>
      </c>
      <c r="W90" s="2"/>
      <c r="X90" s="6">
        <f t="shared" si="26"/>
        <v>-2008.77</v>
      </c>
      <c r="Y90" s="2"/>
      <c r="Z90" s="7">
        <f t="shared" si="27"/>
        <v>-1</v>
      </c>
    </row>
    <row r="91" spans="1:26" s="24" customFormat="1" hidden="1" outlineLevel="2" x14ac:dyDescent="0.25">
      <c r="A91" s="26"/>
      <c r="B91" s="11" t="str">
        <f>CONCATENATE("          ", "6156", " - ", "EMPLOYEE MEALS")</f>
        <v xml:space="preserve">          6156 - EMPLOYEE MEALS</v>
      </c>
      <c r="C91" s="11"/>
      <c r="D91" s="6"/>
      <c r="E91" s="2"/>
      <c r="F91" s="7">
        <f t="shared" si="20"/>
        <v>0</v>
      </c>
      <c r="G91" s="2"/>
      <c r="H91" s="6">
        <v>282.88</v>
      </c>
      <c r="I91" s="2"/>
      <c r="J91" s="7">
        <f t="shared" si="21"/>
        <v>2.4215388208078392E-3</v>
      </c>
      <c r="K91" s="2"/>
      <c r="L91" s="6">
        <f t="shared" si="22"/>
        <v>-282.88</v>
      </c>
      <c r="M91" s="2"/>
      <c r="N91" s="7">
        <f t="shared" si="23"/>
        <v>-1</v>
      </c>
      <c r="O91" s="11"/>
      <c r="P91" s="6"/>
      <c r="Q91" s="2"/>
      <c r="R91" s="7">
        <f t="shared" si="24"/>
        <v>0</v>
      </c>
      <c r="S91" s="2"/>
      <c r="T91" s="6">
        <v>1584.94</v>
      </c>
      <c r="U91" s="2"/>
      <c r="V91" s="7">
        <f t="shared" si="25"/>
        <v>2.0564857977542089E-3</v>
      </c>
      <c r="W91" s="2"/>
      <c r="X91" s="6">
        <f t="shared" si="26"/>
        <v>-1584.94</v>
      </c>
      <c r="Y91" s="2"/>
      <c r="Z91" s="7">
        <f t="shared" si="27"/>
        <v>-1</v>
      </c>
    </row>
    <row r="92" spans="1:26" s="25" customFormat="1" outlineLevel="1" collapsed="1" x14ac:dyDescent="0.25">
      <c r="A92" s="27"/>
      <c r="B92" s="13" t="str">
        <f>CONCATENATE("     ","*Payroll                                          ")</f>
        <v xml:space="preserve">     *Payroll                                          </v>
      </c>
      <c r="C92" s="13"/>
      <c r="D92" s="1">
        <f>SUM(OSRRefD22_1x_0)</f>
        <v>0</v>
      </c>
      <c r="E92" s="1"/>
      <c r="F92" s="5">
        <f t="shared" ref="F92:F97" si="28">IF(D$12=0,0,D92/D$12)</f>
        <v>0</v>
      </c>
      <c r="G92" s="1"/>
      <c r="H92" s="1">
        <f>SUM(OSRRefH22_1x_0)</f>
        <v>17692.190000000002</v>
      </c>
      <c r="I92" s="1"/>
      <c r="J92" s="5">
        <f t="shared" ref="J92:J97" si="29">IF(H$12=0,0,H92/H$12)</f>
        <v>0.15145052640733969</v>
      </c>
      <c r="K92" s="1"/>
      <c r="L92" s="1">
        <f t="shared" ref="L92:L97" si="30">+D92-H92</f>
        <v>-17692.190000000002</v>
      </c>
      <c r="M92" s="1"/>
      <c r="N92" s="5">
        <f t="shared" ref="N92:N97" si="31">IF(H92=0,0,L92/H92)</f>
        <v>-1</v>
      </c>
      <c r="O92" s="13"/>
      <c r="P92" s="1">
        <f>SUM(OSRRefP22_1x_0)</f>
        <v>8152.5399999999991</v>
      </c>
      <c r="Q92" s="1"/>
      <c r="R92" s="5">
        <f t="shared" ref="R92:R97" si="32">IF(P$12=0,0,P92/P$12)</f>
        <v>0.38253428128483963</v>
      </c>
      <c r="S92" s="1"/>
      <c r="T92" s="1">
        <f>SUM(OSRRefT22_1x_0)</f>
        <v>125461.12</v>
      </c>
      <c r="U92" s="1"/>
      <c r="V92" s="5">
        <f t="shared" ref="V92:V97" si="33">IF(T$12=0,0,T92/T$12)</f>
        <v>0.16278787301117803</v>
      </c>
      <c r="W92" s="1"/>
      <c r="X92" s="1">
        <f t="shared" ref="X92:X97" si="34">+P92-T92</f>
        <v>-117308.58</v>
      </c>
      <c r="Y92" s="1"/>
      <c r="Z92" s="5">
        <f t="shared" ref="Z92:Z97" si="35">IF(T92=0,0,X92/T92)</f>
        <v>-0.93501939086786412</v>
      </c>
    </row>
    <row r="93" spans="1:26" s="24" customFormat="1" hidden="1" outlineLevel="2" x14ac:dyDescent="0.25">
      <c r="A93" s="26"/>
      <c r="B93" s="11" t="str">
        <f>CONCATENATE("          ", "6002", " - ", "STAFF SALARIES")</f>
        <v xml:space="preserve">          6002 - STAFF SALARIES</v>
      </c>
      <c r="C93" s="11"/>
      <c r="D93" s="6"/>
      <c r="E93" s="2"/>
      <c r="F93" s="7">
        <f t="shared" si="28"/>
        <v>0</v>
      </c>
      <c r="G93" s="2"/>
      <c r="H93" s="6">
        <v>5054.58</v>
      </c>
      <c r="I93" s="2"/>
      <c r="J93" s="7">
        <f t="shared" si="29"/>
        <v>4.3268741844170282E-2</v>
      </c>
      <c r="K93" s="2"/>
      <c r="L93" s="6">
        <f t="shared" si="30"/>
        <v>-5054.58</v>
      </c>
      <c r="M93" s="2"/>
      <c r="N93" s="7">
        <f t="shared" si="31"/>
        <v>-1</v>
      </c>
      <c r="O93" s="11"/>
      <c r="P93" s="6"/>
      <c r="Q93" s="2"/>
      <c r="R93" s="7">
        <f t="shared" si="32"/>
        <v>0</v>
      </c>
      <c r="S93" s="2"/>
      <c r="T93" s="6">
        <v>42490.81</v>
      </c>
      <c r="U93" s="2"/>
      <c r="V93" s="7">
        <f t="shared" si="33"/>
        <v>5.5132526972675629E-2</v>
      </c>
      <c r="W93" s="2"/>
      <c r="X93" s="6">
        <f t="shared" si="34"/>
        <v>-42490.81</v>
      </c>
      <c r="Y93" s="2"/>
      <c r="Z93" s="7">
        <f t="shared" si="35"/>
        <v>-1</v>
      </c>
    </row>
    <row r="94" spans="1:26" s="24" customFormat="1" hidden="1" outlineLevel="2" x14ac:dyDescent="0.25">
      <c r="A94" s="26"/>
      <c r="B94" s="11" t="str">
        <f>CONCATENATE("          ", "6004", " - ", "STAFF HOURLY")</f>
        <v xml:space="preserve">          6004 - STAFF HOURLY</v>
      </c>
      <c r="C94" s="11"/>
      <c r="D94" s="6"/>
      <c r="E94" s="2"/>
      <c r="F94" s="7">
        <f t="shared" si="28"/>
        <v>0</v>
      </c>
      <c r="G94" s="2"/>
      <c r="H94" s="6"/>
      <c r="I94" s="2"/>
      <c r="J94" s="7">
        <f t="shared" si="29"/>
        <v>0</v>
      </c>
      <c r="K94" s="2"/>
      <c r="L94" s="6">
        <f t="shared" si="30"/>
        <v>0</v>
      </c>
      <c r="M94" s="2"/>
      <c r="N94" s="7">
        <f t="shared" si="31"/>
        <v>0</v>
      </c>
      <c r="O94" s="11"/>
      <c r="P94" s="6"/>
      <c r="Q94" s="2"/>
      <c r="R94" s="7">
        <f t="shared" si="32"/>
        <v>0</v>
      </c>
      <c r="S94" s="2"/>
      <c r="T94" s="6">
        <v>-48</v>
      </c>
      <c r="U94" s="2"/>
      <c r="V94" s="7">
        <f t="shared" si="33"/>
        <v>-6.2280791886255645E-5</v>
      </c>
      <c r="W94" s="2"/>
      <c r="X94" s="6">
        <f t="shared" si="34"/>
        <v>48</v>
      </c>
      <c r="Y94" s="2"/>
      <c r="Z94" s="7">
        <f t="shared" si="35"/>
        <v>-1</v>
      </c>
    </row>
    <row r="95" spans="1:26" s="24" customFormat="1" hidden="1" outlineLevel="2" x14ac:dyDescent="0.25">
      <c r="A95" s="26"/>
      <c r="B95" s="11" t="str">
        <f>CONCATENATE("          ", "6005", " - ", "TEMPORARY WAGES-HOURLY")</f>
        <v xml:space="preserve">          6005 - TEMPORARY WAGES-HOURLY</v>
      </c>
      <c r="C95" s="11"/>
      <c r="D95" s="6"/>
      <c r="E95" s="2"/>
      <c r="F95" s="7">
        <f t="shared" si="28"/>
        <v>0</v>
      </c>
      <c r="G95" s="2"/>
      <c r="H95" s="6">
        <v>1591.67</v>
      </c>
      <c r="I95" s="2"/>
      <c r="J95" s="7">
        <f t="shared" si="29"/>
        <v>1.3625179209966112E-2</v>
      </c>
      <c r="K95" s="2"/>
      <c r="L95" s="6">
        <f t="shared" si="30"/>
        <v>-1591.67</v>
      </c>
      <c r="M95" s="2"/>
      <c r="N95" s="7">
        <f t="shared" si="31"/>
        <v>-1</v>
      </c>
      <c r="O95" s="11"/>
      <c r="P95" s="6">
        <v>5379.19</v>
      </c>
      <c r="Q95" s="2"/>
      <c r="R95" s="7">
        <f t="shared" si="32"/>
        <v>0.25240288064144384</v>
      </c>
      <c r="S95" s="2"/>
      <c r="T95" s="6">
        <v>5305.51</v>
      </c>
      <c r="U95" s="2"/>
      <c r="V95" s="7">
        <f t="shared" si="33"/>
        <v>6.8839867533426712E-3</v>
      </c>
      <c r="W95" s="2"/>
      <c r="X95" s="6">
        <f t="shared" si="34"/>
        <v>73.679999999999382</v>
      </c>
      <c r="Y95" s="2"/>
      <c r="Z95" s="7">
        <f t="shared" si="35"/>
        <v>1.3887449085950149E-2</v>
      </c>
    </row>
    <row r="96" spans="1:26" s="24" customFormat="1" hidden="1" outlineLevel="2" x14ac:dyDescent="0.25">
      <c r="A96" s="26"/>
      <c r="B96" s="11" t="str">
        <f>CONCATENATE("          ", "6006", " - ", "TEMPORARY PART TIME")</f>
        <v xml:space="preserve">          6006 - TEMPORARY PART TIME</v>
      </c>
      <c r="C96" s="11"/>
      <c r="D96" s="6"/>
      <c r="E96" s="2"/>
      <c r="F96" s="7">
        <f t="shared" si="28"/>
        <v>0</v>
      </c>
      <c r="G96" s="2"/>
      <c r="H96" s="6"/>
      <c r="I96" s="2"/>
      <c r="J96" s="7">
        <f t="shared" si="29"/>
        <v>0</v>
      </c>
      <c r="K96" s="2"/>
      <c r="L96" s="6">
        <f t="shared" si="30"/>
        <v>0</v>
      </c>
      <c r="M96" s="2"/>
      <c r="N96" s="7">
        <f t="shared" si="31"/>
        <v>0</v>
      </c>
      <c r="O96" s="11"/>
      <c r="P96" s="6"/>
      <c r="Q96" s="2"/>
      <c r="R96" s="7">
        <f t="shared" si="32"/>
        <v>0</v>
      </c>
      <c r="S96" s="2"/>
      <c r="T96" s="6">
        <v>25.5</v>
      </c>
      <c r="U96" s="2"/>
      <c r="V96" s="7">
        <f t="shared" si="33"/>
        <v>3.3086670689573311E-5</v>
      </c>
      <c r="W96" s="2"/>
      <c r="X96" s="6">
        <f t="shared" si="34"/>
        <v>-25.5</v>
      </c>
      <c r="Y96" s="2"/>
      <c r="Z96" s="7">
        <f t="shared" si="35"/>
        <v>-1</v>
      </c>
    </row>
    <row r="97" spans="1:26" s="24" customFormat="1" hidden="1" outlineLevel="2" x14ac:dyDescent="0.25">
      <c r="A97" s="26"/>
      <c r="B97" s="11" t="str">
        <f>CONCATENATE("          ", "6007", " - ", "STUDENT HOURLY")</f>
        <v xml:space="preserve">          6007 - STUDENT HOURLY</v>
      </c>
      <c r="C97" s="11"/>
      <c r="D97" s="6"/>
      <c r="E97" s="2"/>
      <c r="F97" s="7">
        <f t="shared" si="28"/>
        <v>0</v>
      </c>
      <c r="G97" s="2"/>
      <c r="H97" s="6">
        <v>11045.94</v>
      </c>
      <c r="I97" s="2"/>
      <c r="J97" s="7">
        <f t="shared" si="29"/>
        <v>9.4556605353203288E-2</v>
      </c>
      <c r="K97" s="2"/>
      <c r="L97" s="6">
        <f t="shared" si="30"/>
        <v>-11045.94</v>
      </c>
      <c r="M97" s="2"/>
      <c r="N97" s="7">
        <f t="shared" si="31"/>
        <v>-1</v>
      </c>
      <c r="O97" s="11"/>
      <c r="P97" s="6">
        <v>2773.35</v>
      </c>
      <c r="Q97" s="2"/>
      <c r="R97" s="7">
        <f t="shared" si="32"/>
        <v>0.13013140064339582</v>
      </c>
      <c r="S97" s="2"/>
      <c r="T97" s="6">
        <v>77687.3</v>
      </c>
      <c r="U97" s="2"/>
      <c r="V97" s="7">
        <f t="shared" si="33"/>
        <v>0.10080055340635642</v>
      </c>
      <c r="W97" s="2"/>
      <c r="X97" s="6">
        <f t="shared" si="34"/>
        <v>-74913.95</v>
      </c>
      <c r="Y97" s="2"/>
      <c r="Z97" s="7">
        <f t="shared" si="35"/>
        <v>-0.96430111485403658</v>
      </c>
    </row>
    <row r="98" spans="1:26" s="25" customFormat="1" outlineLevel="1" collapsed="1" x14ac:dyDescent="0.25">
      <c r="A98" s="27"/>
      <c r="B98" s="13" t="str">
        <f>CONCATENATE("     ","Advertising/Promo                                 ")</f>
        <v xml:space="preserve">     Advertising/Promo                                 </v>
      </c>
      <c r="C98" s="13"/>
      <c r="D98" s="1">
        <f>SUM(OSRRefD22_2x_0)</f>
        <v>0</v>
      </c>
      <c r="E98" s="1"/>
      <c r="F98" s="5">
        <f t="shared" ref="F98:F104" si="36">IF(D$12=0,0,D98/D$12)</f>
        <v>0</v>
      </c>
      <c r="G98" s="1"/>
      <c r="H98" s="1">
        <f>SUM(OSRRefH22_2x_0)</f>
        <v>10.75</v>
      </c>
      <c r="I98" s="1"/>
      <c r="J98" s="5">
        <f t="shared" ref="J98:J104" si="37">IF(H$12=0,0,H98/H$12)</f>
        <v>9.2023268960987958E-5</v>
      </c>
      <c r="K98" s="1"/>
      <c r="L98" s="1">
        <f t="shared" ref="L98:L104" si="38">+D98-H98</f>
        <v>-10.75</v>
      </c>
      <c r="M98" s="1"/>
      <c r="N98" s="5">
        <f t="shared" ref="N98:N104" si="39">IF(H98=0,0,L98/H98)</f>
        <v>-1</v>
      </c>
      <c r="O98" s="13"/>
      <c r="P98" s="1">
        <f>SUM(OSRRefP22_2x_0)</f>
        <v>124.72</v>
      </c>
      <c r="Q98" s="1"/>
      <c r="R98" s="5">
        <f t="shared" ref="R98:R104" si="40">IF(P$12=0,0,P98/P$12)</f>
        <v>5.8521240695347957E-3</v>
      </c>
      <c r="S98" s="1"/>
      <c r="T98" s="1">
        <f>SUM(OSRRefT22_2x_0)</f>
        <v>2145.38</v>
      </c>
      <c r="U98" s="1"/>
      <c r="V98" s="5">
        <f t="shared" ref="V98:V104" si="41">IF(T$12=0,0,T98/T$12)</f>
        <v>2.783665943686149E-3</v>
      </c>
      <c r="W98" s="1"/>
      <c r="X98" s="1">
        <f t="shared" ref="X98:X104" si="42">+P98-T98</f>
        <v>-2020.66</v>
      </c>
      <c r="Y98" s="1"/>
      <c r="Z98" s="5">
        <f t="shared" ref="Z98:Z104" si="43">IF(T98=0,0,X98/T98)</f>
        <v>-0.94186577669224103</v>
      </c>
    </row>
    <row r="99" spans="1:26" s="24" customFormat="1" hidden="1" outlineLevel="2" x14ac:dyDescent="0.25">
      <c r="A99" s="26"/>
      <c r="B99" s="11" t="str">
        <f>CONCATENATE("          ", "6362", " - ", "ADVERTISING EXPENSE")</f>
        <v xml:space="preserve">          6362 - ADVERTISING EXPENSE</v>
      </c>
      <c r="C99" s="11"/>
      <c r="D99" s="6"/>
      <c r="E99" s="2"/>
      <c r="F99" s="7">
        <f t="shared" si="36"/>
        <v>0</v>
      </c>
      <c r="G99" s="2"/>
      <c r="H99" s="6">
        <v>10.75</v>
      </c>
      <c r="I99" s="2"/>
      <c r="J99" s="7">
        <f t="shared" si="37"/>
        <v>9.2023268960987958E-5</v>
      </c>
      <c r="K99" s="2"/>
      <c r="L99" s="6">
        <f t="shared" si="38"/>
        <v>-10.75</v>
      </c>
      <c r="M99" s="2"/>
      <c r="N99" s="7">
        <f t="shared" si="39"/>
        <v>-1</v>
      </c>
      <c r="O99" s="11"/>
      <c r="P99" s="6">
        <v>124.72</v>
      </c>
      <c r="Q99" s="2"/>
      <c r="R99" s="7">
        <f t="shared" si="40"/>
        <v>5.8521240695347957E-3</v>
      </c>
      <c r="S99" s="2"/>
      <c r="T99" s="6">
        <v>2145.38</v>
      </c>
      <c r="U99" s="2"/>
      <c r="V99" s="7">
        <f t="shared" si="41"/>
        <v>2.783665943686149E-3</v>
      </c>
      <c r="W99" s="2"/>
      <c r="X99" s="6">
        <f t="shared" si="42"/>
        <v>-2020.66</v>
      </c>
      <c r="Y99" s="2"/>
      <c r="Z99" s="7">
        <f t="shared" si="43"/>
        <v>-0.94186577669224103</v>
      </c>
    </row>
    <row r="100" spans="1:26" s="25" customFormat="1" outlineLevel="1" collapsed="1" x14ac:dyDescent="0.25">
      <c r="A100" s="27"/>
      <c r="B100" s="13" t="str">
        <f>CONCATENATE("     ","Bad Debts/Over/Short                              ")</f>
        <v xml:space="preserve">     Bad Debts/Over/Short                              </v>
      </c>
      <c r="C100" s="13"/>
      <c r="D100" s="1">
        <f>SUM(OSRRefD22_3x_0)</f>
        <v>0</v>
      </c>
      <c r="E100" s="1"/>
      <c r="F100" s="5">
        <f t="shared" si="36"/>
        <v>0</v>
      </c>
      <c r="G100" s="1"/>
      <c r="H100" s="1">
        <f>SUM(OSRRefH22_3x_0)</f>
        <v>13.01</v>
      </c>
      <c r="I100" s="1"/>
      <c r="J100" s="5">
        <f t="shared" si="37"/>
        <v>1.1136955620301891E-4</v>
      </c>
      <c r="K100" s="1"/>
      <c r="L100" s="1">
        <f t="shared" si="38"/>
        <v>-13.01</v>
      </c>
      <c r="M100" s="1"/>
      <c r="N100" s="5">
        <f t="shared" si="39"/>
        <v>-1</v>
      </c>
      <c r="O100" s="13"/>
      <c r="P100" s="1">
        <f>SUM(OSRRefP22_3x_0)</f>
        <v>1.1000000000000001</v>
      </c>
      <c r="Q100" s="1"/>
      <c r="R100" s="5">
        <f t="shared" si="40"/>
        <v>5.1614307861516002E-5</v>
      </c>
      <c r="S100" s="1"/>
      <c r="T100" s="1">
        <f>SUM(OSRRefT22_3x_0)</f>
        <v>-55.49</v>
      </c>
      <c r="U100" s="1"/>
      <c r="V100" s="5">
        <f t="shared" si="41"/>
        <v>-7.1999190453506793E-5</v>
      </c>
      <c r="W100" s="1"/>
      <c r="X100" s="1">
        <f t="shared" si="42"/>
        <v>56.59</v>
      </c>
      <c r="Y100" s="1"/>
      <c r="Z100" s="5">
        <f t="shared" si="43"/>
        <v>-1.0198233916020905</v>
      </c>
    </row>
    <row r="101" spans="1:26" s="24" customFormat="1" hidden="1" outlineLevel="2" x14ac:dyDescent="0.25">
      <c r="A101" s="26"/>
      <c r="B101" s="11" t="str">
        <f>CONCATENATE("          ", "6272", " - ", "CASH (OVER/SHORT)")</f>
        <v xml:space="preserve">          6272 - CASH (OVER/SHORT)</v>
      </c>
      <c r="C101" s="11"/>
      <c r="D101" s="6"/>
      <c r="E101" s="2"/>
      <c r="F101" s="7">
        <f t="shared" si="36"/>
        <v>0</v>
      </c>
      <c r="G101" s="2"/>
      <c r="H101" s="6">
        <v>13.01</v>
      </c>
      <c r="I101" s="2"/>
      <c r="J101" s="7">
        <f t="shared" si="37"/>
        <v>1.1136955620301891E-4</v>
      </c>
      <c r="K101" s="2"/>
      <c r="L101" s="6">
        <f t="shared" si="38"/>
        <v>-13.01</v>
      </c>
      <c r="M101" s="2"/>
      <c r="N101" s="7">
        <f t="shared" si="39"/>
        <v>-1</v>
      </c>
      <c r="O101" s="11"/>
      <c r="P101" s="6">
        <v>1.1000000000000001</v>
      </c>
      <c r="Q101" s="2"/>
      <c r="R101" s="7">
        <f t="shared" si="40"/>
        <v>5.1614307861516002E-5</v>
      </c>
      <c r="S101" s="2"/>
      <c r="T101" s="6">
        <v>-55.49</v>
      </c>
      <c r="U101" s="2"/>
      <c r="V101" s="7">
        <f t="shared" si="41"/>
        <v>-7.1999190453506793E-5</v>
      </c>
      <c r="W101" s="2"/>
      <c r="X101" s="6">
        <f t="shared" si="42"/>
        <v>56.59</v>
      </c>
      <c r="Y101" s="2"/>
      <c r="Z101" s="7">
        <f t="shared" si="43"/>
        <v>-1.0198233916020905</v>
      </c>
    </row>
    <row r="102" spans="1:26" s="25" customFormat="1" outlineLevel="1" collapsed="1" x14ac:dyDescent="0.25">
      <c r="A102" s="27"/>
      <c r="B102" s="13" t="str">
        <f>CONCATENATE("     ","Discounts and Markdowns                           ")</f>
        <v xml:space="preserve">     Discounts and Markdowns                           </v>
      </c>
      <c r="C102" s="13"/>
      <c r="D102" s="1">
        <f>SUM(OSRRefD22_4x_0)</f>
        <v>0</v>
      </c>
      <c r="E102" s="1"/>
      <c r="F102" s="5">
        <f t="shared" si="36"/>
        <v>0</v>
      </c>
      <c r="G102" s="1"/>
      <c r="H102" s="1">
        <f>SUM(OSRRefH22_4x_0)</f>
        <v>2265.0099999999998</v>
      </c>
      <c r="I102" s="1"/>
      <c r="J102" s="5">
        <f t="shared" si="37"/>
        <v>1.9389174365518819E-2</v>
      </c>
      <c r="K102" s="1"/>
      <c r="L102" s="1">
        <f t="shared" si="38"/>
        <v>-2265.0099999999998</v>
      </c>
      <c r="M102" s="1"/>
      <c r="N102" s="5">
        <f t="shared" si="39"/>
        <v>-1</v>
      </c>
      <c r="O102" s="13"/>
      <c r="P102" s="1">
        <f>SUM(OSRRefP22_4x_0)</f>
        <v>0</v>
      </c>
      <c r="Q102" s="1"/>
      <c r="R102" s="5">
        <f t="shared" si="40"/>
        <v>0</v>
      </c>
      <c r="S102" s="1"/>
      <c r="T102" s="1">
        <f>SUM(OSRRefT22_4x_0)</f>
        <v>17099.710000000003</v>
      </c>
      <c r="U102" s="1"/>
      <c r="V102" s="5">
        <f t="shared" si="41"/>
        <v>2.2187155829694265E-2</v>
      </c>
      <c r="W102" s="1"/>
      <c r="X102" s="1">
        <f t="shared" si="42"/>
        <v>-17099.710000000003</v>
      </c>
      <c r="Y102" s="1"/>
      <c r="Z102" s="5">
        <f t="shared" si="43"/>
        <v>-1</v>
      </c>
    </row>
    <row r="103" spans="1:26" s="24" customFormat="1" hidden="1" outlineLevel="2" x14ac:dyDescent="0.25">
      <c r="A103" s="26"/>
      <c r="B103" s="11" t="str">
        <f>CONCATENATE("          ", "6382", " - ", "DISCOUNTS/MARK DOWNS")</f>
        <v xml:space="preserve">          6382 - DISCOUNTS/MARK DOWNS</v>
      </c>
      <c r="C103" s="11"/>
      <c r="D103" s="6"/>
      <c r="E103" s="2"/>
      <c r="F103" s="7">
        <f t="shared" si="36"/>
        <v>0</v>
      </c>
      <c r="G103" s="2"/>
      <c r="H103" s="6">
        <v>2231.1799999999998</v>
      </c>
      <c r="I103" s="2"/>
      <c r="J103" s="7">
        <f t="shared" si="37"/>
        <v>1.9099579278174614E-2</v>
      </c>
      <c r="K103" s="2"/>
      <c r="L103" s="6">
        <f t="shared" si="38"/>
        <v>-2231.1799999999998</v>
      </c>
      <c r="M103" s="2"/>
      <c r="N103" s="7">
        <f t="shared" si="39"/>
        <v>-1</v>
      </c>
      <c r="O103" s="11"/>
      <c r="P103" s="6"/>
      <c r="Q103" s="2"/>
      <c r="R103" s="7">
        <f t="shared" si="40"/>
        <v>0</v>
      </c>
      <c r="S103" s="2"/>
      <c r="T103" s="6">
        <v>17099.710000000003</v>
      </c>
      <c r="U103" s="2"/>
      <c r="V103" s="7">
        <f t="shared" si="41"/>
        <v>2.2187155829694265E-2</v>
      </c>
      <c r="W103" s="2"/>
      <c r="X103" s="6">
        <f t="shared" si="42"/>
        <v>-17099.710000000003</v>
      </c>
      <c r="Y103" s="2"/>
      <c r="Z103" s="7">
        <f t="shared" si="43"/>
        <v>-1</v>
      </c>
    </row>
    <row r="104" spans="1:26" s="24" customFormat="1" hidden="1" outlineLevel="2" x14ac:dyDescent="0.25">
      <c r="A104" s="26"/>
      <c r="B104" s="11" t="str">
        <f>CONCATENATE("          ", "9175", " - ", "EARNED DISCOUNTS")</f>
        <v xml:space="preserve">          9175 - EARNED DISCOUNTS</v>
      </c>
      <c r="C104" s="11"/>
      <c r="D104" s="6"/>
      <c r="E104" s="2"/>
      <c r="F104" s="7">
        <f t="shared" si="36"/>
        <v>0</v>
      </c>
      <c r="G104" s="2"/>
      <c r="H104" s="6">
        <v>33.83</v>
      </c>
      <c r="I104" s="2"/>
      <c r="J104" s="7">
        <f t="shared" si="37"/>
        <v>2.8959508734420676E-4</v>
      </c>
      <c r="K104" s="2"/>
      <c r="L104" s="6">
        <f t="shared" si="38"/>
        <v>-33.83</v>
      </c>
      <c r="M104" s="2"/>
      <c r="N104" s="7">
        <f t="shared" si="39"/>
        <v>-1</v>
      </c>
      <c r="O104" s="11"/>
      <c r="P104" s="6">
        <v>0</v>
      </c>
      <c r="Q104" s="2"/>
      <c r="R104" s="7">
        <f t="shared" si="40"/>
        <v>0</v>
      </c>
      <c r="S104" s="2"/>
      <c r="T104" s="6">
        <v>0</v>
      </c>
      <c r="U104" s="2"/>
      <c r="V104" s="7">
        <f t="shared" si="41"/>
        <v>0</v>
      </c>
      <c r="W104" s="2"/>
      <c r="X104" s="6">
        <f t="shared" si="42"/>
        <v>0</v>
      </c>
      <c r="Y104" s="2"/>
      <c r="Z104" s="7">
        <f t="shared" si="43"/>
        <v>0</v>
      </c>
    </row>
    <row r="105" spans="1:26" s="25" customFormat="1" outlineLevel="1" collapsed="1" x14ac:dyDescent="0.25">
      <c r="A105" s="27"/>
      <c r="B105" s="13" t="str">
        <f>CONCATENATE("     ","Freight out/Postage                               ")</f>
        <v xml:space="preserve">     Freight out/Postage                               </v>
      </c>
      <c r="C105" s="13"/>
      <c r="D105" s="1">
        <f>SUM(OSRRefD22_5x_0)</f>
        <v>0</v>
      </c>
      <c r="E105" s="1"/>
      <c r="F105" s="5">
        <f t="shared" ref="F105:F113" si="44">IF(D$12=0,0,D105/D$12)</f>
        <v>0</v>
      </c>
      <c r="G105" s="1"/>
      <c r="H105" s="1">
        <f>SUM(OSRRefH22_5x_0)</f>
        <v>0</v>
      </c>
      <c r="I105" s="1"/>
      <c r="J105" s="5">
        <f t="shared" ref="J105:J113" si="45">IF(H$12=0,0,H105/H$12)</f>
        <v>0</v>
      </c>
      <c r="K105" s="1"/>
      <c r="L105" s="1">
        <f t="shared" ref="L105:L113" si="46">+D105-H105</f>
        <v>0</v>
      </c>
      <c r="M105" s="1"/>
      <c r="N105" s="5">
        <f t="shared" ref="N105:N113" si="47">IF(H105=0,0,L105/H105)</f>
        <v>0</v>
      </c>
      <c r="O105" s="13"/>
      <c r="P105" s="1">
        <f>SUM(OSRRefP22_5x_0)</f>
        <v>0</v>
      </c>
      <c r="Q105" s="1"/>
      <c r="R105" s="5">
        <f t="shared" ref="R105:R113" si="48">IF(P$12=0,0,P105/P$12)</f>
        <v>0</v>
      </c>
      <c r="S105" s="1"/>
      <c r="T105" s="1">
        <f>SUM(OSRRefT22_5x_0)</f>
        <v>15.81</v>
      </c>
      <c r="U105" s="1"/>
      <c r="V105" s="5">
        <f t="shared" ref="V105:V113" si="49">IF(T$12=0,0,T105/T$12)</f>
        <v>2.0513735827535454E-5</v>
      </c>
      <c r="W105" s="1"/>
      <c r="X105" s="1">
        <f t="shared" ref="X105:X113" si="50">+P105-T105</f>
        <v>-15.81</v>
      </c>
      <c r="Y105" s="1"/>
      <c r="Z105" s="5">
        <f t="shared" ref="Z105:Z113" si="51">IF(T105=0,0,X105/T105)</f>
        <v>-1</v>
      </c>
    </row>
    <row r="106" spans="1:26" s="24" customFormat="1" hidden="1" outlineLevel="2" x14ac:dyDescent="0.25">
      <c r="A106" s="26"/>
      <c r="B106" s="11" t="str">
        <f>CONCATENATE("          ", "6305", " - ", "FREIGHT OUT")</f>
        <v xml:space="preserve">          6305 - FREIGHT OUT</v>
      </c>
      <c r="C106" s="11"/>
      <c r="D106" s="6"/>
      <c r="E106" s="2"/>
      <c r="F106" s="7">
        <f t="shared" si="44"/>
        <v>0</v>
      </c>
      <c r="G106" s="2"/>
      <c r="H106" s="6"/>
      <c r="I106" s="2"/>
      <c r="J106" s="7">
        <f t="shared" si="45"/>
        <v>0</v>
      </c>
      <c r="K106" s="2"/>
      <c r="L106" s="6">
        <f t="shared" si="46"/>
        <v>0</v>
      </c>
      <c r="M106" s="2"/>
      <c r="N106" s="7">
        <f t="shared" si="47"/>
        <v>0</v>
      </c>
      <c r="O106" s="11"/>
      <c r="P106" s="6"/>
      <c r="Q106" s="2"/>
      <c r="R106" s="7">
        <f t="shared" si="48"/>
        <v>0</v>
      </c>
      <c r="S106" s="2"/>
      <c r="T106" s="6">
        <v>15.81</v>
      </c>
      <c r="U106" s="2"/>
      <c r="V106" s="7">
        <f t="shared" si="49"/>
        <v>2.0513735827535454E-5</v>
      </c>
      <c r="W106" s="2"/>
      <c r="X106" s="6">
        <f t="shared" si="50"/>
        <v>-15.81</v>
      </c>
      <c r="Y106" s="2"/>
      <c r="Z106" s="7">
        <f t="shared" si="51"/>
        <v>-1</v>
      </c>
    </row>
    <row r="107" spans="1:26" s="25" customFormat="1" outlineLevel="1" collapsed="1" x14ac:dyDescent="0.25">
      <c r="A107" s="27"/>
      <c r="B107" s="13" t="str">
        <f>CONCATENATE("     ","General                                           ")</f>
        <v xml:space="preserve">     General                                           </v>
      </c>
      <c r="C107" s="13"/>
      <c r="D107" s="1">
        <f>SUM(OSRRefD22_6x_0)</f>
        <v>0</v>
      </c>
      <c r="E107" s="1"/>
      <c r="F107" s="5">
        <f t="shared" si="44"/>
        <v>0</v>
      </c>
      <c r="G107" s="1"/>
      <c r="H107" s="1">
        <f>SUM(OSRRefH22_6x_0)</f>
        <v>0</v>
      </c>
      <c r="I107" s="1"/>
      <c r="J107" s="5">
        <f t="shared" si="45"/>
        <v>0</v>
      </c>
      <c r="K107" s="1"/>
      <c r="L107" s="1">
        <f t="shared" si="46"/>
        <v>0</v>
      </c>
      <c r="M107" s="1"/>
      <c r="N107" s="5">
        <f t="shared" si="47"/>
        <v>0</v>
      </c>
      <c r="O107" s="13"/>
      <c r="P107" s="1">
        <f>SUM(OSRRefP22_6x_0)</f>
        <v>879.55</v>
      </c>
      <c r="Q107" s="1"/>
      <c r="R107" s="5">
        <f t="shared" si="48"/>
        <v>4.1270331345087632E-2</v>
      </c>
      <c r="S107" s="1"/>
      <c r="T107" s="1">
        <f>SUM(OSRRefT22_6x_0)</f>
        <v>954.05</v>
      </c>
      <c r="U107" s="1"/>
      <c r="V107" s="5">
        <f t="shared" si="49"/>
        <v>1.2378956145642124E-3</v>
      </c>
      <c r="W107" s="1"/>
      <c r="X107" s="1">
        <f t="shared" si="50"/>
        <v>-74.5</v>
      </c>
      <c r="Y107" s="1"/>
      <c r="Z107" s="5">
        <f t="shared" si="51"/>
        <v>-7.8088150516220325E-2</v>
      </c>
    </row>
    <row r="108" spans="1:26" s="24" customFormat="1" hidden="1" outlineLevel="2" x14ac:dyDescent="0.25">
      <c r="A108" s="26"/>
      <c r="B108" s="11" t="str">
        <f>CONCATENATE("          ", "6279", " - ", "GENERAL EXPENSE")</f>
        <v xml:space="preserve">          6279 - GENERAL EXPENSE</v>
      </c>
      <c r="C108" s="11"/>
      <c r="D108" s="6"/>
      <c r="E108" s="2"/>
      <c r="F108" s="7">
        <f t="shared" si="44"/>
        <v>0</v>
      </c>
      <c r="G108" s="2"/>
      <c r="H108" s="6"/>
      <c r="I108" s="2"/>
      <c r="J108" s="7">
        <f t="shared" si="45"/>
        <v>0</v>
      </c>
      <c r="K108" s="2"/>
      <c r="L108" s="6">
        <f t="shared" si="46"/>
        <v>0</v>
      </c>
      <c r="M108" s="2"/>
      <c r="N108" s="7">
        <f t="shared" si="47"/>
        <v>0</v>
      </c>
      <c r="O108" s="11"/>
      <c r="P108" s="6">
        <v>879.55</v>
      </c>
      <c r="Q108" s="2"/>
      <c r="R108" s="7">
        <f t="shared" si="48"/>
        <v>4.1270331345087632E-2</v>
      </c>
      <c r="S108" s="2"/>
      <c r="T108" s="6">
        <v>954.05</v>
      </c>
      <c r="U108" s="2"/>
      <c r="V108" s="7">
        <f t="shared" si="49"/>
        <v>1.2378956145642124E-3</v>
      </c>
      <c r="W108" s="2"/>
      <c r="X108" s="6">
        <f t="shared" si="50"/>
        <v>-74.5</v>
      </c>
      <c r="Y108" s="2"/>
      <c r="Z108" s="7">
        <f t="shared" si="51"/>
        <v>-7.8088150516220325E-2</v>
      </c>
    </row>
    <row r="109" spans="1:26" s="25" customFormat="1" outlineLevel="1" collapsed="1" x14ac:dyDescent="0.25">
      <c r="A109" s="27"/>
      <c r="B109" s="13" t="str">
        <f>CONCATENATE("     ","Professional Services                             ")</f>
        <v xml:space="preserve">     Professional Services                             </v>
      </c>
      <c r="C109" s="13"/>
      <c r="D109" s="1">
        <f>SUM(OSRRefD22_7x_0)</f>
        <v>0</v>
      </c>
      <c r="E109" s="1"/>
      <c r="F109" s="5">
        <f t="shared" si="44"/>
        <v>0</v>
      </c>
      <c r="G109" s="1"/>
      <c r="H109" s="1">
        <f>SUM(OSRRefH22_7x_0)</f>
        <v>0</v>
      </c>
      <c r="I109" s="1"/>
      <c r="J109" s="5">
        <f t="shared" si="45"/>
        <v>0</v>
      </c>
      <c r="K109" s="1"/>
      <c r="L109" s="1">
        <f t="shared" si="46"/>
        <v>0</v>
      </c>
      <c r="M109" s="1"/>
      <c r="N109" s="5">
        <f t="shared" si="47"/>
        <v>0</v>
      </c>
      <c r="O109" s="13"/>
      <c r="P109" s="1">
        <f>SUM(OSRRefP22_7x_0)</f>
        <v>0</v>
      </c>
      <c r="Q109" s="1"/>
      <c r="R109" s="5">
        <f t="shared" si="48"/>
        <v>0</v>
      </c>
      <c r="S109" s="1"/>
      <c r="T109" s="1">
        <f>SUM(OSRRefT22_7x_0)</f>
        <v>791.15</v>
      </c>
      <c r="U109" s="1"/>
      <c r="V109" s="5">
        <f t="shared" si="49"/>
        <v>1.0265301771002324E-3</v>
      </c>
      <c r="W109" s="1"/>
      <c r="X109" s="1">
        <f t="shared" si="50"/>
        <v>-791.15</v>
      </c>
      <c r="Y109" s="1"/>
      <c r="Z109" s="5">
        <f t="shared" si="51"/>
        <v>-1</v>
      </c>
    </row>
    <row r="110" spans="1:26" s="24" customFormat="1" hidden="1" outlineLevel="2" x14ac:dyDescent="0.25">
      <c r="A110" s="26"/>
      <c r="B110" s="11" t="str">
        <f>CONCATENATE("          ", "6336", " - ", "PROFESSIONAL SERVICES")</f>
        <v xml:space="preserve">          6336 - PROFESSIONAL SERVICES</v>
      </c>
      <c r="C110" s="11"/>
      <c r="D110" s="6"/>
      <c r="E110" s="2"/>
      <c r="F110" s="7">
        <f t="shared" si="44"/>
        <v>0</v>
      </c>
      <c r="G110" s="2"/>
      <c r="H110" s="6"/>
      <c r="I110" s="2"/>
      <c r="J110" s="7">
        <f t="shared" si="45"/>
        <v>0</v>
      </c>
      <c r="K110" s="2"/>
      <c r="L110" s="6">
        <f t="shared" si="46"/>
        <v>0</v>
      </c>
      <c r="M110" s="2"/>
      <c r="N110" s="7">
        <f t="shared" si="47"/>
        <v>0</v>
      </c>
      <c r="O110" s="11"/>
      <c r="P110" s="6"/>
      <c r="Q110" s="2"/>
      <c r="R110" s="7">
        <f t="shared" si="48"/>
        <v>0</v>
      </c>
      <c r="S110" s="2"/>
      <c r="T110" s="6">
        <v>791.15</v>
      </c>
      <c r="U110" s="2"/>
      <c r="V110" s="7">
        <f t="shared" si="49"/>
        <v>1.0265301771002324E-3</v>
      </c>
      <c r="W110" s="2"/>
      <c r="X110" s="6">
        <f t="shared" si="50"/>
        <v>-791.15</v>
      </c>
      <c r="Y110" s="2"/>
      <c r="Z110" s="7">
        <f t="shared" si="51"/>
        <v>-1</v>
      </c>
    </row>
    <row r="111" spans="1:26" s="25" customFormat="1" outlineLevel="1" collapsed="1" x14ac:dyDescent="0.25">
      <c r="A111" s="27"/>
      <c r="B111" s="13" t="str">
        <f>CONCATENATE("     ","Repair and Maintenance                            ")</f>
        <v xml:space="preserve">     Repair and Maintenance                            </v>
      </c>
      <c r="C111" s="13"/>
      <c r="D111" s="1">
        <f>SUM(OSRRefD22_8x_0)</f>
        <v>0</v>
      </c>
      <c r="E111" s="1"/>
      <c r="F111" s="5">
        <f t="shared" si="44"/>
        <v>0</v>
      </c>
      <c r="G111" s="1"/>
      <c r="H111" s="1">
        <f>SUM(OSRRefH22_8x_0)</f>
        <v>0</v>
      </c>
      <c r="I111" s="1"/>
      <c r="J111" s="5">
        <f t="shared" si="45"/>
        <v>0</v>
      </c>
      <c r="K111" s="1"/>
      <c r="L111" s="1">
        <f t="shared" si="46"/>
        <v>0</v>
      </c>
      <c r="M111" s="1"/>
      <c r="N111" s="5">
        <f t="shared" si="47"/>
        <v>0</v>
      </c>
      <c r="O111" s="13"/>
      <c r="P111" s="1">
        <f>SUM(OSRRefP22_8x_0)</f>
        <v>200.82</v>
      </c>
      <c r="Q111" s="1"/>
      <c r="R111" s="5">
        <f t="shared" si="48"/>
        <v>9.4228957315905838E-3</v>
      </c>
      <c r="S111" s="1"/>
      <c r="T111" s="1">
        <f>SUM(OSRRefT22_8x_0)</f>
        <v>129.53</v>
      </c>
      <c r="U111" s="1"/>
      <c r="V111" s="5">
        <f t="shared" si="49"/>
        <v>1.6806731193805613E-4</v>
      </c>
      <c r="W111" s="1"/>
      <c r="X111" s="1">
        <f t="shared" si="50"/>
        <v>71.289999999999992</v>
      </c>
      <c r="Y111" s="1"/>
      <c r="Z111" s="5">
        <f t="shared" si="51"/>
        <v>0.55037443063382996</v>
      </c>
    </row>
    <row r="112" spans="1:26" s="24" customFormat="1" hidden="1" outlineLevel="2" x14ac:dyDescent="0.25">
      <c r="A112" s="26"/>
      <c r="B112" s="11" t="str">
        <f>CONCATENATE("          ", "6373", " - ", "MAINTENANCE CONTRACTS")</f>
        <v xml:space="preserve">          6373 - MAINTENANCE CONTRACTS</v>
      </c>
      <c r="C112" s="11"/>
      <c r="D112" s="6"/>
      <c r="E112" s="2"/>
      <c r="F112" s="7">
        <f t="shared" si="44"/>
        <v>0</v>
      </c>
      <c r="G112" s="2"/>
      <c r="H112" s="6"/>
      <c r="I112" s="2"/>
      <c r="J112" s="7">
        <f t="shared" si="45"/>
        <v>0</v>
      </c>
      <c r="K112" s="2"/>
      <c r="L112" s="6">
        <f t="shared" si="46"/>
        <v>0</v>
      </c>
      <c r="M112" s="2"/>
      <c r="N112" s="7">
        <f t="shared" si="47"/>
        <v>0</v>
      </c>
      <c r="O112" s="11"/>
      <c r="P112" s="6">
        <v>200.82</v>
      </c>
      <c r="Q112" s="2"/>
      <c r="R112" s="7">
        <f t="shared" si="48"/>
        <v>9.4228957315905838E-3</v>
      </c>
      <c r="S112" s="2"/>
      <c r="T112" s="6">
        <v>119.73</v>
      </c>
      <c r="U112" s="2"/>
      <c r="V112" s="7">
        <f t="shared" si="49"/>
        <v>1.5535165026127893E-4</v>
      </c>
      <c r="W112" s="2"/>
      <c r="X112" s="6">
        <f t="shared" si="50"/>
        <v>81.089999999999989</v>
      </c>
      <c r="Y112" s="2"/>
      <c r="Z112" s="7">
        <f t="shared" si="51"/>
        <v>0.67727386619894747</v>
      </c>
    </row>
    <row r="113" spans="1:26" s="24" customFormat="1" hidden="1" outlineLevel="2" x14ac:dyDescent="0.25">
      <c r="A113" s="26"/>
      <c r="B113" s="11" t="str">
        <f>CONCATENATE("          ", "6375", " - ", "OUTSIDE REPAIRS &amp; MAINTENANCE")</f>
        <v xml:space="preserve">          6375 - OUTSIDE REPAIRS &amp; MAINTENANCE</v>
      </c>
      <c r="C113" s="11"/>
      <c r="D113" s="6"/>
      <c r="E113" s="2"/>
      <c r="F113" s="7">
        <f t="shared" si="44"/>
        <v>0</v>
      </c>
      <c r="G113" s="2"/>
      <c r="H113" s="6"/>
      <c r="I113" s="2"/>
      <c r="J113" s="7">
        <f t="shared" si="45"/>
        <v>0</v>
      </c>
      <c r="K113" s="2"/>
      <c r="L113" s="6">
        <f t="shared" si="46"/>
        <v>0</v>
      </c>
      <c r="M113" s="2"/>
      <c r="N113" s="7">
        <f t="shared" si="47"/>
        <v>0</v>
      </c>
      <c r="O113" s="11"/>
      <c r="P113" s="6"/>
      <c r="Q113" s="2"/>
      <c r="R113" s="7">
        <f t="shared" si="48"/>
        <v>0</v>
      </c>
      <c r="S113" s="2"/>
      <c r="T113" s="6">
        <v>9.8000000000000007</v>
      </c>
      <c r="U113" s="2"/>
      <c r="V113" s="7">
        <f t="shared" si="49"/>
        <v>1.2715661676777196E-5</v>
      </c>
      <c r="W113" s="2"/>
      <c r="X113" s="6">
        <f t="shared" si="50"/>
        <v>-9.8000000000000007</v>
      </c>
      <c r="Y113" s="2"/>
      <c r="Z113" s="7">
        <f t="shared" si="51"/>
        <v>-1</v>
      </c>
    </row>
    <row r="114" spans="1:26" s="25" customFormat="1" outlineLevel="1" collapsed="1" x14ac:dyDescent="0.25">
      <c r="A114" s="27"/>
      <c r="B114" s="13" t="str">
        <f>CONCATENATE("     ","Services                                          ")</f>
        <v xml:space="preserve">     Services                                          </v>
      </c>
      <c r="C114" s="13"/>
      <c r="D114" s="1">
        <f>SUM(OSRRefD22_9x_0)</f>
        <v>0</v>
      </c>
      <c r="E114" s="1"/>
      <c r="F114" s="5">
        <f t="shared" ref="F114:F116" si="52">IF(D$12=0,0,D114/D$12)</f>
        <v>0</v>
      </c>
      <c r="G114" s="1"/>
      <c r="H114" s="1">
        <f>SUM(OSRRefH22_9x_0)</f>
        <v>249.75</v>
      </c>
      <c r="I114" s="1"/>
      <c r="J114" s="5">
        <f t="shared" ref="J114:J116" si="53">IF(H$12=0,0,H114/H$12)</f>
        <v>2.1379359463262085E-3</v>
      </c>
      <c r="K114" s="1"/>
      <c r="L114" s="1">
        <f t="shared" ref="L114:L116" si="54">+D114-H114</f>
        <v>-249.75</v>
      </c>
      <c r="M114" s="1"/>
      <c r="N114" s="5">
        <f t="shared" ref="N114:N116" si="55">IF(H114=0,0,L114/H114)</f>
        <v>-1</v>
      </c>
      <c r="O114" s="13"/>
      <c r="P114" s="1">
        <f>SUM(OSRRefP22_9x_0)</f>
        <v>18.5</v>
      </c>
      <c r="Q114" s="1"/>
      <c r="R114" s="5">
        <f t="shared" ref="R114:R116" si="56">IF(P$12=0,0,P114/P$12)</f>
        <v>8.6805881403458724E-4</v>
      </c>
      <c r="S114" s="1"/>
      <c r="T114" s="1">
        <f>SUM(OSRRefT22_9x_0)</f>
        <v>1818.61</v>
      </c>
      <c r="U114" s="1"/>
      <c r="V114" s="5">
        <f t="shared" ref="V114:V116" si="57">IF(T$12=0,0,T114/T$12)</f>
        <v>2.3596764777554869E-3</v>
      </c>
      <c r="W114" s="1"/>
      <c r="X114" s="1">
        <f t="shared" ref="X114:X116" si="58">+P114-T114</f>
        <v>-1800.11</v>
      </c>
      <c r="Y114" s="1"/>
      <c r="Z114" s="5">
        <f t="shared" ref="Z114:Z116" si="59">IF(T114=0,0,X114/T114)</f>
        <v>-0.98982739564832478</v>
      </c>
    </row>
    <row r="115" spans="1:26" s="24" customFormat="1" hidden="1" outlineLevel="2" x14ac:dyDescent="0.25">
      <c r="A115" s="26"/>
      <c r="B115" s="11" t="str">
        <f>CONCATENATE("          ", "6282", " - ", "JANITORIAL/EXTERMINATOR EXPENS")</f>
        <v xml:space="preserve">          6282 - JANITORIAL/EXTERMINATOR EXPENS</v>
      </c>
      <c r="C115" s="11"/>
      <c r="D115" s="6"/>
      <c r="E115" s="2"/>
      <c r="F115" s="7">
        <f t="shared" si="52"/>
        <v>0</v>
      </c>
      <c r="G115" s="2"/>
      <c r="H115" s="6">
        <v>44</v>
      </c>
      <c r="I115" s="2"/>
      <c r="J115" s="7">
        <f t="shared" si="53"/>
        <v>3.7665337993334603E-4</v>
      </c>
      <c r="K115" s="2"/>
      <c r="L115" s="6">
        <f t="shared" si="54"/>
        <v>-44</v>
      </c>
      <c r="M115" s="2"/>
      <c r="N115" s="7">
        <f t="shared" si="55"/>
        <v>-1</v>
      </c>
      <c r="O115" s="11"/>
      <c r="P115" s="6">
        <v>176</v>
      </c>
      <c r="Q115" s="2"/>
      <c r="R115" s="7">
        <f t="shared" si="56"/>
        <v>8.2582892578425601E-3</v>
      </c>
      <c r="S115" s="2"/>
      <c r="T115" s="6">
        <v>373.02</v>
      </c>
      <c r="U115" s="2"/>
      <c r="V115" s="7">
        <f t="shared" si="57"/>
        <v>4.8399960394606415E-4</v>
      </c>
      <c r="W115" s="2"/>
      <c r="X115" s="6">
        <f t="shared" si="58"/>
        <v>-197.01999999999998</v>
      </c>
      <c r="Y115" s="2"/>
      <c r="Z115" s="7">
        <f t="shared" si="59"/>
        <v>-0.52817543295265668</v>
      </c>
    </row>
    <row r="116" spans="1:26" s="24" customFormat="1" hidden="1" outlineLevel="2" x14ac:dyDescent="0.25">
      <c r="A116" s="26"/>
      <c r="B116" s="11" t="str">
        <f>CONCATENATE("          ", "6285", " - ", "JANITORIAL SERVICES")</f>
        <v xml:space="preserve">          6285 - JANITORIAL SERVICES</v>
      </c>
      <c r="C116" s="11"/>
      <c r="D116" s="6"/>
      <c r="E116" s="2"/>
      <c r="F116" s="7">
        <f t="shared" si="52"/>
        <v>0</v>
      </c>
      <c r="G116" s="2"/>
      <c r="H116" s="6">
        <v>205.75</v>
      </c>
      <c r="I116" s="2"/>
      <c r="J116" s="7">
        <f t="shared" si="53"/>
        <v>1.7612825663928626E-3</v>
      </c>
      <c r="K116" s="2"/>
      <c r="L116" s="6">
        <f t="shared" si="54"/>
        <v>-205.75</v>
      </c>
      <c r="M116" s="2"/>
      <c r="N116" s="7">
        <f t="shared" si="55"/>
        <v>-1</v>
      </c>
      <c r="O116" s="11"/>
      <c r="P116" s="6">
        <v>-157.5</v>
      </c>
      <c r="Q116" s="2"/>
      <c r="R116" s="7">
        <f t="shared" si="56"/>
        <v>-7.3902304438079732E-3</v>
      </c>
      <c r="S116" s="2"/>
      <c r="T116" s="6">
        <v>1445.59</v>
      </c>
      <c r="U116" s="2"/>
      <c r="V116" s="7">
        <f t="shared" si="57"/>
        <v>1.8756768738094228E-3</v>
      </c>
      <c r="W116" s="2"/>
      <c r="X116" s="6">
        <f t="shared" si="58"/>
        <v>-1603.09</v>
      </c>
      <c r="Y116" s="2"/>
      <c r="Z116" s="7">
        <f t="shared" si="59"/>
        <v>-1.1089520541785707</v>
      </c>
    </row>
    <row r="117" spans="1:26" s="25" customFormat="1" outlineLevel="1" collapsed="1" x14ac:dyDescent="0.25">
      <c r="A117" s="27"/>
      <c r="B117" s="13" t="str">
        <f>CONCATENATE("     ","Subscriptions &amp; Dues                              ")</f>
        <v xml:space="preserve">     Subscriptions &amp; Dues                              </v>
      </c>
      <c r="C117" s="13"/>
      <c r="D117" s="1">
        <f>SUM(OSRRefD22_10x_0)</f>
        <v>0</v>
      </c>
      <c r="E117" s="1"/>
      <c r="F117" s="5">
        <f t="shared" ref="F117:F123" si="60">IF(D$12=0,0,D117/D$12)</f>
        <v>0</v>
      </c>
      <c r="G117" s="1"/>
      <c r="H117" s="1">
        <f>SUM(OSRRefH22_10x_0)</f>
        <v>0</v>
      </c>
      <c r="I117" s="1"/>
      <c r="J117" s="5">
        <f t="shared" ref="J117:J123" si="61">IF(H$12=0,0,H117/H$12)</f>
        <v>0</v>
      </c>
      <c r="K117" s="1"/>
      <c r="L117" s="1">
        <f t="shared" ref="L117:L123" si="62">+D117-H117</f>
        <v>0</v>
      </c>
      <c r="M117" s="1"/>
      <c r="N117" s="5">
        <f t="shared" ref="N117:N123" si="63">IF(H117=0,0,L117/H117)</f>
        <v>0</v>
      </c>
      <c r="O117" s="13"/>
      <c r="P117" s="1">
        <f>SUM(OSRRefP22_10x_0)</f>
        <v>0</v>
      </c>
      <c r="Q117" s="1"/>
      <c r="R117" s="5">
        <f t="shared" ref="R117:R123" si="64">IF(P$12=0,0,P117/P$12)</f>
        <v>0</v>
      </c>
      <c r="S117" s="1"/>
      <c r="T117" s="1">
        <f>SUM(OSRRefT22_10x_0)</f>
        <v>120</v>
      </c>
      <c r="U117" s="1"/>
      <c r="V117" s="5">
        <f t="shared" ref="V117:V123" si="65">IF(T$12=0,0,T117/T$12)</f>
        <v>1.5570197971563911E-4</v>
      </c>
      <c r="W117" s="1"/>
      <c r="X117" s="1">
        <f t="shared" ref="X117:X123" si="66">+P117-T117</f>
        <v>-120</v>
      </c>
      <c r="Y117" s="1"/>
      <c r="Z117" s="5">
        <f t="shared" ref="Z117:Z123" si="67">IF(T117=0,0,X117/T117)</f>
        <v>-1</v>
      </c>
    </row>
    <row r="118" spans="1:26" s="24" customFormat="1" hidden="1" outlineLevel="2" x14ac:dyDescent="0.25">
      <c r="A118" s="26"/>
      <c r="B118" s="11" t="str">
        <f>CONCATENATE("          ", "6258", " - ", "MEMBERSHIP DUES")</f>
        <v xml:space="preserve">          6258 - MEMBERSHIP DUES</v>
      </c>
      <c r="C118" s="11"/>
      <c r="D118" s="6"/>
      <c r="E118" s="2"/>
      <c r="F118" s="7">
        <f t="shared" si="60"/>
        <v>0</v>
      </c>
      <c r="G118" s="2"/>
      <c r="H118" s="6"/>
      <c r="I118" s="2"/>
      <c r="J118" s="7">
        <f t="shared" si="61"/>
        <v>0</v>
      </c>
      <c r="K118" s="2"/>
      <c r="L118" s="6">
        <f t="shared" si="62"/>
        <v>0</v>
      </c>
      <c r="M118" s="2"/>
      <c r="N118" s="7">
        <f t="shared" si="63"/>
        <v>0</v>
      </c>
      <c r="O118" s="11"/>
      <c r="P118" s="6"/>
      <c r="Q118" s="2"/>
      <c r="R118" s="7">
        <f t="shared" si="64"/>
        <v>0</v>
      </c>
      <c r="S118" s="2"/>
      <c r="T118" s="6">
        <v>120</v>
      </c>
      <c r="U118" s="2"/>
      <c r="V118" s="7">
        <f t="shared" si="65"/>
        <v>1.5570197971563911E-4</v>
      </c>
      <c r="W118" s="2"/>
      <c r="X118" s="6">
        <f t="shared" si="66"/>
        <v>-120</v>
      </c>
      <c r="Y118" s="2"/>
      <c r="Z118" s="7">
        <f t="shared" si="67"/>
        <v>-1</v>
      </c>
    </row>
    <row r="119" spans="1:26" s="25" customFormat="1" outlineLevel="1" collapsed="1" x14ac:dyDescent="0.25">
      <c r="A119" s="27"/>
      <c r="B119" s="13" t="str">
        <f>CONCATENATE("     ","Supplies                                          ")</f>
        <v xml:space="preserve">     Supplies                                          </v>
      </c>
      <c r="C119" s="13"/>
      <c r="D119" s="1">
        <f>SUM(OSRRefD22_11x_0)</f>
        <v>0</v>
      </c>
      <c r="E119" s="1"/>
      <c r="F119" s="5">
        <f t="shared" si="60"/>
        <v>0</v>
      </c>
      <c r="G119" s="1"/>
      <c r="H119" s="1">
        <f>SUM(OSRRefH22_11x_0)</f>
        <v>25.84</v>
      </c>
      <c r="I119" s="1"/>
      <c r="J119" s="5">
        <f t="shared" si="61"/>
        <v>2.2119825766994685E-4</v>
      </c>
      <c r="K119" s="1"/>
      <c r="L119" s="1">
        <f t="shared" si="62"/>
        <v>-25.84</v>
      </c>
      <c r="M119" s="1"/>
      <c r="N119" s="5">
        <f t="shared" si="63"/>
        <v>-1</v>
      </c>
      <c r="O119" s="13"/>
      <c r="P119" s="1">
        <f>SUM(OSRRefP22_11x_0)</f>
        <v>1892.27</v>
      </c>
      <c r="Q119" s="1"/>
      <c r="R119" s="5">
        <f t="shared" si="64"/>
        <v>8.8789278488282622E-2</v>
      </c>
      <c r="S119" s="1"/>
      <c r="T119" s="1">
        <f>SUM(OSRRefT22_11x_0)</f>
        <v>1534.3999999999999</v>
      </c>
      <c r="U119" s="1"/>
      <c r="V119" s="5">
        <f t="shared" si="65"/>
        <v>1.9909093139639719E-3</v>
      </c>
      <c r="W119" s="1"/>
      <c r="X119" s="1">
        <f t="shared" si="66"/>
        <v>357.87000000000012</v>
      </c>
      <c r="Y119" s="1"/>
      <c r="Z119" s="5">
        <f t="shared" si="67"/>
        <v>0.23323123044838384</v>
      </c>
    </row>
    <row r="120" spans="1:26" s="24" customFormat="1" hidden="1" outlineLevel="2" x14ac:dyDescent="0.25">
      <c r="A120" s="26"/>
      <c r="B120" s="11" t="str">
        <f>CONCATENATE("          ", "6235", " - ", "COVID-19 EXPENSES")</f>
        <v xml:space="preserve">          6235 - COVID-19 EXPENSES</v>
      </c>
      <c r="C120" s="11"/>
      <c r="D120" s="6"/>
      <c r="E120" s="2"/>
      <c r="F120" s="7">
        <f t="shared" si="60"/>
        <v>0</v>
      </c>
      <c r="G120" s="2"/>
      <c r="H120" s="6"/>
      <c r="I120" s="2"/>
      <c r="J120" s="7">
        <f t="shared" si="61"/>
        <v>0</v>
      </c>
      <c r="K120" s="2"/>
      <c r="L120" s="6">
        <f t="shared" si="62"/>
        <v>0</v>
      </c>
      <c r="M120" s="2"/>
      <c r="N120" s="7">
        <f t="shared" si="63"/>
        <v>0</v>
      </c>
      <c r="O120" s="11"/>
      <c r="P120" s="6">
        <v>444.3</v>
      </c>
      <c r="Q120" s="2"/>
      <c r="R120" s="7">
        <f t="shared" si="64"/>
        <v>2.0847488166246871E-2</v>
      </c>
      <c r="S120" s="2"/>
      <c r="T120" s="6"/>
      <c r="U120" s="2"/>
      <c r="V120" s="7">
        <f t="shared" si="65"/>
        <v>0</v>
      </c>
      <c r="W120" s="2"/>
      <c r="X120" s="6">
        <f t="shared" si="66"/>
        <v>444.3</v>
      </c>
      <c r="Y120" s="2"/>
      <c r="Z120" s="7">
        <f t="shared" si="67"/>
        <v>0</v>
      </c>
    </row>
    <row r="121" spans="1:26" s="24" customFormat="1" hidden="1" outlineLevel="2" x14ac:dyDescent="0.25">
      <c r="A121" s="26"/>
      <c r="B121" s="11" t="str">
        <f>CONCATENATE("          ", "6241", " - ", "OFFICE EXPENSE")</f>
        <v xml:space="preserve">          6241 - OFFICE EXPENSE</v>
      </c>
      <c r="C121" s="11"/>
      <c r="D121" s="6"/>
      <c r="E121" s="2"/>
      <c r="F121" s="7">
        <f t="shared" si="60"/>
        <v>0</v>
      </c>
      <c r="G121" s="2"/>
      <c r="H121" s="6">
        <v>25.84</v>
      </c>
      <c r="I121" s="2"/>
      <c r="J121" s="7">
        <f t="shared" si="61"/>
        <v>2.2119825766994685E-4</v>
      </c>
      <c r="K121" s="2"/>
      <c r="L121" s="6">
        <f t="shared" si="62"/>
        <v>-25.84</v>
      </c>
      <c r="M121" s="2"/>
      <c r="N121" s="7">
        <f t="shared" si="63"/>
        <v>-1</v>
      </c>
      <c r="O121" s="11"/>
      <c r="P121" s="6">
        <v>225.24</v>
      </c>
      <c r="Q121" s="2"/>
      <c r="R121" s="7">
        <f t="shared" si="64"/>
        <v>1.056873336611624E-2</v>
      </c>
      <c r="S121" s="2"/>
      <c r="T121" s="6">
        <v>1513.05</v>
      </c>
      <c r="U121" s="2"/>
      <c r="V121" s="7">
        <f t="shared" si="65"/>
        <v>1.9632073367395649E-3</v>
      </c>
      <c r="W121" s="2"/>
      <c r="X121" s="6">
        <f t="shared" si="66"/>
        <v>-1287.81</v>
      </c>
      <c r="Y121" s="2"/>
      <c r="Z121" s="7">
        <f t="shared" si="67"/>
        <v>-0.85113512441756711</v>
      </c>
    </row>
    <row r="122" spans="1:26" s="24" customFormat="1" hidden="1" outlineLevel="2" x14ac:dyDescent="0.25">
      <c r="A122" s="26"/>
      <c r="B122" s="11" t="str">
        <f>CONCATENATE("          ", "6245", " - ", "PRINTING")</f>
        <v xml:space="preserve">          6245 - PRINTING</v>
      </c>
      <c r="C122" s="11"/>
      <c r="D122" s="6"/>
      <c r="E122" s="2"/>
      <c r="F122" s="7">
        <f t="shared" si="60"/>
        <v>0</v>
      </c>
      <c r="G122" s="2"/>
      <c r="H122" s="6"/>
      <c r="I122" s="2"/>
      <c r="J122" s="7">
        <f t="shared" si="61"/>
        <v>0</v>
      </c>
      <c r="K122" s="2"/>
      <c r="L122" s="6">
        <f t="shared" si="62"/>
        <v>0</v>
      </c>
      <c r="M122" s="2"/>
      <c r="N122" s="7">
        <f t="shared" si="63"/>
        <v>0</v>
      </c>
      <c r="O122" s="11"/>
      <c r="P122" s="6"/>
      <c r="Q122" s="2"/>
      <c r="R122" s="7">
        <f t="shared" si="64"/>
        <v>0</v>
      </c>
      <c r="S122" s="2"/>
      <c r="T122" s="6">
        <v>22.05</v>
      </c>
      <c r="U122" s="2"/>
      <c r="V122" s="7">
        <f t="shared" si="65"/>
        <v>2.861023877274869E-5</v>
      </c>
      <c r="W122" s="2"/>
      <c r="X122" s="6">
        <f t="shared" si="66"/>
        <v>-22.05</v>
      </c>
      <c r="Y122" s="2"/>
      <c r="Z122" s="7">
        <f t="shared" si="67"/>
        <v>-1</v>
      </c>
    </row>
    <row r="123" spans="1:26" s="24" customFormat="1" hidden="1" outlineLevel="2" x14ac:dyDescent="0.25">
      <c r="A123" s="26"/>
      <c r="B123" s="11" t="str">
        <f>CONCATENATE("          ", "6247", " - ", "STORE SUPPLIES")</f>
        <v xml:space="preserve">          6247 - STORE SUPPLIES</v>
      </c>
      <c r="C123" s="11"/>
      <c r="D123" s="6"/>
      <c r="E123" s="2"/>
      <c r="F123" s="7">
        <f t="shared" si="60"/>
        <v>0</v>
      </c>
      <c r="G123" s="2"/>
      <c r="H123" s="6"/>
      <c r="I123" s="2"/>
      <c r="J123" s="7">
        <f t="shared" si="61"/>
        <v>0</v>
      </c>
      <c r="K123" s="2"/>
      <c r="L123" s="6">
        <f t="shared" si="62"/>
        <v>0</v>
      </c>
      <c r="M123" s="2"/>
      <c r="N123" s="7">
        <f t="shared" si="63"/>
        <v>0</v>
      </c>
      <c r="O123" s="11"/>
      <c r="P123" s="6">
        <v>1222.73</v>
      </c>
      <c r="Q123" s="2"/>
      <c r="R123" s="7">
        <f t="shared" si="64"/>
        <v>5.7373056955919509E-2</v>
      </c>
      <c r="S123" s="2"/>
      <c r="T123" s="6">
        <v>-0.7</v>
      </c>
      <c r="U123" s="2"/>
      <c r="V123" s="7">
        <f t="shared" si="65"/>
        <v>-9.0826154834122808E-7</v>
      </c>
      <c r="W123" s="2"/>
      <c r="X123" s="6">
        <f t="shared" si="66"/>
        <v>1223.43</v>
      </c>
      <c r="Y123" s="2"/>
      <c r="Z123" s="7">
        <f t="shared" si="67"/>
        <v>-1747.757142857143</v>
      </c>
    </row>
    <row r="124" spans="1:26" s="25" customFormat="1" outlineLevel="1" collapsed="1" x14ac:dyDescent="0.25">
      <c r="A124" s="27"/>
      <c r="B124" s="13" t="str">
        <f>CONCATENATE("     ","Telephone/Data Lines                              ")</f>
        <v xml:space="preserve">     Telephone/Data Lines                              </v>
      </c>
      <c r="C124" s="13"/>
      <c r="D124" s="1">
        <f>SUM(OSRRefD22_12x_0)</f>
        <v>53</v>
      </c>
      <c r="E124" s="1"/>
      <c r="F124" s="5">
        <f t="shared" ref="F124:F129" si="68">IF(D$12=0,0,D124/D$12)</f>
        <v>0</v>
      </c>
      <c r="G124" s="1"/>
      <c r="H124" s="1">
        <f>SUM(OSRRefH22_12x_0)</f>
        <v>104.65</v>
      </c>
      <c r="I124" s="1"/>
      <c r="J124" s="5">
        <f t="shared" ref="J124:J129" si="69">IF(H$12=0,0,H124/H$12)</f>
        <v>8.9583582295510607E-4</v>
      </c>
      <c r="K124" s="1"/>
      <c r="L124" s="1">
        <f t="shared" ref="L124:L129" si="70">+D124-H124</f>
        <v>-51.650000000000006</v>
      </c>
      <c r="M124" s="1"/>
      <c r="N124" s="5">
        <f t="shared" ref="N124:N129" si="71">IF(H124=0,0,L124/H124)</f>
        <v>-0.49354992833253708</v>
      </c>
      <c r="O124" s="13"/>
      <c r="P124" s="1">
        <f>SUM(OSRRefP22_12x_0)</f>
        <v>472.05</v>
      </c>
      <c r="Q124" s="1"/>
      <c r="R124" s="5">
        <f t="shared" ref="R124:R129" si="72">IF(P$12=0,0,P124/P$12)</f>
        <v>2.2149576387298753E-2</v>
      </c>
      <c r="S124" s="1"/>
      <c r="T124" s="1">
        <f>SUM(OSRRefT22_12x_0)</f>
        <v>784.22</v>
      </c>
      <c r="U124" s="1"/>
      <c r="V124" s="5">
        <f t="shared" ref="V124:V129" si="73">IF(T$12=0,0,T124/T$12)</f>
        <v>1.0175383877716543E-3</v>
      </c>
      <c r="W124" s="1"/>
      <c r="X124" s="1">
        <f t="shared" ref="X124:X129" si="74">+P124-T124</f>
        <v>-312.17</v>
      </c>
      <c r="Y124" s="1"/>
      <c r="Z124" s="5">
        <f t="shared" ref="Z124:Z129" si="75">IF(T124=0,0,X124/T124)</f>
        <v>-0.398064318686083</v>
      </c>
    </row>
    <row r="125" spans="1:26" s="24" customFormat="1" hidden="1" outlineLevel="2" x14ac:dyDescent="0.25">
      <c r="A125" s="26"/>
      <c r="B125" s="11" t="str">
        <f>CONCATENATE("          ", "6309", " - ", "TELEPHONE")</f>
        <v xml:space="preserve">          6309 - TELEPHONE</v>
      </c>
      <c r="C125" s="11"/>
      <c r="D125" s="6">
        <v>53</v>
      </c>
      <c r="E125" s="2"/>
      <c r="F125" s="7">
        <f t="shared" si="68"/>
        <v>0</v>
      </c>
      <c r="G125" s="2"/>
      <c r="H125" s="6">
        <v>104.65</v>
      </c>
      <c r="I125" s="2"/>
      <c r="J125" s="7">
        <f t="shared" si="69"/>
        <v>8.9583582295510607E-4</v>
      </c>
      <c r="K125" s="2"/>
      <c r="L125" s="6">
        <f t="shared" si="70"/>
        <v>-51.650000000000006</v>
      </c>
      <c r="M125" s="2"/>
      <c r="N125" s="7">
        <f t="shared" si="71"/>
        <v>-0.49354992833253708</v>
      </c>
      <c r="O125" s="11"/>
      <c r="P125" s="6">
        <v>472.05</v>
      </c>
      <c r="Q125" s="2"/>
      <c r="R125" s="7">
        <f t="shared" si="72"/>
        <v>2.2149576387298753E-2</v>
      </c>
      <c r="S125" s="2"/>
      <c r="T125" s="6">
        <v>784.22</v>
      </c>
      <c r="U125" s="2"/>
      <c r="V125" s="7">
        <f t="shared" si="73"/>
        <v>1.0175383877716543E-3</v>
      </c>
      <c r="W125" s="2"/>
      <c r="X125" s="6">
        <f t="shared" si="74"/>
        <v>-312.17</v>
      </c>
      <c r="Y125" s="2"/>
      <c r="Z125" s="7">
        <f t="shared" si="75"/>
        <v>-0.398064318686083</v>
      </c>
    </row>
    <row r="126" spans="1:26" s="25" customFormat="1" outlineLevel="1" collapsed="1" x14ac:dyDescent="0.25">
      <c r="A126" s="27"/>
      <c r="B126" s="13" t="str">
        <f>CONCATENATE("     ","Training                                          ")</f>
        <v xml:space="preserve">     Training                                          </v>
      </c>
      <c r="C126" s="13"/>
      <c r="D126" s="1">
        <f>SUM(OSRRefD22_13x_0)</f>
        <v>0</v>
      </c>
      <c r="E126" s="1"/>
      <c r="F126" s="5">
        <f t="shared" si="68"/>
        <v>0</v>
      </c>
      <c r="G126" s="1"/>
      <c r="H126" s="1">
        <f>SUM(OSRRefH22_13x_0)</f>
        <v>234.8</v>
      </c>
      <c r="I126" s="1"/>
      <c r="J126" s="5">
        <f t="shared" si="69"/>
        <v>2.009959400189765E-3</v>
      </c>
      <c r="K126" s="1"/>
      <c r="L126" s="1">
        <f t="shared" si="70"/>
        <v>-234.8</v>
      </c>
      <c r="M126" s="1"/>
      <c r="N126" s="5">
        <f t="shared" si="71"/>
        <v>-1</v>
      </c>
      <c r="O126" s="13"/>
      <c r="P126" s="1">
        <f>SUM(OSRRefP22_13x_0)</f>
        <v>14</v>
      </c>
      <c r="Q126" s="1"/>
      <c r="R126" s="5">
        <f t="shared" si="72"/>
        <v>6.5690937278293094E-4</v>
      </c>
      <c r="S126" s="1"/>
      <c r="T126" s="1">
        <f>SUM(OSRRefT22_13x_0)</f>
        <v>314.8</v>
      </c>
      <c r="U126" s="1"/>
      <c r="V126" s="5">
        <f t="shared" si="73"/>
        <v>4.0845819345402661E-4</v>
      </c>
      <c r="W126" s="1"/>
      <c r="X126" s="1">
        <f t="shared" si="74"/>
        <v>-300.8</v>
      </c>
      <c r="Y126" s="1"/>
      <c r="Z126" s="5">
        <f t="shared" si="75"/>
        <v>-0.95552731893265563</v>
      </c>
    </row>
    <row r="127" spans="1:26" s="24" customFormat="1" hidden="1" outlineLevel="2" x14ac:dyDescent="0.25">
      <c r="A127" s="26"/>
      <c r="B127" s="11" t="str">
        <f>CONCATENATE("          ", "6376", " - ", "TRAINING")</f>
        <v xml:space="preserve">          6376 - TRAINING</v>
      </c>
      <c r="C127" s="11"/>
      <c r="D127" s="6"/>
      <c r="E127" s="2"/>
      <c r="F127" s="7">
        <f t="shared" si="68"/>
        <v>0</v>
      </c>
      <c r="G127" s="2"/>
      <c r="H127" s="6">
        <v>234.8</v>
      </c>
      <c r="I127" s="2"/>
      <c r="J127" s="7">
        <f t="shared" si="69"/>
        <v>2.009959400189765E-3</v>
      </c>
      <c r="K127" s="2"/>
      <c r="L127" s="6">
        <f t="shared" si="70"/>
        <v>-234.8</v>
      </c>
      <c r="M127" s="2"/>
      <c r="N127" s="7">
        <f t="shared" si="71"/>
        <v>-1</v>
      </c>
      <c r="O127" s="11"/>
      <c r="P127" s="6">
        <v>14</v>
      </c>
      <c r="Q127" s="2"/>
      <c r="R127" s="7">
        <f t="shared" si="72"/>
        <v>6.5690937278293094E-4</v>
      </c>
      <c r="S127" s="2"/>
      <c r="T127" s="6">
        <v>314.8</v>
      </c>
      <c r="U127" s="2"/>
      <c r="V127" s="7">
        <f t="shared" si="73"/>
        <v>4.0845819345402661E-4</v>
      </c>
      <c r="W127" s="2"/>
      <c r="X127" s="6">
        <f t="shared" si="74"/>
        <v>-300.8</v>
      </c>
      <c r="Y127" s="2"/>
      <c r="Z127" s="7">
        <f t="shared" si="75"/>
        <v>-0.95552731893265563</v>
      </c>
    </row>
    <row r="128" spans="1:26" s="25" customFormat="1" outlineLevel="1" collapsed="1" x14ac:dyDescent="0.25">
      <c r="A128" s="27"/>
      <c r="B128" s="13" t="str">
        <f>CONCATENATE("     ","Travel                                            ")</f>
        <v xml:space="preserve">     Travel                                            </v>
      </c>
      <c r="C128" s="13"/>
      <c r="D128" s="1">
        <f>SUM(OSRRefD22_14x_0)</f>
        <v>0</v>
      </c>
      <c r="E128" s="1"/>
      <c r="F128" s="5">
        <f t="shared" si="68"/>
        <v>0</v>
      </c>
      <c r="G128" s="1"/>
      <c r="H128" s="1">
        <f>SUM(OSRRefH22_14x_0)</f>
        <v>0</v>
      </c>
      <c r="I128" s="1"/>
      <c r="J128" s="5">
        <f t="shared" si="69"/>
        <v>0</v>
      </c>
      <c r="K128" s="1"/>
      <c r="L128" s="1">
        <f t="shared" si="70"/>
        <v>0</v>
      </c>
      <c r="M128" s="1"/>
      <c r="N128" s="5">
        <f t="shared" si="71"/>
        <v>0</v>
      </c>
      <c r="O128" s="13"/>
      <c r="P128" s="1">
        <f>SUM(OSRRefP22_14x_0)</f>
        <v>0</v>
      </c>
      <c r="Q128" s="1"/>
      <c r="R128" s="5">
        <f t="shared" si="72"/>
        <v>0</v>
      </c>
      <c r="S128" s="1"/>
      <c r="T128" s="1">
        <f>SUM(OSRRefT22_14x_0)</f>
        <v>-323.01</v>
      </c>
      <c r="U128" s="1"/>
      <c r="V128" s="5">
        <f t="shared" si="73"/>
        <v>-4.1911080389957158E-4</v>
      </c>
      <c r="W128" s="1"/>
      <c r="X128" s="1">
        <f t="shared" si="74"/>
        <v>323.01</v>
      </c>
      <c r="Y128" s="1"/>
      <c r="Z128" s="5">
        <f t="shared" si="75"/>
        <v>-1</v>
      </c>
    </row>
    <row r="129" spans="1:26" s="24" customFormat="1" hidden="1" outlineLevel="2" x14ac:dyDescent="0.25">
      <c r="A129" s="26"/>
      <c r="B129" s="11" t="str">
        <f>CONCATENATE("          ", "6292", " - ", "TRAVEL/CONFERENCE")</f>
        <v xml:space="preserve">          6292 - TRAVEL/CONFERENCE</v>
      </c>
      <c r="C129" s="11"/>
      <c r="D129" s="6"/>
      <c r="E129" s="2"/>
      <c r="F129" s="7">
        <f t="shared" si="68"/>
        <v>0</v>
      </c>
      <c r="G129" s="2"/>
      <c r="H129" s="6"/>
      <c r="I129" s="2"/>
      <c r="J129" s="7">
        <f t="shared" si="69"/>
        <v>0</v>
      </c>
      <c r="K129" s="2"/>
      <c r="L129" s="6">
        <f t="shared" si="70"/>
        <v>0</v>
      </c>
      <c r="M129" s="2"/>
      <c r="N129" s="7">
        <f t="shared" si="71"/>
        <v>0</v>
      </c>
      <c r="O129" s="11"/>
      <c r="P129" s="6"/>
      <c r="Q129" s="2"/>
      <c r="R129" s="7">
        <f t="shared" si="72"/>
        <v>0</v>
      </c>
      <c r="S129" s="2"/>
      <c r="T129" s="6">
        <v>-323.01</v>
      </c>
      <c r="U129" s="2"/>
      <c r="V129" s="7">
        <f t="shared" si="73"/>
        <v>-4.1911080389957158E-4</v>
      </c>
      <c r="W129" s="2"/>
      <c r="X129" s="6">
        <f t="shared" si="74"/>
        <v>323.01</v>
      </c>
      <c r="Y129" s="2"/>
      <c r="Z129" s="7">
        <f t="shared" si="75"/>
        <v>-1</v>
      </c>
    </row>
    <row r="130" spans="1:26" s="52" customFormat="1" x14ac:dyDescent="0.25">
      <c r="A130" s="37"/>
      <c r="B130" s="37"/>
      <c r="C130" s="37"/>
      <c r="D130" s="1"/>
      <c r="E130" s="1"/>
      <c r="F130" s="5"/>
      <c r="G130" s="1"/>
      <c r="H130" s="1"/>
      <c r="I130" s="1"/>
      <c r="J130" s="5"/>
      <c r="K130" s="1"/>
      <c r="L130" s="1"/>
      <c r="M130" s="1"/>
      <c r="N130" s="5"/>
      <c r="O130" s="37"/>
      <c r="P130" s="1"/>
      <c r="Q130" s="1"/>
      <c r="R130" s="5"/>
      <c r="S130" s="1"/>
      <c r="T130" s="1"/>
      <c r="U130" s="1"/>
      <c r="V130" s="5"/>
      <c r="W130" s="1"/>
      <c r="X130" s="1"/>
      <c r="Y130" s="1"/>
      <c r="Z130" s="5"/>
    </row>
    <row r="131" spans="1:26" s="23" customFormat="1" collapsed="1" x14ac:dyDescent="0.25">
      <c r="A131" s="10"/>
      <c r="B131" s="28" t="s">
        <v>0</v>
      </c>
      <c r="C131" s="10"/>
      <c r="D131" s="4">
        <f>SUM(OSRRefD25x_0)</f>
        <v>0</v>
      </c>
      <c r="E131" s="4"/>
      <c r="F131" s="12">
        <f t="shared" ref="F131:F132" si="76">IF(D$12=0,0,D131/D$12)</f>
        <v>0</v>
      </c>
      <c r="G131" s="4"/>
      <c r="H131" s="4">
        <f>SUM(OSRRefH25x_0)</f>
        <v>0</v>
      </c>
      <c r="I131" s="4"/>
      <c r="J131" s="12">
        <f t="shared" ref="J131:J132" si="77">IF(H$12=0,0,H131/H$12)</f>
        <v>0</v>
      </c>
      <c r="K131" s="4"/>
      <c r="L131" s="4">
        <f t="shared" ref="L131:L132" si="78">+D131-H131</f>
        <v>0</v>
      </c>
      <c r="M131" s="4"/>
      <c r="N131" s="12">
        <f t="shared" ref="N131:N132" si="79">IF(H131=0,0,L131/H131)</f>
        <v>0</v>
      </c>
      <c r="O131" s="10"/>
      <c r="P131" s="4">
        <f>SUM(OSRRefP25x_0)</f>
        <v>0</v>
      </c>
      <c r="Q131" s="4"/>
      <c r="R131" s="12">
        <f t="shared" ref="R131:R132" si="80">IF(P$12=0,0,P131/P$12)</f>
        <v>0</v>
      </c>
      <c r="S131" s="4"/>
      <c r="T131" s="4">
        <f>SUM(OSRRefT25x_0)</f>
        <v>68.760000000000005</v>
      </c>
      <c r="U131" s="4"/>
      <c r="V131" s="12">
        <f t="shared" ref="V131:V132" si="81">IF(T$12=0,0,T131/T$12)</f>
        <v>8.9217234377061226E-5</v>
      </c>
      <c r="W131" s="4"/>
      <c r="X131" s="4">
        <f t="shared" ref="X131:X132" si="82">+P131-T131</f>
        <v>-68.760000000000005</v>
      </c>
      <c r="Y131" s="4"/>
      <c r="Z131" s="12">
        <f t="shared" ref="Z131:Z132" si="83">IF(T131=0,0,X131/T131)</f>
        <v>-1</v>
      </c>
    </row>
    <row r="132" spans="1:26" s="24" customFormat="1" hidden="1" outlineLevel="1" x14ac:dyDescent="0.25">
      <c r="A132" s="44"/>
      <c r="B132" s="11" t="str">
        <f>CONCATENATE("          ", "9150", " - ", "MISC. INCOME")</f>
        <v xml:space="preserve">          9150 - MISC. INCOME</v>
      </c>
      <c r="C132" s="11"/>
      <c r="D132" s="2">
        <f>0</f>
        <v>0</v>
      </c>
      <c r="E132" s="2"/>
      <c r="F132" s="19">
        <f t="shared" si="76"/>
        <v>0</v>
      </c>
      <c r="G132" s="2"/>
      <c r="H132" s="2">
        <f>0</f>
        <v>0</v>
      </c>
      <c r="I132" s="2"/>
      <c r="J132" s="19">
        <f t="shared" si="77"/>
        <v>0</v>
      </c>
      <c r="K132" s="2"/>
      <c r="L132" s="2">
        <f t="shared" si="78"/>
        <v>0</v>
      </c>
      <c r="M132" s="2"/>
      <c r="N132" s="19">
        <f t="shared" si="79"/>
        <v>0</v>
      </c>
      <c r="O132" s="11"/>
      <c r="P132" s="2">
        <f>0</f>
        <v>0</v>
      </c>
      <c r="Q132" s="2"/>
      <c r="R132" s="19">
        <f t="shared" si="80"/>
        <v>0</v>
      </c>
      <c r="S132" s="2"/>
      <c r="T132" s="2">
        <f>--68.76</f>
        <v>68.760000000000005</v>
      </c>
      <c r="U132" s="2"/>
      <c r="V132" s="19">
        <f t="shared" si="81"/>
        <v>8.9217234377061226E-5</v>
      </c>
      <c r="W132" s="2"/>
      <c r="X132" s="2">
        <f t="shared" si="82"/>
        <v>-68.760000000000005</v>
      </c>
      <c r="Y132" s="2"/>
      <c r="Z132" s="19">
        <f t="shared" si="83"/>
        <v>-1</v>
      </c>
    </row>
    <row r="133" spans="1:26" x14ac:dyDescent="0.25">
      <c r="A133" s="9"/>
      <c r="B133" s="10"/>
      <c r="C133" s="10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O133" s="10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x14ac:dyDescent="0.25">
      <c r="A134" s="10"/>
      <c r="B134" s="29" t="s">
        <v>3</v>
      </c>
      <c r="C134" s="29"/>
      <c r="D134" s="22">
        <f>+D80-D82+D131</f>
        <v>-65.760000000000005</v>
      </c>
      <c r="E134" s="14"/>
      <c r="F134" s="20">
        <f>IF(D$12=0,0,D134/D$12)</f>
        <v>0</v>
      </c>
      <c r="G134" s="14"/>
      <c r="H134" s="22">
        <f>+H80-H82+H131</f>
        <v>32843.109999999986</v>
      </c>
      <c r="I134" s="14"/>
      <c r="J134" s="20">
        <f>IF(H$12=0,0,H134/H$12)</f>
        <v>0.28114700884142435</v>
      </c>
      <c r="K134" s="16"/>
      <c r="L134" s="22">
        <f>+D134-H134</f>
        <v>-32908.869999999988</v>
      </c>
      <c r="M134" s="16"/>
      <c r="N134" s="20">
        <f>IF(H134=0,0,L134/H134)</f>
        <v>-1.0020022464376852</v>
      </c>
      <c r="O134" s="28"/>
      <c r="P134" s="22">
        <f>+P80-P82+P131</f>
        <v>-4964.8499999999913</v>
      </c>
      <c r="Q134" s="14"/>
      <c r="R134" s="20">
        <f>IF(P$12=0,0,P134/P$12)</f>
        <v>-0.23296117853295206</v>
      </c>
      <c r="S134" s="14"/>
      <c r="T134" s="22">
        <f>+T80-T82+T131</f>
        <v>203091.20000000027</v>
      </c>
      <c r="U134" s="14"/>
      <c r="V134" s="20">
        <f>IF(T$12=0,0,T134/T$12)</f>
        <v>0.26351418252354042</v>
      </c>
      <c r="W134" s="16"/>
      <c r="X134" s="22">
        <f>+P134-T134</f>
        <v>-208056.05000000028</v>
      </c>
      <c r="Y134" s="16"/>
      <c r="Z134" s="20">
        <f>IF(T134=0,0,X134/T134)</f>
        <v>-1.0244464063435541</v>
      </c>
    </row>
    <row r="135" spans="1:26" x14ac:dyDescent="0.25">
      <c r="A135" s="9"/>
      <c r="B135" s="10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x14ac:dyDescent="0.25">
      <c r="A136" s="51"/>
      <c r="B136" s="10" t="s">
        <v>13</v>
      </c>
      <c r="C136" s="10"/>
      <c r="D136" s="4">
        <v>351.84</v>
      </c>
      <c r="E136" s="4"/>
      <c r="F136" s="12">
        <f>IF(D$12=0,0,D136/D$12)</f>
        <v>0</v>
      </c>
      <c r="G136" s="4"/>
      <c r="H136" s="4">
        <v>10358.959999999999</v>
      </c>
      <c r="I136" s="4"/>
      <c r="J136" s="12">
        <f>IF(H$12=0,0,H136/H$12)</f>
        <v>8.8675847649871228E-2</v>
      </c>
      <c r="K136" s="4"/>
      <c r="L136" s="4">
        <f>+D136-H136</f>
        <v>-10007.119999999999</v>
      </c>
      <c r="M136" s="4"/>
      <c r="N136" s="12">
        <f>IF(H136=0,0,L136/H136)</f>
        <v>-0.96603520044483226</v>
      </c>
      <c r="O136" s="10"/>
      <c r="P136" s="4">
        <v>4220.5200000000004</v>
      </c>
      <c r="Q136" s="4"/>
      <c r="R136" s="12">
        <f>IF(P$12=0,0,P136/P$12)</f>
        <v>0.19803565328698686</v>
      </c>
      <c r="S136" s="4"/>
      <c r="T136" s="4">
        <v>78549.89</v>
      </c>
      <c r="U136" s="4"/>
      <c r="V136" s="12">
        <f>IF(T$12=0,0,T136/T$12)</f>
        <v>0.10191977816204736</v>
      </c>
      <c r="W136" s="4"/>
      <c r="X136" s="4">
        <f>+P136-T136</f>
        <v>-74329.37</v>
      </c>
      <c r="Y136" s="4"/>
      <c r="Z136" s="12">
        <f>IF(T136=0,0,X136/T136)</f>
        <v>-0.94626956193064049</v>
      </c>
    </row>
    <row r="137" spans="1:26" x14ac:dyDescent="0.25">
      <c r="A137" s="9"/>
      <c r="B137" s="10"/>
      <c r="C137" s="10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O137" s="10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3" customFormat="1" ht="15.75" thickBot="1" x14ac:dyDescent="0.3">
      <c r="A138" s="10"/>
      <c r="B138" s="29" t="s">
        <v>4</v>
      </c>
      <c r="C138" s="29"/>
      <c r="D138" s="35">
        <f>+D134-D136</f>
        <v>-417.59999999999997</v>
      </c>
      <c r="E138" s="14"/>
      <c r="F138" s="36">
        <f>IF(D$12=0,0,D138/D$12)</f>
        <v>0</v>
      </c>
      <c r="G138" s="14"/>
      <c r="H138" s="35">
        <f>+H134-H136</f>
        <v>22484.149999999987</v>
      </c>
      <c r="I138" s="14"/>
      <c r="J138" s="36">
        <f>IF(H$12=0,0,H138/H$12)</f>
        <v>0.19247116119155314</v>
      </c>
      <c r="K138" s="16"/>
      <c r="L138" s="35">
        <f>D138-H138</f>
        <v>-22901.749999999985</v>
      </c>
      <c r="M138" s="16"/>
      <c r="N138" s="36">
        <f>IF(H138=0,0,L138/H138)</f>
        <v>-1.0185730837056326</v>
      </c>
      <c r="O138" s="28"/>
      <c r="P138" s="35">
        <f>+P134-P136</f>
        <v>-9185.3699999999917</v>
      </c>
      <c r="Q138" s="14"/>
      <c r="R138" s="36">
        <f>IF(P$12=0,0,P138/P$12)</f>
        <v>-0.43099683181993892</v>
      </c>
      <c r="S138" s="14"/>
      <c r="T138" s="35">
        <f>+T134-T136</f>
        <v>124541.31000000027</v>
      </c>
      <c r="U138" s="14"/>
      <c r="V138" s="36">
        <f>IF(T$12=0,0,T138/T$12)</f>
        <v>0.16159440436149305</v>
      </c>
      <c r="W138" s="16"/>
      <c r="X138" s="35">
        <f>P138-T138</f>
        <v>-133726.68000000025</v>
      </c>
      <c r="Y138" s="16"/>
      <c r="Z138" s="36">
        <f>IF(T138=0,0,X138/T138)</f>
        <v>-1.0737536003114145</v>
      </c>
    </row>
    <row r="139" spans="1:26" ht="15.75" thickTop="1" x14ac:dyDescent="0.25">
      <c r="A139" s="9"/>
      <c r="B139" s="9"/>
      <c r="C139" s="9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x14ac:dyDescent="0.25">
      <c r="A140" s="9"/>
      <c r="B140" s="9"/>
      <c r="C140" s="9"/>
      <c r="D140" s="3"/>
      <c r="E140" s="3"/>
      <c r="F140" s="8"/>
      <c r="G140" s="3"/>
      <c r="H140" s="3"/>
      <c r="I140" s="3"/>
      <c r="J140" s="8"/>
      <c r="K140" s="3"/>
      <c r="L140" s="3"/>
      <c r="M140" s="3"/>
      <c r="N140" s="8"/>
      <c r="P140" s="3"/>
      <c r="Q140" s="3"/>
      <c r="R140" s="8"/>
      <c r="S140" s="3"/>
      <c r="T140" s="3"/>
      <c r="U140" s="3"/>
      <c r="V140" s="8"/>
      <c r="W140" s="3"/>
      <c r="X140" s="3"/>
      <c r="Y140" s="3"/>
      <c r="Z140" s="8"/>
    </row>
    <row r="141" spans="1:26" s="23" customFormat="1" ht="15.75" thickBot="1" x14ac:dyDescent="0.3">
      <c r="A141" s="10"/>
      <c r="B141" s="29" t="s">
        <v>5</v>
      </c>
      <c r="C141" s="29"/>
      <c r="D141" s="31">
        <f>SUM(D138:D140)</f>
        <v>-417.59999999999997</v>
      </c>
      <c r="E141" s="14"/>
      <c r="F141" s="33">
        <f>IF(D$12=0,0,D141/D$12)</f>
        <v>0</v>
      </c>
      <c r="G141" s="14"/>
      <c r="H141" s="31">
        <f>SUM(H138:H140)</f>
        <v>22484.149999999987</v>
      </c>
      <c r="I141" s="14"/>
      <c r="J141" s="33">
        <f>IF(H$12=0,0,H141/H$12)</f>
        <v>0.19247116119155314</v>
      </c>
      <c r="K141" s="16"/>
      <c r="L141" s="31">
        <f>+D141-H141</f>
        <v>-22901.749999999985</v>
      </c>
      <c r="M141" s="16"/>
      <c r="N141" s="33">
        <f>IF(H141=0,0,L141/H141)</f>
        <v>-1.0185730837056326</v>
      </c>
      <c r="O141" s="28"/>
      <c r="P141" s="31">
        <f>SUM(P138:P140)</f>
        <v>-9185.3699999999917</v>
      </c>
      <c r="Q141" s="14"/>
      <c r="R141" s="33">
        <f>IF(P$12=0,0,P141/P$12)</f>
        <v>-0.43099683181993892</v>
      </c>
      <c r="S141" s="14"/>
      <c r="T141" s="31">
        <f>SUM(T138:T140)</f>
        <v>124541.31000000027</v>
      </c>
      <c r="U141" s="14"/>
      <c r="V141" s="33">
        <f>IF(T$12=0,0,T141/T$12)</f>
        <v>0.16159440436149305</v>
      </c>
      <c r="W141" s="16"/>
      <c r="X141" s="31">
        <f>+P141-T141</f>
        <v>-133726.68000000025</v>
      </c>
      <c r="Y141" s="16"/>
      <c r="Z141" s="33">
        <f>IF(T141=0,0,X141/T141)</f>
        <v>-1.0737536003114145</v>
      </c>
    </row>
    <row r="142" spans="1:26" ht="15.75" thickTop="1" x14ac:dyDescent="0.25">
      <c r="A142" s="9"/>
      <c r="C142" s="9"/>
      <c r="D142" s="18"/>
      <c r="E142" s="18"/>
      <c r="G142" s="18"/>
      <c r="H142" s="18"/>
      <c r="I142" s="18"/>
      <c r="J142" s="43"/>
      <c r="K142" s="18"/>
      <c r="L142" s="18"/>
      <c r="M142" s="18"/>
      <c r="P142" s="18"/>
      <c r="Q142" s="18"/>
      <c r="R142" s="43"/>
      <c r="S142" s="18"/>
      <c r="T142" s="18"/>
      <c r="U142" s="18"/>
      <c r="V142" s="43"/>
      <c r="W142" s="18"/>
      <c r="X142" s="18"/>
    </row>
    <row r="143" spans="1:26" x14ac:dyDescent="0.25">
      <c r="A143" s="9"/>
      <c r="B143" s="56">
        <v>44267.667863344905</v>
      </c>
      <c r="D143" s="18"/>
      <c r="E143" s="18"/>
      <c r="G143" s="18"/>
      <c r="H143" s="18"/>
      <c r="I143" s="18"/>
      <c r="J143" s="43"/>
      <c r="K143" s="18"/>
      <c r="L143" s="18"/>
      <c r="M143" s="18"/>
      <c r="P143" s="18"/>
      <c r="Q143" s="18"/>
      <c r="R143" s="43"/>
      <c r="S143" s="18"/>
      <c r="T143" s="18"/>
      <c r="U143" s="18"/>
      <c r="V143" s="43"/>
      <c r="W143" s="18"/>
      <c r="X143" s="18"/>
    </row>
    <row r="144" spans="1:26" x14ac:dyDescent="0.25">
      <c r="A144" s="9"/>
      <c r="B144" s="54" t="s">
        <v>313</v>
      </c>
      <c r="D144" s="18"/>
      <c r="E144" s="18"/>
      <c r="G144" s="18"/>
      <c r="H144" s="18"/>
      <c r="I144" s="18"/>
      <c r="J144" s="43"/>
      <c r="K144" s="18"/>
      <c r="L144" s="18"/>
      <c r="M144" s="18"/>
      <c r="P144" s="18"/>
      <c r="Q144" s="18"/>
      <c r="R144" s="43"/>
      <c r="S144" s="18"/>
      <c r="T144" s="18"/>
      <c r="U144" s="18"/>
      <c r="V144" s="43"/>
      <c r="W144" s="18"/>
      <c r="X144" s="18"/>
    </row>
    <row r="145" spans="1:24" x14ac:dyDescent="0.25">
      <c r="A145" s="9"/>
      <c r="B145" s="58"/>
      <c r="D145" s="18"/>
      <c r="E145" s="18"/>
      <c r="G145" s="18"/>
      <c r="H145" s="18"/>
      <c r="I145" s="18"/>
      <c r="J145" s="43"/>
      <c r="K145" s="18"/>
      <c r="L145" s="18"/>
      <c r="M145" s="18"/>
      <c r="P145" s="18"/>
      <c r="Q145" s="18"/>
      <c r="R145" s="43"/>
      <c r="S145" s="18"/>
      <c r="T145" s="18"/>
      <c r="U145" s="18"/>
      <c r="V145" s="43"/>
      <c r="W145" s="18"/>
      <c r="X145" s="18"/>
    </row>
    <row r="146" spans="1:24" x14ac:dyDescent="0.25">
      <c r="D146" s="18"/>
      <c r="E146" s="18"/>
      <c r="G146" s="18"/>
      <c r="H146" s="18"/>
      <c r="I146" s="18"/>
      <c r="J146" s="43"/>
      <c r="K146" s="18"/>
      <c r="L146" s="18"/>
      <c r="M146" s="18"/>
      <c r="P146" s="18"/>
      <c r="Q146" s="18"/>
      <c r="R146" s="43"/>
      <c r="S146" s="18"/>
      <c r="T146" s="18"/>
      <c r="U146" s="18"/>
      <c r="V146" s="43"/>
      <c r="W146" s="18"/>
      <c r="X146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","307", " - ", "Art Store")</f>
        <v>Department 307 - Art 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63310.880000000012</v>
      </c>
      <c r="I12" s="4"/>
      <c r="J12" s="12"/>
      <c r="K12" s="4"/>
      <c r="L12" s="4">
        <f t="shared" ref="L12:L49" si="0">+D12-H12</f>
        <v>-63310.880000000012</v>
      </c>
      <c r="M12" s="4"/>
      <c r="N12" s="12">
        <f t="shared" ref="N12:N49" si="1">IF(H12=0,0,L12/H12)</f>
        <v>-1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384303.8</v>
      </c>
      <c r="U12" s="4"/>
      <c r="V12" s="12"/>
      <c r="W12" s="4"/>
      <c r="X12" s="4">
        <f t="shared" ref="X12:X49" si="2">+P12-T12</f>
        <v>-362991.88</v>
      </c>
      <c r="Y12" s="4"/>
      <c r="Z12" s="12">
        <f t="shared" ref="Z12:Z49" si="3">IF(T12=0,0,X12/T12)</f>
        <v>-0.94454408205175178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49" si="4"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-1096.44</f>
        <v>-1096.44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-1096.44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si="4"/>
        <v>0</v>
      </c>
      <c r="E14" s="2"/>
      <c r="F14" s="19"/>
      <c r="G14" s="2"/>
      <c r="H14" s="2">
        <f>--16.47</f>
        <v>16.47</v>
      </c>
      <c r="I14" s="2"/>
      <c r="J14" s="19"/>
      <c r="K14" s="2"/>
      <c r="L14" s="2">
        <f t="shared" si="0"/>
        <v>-16.47</v>
      </c>
      <c r="M14" s="2"/>
      <c r="N14" s="19">
        <f t="shared" si="1"/>
        <v>-1</v>
      </c>
      <c r="O14" s="11"/>
      <c r="P14" s="2">
        <f t="shared" ref="P14:P15" si="5">0</f>
        <v>0</v>
      </c>
      <c r="Q14" s="2"/>
      <c r="R14" s="19"/>
      <c r="S14" s="2"/>
      <c r="T14" s="2">
        <f>--60.39</f>
        <v>60.39</v>
      </c>
      <c r="U14" s="2"/>
      <c r="V14" s="19"/>
      <c r="W14" s="2"/>
      <c r="X14" s="2">
        <f t="shared" si="2"/>
        <v>-60.39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 t="shared" si="4"/>
        <v>0</v>
      </c>
      <c r="E15" s="2"/>
      <c r="F15" s="19"/>
      <c r="G15" s="2"/>
      <c r="H15" s="2">
        <f>--358.97</f>
        <v>358.97</v>
      </c>
      <c r="I15" s="2"/>
      <c r="J15" s="19"/>
      <c r="K15" s="2"/>
      <c r="L15" s="2">
        <f t="shared" si="0"/>
        <v>-358.97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--2039.68</f>
        <v>2039.68</v>
      </c>
      <c r="U15" s="2"/>
      <c r="V15" s="19"/>
      <c r="W15" s="2"/>
      <c r="X15" s="2">
        <f t="shared" si="2"/>
        <v>-2039.68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 t="shared" si="4"/>
        <v>0</v>
      </c>
      <c r="E16" s="2"/>
      <c r="F16" s="19"/>
      <c r="G16" s="2"/>
      <c r="H16" s="2">
        <f>--1250.27</f>
        <v>1250.27</v>
      </c>
      <c r="I16" s="2"/>
      <c r="J16" s="19"/>
      <c r="K16" s="2"/>
      <c r="L16" s="2">
        <f t="shared" si="0"/>
        <v>-1250.27</v>
      </c>
      <c r="M16" s="2"/>
      <c r="N16" s="19">
        <f t="shared" si="1"/>
        <v>-1</v>
      </c>
      <c r="O16" s="11"/>
      <c r="P16" s="2">
        <f>--17.51</f>
        <v>17.510000000000002</v>
      </c>
      <c r="Q16" s="2"/>
      <c r="R16" s="19"/>
      <c r="S16" s="2"/>
      <c r="T16" s="2">
        <f>--6276.4</f>
        <v>6276.4</v>
      </c>
      <c r="U16" s="2"/>
      <c r="V16" s="19"/>
      <c r="W16" s="2"/>
      <c r="X16" s="2">
        <f t="shared" si="2"/>
        <v>-6258.8899999999994</v>
      </c>
      <c r="Y16" s="2"/>
      <c r="Z16" s="19">
        <f t="shared" si="3"/>
        <v>-0.99721018418201512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 t="shared" si="4"/>
        <v>0</v>
      </c>
      <c r="E17" s="2"/>
      <c r="F17" s="19"/>
      <c r="G17" s="2"/>
      <c r="H17" s="2">
        <f>--827.51</f>
        <v>827.51</v>
      </c>
      <c r="I17" s="2"/>
      <c r="J17" s="19"/>
      <c r="K17" s="2"/>
      <c r="L17" s="2">
        <f t="shared" si="0"/>
        <v>-827.51</v>
      </c>
      <c r="M17" s="2"/>
      <c r="N17" s="19">
        <f t="shared" si="1"/>
        <v>-1</v>
      </c>
      <c r="O17" s="11"/>
      <c r="P17" s="2">
        <f>--7990.32</f>
        <v>7990.32</v>
      </c>
      <c r="Q17" s="2"/>
      <c r="R17" s="19"/>
      <c r="S17" s="2"/>
      <c r="T17" s="2">
        <f>--8995.37</f>
        <v>8995.3700000000008</v>
      </c>
      <c r="U17" s="2"/>
      <c r="V17" s="19"/>
      <c r="W17" s="2"/>
      <c r="X17" s="2">
        <f t="shared" si="2"/>
        <v>-1005.0500000000011</v>
      </c>
      <c r="Y17" s="2"/>
      <c r="Z17" s="19">
        <f t="shared" si="3"/>
        <v>-0.11172970094615352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 t="shared" si="4"/>
        <v>0</v>
      </c>
      <c r="E18" s="2"/>
      <c r="F18" s="19"/>
      <c r="G18" s="2"/>
      <c r="H18" s="2">
        <f>--40732.09</f>
        <v>40732.089999999997</v>
      </c>
      <c r="I18" s="2"/>
      <c r="J18" s="19"/>
      <c r="K18" s="2"/>
      <c r="L18" s="2">
        <f t="shared" si="0"/>
        <v>-40732.089999999997</v>
      </c>
      <c r="M18" s="2"/>
      <c r="N18" s="19">
        <f t="shared" si="1"/>
        <v>-1</v>
      </c>
      <c r="O18" s="11"/>
      <c r="P18" s="2">
        <f>--12479.05</f>
        <v>12479.05</v>
      </c>
      <c r="Q18" s="2"/>
      <c r="R18" s="19"/>
      <c r="S18" s="2"/>
      <c r="T18" s="2">
        <f>--263704.41</f>
        <v>263704.40999999997</v>
      </c>
      <c r="U18" s="2"/>
      <c r="V18" s="19"/>
      <c r="W18" s="2"/>
      <c r="X18" s="2">
        <f t="shared" si="2"/>
        <v>-251225.36</v>
      </c>
      <c r="Y18" s="2"/>
      <c r="Z18" s="19">
        <f t="shared" si="3"/>
        <v>-0.95267788657762686</v>
      </c>
    </row>
    <row r="19" spans="1:26" s="24" customFormat="1" hidden="1" outlineLevel="1" x14ac:dyDescent="0.25">
      <c r="A19" s="44"/>
      <c r="B19" s="11" t="str">
        <f>CONCATENATE("          ", "4031", " - ", "TAXABLE SALES-FOOD")</f>
        <v xml:space="preserve">          4031 - TAXABLE SALES-FOOD</v>
      </c>
      <c r="C19" s="11"/>
      <c r="D19" s="2">
        <f t="shared" si="4"/>
        <v>0</v>
      </c>
      <c r="E19" s="2"/>
      <c r="F19" s="19"/>
      <c r="G19" s="2"/>
      <c r="H19" s="2">
        <f>--92.07</f>
        <v>92.07</v>
      </c>
      <c r="I19" s="2"/>
      <c r="J19" s="19"/>
      <c r="K19" s="2"/>
      <c r="L19" s="2">
        <f t="shared" si="0"/>
        <v>-92.07</v>
      </c>
      <c r="M19" s="2"/>
      <c r="N19" s="19">
        <f t="shared" si="1"/>
        <v>-1</v>
      </c>
      <c r="O19" s="11"/>
      <c r="P19" s="2">
        <f>--374.55</f>
        <v>374.55</v>
      </c>
      <c r="Q19" s="2"/>
      <c r="R19" s="19"/>
      <c r="S19" s="2"/>
      <c r="T19" s="2">
        <f>--442.04</f>
        <v>442.04</v>
      </c>
      <c r="U19" s="2"/>
      <c r="V19" s="19"/>
      <c r="W19" s="2"/>
      <c r="X19" s="2">
        <f t="shared" si="2"/>
        <v>-67.490000000000009</v>
      </c>
      <c r="Y19" s="2"/>
      <c r="Z19" s="19">
        <f t="shared" si="3"/>
        <v>-0.15267849063433175</v>
      </c>
    </row>
    <row r="20" spans="1:26" s="24" customFormat="1" hidden="1" outlineLevel="1" x14ac:dyDescent="0.25">
      <c r="A20" s="44"/>
      <c r="B20" s="11" t="str">
        <f>CONCATENATE("          ", "4032", " - ", "TAXABLE SALES-JUICE")</f>
        <v xml:space="preserve">          4032 - TAXABLE SALES-JUICE</v>
      </c>
      <c r="C20" s="11"/>
      <c r="D20" s="2">
        <f t="shared" si="4"/>
        <v>0</v>
      </c>
      <c r="E20" s="2"/>
      <c r="F20" s="19"/>
      <c r="G20" s="2"/>
      <c r="H20" s="2">
        <f>--555.66</f>
        <v>555.66</v>
      </c>
      <c r="I20" s="2"/>
      <c r="J20" s="19"/>
      <c r="K20" s="2"/>
      <c r="L20" s="2">
        <f t="shared" si="0"/>
        <v>-555.66</v>
      </c>
      <c r="M20" s="2"/>
      <c r="N20" s="19">
        <f t="shared" si="1"/>
        <v>-1</v>
      </c>
      <c r="O20" s="11"/>
      <c r="P20" s="2">
        <f t="shared" ref="P20:P27" si="6">0</f>
        <v>0</v>
      </c>
      <c r="Q20" s="2"/>
      <c r="R20" s="19"/>
      <c r="S20" s="2"/>
      <c r="T20" s="2">
        <f>--1664.25</f>
        <v>1664.25</v>
      </c>
      <c r="U20" s="2"/>
      <c r="V20" s="19"/>
      <c r="W20" s="2"/>
      <c r="X20" s="2">
        <f t="shared" si="2"/>
        <v>-1664.25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"4033", " - ", "TAXABLE SALES-CANDY")</f>
        <v xml:space="preserve">          4033 - TAXABLE SALES-CANDY</v>
      </c>
      <c r="C21" s="11"/>
      <c r="D21" s="2">
        <f t="shared" si="4"/>
        <v>0</v>
      </c>
      <c r="E21" s="2"/>
      <c r="F21" s="19"/>
      <c r="G21" s="2"/>
      <c r="H21" s="2">
        <f>--33.83</f>
        <v>33.83</v>
      </c>
      <c r="I21" s="2"/>
      <c r="J21" s="19"/>
      <c r="K21" s="2"/>
      <c r="L21" s="2">
        <f t="shared" si="0"/>
        <v>-33.83</v>
      </c>
      <c r="M21" s="2"/>
      <c r="N21" s="19">
        <f t="shared" si="1"/>
        <v>-1</v>
      </c>
      <c r="O21" s="11"/>
      <c r="P21" s="2">
        <f t="shared" si="6"/>
        <v>0</v>
      </c>
      <c r="Q21" s="2"/>
      <c r="R21" s="19"/>
      <c r="S21" s="2"/>
      <c r="T21" s="2">
        <f>--179.98</f>
        <v>179.98</v>
      </c>
      <c r="U21" s="2"/>
      <c r="V21" s="19"/>
      <c r="W21" s="2"/>
      <c r="X21" s="2">
        <f t="shared" si="2"/>
        <v>-179.98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"4034", " - ", "TAXABLE SALES-SODA")</f>
        <v xml:space="preserve">          4034 - TAXABLE SALES-SODA</v>
      </c>
      <c r="C22" s="11"/>
      <c r="D22" s="2">
        <f t="shared" si="4"/>
        <v>0</v>
      </c>
      <c r="E22" s="2"/>
      <c r="F22" s="19"/>
      <c r="G22" s="2"/>
      <c r="H22" s="2">
        <f>--1452.19</f>
        <v>1452.19</v>
      </c>
      <c r="I22" s="2"/>
      <c r="J22" s="19"/>
      <c r="K22" s="2"/>
      <c r="L22" s="2">
        <f t="shared" si="0"/>
        <v>-1452.19</v>
      </c>
      <c r="M22" s="2"/>
      <c r="N22" s="19">
        <f t="shared" si="1"/>
        <v>-1</v>
      </c>
      <c r="O22" s="11"/>
      <c r="P22" s="2">
        <f t="shared" si="6"/>
        <v>0</v>
      </c>
      <c r="Q22" s="2"/>
      <c r="R22" s="19"/>
      <c r="S22" s="2"/>
      <c r="T22" s="2">
        <f>--7203.43</f>
        <v>7203.43</v>
      </c>
      <c r="U22" s="2"/>
      <c r="V22" s="19"/>
      <c r="W22" s="2"/>
      <c r="X22" s="2">
        <f t="shared" si="2"/>
        <v>-7203.43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"4035", " - ", "TAXABLE SALES-HEALTH &amp; BEAUTY")</f>
        <v xml:space="preserve">          4035 - TAXABLE SALES-HEALTH &amp; BEAUTY</v>
      </c>
      <c r="C23" s="11"/>
      <c r="D23" s="2">
        <f t="shared" si="4"/>
        <v>0</v>
      </c>
      <c r="E23" s="2"/>
      <c r="F23" s="19"/>
      <c r="G23" s="2"/>
      <c r="H23" s="2">
        <f>--442.03</f>
        <v>442.03</v>
      </c>
      <c r="I23" s="2"/>
      <c r="J23" s="19"/>
      <c r="K23" s="2"/>
      <c r="L23" s="2">
        <f t="shared" si="0"/>
        <v>-442.03</v>
      </c>
      <c r="M23" s="2"/>
      <c r="N23" s="19">
        <f t="shared" si="1"/>
        <v>-1</v>
      </c>
      <c r="O23" s="11"/>
      <c r="P23" s="2">
        <f t="shared" si="6"/>
        <v>0</v>
      </c>
      <c r="Q23" s="2"/>
      <c r="R23" s="19"/>
      <c r="S23" s="2"/>
      <c r="T23" s="2">
        <f>--1864.32</f>
        <v>1864.32</v>
      </c>
      <c r="U23" s="2"/>
      <c r="V23" s="19"/>
      <c r="W23" s="2"/>
      <c r="X23" s="2">
        <f t="shared" si="2"/>
        <v>-1864.32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"4037", " - ", "TAXABLE SALES-WATER")</f>
        <v xml:space="preserve">          4037 - TAXABLE SALES-WATER</v>
      </c>
      <c r="C24" s="11"/>
      <c r="D24" s="2">
        <f t="shared" si="4"/>
        <v>0</v>
      </c>
      <c r="E24" s="2"/>
      <c r="F24" s="19"/>
      <c r="G24" s="2"/>
      <c r="H24" s="2">
        <f>--74.61</f>
        <v>74.61</v>
      </c>
      <c r="I24" s="2"/>
      <c r="J24" s="19"/>
      <c r="K24" s="2"/>
      <c r="L24" s="2">
        <f t="shared" si="0"/>
        <v>-74.61</v>
      </c>
      <c r="M24" s="2"/>
      <c r="N24" s="19">
        <f t="shared" si="1"/>
        <v>-1</v>
      </c>
      <c r="O24" s="11"/>
      <c r="P24" s="2">
        <f t="shared" si="6"/>
        <v>0</v>
      </c>
      <c r="Q24" s="2"/>
      <c r="R24" s="19"/>
      <c r="S24" s="2"/>
      <c r="T24" s="2">
        <f>--488.71</f>
        <v>488.71</v>
      </c>
      <c r="U24" s="2"/>
      <c r="V24" s="19"/>
      <c r="W24" s="2"/>
      <c r="X24" s="2">
        <f t="shared" si="2"/>
        <v>-488.71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"4041", " - ", "TAXABLE SALES-LOGO GIFTS")</f>
        <v xml:space="preserve">          4041 - TAXABLE SALES-LOGO GIFTS</v>
      </c>
      <c r="C25" s="11"/>
      <c r="D25" s="2">
        <f t="shared" si="4"/>
        <v>0</v>
      </c>
      <c r="E25" s="2"/>
      <c r="F25" s="19"/>
      <c r="G25" s="2"/>
      <c r="H25" s="2">
        <f>--363.67</f>
        <v>363.67</v>
      </c>
      <c r="I25" s="2"/>
      <c r="J25" s="19"/>
      <c r="K25" s="2"/>
      <c r="L25" s="2">
        <f t="shared" si="0"/>
        <v>-363.67</v>
      </c>
      <c r="M25" s="2"/>
      <c r="N25" s="19">
        <f t="shared" si="1"/>
        <v>-1</v>
      </c>
      <c r="O25" s="11"/>
      <c r="P25" s="2">
        <f t="shared" si="6"/>
        <v>0</v>
      </c>
      <c r="Q25" s="2"/>
      <c r="R25" s="19"/>
      <c r="S25" s="2"/>
      <c r="T25" s="2">
        <f>--363.67</f>
        <v>363.67</v>
      </c>
      <c r="U25" s="2"/>
      <c r="V25" s="19"/>
      <c r="W25" s="2"/>
      <c r="X25" s="2">
        <f t="shared" si="2"/>
        <v>-363.67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"4042", " - ", "TAXABLE SALES-EVERYDAY GIFTS")</f>
        <v xml:space="preserve">          4042 - TAXABLE SALES-EVERYDAY GIFTS</v>
      </c>
      <c r="C26" s="11"/>
      <c r="D26" s="2">
        <f t="shared" si="4"/>
        <v>0</v>
      </c>
      <c r="E26" s="2"/>
      <c r="F26" s="19"/>
      <c r="G26" s="2"/>
      <c r="H26" s="2">
        <f>--394.76</f>
        <v>394.76</v>
      </c>
      <c r="I26" s="2"/>
      <c r="J26" s="19"/>
      <c r="K26" s="2"/>
      <c r="L26" s="2">
        <f t="shared" si="0"/>
        <v>-394.76</v>
      </c>
      <c r="M26" s="2"/>
      <c r="N26" s="19">
        <f t="shared" si="1"/>
        <v>-1</v>
      </c>
      <c r="O26" s="11"/>
      <c r="P26" s="2">
        <f t="shared" si="6"/>
        <v>0</v>
      </c>
      <c r="Q26" s="2"/>
      <c r="R26" s="19"/>
      <c r="S26" s="2"/>
      <c r="T26" s="2">
        <f>--427.71</f>
        <v>427.71</v>
      </c>
      <c r="U26" s="2"/>
      <c r="V26" s="19"/>
      <c r="W26" s="2"/>
      <c r="X26" s="2">
        <f t="shared" si="2"/>
        <v>-427.71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"4044", " - ", "TAXABLE SALES-ACCESSORIES")</f>
        <v xml:space="preserve">          4044 - TAXABLE SALES-ACCESSORIES</v>
      </c>
      <c r="C27" s="11"/>
      <c r="D27" s="2">
        <f t="shared" si="4"/>
        <v>0</v>
      </c>
      <c r="E27" s="2"/>
      <c r="F27" s="19"/>
      <c r="G27" s="2"/>
      <c r="H27" s="2">
        <f>--159.55</f>
        <v>159.55000000000001</v>
      </c>
      <c r="I27" s="2"/>
      <c r="J27" s="19"/>
      <c r="K27" s="2"/>
      <c r="L27" s="2">
        <f t="shared" si="0"/>
        <v>-159.55000000000001</v>
      </c>
      <c r="M27" s="2"/>
      <c r="N27" s="19">
        <f t="shared" si="1"/>
        <v>-1</v>
      </c>
      <c r="O27" s="11"/>
      <c r="P27" s="2">
        <f t="shared" si="6"/>
        <v>0</v>
      </c>
      <c r="Q27" s="2"/>
      <c r="R27" s="19"/>
      <c r="S27" s="2"/>
      <c r="T27" s="2">
        <f>--159.55</f>
        <v>159.55000000000001</v>
      </c>
      <c r="U27" s="2"/>
      <c r="V27" s="19"/>
      <c r="W27" s="2"/>
      <c r="X27" s="2">
        <f t="shared" si="2"/>
        <v>-159.55000000000001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"4081", " - ", "TAXABLE SALES-ELECTRONICS")</f>
        <v xml:space="preserve">          4081 - TAXABLE SALES-ELECTRONICS</v>
      </c>
      <c r="C28" s="11"/>
      <c r="D28" s="2">
        <f t="shared" si="4"/>
        <v>0</v>
      </c>
      <c r="E28" s="2"/>
      <c r="F28" s="19"/>
      <c r="G28" s="2"/>
      <c r="H28" s="2">
        <f>--308.7</f>
        <v>308.7</v>
      </c>
      <c r="I28" s="2"/>
      <c r="J28" s="19"/>
      <c r="K28" s="2"/>
      <c r="L28" s="2">
        <f t="shared" si="0"/>
        <v>-308.7</v>
      </c>
      <c r="M28" s="2"/>
      <c r="N28" s="19">
        <f t="shared" si="1"/>
        <v>-1</v>
      </c>
      <c r="O28" s="11"/>
      <c r="P28" s="2">
        <f>--71.95</f>
        <v>71.95</v>
      </c>
      <c r="Q28" s="2"/>
      <c r="R28" s="19"/>
      <c r="S28" s="2"/>
      <c r="T28" s="2">
        <f>--3109.98</f>
        <v>3109.98</v>
      </c>
      <c r="U28" s="2"/>
      <c r="V28" s="19"/>
      <c r="W28" s="2"/>
      <c r="X28" s="2">
        <f t="shared" si="2"/>
        <v>-3038.03</v>
      </c>
      <c r="Y28" s="2"/>
      <c r="Z28" s="19">
        <f t="shared" si="3"/>
        <v>-0.97686480298908684</v>
      </c>
    </row>
    <row r="29" spans="1:26" s="24" customFormat="1" hidden="1" outlineLevel="1" x14ac:dyDescent="0.25">
      <c r="A29" s="44"/>
      <c r="B29" s="11" t="str">
        <f>CONCATENATE("          ", "4082", " - ", "TAXABLE SALES-COMPUTER HARDWAR")</f>
        <v xml:space="preserve">          4082 - TAXABLE SALES-COMPUTER HARDWAR</v>
      </c>
      <c r="C29" s="11"/>
      <c r="D29" s="2">
        <f t="shared" si="4"/>
        <v>0</v>
      </c>
      <c r="E29" s="2"/>
      <c r="F29" s="19"/>
      <c r="G29" s="2"/>
      <c r="H29" s="2">
        <f>--76.98</f>
        <v>76.98</v>
      </c>
      <c r="I29" s="2"/>
      <c r="J29" s="19"/>
      <c r="K29" s="2"/>
      <c r="L29" s="2">
        <f t="shared" si="0"/>
        <v>-76.98</v>
      </c>
      <c r="M29" s="2"/>
      <c r="N29" s="19">
        <f t="shared" si="1"/>
        <v>-1</v>
      </c>
      <c r="O29" s="11"/>
      <c r="P29" s="2">
        <f>0</f>
        <v>0</v>
      </c>
      <c r="Q29" s="2"/>
      <c r="R29" s="19"/>
      <c r="S29" s="2"/>
      <c r="T29" s="2">
        <f>--295.98</f>
        <v>295.98</v>
      </c>
      <c r="U29" s="2"/>
      <c r="V29" s="19"/>
      <c r="W29" s="2"/>
      <c r="X29" s="2">
        <f t="shared" si="2"/>
        <v>-295.98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"4083", " - ", "TAXABLE SALES-COMPUTER EQUIPME")</f>
        <v xml:space="preserve">          4083 - TAXABLE SALES-COMPUTER EQUIPME</v>
      </c>
      <c r="C30" s="11"/>
      <c r="D30" s="2">
        <f t="shared" si="4"/>
        <v>0</v>
      </c>
      <c r="E30" s="2"/>
      <c r="F30" s="19"/>
      <c r="G30" s="2"/>
      <c r="H30" s="2">
        <f>--34.97</f>
        <v>34.97</v>
      </c>
      <c r="I30" s="2"/>
      <c r="J30" s="19"/>
      <c r="K30" s="2"/>
      <c r="L30" s="2">
        <f t="shared" si="0"/>
        <v>-34.97</v>
      </c>
      <c r="M30" s="2"/>
      <c r="N30" s="19">
        <f t="shared" si="1"/>
        <v>-1</v>
      </c>
      <c r="O30" s="11"/>
      <c r="P30" s="2">
        <f>--9.99</f>
        <v>9.99</v>
      </c>
      <c r="Q30" s="2"/>
      <c r="R30" s="19"/>
      <c r="S30" s="2"/>
      <c r="T30" s="2">
        <f>--884.36</f>
        <v>884.36</v>
      </c>
      <c r="U30" s="2"/>
      <c r="V30" s="19"/>
      <c r="W30" s="2"/>
      <c r="X30" s="2">
        <f t="shared" si="2"/>
        <v>-874.37</v>
      </c>
      <c r="Y30" s="2"/>
      <c r="Z30" s="19">
        <f t="shared" si="3"/>
        <v>-0.98870369532769464</v>
      </c>
    </row>
    <row r="31" spans="1:26" s="24" customFormat="1" hidden="1" outlineLevel="1" x14ac:dyDescent="0.25">
      <c r="A31" s="44"/>
      <c r="B31" s="11" t="str">
        <f>CONCATENATE("          ", "4086", " - ", "TAXABLE SALES-COMPUTER SUPPLIE")</f>
        <v xml:space="preserve">          4086 - TAXABLE SALES-COMPUTER SUPPLIE</v>
      </c>
      <c r="C31" s="11"/>
      <c r="D31" s="2">
        <f t="shared" si="4"/>
        <v>0</v>
      </c>
      <c r="E31" s="2"/>
      <c r="F31" s="19"/>
      <c r="G31" s="2"/>
      <c r="H31" s="2">
        <f>--28.98</f>
        <v>28.98</v>
      </c>
      <c r="I31" s="2"/>
      <c r="J31" s="19"/>
      <c r="K31" s="2"/>
      <c r="L31" s="2">
        <f t="shared" si="0"/>
        <v>-28.98</v>
      </c>
      <c r="M31" s="2"/>
      <c r="N31" s="19">
        <f t="shared" si="1"/>
        <v>-1</v>
      </c>
      <c r="O31" s="11"/>
      <c r="P31" s="2">
        <f t="shared" ref="P31:P34" si="7">0</f>
        <v>0</v>
      </c>
      <c r="Q31" s="2"/>
      <c r="R31" s="19"/>
      <c r="S31" s="2"/>
      <c r="T31" s="2">
        <f>--804.74</f>
        <v>804.74</v>
      </c>
      <c r="U31" s="2"/>
      <c r="V31" s="19"/>
      <c r="W31" s="2"/>
      <c r="X31" s="2">
        <f t="shared" si="2"/>
        <v>-804.74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"4126", " - ", "NON-TAXABLE SALES-WRITING INST")</f>
        <v xml:space="preserve">          4126 - NON-TAXABLE SALES-WRITING INST</v>
      </c>
      <c r="C32" s="11"/>
      <c r="D32" s="2">
        <f t="shared" si="4"/>
        <v>0</v>
      </c>
      <c r="E32" s="2"/>
      <c r="F32" s="19"/>
      <c r="G32" s="2"/>
      <c r="H32" s="2">
        <f>--2.49</f>
        <v>2.4900000000000002</v>
      </c>
      <c r="I32" s="2"/>
      <c r="J32" s="19"/>
      <c r="K32" s="2"/>
      <c r="L32" s="2">
        <f t="shared" si="0"/>
        <v>-2.4900000000000002</v>
      </c>
      <c r="M32" s="2"/>
      <c r="N32" s="19">
        <f t="shared" si="1"/>
        <v>-1</v>
      </c>
      <c r="O32" s="11"/>
      <c r="P32" s="2">
        <f t="shared" si="7"/>
        <v>0</v>
      </c>
      <c r="Q32" s="2"/>
      <c r="R32" s="19"/>
      <c r="S32" s="2"/>
      <c r="T32" s="2">
        <f>--2.49</f>
        <v>2.4900000000000002</v>
      </c>
      <c r="U32" s="2"/>
      <c r="V32" s="19"/>
      <c r="W32" s="2"/>
      <c r="X32" s="2">
        <f t="shared" si="2"/>
        <v>-2.4900000000000002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"4127", " - ", "NON-TAXABLE SALES-SCHOOL SUPPL")</f>
        <v xml:space="preserve">          4127 - NON-TAXABLE SALES-SCHOOL SUPPL</v>
      </c>
      <c r="C33" s="11"/>
      <c r="D33" s="2">
        <f t="shared" si="4"/>
        <v>0</v>
      </c>
      <c r="E33" s="2"/>
      <c r="F33" s="19"/>
      <c r="G33" s="2"/>
      <c r="H33" s="2">
        <f>--2.29</f>
        <v>2.29</v>
      </c>
      <c r="I33" s="2"/>
      <c r="J33" s="19"/>
      <c r="K33" s="2"/>
      <c r="L33" s="2">
        <f t="shared" si="0"/>
        <v>-2.29</v>
      </c>
      <c r="M33" s="2"/>
      <c r="N33" s="19">
        <f t="shared" si="1"/>
        <v>-1</v>
      </c>
      <c r="O33" s="11"/>
      <c r="P33" s="2">
        <f t="shared" si="7"/>
        <v>0</v>
      </c>
      <c r="Q33" s="2"/>
      <c r="R33" s="19"/>
      <c r="S33" s="2"/>
      <c r="T33" s="2">
        <f>--16.45</f>
        <v>16.45</v>
      </c>
      <c r="U33" s="2"/>
      <c r="V33" s="19"/>
      <c r="W33" s="2"/>
      <c r="X33" s="2">
        <f t="shared" si="2"/>
        <v>-16.45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"4128", " - ", "NON-TAXABLE SALES-ART/TECH")</f>
        <v xml:space="preserve">          4128 - NON-TAXABLE SALES-ART/TECH</v>
      </c>
      <c r="C34" s="11"/>
      <c r="D34" s="2">
        <f t="shared" si="4"/>
        <v>0</v>
      </c>
      <c r="E34" s="2"/>
      <c r="F34" s="19"/>
      <c r="G34" s="2"/>
      <c r="H34" s="2">
        <f>--65.72</f>
        <v>65.72</v>
      </c>
      <c r="I34" s="2"/>
      <c r="J34" s="19"/>
      <c r="K34" s="2"/>
      <c r="L34" s="2">
        <f t="shared" si="0"/>
        <v>-65.72</v>
      </c>
      <c r="M34" s="2"/>
      <c r="N34" s="19">
        <f t="shared" si="1"/>
        <v>-1</v>
      </c>
      <c r="O34" s="11"/>
      <c r="P34" s="2">
        <f t="shared" si="7"/>
        <v>0</v>
      </c>
      <c r="Q34" s="2"/>
      <c r="R34" s="19"/>
      <c r="S34" s="2"/>
      <c r="T34" s="2">
        <f>--242.09</f>
        <v>242.09</v>
      </c>
      <c r="U34" s="2"/>
      <c r="V34" s="19"/>
      <c r="W34" s="2"/>
      <c r="X34" s="2">
        <f t="shared" si="2"/>
        <v>-242.09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"4131", " - ", "NON-TAXABLE SALES-FOOD")</f>
        <v xml:space="preserve">          4131 - NON-TAXABLE SALES-FOOD</v>
      </c>
      <c r="C35" s="11"/>
      <c r="D35" s="2">
        <f t="shared" si="4"/>
        <v>0</v>
      </c>
      <c r="E35" s="2"/>
      <c r="F35" s="19"/>
      <c r="G35" s="2"/>
      <c r="H35" s="2">
        <f>--10037.02</f>
        <v>10037.02</v>
      </c>
      <c r="I35" s="2"/>
      <c r="J35" s="19"/>
      <c r="K35" s="2"/>
      <c r="L35" s="2">
        <f t="shared" si="0"/>
        <v>-10037.02</v>
      </c>
      <c r="M35" s="2"/>
      <c r="N35" s="19">
        <f t="shared" si="1"/>
        <v>-1</v>
      </c>
      <c r="O35" s="11"/>
      <c r="P35" s="2">
        <f>--1847.16</f>
        <v>1847.16</v>
      </c>
      <c r="Q35" s="2"/>
      <c r="R35" s="19"/>
      <c r="S35" s="2"/>
      <c r="T35" s="2">
        <f>--51962.69</f>
        <v>51962.69</v>
      </c>
      <c r="U35" s="2"/>
      <c r="V35" s="19"/>
      <c r="W35" s="2"/>
      <c r="X35" s="2">
        <f t="shared" si="2"/>
        <v>-50115.53</v>
      </c>
      <c r="Y35" s="2"/>
      <c r="Z35" s="19">
        <f t="shared" si="3"/>
        <v>-0.96445218675168654</v>
      </c>
    </row>
    <row r="36" spans="1:26" s="24" customFormat="1" hidden="1" outlineLevel="1" x14ac:dyDescent="0.25">
      <c r="A36" s="44"/>
      <c r="B36" s="11" t="str">
        <f>CONCATENATE("          ", "4132", " - ", "NON-TAXABLE SALES-JUICE")</f>
        <v xml:space="preserve">          4132 - NON-TAXABLE SALES-JUICE</v>
      </c>
      <c r="C36" s="11"/>
      <c r="D36" s="2">
        <f t="shared" si="4"/>
        <v>0</v>
      </c>
      <c r="E36" s="2"/>
      <c r="F36" s="19"/>
      <c r="G36" s="2"/>
      <c r="H36" s="2">
        <f>--2501.74</f>
        <v>2501.7399999999998</v>
      </c>
      <c r="I36" s="2"/>
      <c r="J36" s="19"/>
      <c r="K36" s="2"/>
      <c r="L36" s="2">
        <f t="shared" si="0"/>
        <v>-2501.7399999999998</v>
      </c>
      <c r="M36" s="2"/>
      <c r="N36" s="19">
        <f t="shared" si="1"/>
        <v>-1</v>
      </c>
      <c r="O36" s="11"/>
      <c r="P36" s="2">
        <f t="shared" ref="P36:P43" si="8">0</f>
        <v>0</v>
      </c>
      <c r="Q36" s="2"/>
      <c r="R36" s="19"/>
      <c r="S36" s="2"/>
      <c r="T36" s="2">
        <f>--15049.17</f>
        <v>15049.17</v>
      </c>
      <c r="U36" s="2"/>
      <c r="V36" s="19"/>
      <c r="W36" s="2"/>
      <c r="X36" s="2">
        <f t="shared" si="2"/>
        <v>-15049.17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"4133", " - ", "NON-TAXABLE SALES-CANDY")</f>
        <v xml:space="preserve">          4133 - NON-TAXABLE SALES-CANDY</v>
      </c>
      <c r="C37" s="11"/>
      <c r="D37" s="2">
        <f t="shared" si="4"/>
        <v>0</v>
      </c>
      <c r="E37" s="2"/>
      <c r="F37" s="19"/>
      <c r="G37" s="2"/>
      <c r="H37" s="2">
        <f>--2856.88</f>
        <v>2856.88</v>
      </c>
      <c r="I37" s="2"/>
      <c r="J37" s="19"/>
      <c r="K37" s="2"/>
      <c r="L37" s="2">
        <f t="shared" si="0"/>
        <v>-2856.88</v>
      </c>
      <c r="M37" s="2"/>
      <c r="N37" s="19">
        <f t="shared" si="1"/>
        <v>-1</v>
      </c>
      <c r="O37" s="11"/>
      <c r="P37" s="2">
        <f t="shared" si="8"/>
        <v>0</v>
      </c>
      <c r="Q37" s="2"/>
      <c r="R37" s="19"/>
      <c r="S37" s="2"/>
      <c r="T37" s="2">
        <f>--14703.24</f>
        <v>14703.24</v>
      </c>
      <c r="U37" s="2"/>
      <c r="V37" s="19"/>
      <c r="W37" s="2"/>
      <c r="X37" s="2">
        <f t="shared" si="2"/>
        <v>-14703.24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"4134", " - ", "NON-TAXABLE SALES-SODA")</f>
        <v xml:space="preserve">          4134 - NON-TAXABLE SALES-SODA</v>
      </c>
      <c r="C38" s="11"/>
      <c r="D38" s="2">
        <f t="shared" si="4"/>
        <v>0</v>
      </c>
      <c r="E38" s="2"/>
      <c r="F38" s="19"/>
      <c r="G38" s="2"/>
      <c r="H38" s="2">
        <f>--1.89</f>
        <v>1.89</v>
      </c>
      <c r="I38" s="2"/>
      <c r="J38" s="19"/>
      <c r="K38" s="2"/>
      <c r="L38" s="2">
        <f t="shared" si="0"/>
        <v>-1.89</v>
      </c>
      <c r="M38" s="2"/>
      <c r="N38" s="19">
        <f t="shared" si="1"/>
        <v>-1</v>
      </c>
      <c r="O38" s="11"/>
      <c r="P38" s="2">
        <f t="shared" si="8"/>
        <v>0</v>
      </c>
      <c r="Q38" s="2"/>
      <c r="R38" s="19"/>
      <c r="S38" s="2"/>
      <c r="T38" s="2">
        <f>--1.89</f>
        <v>1.89</v>
      </c>
      <c r="U38" s="2"/>
      <c r="V38" s="19"/>
      <c r="W38" s="2"/>
      <c r="X38" s="2">
        <f t="shared" si="2"/>
        <v>-1.89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"4135", " - ", "NON-TAXABLE SALES")</f>
        <v xml:space="preserve">          4135 - NON-TAXABLE SALES</v>
      </c>
      <c r="C39" s="11"/>
      <c r="D39" s="2">
        <f t="shared" si="4"/>
        <v>0</v>
      </c>
      <c r="E39" s="2"/>
      <c r="F39" s="19"/>
      <c r="G39" s="2"/>
      <c r="H39" s="2">
        <f>--21.54</f>
        <v>21.54</v>
      </c>
      <c r="I39" s="2"/>
      <c r="J39" s="19"/>
      <c r="K39" s="2"/>
      <c r="L39" s="2">
        <f t="shared" si="0"/>
        <v>-21.54</v>
      </c>
      <c r="M39" s="2"/>
      <c r="N39" s="19">
        <f t="shared" si="1"/>
        <v>-1</v>
      </c>
      <c r="O39" s="11"/>
      <c r="P39" s="2">
        <f t="shared" si="8"/>
        <v>0</v>
      </c>
      <c r="Q39" s="2"/>
      <c r="R39" s="19"/>
      <c r="S39" s="2"/>
      <c r="T39" s="2">
        <f>--111.24</f>
        <v>111.24</v>
      </c>
      <c r="U39" s="2"/>
      <c r="V39" s="19"/>
      <c r="W39" s="2"/>
      <c r="X39" s="2">
        <f t="shared" si="2"/>
        <v>-111.24</v>
      </c>
      <c r="Y39" s="2"/>
      <c r="Z39" s="19">
        <f t="shared" si="3"/>
        <v>-1</v>
      </c>
    </row>
    <row r="40" spans="1:26" s="24" customFormat="1" hidden="1" outlineLevel="1" x14ac:dyDescent="0.25">
      <c r="A40" s="44"/>
      <c r="B40" s="11" t="str">
        <f>CONCATENATE("          ", "4137", " - ", "NON-TAXABLE SALES-WATER")</f>
        <v xml:space="preserve">          4137 - NON-TAXABLE SALES-WATER</v>
      </c>
      <c r="C40" s="11"/>
      <c r="D40" s="2">
        <f t="shared" si="4"/>
        <v>0</v>
      </c>
      <c r="E40" s="2"/>
      <c r="F40" s="19"/>
      <c r="G40" s="2"/>
      <c r="H40" s="2">
        <f>--1327.6</f>
        <v>1327.6</v>
      </c>
      <c r="I40" s="2"/>
      <c r="J40" s="19"/>
      <c r="K40" s="2"/>
      <c r="L40" s="2">
        <f t="shared" si="0"/>
        <v>-1327.6</v>
      </c>
      <c r="M40" s="2"/>
      <c r="N40" s="19">
        <f t="shared" si="1"/>
        <v>-1</v>
      </c>
      <c r="O40" s="11"/>
      <c r="P40" s="2">
        <f t="shared" si="8"/>
        <v>0</v>
      </c>
      <c r="Q40" s="2"/>
      <c r="R40" s="19"/>
      <c r="S40" s="2"/>
      <c r="T40" s="2">
        <f>--7773.06</f>
        <v>7773.06</v>
      </c>
      <c r="U40" s="2"/>
      <c r="V40" s="19"/>
      <c r="W40" s="2"/>
      <c r="X40" s="2">
        <f t="shared" si="2"/>
        <v>-7773.06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"4186", " - ", "NON-TAXABLE SALES-COMPUTER SUP")</f>
        <v xml:space="preserve">          4186 - NON-TAXABLE SALES-COMPUTER SUP</v>
      </c>
      <c r="C41" s="11"/>
      <c r="D41" s="2">
        <f t="shared" si="4"/>
        <v>0</v>
      </c>
      <c r="E41" s="2"/>
      <c r="F41" s="19"/>
      <c r="G41" s="2"/>
      <c r="H41" s="2">
        <f>0</f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 t="shared" si="8"/>
        <v>0</v>
      </c>
      <c r="Q41" s="2"/>
      <c r="R41" s="19"/>
      <c r="S41" s="2"/>
      <c r="T41" s="2">
        <f>-30.97</f>
        <v>-30.97</v>
      </c>
      <c r="U41" s="2"/>
      <c r="V41" s="19"/>
      <c r="W41" s="2"/>
      <c r="X41" s="2">
        <f t="shared" si="2"/>
        <v>30.97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"4225", " - ", "SALES RETURN TAXABLE-TEST FORM")</f>
        <v xml:space="preserve">          4225 - SALES RETURN TAXABLE-TEST FORM</v>
      </c>
      <c r="C42" s="11"/>
      <c r="D42" s="2">
        <f t="shared" si="4"/>
        <v>0</v>
      </c>
      <c r="E42" s="2"/>
      <c r="F42" s="19"/>
      <c r="G42" s="2"/>
      <c r="H42" s="2">
        <f>-33.74</f>
        <v>-33.74</v>
      </c>
      <c r="I42" s="2"/>
      <c r="J42" s="19"/>
      <c r="K42" s="2"/>
      <c r="L42" s="2">
        <f t="shared" si="0"/>
        <v>33.74</v>
      </c>
      <c r="M42" s="2"/>
      <c r="N42" s="19">
        <f t="shared" si="1"/>
        <v>-1</v>
      </c>
      <c r="O42" s="11"/>
      <c r="P42" s="2">
        <f t="shared" si="8"/>
        <v>0</v>
      </c>
      <c r="Q42" s="2"/>
      <c r="R42" s="19"/>
      <c r="S42" s="2"/>
      <c r="T42" s="2">
        <f>-35.13</f>
        <v>-35.130000000000003</v>
      </c>
      <c r="U42" s="2"/>
      <c r="V42" s="19"/>
      <c r="W42" s="2"/>
      <c r="X42" s="2">
        <f t="shared" si="2"/>
        <v>35.130000000000003</v>
      </c>
      <c r="Y42" s="2"/>
      <c r="Z42" s="19">
        <f t="shared" si="3"/>
        <v>-1</v>
      </c>
    </row>
    <row r="43" spans="1:26" s="24" customFormat="1" hidden="1" outlineLevel="1" x14ac:dyDescent="0.25">
      <c r="A43" s="44"/>
      <c r="B43" s="11" t="str">
        <f>CONCATENATE("          ", "4226", " - ", "SALES RETURN TAXABLE-WRITING I")</f>
        <v xml:space="preserve">          4226 - SALES RETURN TAXABLE-WRITING I</v>
      </c>
      <c r="C43" s="11"/>
      <c r="D43" s="2">
        <f t="shared" si="4"/>
        <v>0</v>
      </c>
      <c r="E43" s="2"/>
      <c r="F43" s="19"/>
      <c r="G43" s="2"/>
      <c r="H43" s="2">
        <f t="shared" ref="H43:H44" si="9">0</f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 t="shared" si="8"/>
        <v>0</v>
      </c>
      <c r="Q43" s="2"/>
      <c r="R43" s="19"/>
      <c r="S43" s="2"/>
      <c r="T43" s="2">
        <f>-8.76</f>
        <v>-8.76</v>
      </c>
      <c r="U43" s="2"/>
      <c r="V43" s="19"/>
      <c r="W43" s="2"/>
      <c r="X43" s="2">
        <f t="shared" si="2"/>
        <v>8.76</v>
      </c>
      <c r="Y43" s="2"/>
      <c r="Z43" s="19">
        <f t="shared" si="3"/>
        <v>-1</v>
      </c>
    </row>
    <row r="44" spans="1:26" s="24" customFormat="1" hidden="1" outlineLevel="1" x14ac:dyDescent="0.25">
      <c r="A44" s="44"/>
      <c r="B44" s="11" t="str">
        <f>CONCATENATE("          ", "4227", " - ", "SALES RETURN TAXABLE-SCHOOL SU")</f>
        <v xml:space="preserve">          4227 - SALES RETURN TAXABLE-SCHOOL SU</v>
      </c>
      <c r="C44" s="11"/>
      <c r="D44" s="2">
        <f t="shared" si="4"/>
        <v>0</v>
      </c>
      <c r="E44" s="2"/>
      <c r="F44" s="19"/>
      <c r="G44" s="2"/>
      <c r="H44" s="2">
        <f t="shared" si="9"/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-159.97</f>
        <v>-159.97</v>
      </c>
      <c r="Q44" s="2"/>
      <c r="R44" s="19"/>
      <c r="S44" s="2"/>
      <c r="T44" s="2">
        <f>-42.06</f>
        <v>-42.06</v>
      </c>
      <c r="U44" s="2"/>
      <c r="V44" s="19"/>
      <c r="W44" s="2"/>
      <c r="X44" s="2">
        <f t="shared" si="2"/>
        <v>-117.91</v>
      </c>
      <c r="Y44" s="2"/>
      <c r="Z44" s="19">
        <f t="shared" si="3"/>
        <v>2.8033761293390391</v>
      </c>
    </row>
    <row r="45" spans="1:26" s="24" customFormat="1" hidden="1" outlineLevel="1" x14ac:dyDescent="0.25">
      <c r="A45" s="44"/>
      <c r="B45" s="11" t="str">
        <f>CONCATENATE("          ", "4228", " - ", "SALES RETURN TAXABLE-ART/TECH")</f>
        <v xml:space="preserve">          4228 - SALES RETURN TAXABLE-ART/TECH</v>
      </c>
      <c r="C45" s="11"/>
      <c r="D45" s="2">
        <f t="shared" si="4"/>
        <v>0</v>
      </c>
      <c r="E45" s="2"/>
      <c r="F45" s="19"/>
      <c r="G45" s="2"/>
      <c r="H45" s="2">
        <f>-665.49</f>
        <v>-665.49</v>
      </c>
      <c r="I45" s="2"/>
      <c r="J45" s="19"/>
      <c r="K45" s="2"/>
      <c r="L45" s="2">
        <f t="shared" si="0"/>
        <v>665.49</v>
      </c>
      <c r="M45" s="2"/>
      <c r="N45" s="19">
        <f t="shared" si="1"/>
        <v>-1</v>
      </c>
      <c r="O45" s="11"/>
      <c r="P45" s="2">
        <f>-222.2</f>
        <v>-222.2</v>
      </c>
      <c r="Q45" s="2"/>
      <c r="R45" s="19"/>
      <c r="S45" s="2"/>
      <c r="T45" s="2">
        <f>-4339.94</f>
        <v>-4339.9399999999996</v>
      </c>
      <c r="U45" s="2"/>
      <c r="V45" s="19"/>
      <c r="W45" s="2"/>
      <c r="X45" s="2">
        <f t="shared" si="2"/>
        <v>4117.74</v>
      </c>
      <c r="Y45" s="2"/>
      <c r="Z45" s="19">
        <f t="shared" si="3"/>
        <v>-0.94880113549956913</v>
      </c>
    </row>
    <row r="46" spans="1:26" s="24" customFormat="1" hidden="1" outlineLevel="1" x14ac:dyDescent="0.25">
      <c r="A46" s="44"/>
      <c r="B46" s="11" t="str">
        <f>CONCATENATE("          ", "4233", " - ", "SALES RETURN TAXABLE-CANDY")</f>
        <v xml:space="preserve">          4233 - SALES RETURN TAXABLE-CANDY</v>
      </c>
      <c r="C46" s="11"/>
      <c r="D46" s="2">
        <f t="shared" si="4"/>
        <v>0</v>
      </c>
      <c r="E46" s="2"/>
      <c r="F46" s="19"/>
      <c r="G46" s="2"/>
      <c r="H46" s="2">
        <f t="shared" ref="H46:H47" si="10">0</f>
        <v>0</v>
      </c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 t="shared" ref="P46:P49" si="11">0</f>
        <v>0</v>
      </c>
      <c r="Q46" s="2"/>
      <c r="R46" s="19"/>
      <c r="S46" s="2"/>
      <c r="T46" s="2">
        <f>-1.29</f>
        <v>-1.29</v>
      </c>
      <c r="U46" s="2"/>
      <c r="V46" s="19"/>
      <c r="W46" s="2"/>
      <c r="X46" s="2">
        <f t="shared" si="2"/>
        <v>1.29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"4281", " - ", "SALES RETURN TAXABLE-ELECTRONI")</f>
        <v xml:space="preserve">          4281 - SALES RETURN TAXABLE-ELECTRONI</v>
      </c>
      <c r="C47" s="11"/>
      <c r="D47" s="2">
        <f t="shared" si="4"/>
        <v>0</v>
      </c>
      <c r="E47" s="2"/>
      <c r="F47" s="19"/>
      <c r="G47" s="2"/>
      <c r="H47" s="2">
        <f t="shared" si="10"/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 t="shared" si="11"/>
        <v>0</v>
      </c>
      <c r="Q47" s="2"/>
      <c r="R47" s="19"/>
      <c r="S47" s="2"/>
      <c r="T47" s="2">
        <f>-54.97</f>
        <v>-54.97</v>
      </c>
      <c r="U47" s="2"/>
      <c r="V47" s="19"/>
      <c r="W47" s="2"/>
      <c r="X47" s="2">
        <f t="shared" si="2"/>
        <v>54.97</v>
      </c>
      <c r="Y47" s="2"/>
      <c r="Z47" s="19">
        <f t="shared" si="3"/>
        <v>-1</v>
      </c>
    </row>
    <row r="48" spans="1:26" s="24" customFormat="1" hidden="1" outlineLevel="1" x14ac:dyDescent="0.25">
      <c r="A48" s="44"/>
      <c r="B48" s="11" t="str">
        <f>CONCATENATE("          ", "4331", " - ", "SALES RETURN NON TAXABLE-FOOD")</f>
        <v xml:space="preserve">          4331 - SALES RETURN NON TAXABLE-FOOD</v>
      </c>
      <c r="C48" s="11"/>
      <c r="D48" s="2">
        <f t="shared" si="4"/>
        <v>0</v>
      </c>
      <c r="E48" s="2"/>
      <c r="F48" s="19"/>
      <c r="G48" s="2"/>
      <c r="H48" s="2">
        <f>-7.58</f>
        <v>-7.58</v>
      </c>
      <c r="I48" s="2"/>
      <c r="J48" s="19"/>
      <c r="K48" s="2"/>
      <c r="L48" s="2">
        <f t="shared" si="0"/>
        <v>7.58</v>
      </c>
      <c r="M48" s="2"/>
      <c r="N48" s="19">
        <f t="shared" si="1"/>
        <v>-1</v>
      </c>
      <c r="O48" s="11"/>
      <c r="P48" s="2">
        <f t="shared" si="11"/>
        <v>0</v>
      </c>
      <c r="Q48" s="2"/>
      <c r="R48" s="19"/>
      <c r="S48" s="2"/>
      <c r="T48" s="2">
        <f>-7.58</f>
        <v>-7.58</v>
      </c>
      <c r="U48" s="2"/>
      <c r="V48" s="19"/>
      <c r="W48" s="2"/>
      <c r="X48" s="2">
        <f t="shared" si="2"/>
        <v>7.58</v>
      </c>
      <c r="Y48" s="2"/>
      <c r="Z48" s="19">
        <f t="shared" si="3"/>
        <v>-1</v>
      </c>
    </row>
    <row r="49" spans="1:26" s="24" customFormat="1" hidden="1" outlineLevel="1" x14ac:dyDescent="0.25">
      <c r="A49" s="44"/>
      <c r="B49" s="11" t="str">
        <f>CONCATENATE("          ", "4332", " - ", "SALES RETURN NON TAXABLE-JUICE")</f>
        <v xml:space="preserve">          4332 - SALES RETURN NON TAXABLE-JUICE</v>
      </c>
      <c r="C49" s="11"/>
      <c r="D49" s="2">
        <f t="shared" si="4"/>
        <v>0</v>
      </c>
      <c r="E49" s="2"/>
      <c r="F49" s="19"/>
      <c r="G49" s="2"/>
      <c r="H49" s="2">
        <f>-2.79</f>
        <v>-2.79</v>
      </c>
      <c r="I49" s="2"/>
      <c r="J49" s="19"/>
      <c r="K49" s="2"/>
      <c r="L49" s="2">
        <f t="shared" si="0"/>
        <v>2.79</v>
      </c>
      <c r="M49" s="2"/>
      <c r="N49" s="19">
        <f t="shared" si="1"/>
        <v>-1</v>
      </c>
      <c r="O49" s="11"/>
      <c r="P49" s="2">
        <f t="shared" si="11"/>
        <v>0</v>
      </c>
      <c r="Q49" s="2"/>
      <c r="R49" s="19"/>
      <c r="S49" s="2"/>
      <c r="T49" s="2">
        <f>-2.79</f>
        <v>-2.79</v>
      </c>
      <c r="U49" s="2"/>
      <c r="V49" s="19"/>
      <c r="W49" s="2"/>
      <c r="X49" s="2">
        <f t="shared" si="2"/>
        <v>2.79</v>
      </c>
      <c r="Y49" s="2"/>
      <c r="Z49" s="19">
        <f t="shared" si="3"/>
        <v>-1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collapsed="1" x14ac:dyDescent="0.25">
      <c r="A51" s="10"/>
      <c r="B51" s="28" t="s">
        <v>8</v>
      </c>
      <c r="C51" s="10"/>
      <c r="D51" s="4">
        <f>SUM(OSRRefD16x_0)</f>
        <v>12.76</v>
      </c>
      <c r="E51" s="4"/>
      <c r="F51" s="12">
        <f t="shared" ref="F51:F71" si="12">IF(D$12=0,0,D51/D$12)</f>
        <v>0</v>
      </c>
      <c r="G51" s="4"/>
      <c r="H51" s="4">
        <f>SUM(OSRRefH16x_0)</f>
        <v>33243.93</v>
      </c>
      <c r="I51" s="4"/>
      <c r="J51" s="12">
        <f t="shared" ref="J51:J71" si="13">IF(H$12=0,0,H51/H$12)</f>
        <v>0.52509031623000646</v>
      </c>
      <c r="K51" s="4"/>
      <c r="L51" s="4">
        <f t="shared" ref="L51:L71" si="14">+D51-H51</f>
        <v>-33231.17</v>
      </c>
      <c r="M51" s="4"/>
      <c r="N51" s="12">
        <f t="shared" ref="N51:N71" si="15">IF(H51=0,0,L51/H51)</f>
        <v>-0.99961617053098106</v>
      </c>
      <c r="O51" s="10"/>
      <c r="P51" s="4">
        <f>SUM(OSRRefP16x_0)</f>
        <v>13743.019999999993</v>
      </c>
      <c r="Q51" s="4"/>
      <c r="R51" s="12">
        <f t="shared" ref="R51:R71" si="16">IF(P$12=0,0,P51/P$12)</f>
        <v>0.64485133202451939</v>
      </c>
      <c r="S51" s="4"/>
      <c r="T51" s="4">
        <f>SUM(OSRRefT16x_0)</f>
        <v>202025.24</v>
      </c>
      <c r="U51" s="4"/>
      <c r="V51" s="12">
        <f t="shared" ref="V51:V71" si="17">IF(T$12=0,0,T51/T$12)</f>
        <v>0.52569149719570818</v>
      </c>
      <c r="W51" s="4"/>
      <c r="X51" s="4">
        <f t="shared" ref="X51:X71" si="18">+P51-T51</f>
        <v>-188282.22</v>
      </c>
      <c r="Y51" s="4"/>
      <c r="Z51" s="12">
        <f t="shared" ref="Z51:Z71" si="19">IF(T51=0,0,X51/T51)</f>
        <v>-0.93197374743868644</v>
      </c>
    </row>
    <row r="52" spans="1:26" s="24" customFormat="1" hidden="1" outlineLevel="1" x14ac:dyDescent="0.25">
      <c r="A52" s="44"/>
      <c r="B52" s="11" t="str">
        <f>CONCATENATE("          ", "5014", " - ", "PURCHASES @ COST-REMAINDERS")</f>
        <v xml:space="preserve">          5014 - PURCHASES @ COST-REMAINDERS</v>
      </c>
      <c r="C52" s="11"/>
      <c r="D52" s="2"/>
      <c r="E52" s="2"/>
      <c r="F52" s="19">
        <f t="shared" si="12"/>
        <v>0</v>
      </c>
      <c r="G52" s="2"/>
      <c r="H52" s="2"/>
      <c r="I52" s="2"/>
      <c r="J52" s="19">
        <f t="shared" si="13"/>
        <v>0</v>
      </c>
      <c r="K52" s="2"/>
      <c r="L52" s="2">
        <f t="shared" si="14"/>
        <v>0</v>
      </c>
      <c r="M52" s="2"/>
      <c r="N52" s="19">
        <f t="shared" si="15"/>
        <v>0</v>
      </c>
      <c r="O52" s="11"/>
      <c r="P52" s="2"/>
      <c r="Q52" s="2"/>
      <c r="R52" s="19">
        <f t="shared" si="16"/>
        <v>0</v>
      </c>
      <c r="S52" s="2"/>
      <c r="T52" s="2">
        <v>14.46</v>
      </c>
      <c r="U52" s="2"/>
      <c r="V52" s="19">
        <f t="shared" si="17"/>
        <v>3.7626481965569954E-5</v>
      </c>
      <c r="W52" s="2"/>
      <c r="X52" s="2">
        <f t="shared" si="18"/>
        <v>-14.46</v>
      </c>
      <c r="Y52" s="2"/>
      <c r="Z52" s="19">
        <f t="shared" si="19"/>
        <v>-1</v>
      </c>
    </row>
    <row r="53" spans="1:26" s="24" customFormat="1" hidden="1" outlineLevel="1" x14ac:dyDescent="0.25">
      <c r="A53" s="44"/>
      <c r="B53" s="11" t="str">
        <f>CONCATENATE("          ", "5025", " - ", "PURCHASES @ COST-TEST FORMS")</f>
        <v xml:space="preserve">          5025 - PURCHASES @ COST-TEST FORMS</v>
      </c>
      <c r="C53" s="11"/>
      <c r="D53" s="2"/>
      <c r="E53" s="2"/>
      <c r="F53" s="19">
        <f t="shared" si="12"/>
        <v>0</v>
      </c>
      <c r="G53" s="2"/>
      <c r="H53" s="2">
        <v>182.82</v>
      </c>
      <c r="I53" s="2"/>
      <c r="J53" s="19">
        <f t="shared" si="13"/>
        <v>2.8876553287523403E-3</v>
      </c>
      <c r="K53" s="2"/>
      <c r="L53" s="2">
        <f t="shared" si="14"/>
        <v>-182.82</v>
      </c>
      <c r="M53" s="2"/>
      <c r="N53" s="19">
        <f t="shared" si="15"/>
        <v>-1</v>
      </c>
      <c r="O53" s="11"/>
      <c r="P53" s="2"/>
      <c r="Q53" s="2"/>
      <c r="R53" s="19">
        <f t="shared" si="16"/>
        <v>0</v>
      </c>
      <c r="S53" s="2"/>
      <c r="T53" s="2">
        <v>688.18</v>
      </c>
      <c r="U53" s="2"/>
      <c r="V53" s="19">
        <f t="shared" si="17"/>
        <v>1.7907186970308386E-3</v>
      </c>
      <c r="W53" s="2"/>
      <c r="X53" s="2">
        <f t="shared" si="18"/>
        <v>-688.18</v>
      </c>
      <c r="Y53" s="2"/>
      <c r="Z53" s="19">
        <f t="shared" si="19"/>
        <v>-1</v>
      </c>
    </row>
    <row r="54" spans="1:26" s="24" customFormat="1" hidden="1" outlineLevel="1" x14ac:dyDescent="0.25">
      <c r="A54" s="44"/>
      <c r="B54" s="11" t="str">
        <f>CONCATENATE("          ", "5026", " - ", "PURCHASES @ COST-WRITING INSTR")</f>
        <v xml:space="preserve">          5026 - PURCHASES @ COST-WRITING INSTR</v>
      </c>
      <c r="C54" s="11"/>
      <c r="D54" s="2"/>
      <c r="E54" s="2"/>
      <c r="F54" s="19">
        <f t="shared" si="12"/>
        <v>0</v>
      </c>
      <c r="G54" s="2"/>
      <c r="H54" s="2">
        <v>427.41</v>
      </c>
      <c r="I54" s="2"/>
      <c r="J54" s="19">
        <f t="shared" si="13"/>
        <v>6.7509723447217911E-3</v>
      </c>
      <c r="K54" s="2"/>
      <c r="L54" s="2">
        <f t="shared" si="14"/>
        <v>-427.41</v>
      </c>
      <c r="M54" s="2"/>
      <c r="N54" s="19">
        <f t="shared" si="15"/>
        <v>-1</v>
      </c>
      <c r="O54" s="11"/>
      <c r="P54" s="2">
        <v>364.91</v>
      </c>
      <c r="Q54" s="2"/>
      <c r="R54" s="19">
        <f t="shared" si="16"/>
        <v>1.7122342801587094E-2</v>
      </c>
      <c r="S54" s="2"/>
      <c r="T54" s="2">
        <v>4258.2</v>
      </c>
      <c r="U54" s="2"/>
      <c r="V54" s="19">
        <f t="shared" si="17"/>
        <v>1.1080296369695018E-2</v>
      </c>
      <c r="W54" s="2"/>
      <c r="X54" s="2">
        <f t="shared" si="18"/>
        <v>-3893.29</v>
      </c>
      <c r="Y54" s="2"/>
      <c r="Z54" s="19">
        <f t="shared" si="19"/>
        <v>-0.91430416607956422</v>
      </c>
    </row>
    <row r="55" spans="1:26" s="24" customFormat="1" hidden="1" outlineLevel="1" x14ac:dyDescent="0.25">
      <c r="A55" s="44"/>
      <c r="B55" s="11" t="str">
        <f>CONCATENATE("          ", "5027", " - ", "PURCHASES @ COST-SCHOOL SUPPLI")</f>
        <v xml:space="preserve">          5027 - PURCHASES @ COST-SCHOOL SUPPLI</v>
      </c>
      <c r="C55" s="11"/>
      <c r="D55" s="2"/>
      <c r="E55" s="2"/>
      <c r="F55" s="19">
        <f t="shared" si="12"/>
        <v>0</v>
      </c>
      <c r="G55" s="2"/>
      <c r="H55" s="2">
        <v>795.95</v>
      </c>
      <c r="I55" s="2"/>
      <c r="J55" s="19">
        <f t="shared" si="13"/>
        <v>1.257208871524136E-2</v>
      </c>
      <c r="K55" s="2"/>
      <c r="L55" s="2">
        <f t="shared" si="14"/>
        <v>-795.95</v>
      </c>
      <c r="M55" s="2"/>
      <c r="N55" s="19">
        <f t="shared" si="15"/>
        <v>-1</v>
      </c>
      <c r="O55" s="11"/>
      <c r="P55" s="2">
        <v>895.47</v>
      </c>
      <c r="Q55" s="2"/>
      <c r="R55" s="19">
        <f t="shared" si="16"/>
        <v>4.201733114613794E-2</v>
      </c>
      <c r="S55" s="2"/>
      <c r="T55" s="2">
        <v>3847.27</v>
      </c>
      <c r="U55" s="2"/>
      <c r="V55" s="19">
        <f t="shared" si="17"/>
        <v>1.0011012121139577E-2</v>
      </c>
      <c r="W55" s="2"/>
      <c r="X55" s="2">
        <f t="shared" si="18"/>
        <v>-2951.8</v>
      </c>
      <c r="Y55" s="2"/>
      <c r="Z55" s="19">
        <f t="shared" si="19"/>
        <v>-0.76724534540076472</v>
      </c>
    </row>
    <row r="56" spans="1:26" s="24" customFormat="1" hidden="1" outlineLevel="1" x14ac:dyDescent="0.25">
      <c r="A56" s="44"/>
      <c r="B56" s="11" t="str">
        <f>CONCATENATE("          ", "5028", " - ", "PURCHASES @ COST-ART/TECH")</f>
        <v xml:space="preserve">          5028 - PURCHASES @ COST-ART/TECH</v>
      </c>
      <c r="C56" s="11"/>
      <c r="D56" s="2"/>
      <c r="E56" s="2"/>
      <c r="F56" s="19">
        <f t="shared" si="12"/>
        <v>0</v>
      </c>
      <c r="G56" s="2"/>
      <c r="H56" s="2">
        <v>10711.49</v>
      </c>
      <c r="I56" s="2"/>
      <c r="J56" s="19">
        <f t="shared" si="13"/>
        <v>0.16918877134546223</v>
      </c>
      <c r="K56" s="2"/>
      <c r="L56" s="2">
        <f t="shared" si="14"/>
        <v>-10711.49</v>
      </c>
      <c r="M56" s="2"/>
      <c r="N56" s="19">
        <f t="shared" si="15"/>
        <v>-1</v>
      </c>
      <c r="O56" s="11"/>
      <c r="P56" s="2">
        <v>41441.85</v>
      </c>
      <c r="Q56" s="2"/>
      <c r="R56" s="19">
        <f t="shared" si="16"/>
        <v>1.9445385493188789</v>
      </c>
      <c r="S56" s="2"/>
      <c r="T56" s="2">
        <v>140841.54999999999</v>
      </c>
      <c r="U56" s="2"/>
      <c r="V56" s="19">
        <f t="shared" si="17"/>
        <v>0.36648492676887401</v>
      </c>
      <c r="W56" s="2"/>
      <c r="X56" s="2">
        <f t="shared" si="18"/>
        <v>-99399.699999999983</v>
      </c>
      <c r="Y56" s="2"/>
      <c r="Z56" s="19">
        <f t="shared" si="19"/>
        <v>-0.70575551035898132</v>
      </c>
    </row>
    <row r="57" spans="1:26" s="24" customFormat="1" hidden="1" outlineLevel="1" x14ac:dyDescent="0.25">
      <c r="A57" s="44"/>
      <c r="B57" s="11" t="str">
        <f>CONCATENATE("          ", "5031", " - ", "PURCHASES @ COST-FOOD")</f>
        <v xml:space="preserve">          5031 - PURCHASES @ COST-FOOD</v>
      </c>
      <c r="C57" s="11"/>
      <c r="D57" s="2"/>
      <c r="E57" s="2"/>
      <c r="F57" s="19">
        <f t="shared" si="12"/>
        <v>0</v>
      </c>
      <c r="G57" s="2"/>
      <c r="H57" s="2">
        <v>5129.0200000000004</v>
      </c>
      <c r="I57" s="2"/>
      <c r="J57" s="19">
        <f t="shared" si="13"/>
        <v>8.1013247644006831E-2</v>
      </c>
      <c r="K57" s="2"/>
      <c r="L57" s="2">
        <f t="shared" si="14"/>
        <v>-5129.0200000000004</v>
      </c>
      <c r="M57" s="2"/>
      <c r="N57" s="19">
        <f t="shared" si="15"/>
        <v>-1</v>
      </c>
      <c r="O57" s="11"/>
      <c r="P57" s="2">
        <v>2441.5700000000002</v>
      </c>
      <c r="Q57" s="2"/>
      <c r="R57" s="19">
        <f t="shared" si="16"/>
        <v>0.11456358695040149</v>
      </c>
      <c r="S57" s="2"/>
      <c r="T57" s="2">
        <v>29636.32</v>
      </c>
      <c r="U57" s="2"/>
      <c r="V57" s="19">
        <f t="shared" si="17"/>
        <v>7.7116905947846467E-2</v>
      </c>
      <c r="W57" s="2"/>
      <c r="X57" s="2">
        <f t="shared" si="18"/>
        <v>-27194.75</v>
      </c>
      <c r="Y57" s="2"/>
      <c r="Z57" s="19">
        <f t="shared" si="19"/>
        <v>-0.91761561489415688</v>
      </c>
    </row>
    <row r="58" spans="1:26" s="24" customFormat="1" hidden="1" outlineLevel="1" x14ac:dyDescent="0.25">
      <c r="A58" s="44"/>
      <c r="B58" s="11" t="str">
        <f>CONCATENATE("          ", "5032", " - ", "PURCHASES @ COST-JUICE")</f>
        <v xml:space="preserve">          5032 - PURCHASES @ COST-JUICE</v>
      </c>
      <c r="C58" s="11"/>
      <c r="D58" s="2"/>
      <c r="E58" s="2"/>
      <c r="F58" s="19">
        <f t="shared" si="12"/>
        <v>0</v>
      </c>
      <c r="G58" s="2"/>
      <c r="H58" s="2">
        <v>1720.97</v>
      </c>
      <c r="I58" s="2"/>
      <c r="J58" s="19">
        <f t="shared" si="13"/>
        <v>2.7182847561114293E-2</v>
      </c>
      <c r="K58" s="2"/>
      <c r="L58" s="2">
        <f t="shared" si="14"/>
        <v>-1720.97</v>
      </c>
      <c r="M58" s="2"/>
      <c r="N58" s="19">
        <f t="shared" si="15"/>
        <v>-1</v>
      </c>
      <c r="O58" s="11"/>
      <c r="P58" s="2"/>
      <c r="Q58" s="2"/>
      <c r="R58" s="19">
        <f t="shared" si="16"/>
        <v>0</v>
      </c>
      <c r="S58" s="2"/>
      <c r="T58" s="2">
        <v>7113.48</v>
      </c>
      <c r="U58" s="2"/>
      <c r="V58" s="19">
        <f t="shared" si="17"/>
        <v>1.8510043356323825E-2</v>
      </c>
      <c r="W58" s="2"/>
      <c r="X58" s="2">
        <f t="shared" si="18"/>
        <v>-7113.48</v>
      </c>
      <c r="Y58" s="2"/>
      <c r="Z58" s="19">
        <f t="shared" si="19"/>
        <v>-1</v>
      </c>
    </row>
    <row r="59" spans="1:26" s="24" customFormat="1" hidden="1" outlineLevel="1" x14ac:dyDescent="0.25">
      <c r="A59" s="44"/>
      <c r="B59" s="11" t="str">
        <f>CONCATENATE("          ", "5033", " - ", "PURCHASES @ COST-CANDY")</f>
        <v xml:space="preserve">          5033 - PURCHASES @ COST-CANDY</v>
      </c>
      <c r="C59" s="11"/>
      <c r="D59" s="2"/>
      <c r="E59" s="2"/>
      <c r="F59" s="19">
        <f t="shared" si="12"/>
        <v>0</v>
      </c>
      <c r="G59" s="2"/>
      <c r="H59" s="2">
        <v>1592.94</v>
      </c>
      <c r="I59" s="2"/>
      <c r="J59" s="19">
        <f t="shared" si="13"/>
        <v>2.5160604306874265E-2</v>
      </c>
      <c r="K59" s="2"/>
      <c r="L59" s="2">
        <f t="shared" si="14"/>
        <v>-1592.94</v>
      </c>
      <c r="M59" s="2"/>
      <c r="N59" s="19">
        <f t="shared" si="15"/>
        <v>-1</v>
      </c>
      <c r="O59" s="11"/>
      <c r="P59" s="2"/>
      <c r="Q59" s="2"/>
      <c r="R59" s="19">
        <f t="shared" si="16"/>
        <v>0</v>
      </c>
      <c r="S59" s="2"/>
      <c r="T59" s="2">
        <v>8185.34</v>
      </c>
      <c r="U59" s="2"/>
      <c r="V59" s="19">
        <f t="shared" si="17"/>
        <v>2.1299138858371945E-2</v>
      </c>
      <c r="W59" s="2"/>
      <c r="X59" s="2">
        <f t="shared" si="18"/>
        <v>-8185.34</v>
      </c>
      <c r="Y59" s="2"/>
      <c r="Z59" s="19">
        <f t="shared" si="19"/>
        <v>-1</v>
      </c>
    </row>
    <row r="60" spans="1:26" s="24" customFormat="1" hidden="1" outlineLevel="1" x14ac:dyDescent="0.25">
      <c r="A60" s="44"/>
      <c r="B60" s="11" t="str">
        <f>CONCATENATE("          ", "5034", " - ", "PURCHASES @ COST-SODA")</f>
        <v xml:space="preserve">          5034 - PURCHASES @ COST-SODA</v>
      </c>
      <c r="C60" s="11"/>
      <c r="D60" s="2"/>
      <c r="E60" s="2"/>
      <c r="F60" s="19">
        <f t="shared" si="12"/>
        <v>0</v>
      </c>
      <c r="G60" s="2"/>
      <c r="H60" s="2">
        <v>1637.93</v>
      </c>
      <c r="I60" s="2"/>
      <c r="J60" s="19">
        <f t="shared" si="13"/>
        <v>2.5871224661543162E-2</v>
      </c>
      <c r="K60" s="2"/>
      <c r="L60" s="2">
        <f t="shared" si="14"/>
        <v>-1637.93</v>
      </c>
      <c r="M60" s="2"/>
      <c r="N60" s="19">
        <f t="shared" si="15"/>
        <v>-1</v>
      </c>
      <c r="O60" s="11"/>
      <c r="P60" s="2"/>
      <c r="Q60" s="2"/>
      <c r="R60" s="19">
        <f t="shared" si="16"/>
        <v>0</v>
      </c>
      <c r="S60" s="2"/>
      <c r="T60" s="2">
        <v>3762.09</v>
      </c>
      <c r="U60" s="2"/>
      <c r="V60" s="19">
        <f t="shared" si="17"/>
        <v>9.7893645600173624E-3</v>
      </c>
      <c r="W60" s="2"/>
      <c r="X60" s="2">
        <f t="shared" si="18"/>
        <v>-3762.09</v>
      </c>
      <c r="Y60" s="2"/>
      <c r="Z60" s="19">
        <f t="shared" si="19"/>
        <v>-1</v>
      </c>
    </row>
    <row r="61" spans="1:26" s="24" customFormat="1" hidden="1" outlineLevel="1" x14ac:dyDescent="0.25">
      <c r="A61" s="44"/>
      <c r="B61" s="11" t="str">
        <f>CONCATENATE("          ", "5035", " - ", "PURCHASES @ COST-HEALTH &amp; BEAU")</f>
        <v xml:space="preserve">          5035 - PURCHASES @ COST-HEALTH &amp; BEAU</v>
      </c>
      <c r="C61" s="11"/>
      <c r="D61" s="2"/>
      <c r="E61" s="2"/>
      <c r="F61" s="19">
        <f t="shared" si="12"/>
        <v>0</v>
      </c>
      <c r="G61" s="2"/>
      <c r="H61" s="2">
        <v>198.47</v>
      </c>
      <c r="I61" s="2"/>
      <c r="J61" s="19">
        <f t="shared" si="13"/>
        <v>3.1348482282982002E-3</v>
      </c>
      <c r="K61" s="2"/>
      <c r="L61" s="2">
        <f t="shared" si="14"/>
        <v>-198.47</v>
      </c>
      <c r="M61" s="2"/>
      <c r="N61" s="19">
        <f t="shared" si="15"/>
        <v>-1</v>
      </c>
      <c r="O61" s="11"/>
      <c r="P61" s="2"/>
      <c r="Q61" s="2"/>
      <c r="R61" s="19">
        <f t="shared" si="16"/>
        <v>0</v>
      </c>
      <c r="S61" s="2"/>
      <c r="T61" s="2">
        <v>1019.42</v>
      </c>
      <c r="U61" s="2"/>
      <c r="V61" s="19">
        <f t="shared" si="17"/>
        <v>2.6526409574924837E-3</v>
      </c>
      <c r="W61" s="2"/>
      <c r="X61" s="2">
        <f t="shared" si="18"/>
        <v>-1019.42</v>
      </c>
      <c r="Y61" s="2"/>
      <c r="Z61" s="19">
        <f t="shared" si="19"/>
        <v>-1</v>
      </c>
    </row>
    <row r="62" spans="1:26" s="24" customFormat="1" hidden="1" outlineLevel="1" x14ac:dyDescent="0.25">
      <c r="A62" s="44"/>
      <c r="B62" s="11" t="str">
        <f>CONCATENATE("          ", "5037", " - ", "PURCHASES @ COST-WATER")</f>
        <v xml:space="preserve">          5037 - PURCHASES @ COST-WATER</v>
      </c>
      <c r="C62" s="11"/>
      <c r="D62" s="2"/>
      <c r="E62" s="2"/>
      <c r="F62" s="19">
        <f t="shared" si="12"/>
        <v>0</v>
      </c>
      <c r="G62" s="2"/>
      <c r="H62" s="2">
        <v>1540.46</v>
      </c>
      <c r="I62" s="2"/>
      <c r="J62" s="19">
        <f t="shared" si="13"/>
        <v>2.433167885203933E-2</v>
      </c>
      <c r="K62" s="2"/>
      <c r="L62" s="2">
        <f t="shared" si="14"/>
        <v>-1540.46</v>
      </c>
      <c r="M62" s="2"/>
      <c r="N62" s="19">
        <f t="shared" si="15"/>
        <v>-1</v>
      </c>
      <c r="O62" s="11"/>
      <c r="P62" s="2"/>
      <c r="Q62" s="2"/>
      <c r="R62" s="19">
        <f t="shared" si="16"/>
        <v>0</v>
      </c>
      <c r="S62" s="2"/>
      <c r="T62" s="2">
        <v>5269.97</v>
      </c>
      <c r="U62" s="2"/>
      <c r="V62" s="19">
        <f t="shared" si="17"/>
        <v>1.3713031200836423E-2</v>
      </c>
      <c r="W62" s="2"/>
      <c r="X62" s="2">
        <f t="shared" si="18"/>
        <v>-5269.97</v>
      </c>
      <c r="Y62" s="2"/>
      <c r="Z62" s="19">
        <f t="shared" si="19"/>
        <v>-1</v>
      </c>
    </row>
    <row r="63" spans="1:26" s="24" customFormat="1" hidden="1" outlineLevel="1" x14ac:dyDescent="0.25">
      <c r="A63" s="44"/>
      <c r="B63" s="11" t="str">
        <f>CONCATENATE("          ", "5081", " - ", "PURCHASES @ COST-ELECTRONICS")</f>
        <v xml:space="preserve">          5081 - PURCHASES @ COST-ELECTRONICS</v>
      </c>
      <c r="C63" s="11"/>
      <c r="D63" s="2"/>
      <c r="E63" s="2"/>
      <c r="F63" s="19">
        <f t="shared" si="12"/>
        <v>0</v>
      </c>
      <c r="G63" s="2"/>
      <c r="H63" s="2"/>
      <c r="I63" s="2"/>
      <c r="J63" s="19">
        <f t="shared" si="13"/>
        <v>0</v>
      </c>
      <c r="K63" s="2"/>
      <c r="L63" s="2">
        <f t="shared" si="14"/>
        <v>0</v>
      </c>
      <c r="M63" s="2"/>
      <c r="N63" s="19">
        <f t="shared" si="15"/>
        <v>0</v>
      </c>
      <c r="O63" s="11"/>
      <c r="P63" s="2"/>
      <c r="Q63" s="2"/>
      <c r="R63" s="19">
        <f t="shared" si="16"/>
        <v>0</v>
      </c>
      <c r="S63" s="2"/>
      <c r="T63" s="2">
        <v>1891.21</v>
      </c>
      <c r="U63" s="2"/>
      <c r="V63" s="19">
        <f t="shared" si="17"/>
        <v>4.9211327080294293E-3</v>
      </c>
      <c r="W63" s="2"/>
      <c r="X63" s="2">
        <f t="shared" si="18"/>
        <v>-1891.21</v>
      </c>
      <c r="Y63" s="2"/>
      <c r="Z63" s="19">
        <f t="shared" si="19"/>
        <v>-1</v>
      </c>
    </row>
    <row r="64" spans="1:26" s="24" customFormat="1" hidden="1" outlineLevel="1" x14ac:dyDescent="0.25">
      <c r="A64" s="44"/>
      <c r="B64" s="11" t="str">
        <f>CONCATENATE("          ", "5082", " - ", "PURCHASES @ COST-COMPUTER HARD")</f>
        <v xml:space="preserve">          5082 - PURCHASES @ COST-COMPUTER HARD</v>
      </c>
      <c r="C64" s="11"/>
      <c r="D64" s="2"/>
      <c r="E64" s="2"/>
      <c r="F64" s="19">
        <f t="shared" si="12"/>
        <v>0</v>
      </c>
      <c r="G64" s="2"/>
      <c r="H64" s="2"/>
      <c r="I64" s="2"/>
      <c r="J64" s="19">
        <f t="shared" si="13"/>
        <v>0</v>
      </c>
      <c r="K64" s="2"/>
      <c r="L64" s="2">
        <f t="shared" si="14"/>
        <v>0</v>
      </c>
      <c r="M64" s="2"/>
      <c r="N64" s="19">
        <f t="shared" si="15"/>
        <v>0</v>
      </c>
      <c r="O64" s="11"/>
      <c r="P64" s="2"/>
      <c r="Q64" s="2"/>
      <c r="R64" s="19">
        <f t="shared" si="16"/>
        <v>0</v>
      </c>
      <c r="S64" s="2"/>
      <c r="T64" s="2">
        <v>349.6</v>
      </c>
      <c r="U64" s="2"/>
      <c r="V64" s="19">
        <f t="shared" si="17"/>
        <v>9.0969696370423619E-4</v>
      </c>
      <c r="W64" s="2"/>
      <c r="X64" s="2">
        <f t="shared" si="18"/>
        <v>-349.6</v>
      </c>
      <c r="Y64" s="2"/>
      <c r="Z64" s="19">
        <f t="shared" si="19"/>
        <v>-1</v>
      </c>
    </row>
    <row r="65" spans="1:26" s="24" customFormat="1" hidden="1" outlineLevel="1" x14ac:dyDescent="0.25">
      <c r="A65" s="44"/>
      <c r="B65" s="11" t="str">
        <f>CONCATENATE("          ", "5083", " - ", "PURCHASES @ COST-COMPUTER EQUI")</f>
        <v xml:space="preserve">          5083 - PURCHASES @ COST-COMPUTER EQUI</v>
      </c>
      <c r="C65" s="11"/>
      <c r="D65" s="2"/>
      <c r="E65" s="2"/>
      <c r="F65" s="19">
        <f t="shared" si="12"/>
        <v>0</v>
      </c>
      <c r="G65" s="2"/>
      <c r="H65" s="2">
        <v>-67.650000000000006</v>
      </c>
      <c r="I65" s="2"/>
      <c r="J65" s="19">
        <f t="shared" si="13"/>
        <v>-1.0685367191231585E-3</v>
      </c>
      <c r="K65" s="2"/>
      <c r="L65" s="2">
        <f t="shared" si="14"/>
        <v>67.650000000000006</v>
      </c>
      <c r="M65" s="2"/>
      <c r="N65" s="19">
        <f t="shared" si="15"/>
        <v>-1</v>
      </c>
      <c r="O65" s="11"/>
      <c r="P65" s="2"/>
      <c r="Q65" s="2"/>
      <c r="R65" s="19">
        <f t="shared" si="16"/>
        <v>0</v>
      </c>
      <c r="S65" s="2"/>
      <c r="T65" s="2">
        <v>304.70999999999998</v>
      </c>
      <c r="U65" s="2"/>
      <c r="V65" s="19">
        <f t="shared" si="17"/>
        <v>7.9288833469770526E-4</v>
      </c>
      <c r="W65" s="2"/>
      <c r="X65" s="2">
        <f t="shared" si="18"/>
        <v>-304.70999999999998</v>
      </c>
      <c r="Y65" s="2"/>
      <c r="Z65" s="19">
        <f t="shared" si="19"/>
        <v>-1</v>
      </c>
    </row>
    <row r="66" spans="1:26" s="24" customFormat="1" hidden="1" outlineLevel="1" x14ac:dyDescent="0.25">
      <c r="A66" s="44"/>
      <c r="B66" s="11" t="str">
        <f>CONCATENATE("          ", "5086", " - ", "PURCHASES @ COST-COMPUTER SUPP")</f>
        <v xml:space="preserve">          5086 - PURCHASES @ COST-COMPUTER SUPP</v>
      </c>
      <c r="C66" s="11"/>
      <c r="D66" s="2"/>
      <c r="E66" s="2"/>
      <c r="F66" s="19">
        <f t="shared" si="12"/>
        <v>0</v>
      </c>
      <c r="G66" s="2"/>
      <c r="H66" s="2">
        <v>9.98</v>
      </c>
      <c r="I66" s="2"/>
      <c r="J66" s="19">
        <f t="shared" si="13"/>
        <v>1.5763483306502766E-4</v>
      </c>
      <c r="K66" s="2"/>
      <c r="L66" s="2">
        <f t="shared" si="14"/>
        <v>-9.98</v>
      </c>
      <c r="M66" s="2"/>
      <c r="N66" s="19">
        <f t="shared" si="15"/>
        <v>-1</v>
      </c>
      <c r="O66" s="11"/>
      <c r="P66" s="2"/>
      <c r="Q66" s="2"/>
      <c r="R66" s="19">
        <f t="shared" si="16"/>
        <v>0</v>
      </c>
      <c r="S66" s="2"/>
      <c r="T66" s="2">
        <v>426.22</v>
      </c>
      <c r="U66" s="2"/>
      <c r="V66" s="19">
        <f t="shared" si="17"/>
        <v>1.1090704801774015E-3</v>
      </c>
      <c r="W66" s="2"/>
      <c r="X66" s="2">
        <f t="shared" si="18"/>
        <v>-426.22</v>
      </c>
      <c r="Y66" s="2"/>
      <c r="Z66" s="19">
        <f t="shared" si="19"/>
        <v>-1</v>
      </c>
    </row>
    <row r="67" spans="1:26" s="24" customFormat="1" hidden="1" outlineLevel="1" x14ac:dyDescent="0.25">
      <c r="A67" s="44"/>
      <c r="B67" s="11" t="str">
        <f>CONCATENATE("          ", "5200", " - ", "PURCHASES OFFSET")</f>
        <v xml:space="preserve">          5200 - PURCHASES OFFSET</v>
      </c>
      <c r="C67" s="11"/>
      <c r="D67" s="2"/>
      <c r="E67" s="2"/>
      <c r="F67" s="19">
        <f t="shared" si="12"/>
        <v>0</v>
      </c>
      <c r="G67" s="2"/>
      <c r="H67" s="2">
        <v>-24246</v>
      </c>
      <c r="I67" s="2"/>
      <c r="J67" s="19">
        <f t="shared" si="13"/>
        <v>-0.3829673509513688</v>
      </c>
      <c r="K67" s="2"/>
      <c r="L67" s="2">
        <f t="shared" si="14"/>
        <v>24246</v>
      </c>
      <c r="M67" s="2"/>
      <c r="N67" s="19">
        <f t="shared" si="15"/>
        <v>-1</v>
      </c>
      <c r="O67" s="11"/>
      <c r="P67" s="2">
        <v>-45863.33</v>
      </c>
      <c r="Q67" s="2"/>
      <c r="R67" s="19">
        <f t="shared" si="16"/>
        <v>-2.1520036674311842</v>
      </c>
      <c r="S67" s="2"/>
      <c r="T67" s="2">
        <v>-209514</v>
      </c>
      <c r="U67" s="2"/>
      <c r="V67" s="19">
        <f t="shared" si="17"/>
        <v>-0.54517805964968347</v>
      </c>
      <c r="W67" s="2"/>
      <c r="X67" s="2">
        <f t="shared" si="18"/>
        <v>163650.66999999998</v>
      </c>
      <c r="Y67" s="2"/>
      <c r="Z67" s="19">
        <f t="shared" si="19"/>
        <v>-0.7810965854310451</v>
      </c>
    </row>
    <row r="68" spans="1:26" s="24" customFormat="1" hidden="1" outlineLevel="1" x14ac:dyDescent="0.25">
      <c r="A68" s="44"/>
      <c r="B68" s="11" t="str">
        <f>CONCATENATE("          ", "5300", " - ", "COG$ OFFSET")</f>
        <v xml:space="preserve">          5300 - COG$ OFFSET</v>
      </c>
      <c r="C68" s="11"/>
      <c r="D68" s="2"/>
      <c r="E68" s="2"/>
      <c r="F68" s="19">
        <f t="shared" si="12"/>
        <v>0</v>
      </c>
      <c r="G68" s="2"/>
      <c r="H68" s="2">
        <v>33242</v>
      </c>
      <c r="I68" s="2"/>
      <c r="J68" s="19">
        <f t="shared" si="13"/>
        <v>0.52505983173824144</v>
      </c>
      <c r="K68" s="2"/>
      <c r="L68" s="2">
        <f t="shared" si="14"/>
        <v>-33242</v>
      </c>
      <c r="M68" s="2"/>
      <c r="N68" s="19">
        <f t="shared" si="15"/>
        <v>-1</v>
      </c>
      <c r="O68" s="11"/>
      <c r="P68" s="2">
        <v>14145</v>
      </c>
      <c r="Q68" s="2"/>
      <c r="R68" s="19">
        <f t="shared" si="16"/>
        <v>0.66371307700103988</v>
      </c>
      <c r="S68" s="2"/>
      <c r="T68" s="2">
        <v>201947</v>
      </c>
      <c r="U68" s="2"/>
      <c r="V68" s="19">
        <f t="shared" si="17"/>
        <v>0.52548790826424308</v>
      </c>
      <c r="W68" s="2"/>
      <c r="X68" s="2">
        <f t="shared" si="18"/>
        <v>-187802</v>
      </c>
      <c r="Y68" s="2"/>
      <c r="Z68" s="19">
        <f t="shared" si="19"/>
        <v>-0.92995686987179804</v>
      </c>
    </row>
    <row r="69" spans="1:26" s="24" customFormat="1" hidden="1" outlineLevel="1" x14ac:dyDescent="0.25">
      <c r="A69" s="44"/>
      <c r="B69" s="11" t="str">
        <f>CONCATENATE("          ", "5500", " - ", "FREIGHT-IN")</f>
        <v xml:space="preserve">          5500 - FREIGHT-IN</v>
      </c>
      <c r="C69" s="11"/>
      <c r="D69" s="2"/>
      <c r="E69" s="2"/>
      <c r="F69" s="19">
        <f t="shared" si="12"/>
        <v>0</v>
      </c>
      <c r="G69" s="2"/>
      <c r="H69" s="2"/>
      <c r="I69" s="2"/>
      <c r="J69" s="19">
        <f t="shared" si="13"/>
        <v>0</v>
      </c>
      <c r="K69" s="2"/>
      <c r="L69" s="2">
        <f t="shared" si="14"/>
        <v>0</v>
      </c>
      <c r="M69" s="2"/>
      <c r="N69" s="19">
        <f t="shared" si="15"/>
        <v>0</v>
      </c>
      <c r="O69" s="11"/>
      <c r="P69" s="2"/>
      <c r="Q69" s="2"/>
      <c r="R69" s="19">
        <f t="shared" si="16"/>
        <v>0</v>
      </c>
      <c r="S69" s="2"/>
      <c r="T69" s="2">
        <v>80</v>
      </c>
      <c r="U69" s="2"/>
      <c r="V69" s="19">
        <f t="shared" si="17"/>
        <v>2.0816864157991672E-4</v>
      </c>
      <c r="W69" s="2"/>
      <c r="X69" s="2">
        <f t="shared" si="18"/>
        <v>-80</v>
      </c>
      <c r="Y69" s="2"/>
      <c r="Z69" s="19">
        <f t="shared" si="19"/>
        <v>-1</v>
      </c>
    </row>
    <row r="70" spans="1:26" s="24" customFormat="1" hidden="1" outlineLevel="1" x14ac:dyDescent="0.25">
      <c r="A70" s="44"/>
      <c r="B70" s="11" t="str">
        <f>CONCATENATE("          ", "5527", " - ", "FREIGHT-IN-SCHOOL SUPPLIES")</f>
        <v xml:space="preserve">          5527 - FREIGHT-IN-SCHOOL SUPPLIES</v>
      </c>
      <c r="C70" s="11"/>
      <c r="D70" s="2"/>
      <c r="E70" s="2"/>
      <c r="F70" s="19">
        <f t="shared" si="12"/>
        <v>0</v>
      </c>
      <c r="G70" s="2"/>
      <c r="H70" s="2">
        <v>203.35</v>
      </c>
      <c r="I70" s="2"/>
      <c r="J70" s="19">
        <f t="shared" si="13"/>
        <v>3.2119281867508389E-3</v>
      </c>
      <c r="K70" s="2"/>
      <c r="L70" s="2">
        <f t="shared" si="14"/>
        <v>-203.35</v>
      </c>
      <c r="M70" s="2"/>
      <c r="N70" s="19">
        <f t="shared" si="15"/>
        <v>-1</v>
      </c>
      <c r="O70" s="11"/>
      <c r="P70" s="2"/>
      <c r="Q70" s="2"/>
      <c r="R70" s="19">
        <f t="shared" si="16"/>
        <v>0</v>
      </c>
      <c r="S70" s="2"/>
      <c r="T70" s="2">
        <v>464.88</v>
      </c>
      <c r="U70" s="2"/>
      <c r="V70" s="19">
        <f t="shared" si="17"/>
        <v>1.209667976220896E-3</v>
      </c>
      <c r="W70" s="2"/>
      <c r="X70" s="2">
        <f t="shared" si="18"/>
        <v>-464.88</v>
      </c>
      <c r="Y70" s="2"/>
      <c r="Z70" s="19">
        <f t="shared" si="19"/>
        <v>-1</v>
      </c>
    </row>
    <row r="71" spans="1:26" s="24" customFormat="1" hidden="1" outlineLevel="1" x14ac:dyDescent="0.25">
      <c r="A71" s="44"/>
      <c r="B71" s="11" t="str">
        <f>CONCATENATE("          ", "5528", " - ", "FREIGHT-IN-ART/TECH")</f>
        <v xml:space="preserve">          5528 - FREIGHT-IN-ART/TECH</v>
      </c>
      <c r="C71" s="11"/>
      <c r="D71" s="2">
        <v>12.76</v>
      </c>
      <c r="E71" s="2"/>
      <c r="F71" s="19">
        <f t="shared" si="12"/>
        <v>0</v>
      </c>
      <c r="G71" s="2"/>
      <c r="H71" s="2">
        <v>164.79</v>
      </c>
      <c r="I71" s="2"/>
      <c r="J71" s="19">
        <f t="shared" si="13"/>
        <v>2.6028701543873655E-3</v>
      </c>
      <c r="K71" s="2"/>
      <c r="L71" s="2">
        <f t="shared" si="14"/>
        <v>-152.03</v>
      </c>
      <c r="M71" s="2"/>
      <c r="N71" s="19">
        <f t="shared" si="15"/>
        <v>-0.92256811699739072</v>
      </c>
      <c r="O71" s="11"/>
      <c r="P71" s="2">
        <v>317.55</v>
      </c>
      <c r="Q71" s="2"/>
      <c r="R71" s="19">
        <f t="shared" si="16"/>
        <v>1.4900112237658551E-2</v>
      </c>
      <c r="S71" s="2"/>
      <c r="T71" s="2">
        <v>1439.34</v>
      </c>
      <c r="U71" s="2"/>
      <c r="V71" s="19">
        <f t="shared" si="17"/>
        <v>3.7453181571454664E-3</v>
      </c>
      <c r="W71" s="2"/>
      <c r="X71" s="2">
        <f t="shared" si="18"/>
        <v>-1121.79</v>
      </c>
      <c r="Y71" s="2"/>
      <c r="Z71" s="19">
        <f t="shared" si="19"/>
        <v>-0.77937804827212476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9" t="s">
        <v>6</v>
      </c>
      <c r="C73" s="29"/>
      <c r="D73" s="22">
        <f>D12-D51</f>
        <v>-12.76</v>
      </c>
      <c r="E73" s="14"/>
      <c r="F73" s="20">
        <f>IF(D$12=0,0,D73/D$12)</f>
        <v>0</v>
      </c>
      <c r="G73" s="14"/>
      <c r="H73" s="22">
        <f>H12-H51</f>
        <v>30066.950000000012</v>
      </c>
      <c r="I73" s="14"/>
      <c r="J73" s="20">
        <f>IF(H$12=0,0,H73/H$12)</f>
        <v>0.47490968376999348</v>
      </c>
      <c r="K73" s="16"/>
      <c r="L73" s="22">
        <f>+D73-H73</f>
        <v>-30079.71000000001</v>
      </c>
      <c r="M73" s="16"/>
      <c r="N73" s="20">
        <f>IF(H73=0,0,L73/H73)</f>
        <v>-1.0004243862446971</v>
      </c>
      <c r="O73" s="28"/>
      <c r="P73" s="22">
        <f>P12-P51</f>
        <v>7568.9000000000051</v>
      </c>
      <c r="Q73" s="14"/>
      <c r="R73" s="20">
        <f>IF(P$12=0,0,P73/P$12)</f>
        <v>0.35514866797548067</v>
      </c>
      <c r="S73" s="14"/>
      <c r="T73" s="22">
        <f>T12-T51</f>
        <v>182278.56</v>
      </c>
      <c r="U73" s="14"/>
      <c r="V73" s="20">
        <f>IF(T$12=0,0,T73/T$12)</f>
        <v>0.47430850280429182</v>
      </c>
      <c r="W73" s="16"/>
      <c r="X73" s="22">
        <f>+P73-T73</f>
        <v>-174709.66</v>
      </c>
      <c r="Y73" s="16"/>
      <c r="Z73" s="20">
        <f>IF(T73=0,0,X73/T73)</f>
        <v>-0.9584761916047615</v>
      </c>
    </row>
    <row r="74" spans="1:26" x14ac:dyDescent="0.25">
      <c r="A74" s="9"/>
      <c r="B74" s="10"/>
      <c r="C74" s="9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8" t="s">
        <v>9</v>
      </c>
      <c r="C75" s="10"/>
      <c r="D75" s="21">
        <f>SUM(OSRRefD22x_0)</f>
        <v>53</v>
      </c>
      <c r="E75" s="21"/>
      <c r="F75" s="32">
        <f t="shared" ref="F75:F84" si="20">IF(D$12=0,0,D75/D$12)</f>
        <v>0</v>
      </c>
      <c r="G75" s="21"/>
      <c r="H75" s="21">
        <f>SUM(OSRRefH22x_0)</f>
        <v>12719.09</v>
      </c>
      <c r="I75" s="21"/>
      <c r="J75" s="32">
        <f t="shared" ref="J75:J84" si="21">IF(H$12=0,0,H75/H$12)</f>
        <v>0.20089896081052733</v>
      </c>
      <c r="K75" s="4"/>
      <c r="L75" s="21">
        <f t="shared" ref="L75:L84" si="22">+D75-H75</f>
        <v>-12666.09</v>
      </c>
      <c r="M75" s="4"/>
      <c r="N75" s="32">
        <f t="shared" ref="N75:N84" si="23">IF(H75=0,0,L75/H75)</f>
        <v>-0.99583303522500433</v>
      </c>
      <c r="O75" s="10"/>
      <c r="P75" s="21">
        <f>SUM(OSRRefP22x_0)</f>
        <v>12533.749999999996</v>
      </c>
      <c r="Q75" s="21"/>
      <c r="R75" s="32">
        <f t="shared" ref="R75:R84" si="24">IF(P$12=0,0,P75/P$12)</f>
        <v>0.58810984650843268</v>
      </c>
      <c r="S75" s="21"/>
      <c r="T75" s="21">
        <f>SUM(OSRRefT22x_0)</f>
        <v>96636.299999999988</v>
      </c>
      <c r="U75" s="21"/>
      <c r="V75" s="32">
        <f t="shared" ref="V75:V84" si="25">IF(T$12=0,0,T75/T$12)</f>
        <v>0.25145809122886631</v>
      </c>
      <c r="W75" s="4"/>
      <c r="X75" s="21">
        <f t="shared" ref="X75:X84" si="26">+P75-T75</f>
        <v>-84102.549999999988</v>
      </c>
      <c r="Y75" s="4"/>
      <c r="Z75" s="32">
        <f t="shared" ref="Z75:Z84" si="27">IF(T75=0,0,X75/T75)</f>
        <v>-0.87029977348056575</v>
      </c>
    </row>
    <row r="76" spans="1:26" s="25" customFormat="1" outlineLevel="1" collapsed="1" x14ac:dyDescent="0.25">
      <c r="A76" s="27"/>
      <c r="B76" s="13" t="str">
        <f>CONCATENATE("     ","*Benefits                                         ")</f>
        <v xml:space="preserve">     *Benefits                                         </v>
      </c>
      <c r="C76" s="13"/>
      <c r="D76" s="1">
        <f>SUM(OSRRefD22_0x_0)</f>
        <v>0</v>
      </c>
      <c r="E76" s="1"/>
      <c r="F76" s="5">
        <f t="shared" si="20"/>
        <v>0</v>
      </c>
      <c r="G76" s="1"/>
      <c r="H76" s="1">
        <f>SUM(OSRRefH22_0x_0)</f>
        <v>2114.1</v>
      </c>
      <c r="I76" s="1"/>
      <c r="J76" s="5">
        <f t="shared" si="21"/>
        <v>3.33923647878532E-2</v>
      </c>
      <c r="K76" s="1"/>
      <c r="L76" s="1">
        <f t="shared" si="22"/>
        <v>-2114.1</v>
      </c>
      <c r="M76" s="1"/>
      <c r="N76" s="5">
        <f t="shared" si="23"/>
        <v>-1</v>
      </c>
      <c r="O76" s="13"/>
      <c r="P76" s="1">
        <f>SUM(OSRRefP22_0x_0)</f>
        <v>778.2</v>
      </c>
      <c r="Q76" s="1"/>
      <c r="R76" s="5">
        <f t="shared" si="24"/>
        <v>3.6514776707119778E-2</v>
      </c>
      <c r="S76" s="1"/>
      <c r="T76" s="1">
        <f>SUM(OSRRefT22_0x_0)</f>
        <v>15755.61</v>
      </c>
      <c r="U76" s="1"/>
      <c r="V76" s="5">
        <f t="shared" si="25"/>
        <v>4.0997799137036897E-2</v>
      </c>
      <c r="W76" s="1"/>
      <c r="X76" s="1">
        <f t="shared" si="26"/>
        <v>-14977.41</v>
      </c>
      <c r="Y76" s="1"/>
      <c r="Z76" s="5">
        <f t="shared" si="27"/>
        <v>-0.95060806912585416</v>
      </c>
    </row>
    <row r="77" spans="1:26" s="24" customFormat="1" hidden="1" outlineLevel="2" x14ac:dyDescent="0.25">
      <c r="A77" s="26"/>
      <c r="B77" s="11" t="str">
        <f>CONCATENATE("          ", "6111", " - ", "F.I.C.A.")</f>
        <v xml:space="preserve">          6111 - F.I.C.A.</v>
      </c>
      <c r="C77" s="11"/>
      <c r="D77" s="6"/>
      <c r="E77" s="2"/>
      <c r="F77" s="7">
        <f t="shared" si="20"/>
        <v>0</v>
      </c>
      <c r="G77" s="2"/>
      <c r="H77" s="6">
        <v>291.67</v>
      </c>
      <c r="I77" s="2"/>
      <c r="J77" s="7">
        <f t="shared" si="21"/>
        <v>4.6069490741559738E-3</v>
      </c>
      <c r="K77" s="2"/>
      <c r="L77" s="6">
        <f t="shared" si="22"/>
        <v>-291.67</v>
      </c>
      <c r="M77" s="2"/>
      <c r="N77" s="7">
        <f t="shared" si="23"/>
        <v>-1</v>
      </c>
      <c r="O77" s="11"/>
      <c r="P77" s="6">
        <v>484.61</v>
      </c>
      <c r="Q77" s="2"/>
      <c r="R77" s="7">
        <f t="shared" si="24"/>
        <v>2.2738917938881154E-2</v>
      </c>
      <c r="S77" s="2"/>
      <c r="T77" s="6">
        <v>2311.0500000000002</v>
      </c>
      <c r="U77" s="2"/>
      <c r="V77" s="7">
        <f t="shared" si="25"/>
        <v>6.0136017390408324E-3</v>
      </c>
      <c r="W77" s="2"/>
      <c r="X77" s="6">
        <f t="shared" si="26"/>
        <v>-1826.44</v>
      </c>
      <c r="Y77" s="2"/>
      <c r="Z77" s="7">
        <f t="shared" si="27"/>
        <v>-0.79030743601393305</v>
      </c>
    </row>
    <row r="78" spans="1:26" s="24" customFormat="1" hidden="1" outlineLevel="2" x14ac:dyDescent="0.25">
      <c r="A78" s="26"/>
      <c r="B78" s="11" t="str">
        <f>CONCATENATE("          ", "6112", " - ", "COMPENSATION INSURANCE")</f>
        <v xml:space="preserve">          6112 - COMPENSATION INSURANCE</v>
      </c>
      <c r="C78" s="11"/>
      <c r="D78" s="6"/>
      <c r="E78" s="2"/>
      <c r="F78" s="7">
        <f t="shared" si="20"/>
        <v>0</v>
      </c>
      <c r="G78" s="2"/>
      <c r="H78" s="6">
        <v>193.23</v>
      </c>
      <c r="I78" s="2"/>
      <c r="J78" s="7">
        <f t="shared" si="21"/>
        <v>3.052082043402334E-3</v>
      </c>
      <c r="K78" s="2"/>
      <c r="L78" s="6">
        <f t="shared" si="22"/>
        <v>-193.23</v>
      </c>
      <c r="M78" s="2"/>
      <c r="N78" s="7">
        <f t="shared" si="23"/>
        <v>-1</v>
      </c>
      <c r="O78" s="11"/>
      <c r="P78" s="6">
        <v>255.57</v>
      </c>
      <c r="Q78" s="2"/>
      <c r="R78" s="7">
        <f t="shared" si="24"/>
        <v>1.1991880600152403E-2</v>
      </c>
      <c r="S78" s="2"/>
      <c r="T78" s="6">
        <v>1104.6400000000001</v>
      </c>
      <c r="U78" s="2"/>
      <c r="V78" s="7">
        <f t="shared" si="25"/>
        <v>2.8743926029354905E-3</v>
      </c>
      <c r="W78" s="2"/>
      <c r="X78" s="6">
        <f t="shared" si="26"/>
        <v>-849.07000000000016</v>
      </c>
      <c r="Y78" s="2"/>
      <c r="Z78" s="7">
        <f t="shared" si="27"/>
        <v>-0.76863955677867912</v>
      </c>
    </row>
    <row r="79" spans="1:26" s="24" customFormat="1" hidden="1" outlineLevel="2" x14ac:dyDescent="0.25">
      <c r="A79" s="26"/>
      <c r="B79" s="11" t="str">
        <f>CONCATENATE("          ", "6113", " - ", "GROUP INSURANCE")</f>
        <v xml:space="preserve">          6113 - GROUP INSURANCE</v>
      </c>
      <c r="C79" s="11"/>
      <c r="D79" s="6"/>
      <c r="E79" s="2"/>
      <c r="F79" s="7">
        <f t="shared" si="20"/>
        <v>0</v>
      </c>
      <c r="G79" s="2"/>
      <c r="H79" s="6">
        <v>1024.02</v>
      </c>
      <c r="I79" s="2"/>
      <c r="J79" s="7">
        <f t="shared" si="21"/>
        <v>1.6174471117760481E-2</v>
      </c>
      <c r="K79" s="2"/>
      <c r="L79" s="6">
        <f t="shared" si="22"/>
        <v>-1024.02</v>
      </c>
      <c r="M79" s="2"/>
      <c r="N79" s="7">
        <f t="shared" si="23"/>
        <v>-1</v>
      </c>
      <c r="O79" s="11"/>
      <c r="P79" s="6"/>
      <c r="Q79" s="2"/>
      <c r="R79" s="7">
        <f t="shared" si="24"/>
        <v>0</v>
      </c>
      <c r="S79" s="2"/>
      <c r="T79" s="6">
        <v>7109.52</v>
      </c>
      <c r="U79" s="2"/>
      <c r="V79" s="7">
        <f t="shared" si="25"/>
        <v>1.8499739008565622E-2</v>
      </c>
      <c r="W79" s="2"/>
      <c r="X79" s="6">
        <f t="shared" si="26"/>
        <v>-7109.52</v>
      </c>
      <c r="Y79" s="2"/>
      <c r="Z79" s="7">
        <f t="shared" si="27"/>
        <v>-1</v>
      </c>
    </row>
    <row r="80" spans="1:26" s="24" customFormat="1" hidden="1" outlineLevel="2" x14ac:dyDescent="0.25">
      <c r="A80" s="26"/>
      <c r="B80" s="11" t="str">
        <f>CONCATENATE("          ", "6114", " - ", "STATE UNEMPLOYMENT INSURANCE")</f>
        <v xml:space="preserve">          6114 - STATE UNEMPLOYMENT INSURANCE</v>
      </c>
      <c r="C80" s="11"/>
      <c r="D80" s="6"/>
      <c r="E80" s="2"/>
      <c r="F80" s="7">
        <f t="shared" si="20"/>
        <v>0</v>
      </c>
      <c r="G80" s="2"/>
      <c r="H80" s="6">
        <v>26.44</v>
      </c>
      <c r="I80" s="2"/>
      <c r="J80" s="7">
        <f t="shared" si="21"/>
        <v>4.1762174210814942E-4</v>
      </c>
      <c r="K80" s="2"/>
      <c r="L80" s="6">
        <f t="shared" si="22"/>
        <v>-26.44</v>
      </c>
      <c r="M80" s="2"/>
      <c r="N80" s="7">
        <f t="shared" si="23"/>
        <v>-1</v>
      </c>
      <c r="O80" s="11"/>
      <c r="P80" s="6">
        <v>38.020000000000003</v>
      </c>
      <c r="Q80" s="2"/>
      <c r="R80" s="7">
        <f t="shared" si="24"/>
        <v>1.7839781680862169E-3</v>
      </c>
      <c r="S80" s="2"/>
      <c r="T80" s="6">
        <v>173.56</v>
      </c>
      <c r="U80" s="2"/>
      <c r="V80" s="7">
        <f t="shared" si="25"/>
        <v>4.5162186790762937E-4</v>
      </c>
      <c r="W80" s="2"/>
      <c r="X80" s="6">
        <f t="shared" si="26"/>
        <v>-135.54</v>
      </c>
      <c r="Y80" s="2"/>
      <c r="Z80" s="7">
        <f t="shared" si="27"/>
        <v>-0.78094030882691856</v>
      </c>
    </row>
    <row r="81" spans="1:26" s="24" customFormat="1" hidden="1" outlineLevel="2" x14ac:dyDescent="0.25">
      <c r="A81" s="26"/>
      <c r="B81" s="11" t="str">
        <f>CONCATENATE("          ", "6115", " - ", "P.E.R.S.")</f>
        <v xml:space="preserve">          6115 - P.E.R.S.</v>
      </c>
      <c r="C81" s="11"/>
      <c r="D81" s="6"/>
      <c r="E81" s="2"/>
      <c r="F81" s="7">
        <f t="shared" si="20"/>
        <v>0</v>
      </c>
      <c r="G81" s="2"/>
      <c r="H81" s="6">
        <v>155.82</v>
      </c>
      <c r="I81" s="2"/>
      <c r="J81" s="7">
        <f t="shared" si="21"/>
        <v>2.4611883455102814E-3</v>
      </c>
      <c r="K81" s="2"/>
      <c r="L81" s="6">
        <f t="shared" si="22"/>
        <v>-155.82</v>
      </c>
      <c r="M81" s="2"/>
      <c r="N81" s="7">
        <f t="shared" si="23"/>
        <v>-1</v>
      </c>
      <c r="O81" s="11"/>
      <c r="P81" s="6"/>
      <c r="Q81" s="2"/>
      <c r="R81" s="7">
        <f t="shared" si="24"/>
        <v>0</v>
      </c>
      <c r="S81" s="2"/>
      <c r="T81" s="6">
        <v>1632.67</v>
      </c>
      <c r="U81" s="2"/>
      <c r="V81" s="7">
        <f t="shared" si="25"/>
        <v>4.2483837006035332E-3</v>
      </c>
      <c r="W81" s="2"/>
      <c r="X81" s="6">
        <f t="shared" si="26"/>
        <v>-1632.67</v>
      </c>
      <c r="Y81" s="2"/>
      <c r="Z81" s="7">
        <f t="shared" si="27"/>
        <v>-1</v>
      </c>
    </row>
    <row r="82" spans="1:26" s="24" customFormat="1" hidden="1" outlineLevel="2" x14ac:dyDescent="0.25">
      <c r="A82" s="26"/>
      <c r="B82" s="11" t="str">
        <f>CONCATENATE("          ", "6118", " - ", "VACATION")</f>
        <v xml:space="preserve">          6118 - VACATION</v>
      </c>
      <c r="C82" s="11"/>
      <c r="D82" s="6"/>
      <c r="E82" s="2"/>
      <c r="F82" s="7">
        <f t="shared" si="20"/>
        <v>0</v>
      </c>
      <c r="G82" s="2"/>
      <c r="H82" s="6">
        <v>145.84</v>
      </c>
      <c r="I82" s="2"/>
      <c r="J82" s="7">
        <f t="shared" si="21"/>
        <v>2.303553512445254E-3</v>
      </c>
      <c r="K82" s="2"/>
      <c r="L82" s="6">
        <f t="shared" si="22"/>
        <v>-145.84</v>
      </c>
      <c r="M82" s="2"/>
      <c r="N82" s="7">
        <f t="shared" si="23"/>
        <v>-1</v>
      </c>
      <c r="O82" s="11"/>
      <c r="P82" s="6"/>
      <c r="Q82" s="2"/>
      <c r="R82" s="7">
        <f t="shared" si="24"/>
        <v>0</v>
      </c>
      <c r="S82" s="2"/>
      <c r="T82" s="6">
        <v>1541</v>
      </c>
      <c r="U82" s="2"/>
      <c r="V82" s="7">
        <f t="shared" si="25"/>
        <v>4.0098484584331464E-3</v>
      </c>
      <c r="W82" s="2"/>
      <c r="X82" s="6">
        <f t="shared" si="26"/>
        <v>-1541</v>
      </c>
      <c r="Y82" s="2"/>
      <c r="Z82" s="7">
        <f t="shared" si="27"/>
        <v>-1</v>
      </c>
    </row>
    <row r="83" spans="1:26" s="24" customFormat="1" hidden="1" outlineLevel="2" x14ac:dyDescent="0.25">
      <c r="A83" s="26"/>
      <c r="B83" s="11" t="str">
        <f>CONCATENATE("          ", "6119", " - ", "SICK LEAVE")</f>
        <v xml:space="preserve">          6119 - SICK LEAVE</v>
      </c>
      <c r="C83" s="11"/>
      <c r="D83" s="6"/>
      <c r="E83" s="2"/>
      <c r="F83" s="7">
        <f t="shared" si="20"/>
        <v>0</v>
      </c>
      <c r="G83" s="2"/>
      <c r="H83" s="6">
        <v>102.89</v>
      </c>
      <c r="I83" s="2"/>
      <c r="J83" s="7">
        <f t="shared" si="21"/>
        <v>1.6251551076213121E-3</v>
      </c>
      <c r="K83" s="2"/>
      <c r="L83" s="6">
        <f t="shared" si="22"/>
        <v>-102.89</v>
      </c>
      <c r="M83" s="2"/>
      <c r="N83" s="7">
        <f t="shared" si="23"/>
        <v>-1</v>
      </c>
      <c r="O83" s="11"/>
      <c r="P83" s="6"/>
      <c r="Q83" s="2"/>
      <c r="R83" s="7">
        <f t="shared" si="24"/>
        <v>0</v>
      </c>
      <c r="S83" s="2"/>
      <c r="T83" s="6">
        <v>581.91999999999996</v>
      </c>
      <c r="U83" s="2"/>
      <c r="V83" s="7">
        <f t="shared" si="25"/>
        <v>1.5142186988523142E-3</v>
      </c>
      <c r="W83" s="2"/>
      <c r="X83" s="6">
        <f t="shared" si="26"/>
        <v>-581.91999999999996</v>
      </c>
      <c r="Y83" s="2"/>
      <c r="Z83" s="7">
        <f t="shared" si="27"/>
        <v>-1</v>
      </c>
    </row>
    <row r="84" spans="1:26" s="24" customFormat="1" hidden="1" outlineLevel="2" x14ac:dyDescent="0.25">
      <c r="A84" s="26"/>
      <c r="B84" s="11" t="str">
        <f>CONCATENATE("          ", "6156", " - ", "EMPLOYEE MEALS")</f>
        <v xml:space="preserve">          6156 - EMPLOYEE MEALS</v>
      </c>
      <c r="C84" s="11"/>
      <c r="D84" s="6"/>
      <c r="E84" s="2"/>
      <c r="F84" s="7">
        <f t="shared" si="20"/>
        <v>0</v>
      </c>
      <c r="G84" s="2"/>
      <c r="H84" s="6">
        <v>174.19</v>
      </c>
      <c r="I84" s="2"/>
      <c r="J84" s="7">
        <f t="shared" si="21"/>
        <v>2.7513438448494155E-3</v>
      </c>
      <c r="K84" s="2"/>
      <c r="L84" s="6">
        <f t="shared" si="22"/>
        <v>-174.19</v>
      </c>
      <c r="M84" s="2"/>
      <c r="N84" s="7">
        <f t="shared" si="23"/>
        <v>-1</v>
      </c>
      <c r="O84" s="11"/>
      <c r="P84" s="6"/>
      <c r="Q84" s="2"/>
      <c r="R84" s="7">
        <f t="shared" si="24"/>
        <v>0</v>
      </c>
      <c r="S84" s="2"/>
      <c r="T84" s="6">
        <v>1301.25</v>
      </c>
      <c r="U84" s="2"/>
      <c r="V84" s="7">
        <f t="shared" si="25"/>
        <v>3.385993060698333E-3</v>
      </c>
      <c r="W84" s="2"/>
      <c r="X84" s="6">
        <f t="shared" si="26"/>
        <v>-1301.25</v>
      </c>
      <c r="Y84" s="2"/>
      <c r="Z84" s="7">
        <f t="shared" si="27"/>
        <v>-1</v>
      </c>
    </row>
    <row r="85" spans="1:26" s="25" customFormat="1" outlineLevel="1" collapsed="1" x14ac:dyDescent="0.25">
      <c r="A85" s="27"/>
      <c r="B85" s="13" t="str">
        <f>CONCATENATE("     ","*Payroll                                          ")</f>
        <v xml:space="preserve">     *Payroll                                          </v>
      </c>
      <c r="C85" s="13"/>
      <c r="D85" s="1">
        <f>SUM(OSRRefD22_1x_0)</f>
        <v>0</v>
      </c>
      <c r="E85" s="1"/>
      <c r="F85" s="5">
        <f t="shared" ref="F85:F89" si="28">IF(D$12=0,0,D85/D$12)</f>
        <v>0</v>
      </c>
      <c r="G85" s="1"/>
      <c r="H85" s="1">
        <f>SUM(OSRRefH22_1x_0)</f>
        <v>9059.9700000000012</v>
      </c>
      <c r="I85" s="1"/>
      <c r="J85" s="5">
        <f t="shared" ref="J85:J89" si="29">IF(H$12=0,0,H85/H$12)</f>
        <v>0.14310289163568726</v>
      </c>
      <c r="K85" s="1"/>
      <c r="L85" s="1">
        <f t="shared" ref="L85:L89" si="30">+D85-H85</f>
        <v>-9059.9700000000012</v>
      </c>
      <c r="M85" s="1"/>
      <c r="N85" s="5">
        <f t="shared" ref="N85:N89" si="31">IF(H85=0,0,L85/H85)</f>
        <v>-1</v>
      </c>
      <c r="O85" s="13"/>
      <c r="P85" s="1">
        <f>SUM(OSRRefP22_1x_0)</f>
        <v>8152.5399999999991</v>
      </c>
      <c r="Q85" s="1"/>
      <c r="R85" s="5">
        <f t="shared" ref="R85:R89" si="32">IF(P$12=0,0,P85/P$12)</f>
        <v>0.38253428128483963</v>
      </c>
      <c r="S85" s="1"/>
      <c r="T85" s="1">
        <f>SUM(OSRRefT22_1x_0)</f>
        <v>65639.47</v>
      </c>
      <c r="U85" s="1"/>
      <c r="V85" s="5">
        <f t="shared" ref="V85:V89" si="33">IF(T$12=0,0,T85/T$12)</f>
        <v>0.17080099129907123</v>
      </c>
      <c r="W85" s="1"/>
      <c r="X85" s="1">
        <f t="shared" ref="X85:X89" si="34">+P85-T85</f>
        <v>-57486.93</v>
      </c>
      <c r="Y85" s="1"/>
      <c r="Z85" s="5">
        <f t="shared" ref="Z85:Z89" si="35">IF(T85=0,0,X85/T85)</f>
        <v>-0.87579820495199001</v>
      </c>
    </row>
    <row r="86" spans="1:26" s="24" customFormat="1" hidden="1" outlineLevel="2" x14ac:dyDescent="0.25">
      <c r="A86" s="26"/>
      <c r="B86" s="11" t="str">
        <f>CONCATENATE("          ", "6002", " - ", "STAFF SALARIES")</f>
        <v xml:space="preserve">          6002 - STAFF SALARIES</v>
      </c>
      <c r="C86" s="11"/>
      <c r="D86" s="6"/>
      <c r="E86" s="2"/>
      <c r="F86" s="7">
        <f t="shared" si="28"/>
        <v>0</v>
      </c>
      <c r="G86" s="2"/>
      <c r="H86" s="6">
        <v>1673.78</v>
      </c>
      <c r="I86" s="2"/>
      <c r="J86" s="7">
        <f t="shared" si="29"/>
        <v>2.6437478044847893E-2</v>
      </c>
      <c r="K86" s="2"/>
      <c r="L86" s="6">
        <f t="shared" si="30"/>
        <v>-1673.78</v>
      </c>
      <c r="M86" s="2"/>
      <c r="N86" s="7">
        <f t="shared" si="31"/>
        <v>-1</v>
      </c>
      <c r="O86" s="11"/>
      <c r="P86" s="6"/>
      <c r="Q86" s="2"/>
      <c r="R86" s="7">
        <f t="shared" si="32"/>
        <v>0</v>
      </c>
      <c r="S86" s="2"/>
      <c r="T86" s="6">
        <v>20632.5</v>
      </c>
      <c r="U86" s="2"/>
      <c r="V86" s="7">
        <f t="shared" si="33"/>
        <v>5.3687993717470399E-2</v>
      </c>
      <c r="W86" s="2"/>
      <c r="X86" s="6">
        <f t="shared" si="34"/>
        <v>-20632.5</v>
      </c>
      <c r="Y86" s="2"/>
      <c r="Z86" s="7">
        <f t="shared" si="35"/>
        <v>-1</v>
      </c>
    </row>
    <row r="87" spans="1:26" s="24" customFormat="1" hidden="1" outlineLevel="2" x14ac:dyDescent="0.25">
      <c r="A87" s="26"/>
      <c r="B87" s="11" t="str">
        <f>CONCATENATE("          ", "6005", " - ", "TEMPORARY WAGES-HOURLY")</f>
        <v xml:space="preserve">          6005 - TEMPORARY WAGES-HOURLY</v>
      </c>
      <c r="C87" s="11"/>
      <c r="D87" s="6"/>
      <c r="E87" s="2"/>
      <c r="F87" s="7">
        <f t="shared" si="28"/>
        <v>0</v>
      </c>
      <c r="G87" s="2"/>
      <c r="H87" s="6">
        <v>1591.67</v>
      </c>
      <c r="I87" s="2"/>
      <c r="J87" s="7">
        <f t="shared" si="29"/>
        <v>2.5140544563588434E-2</v>
      </c>
      <c r="K87" s="2"/>
      <c r="L87" s="6">
        <f t="shared" si="30"/>
        <v>-1591.67</v>
      </c>
      <c r="M87" s="2"/>
      <c r="N87" s="7">
        <f t="shared" si="31"/>
        <v>-1</v>
      </c>
      <c r="O87" s="11"/>
      <c r="P87" s="6">
        <v>5379.19</v>
      </c>
      <c r="Q87" s="2"/>
      <c r="R87" s="7">
        <f t="shared" si="32"/>
        <v>0.25240288064144384</v>
      </c>
      <c r="S87" s="2"/>
      <c r="T87" s="6">
        <v>5305.51</v>
      </c>
      <c r="U87" s="2"/>
      <c r="V87" s="7">
        <f t="shared" si="33"/>
        <v>1.38055101198583E-2</v>
      </c>
      <c r="W87" s="2"/>
      <c r="X87" s="6">
        <f t="shared" si="34"/>
        <v>73.679999999999382</v>
      </c>
      <c r="Y87" s="2"/>
      <c r="Z87" s="7">
        <f t="shared" si="35"/>
        <v>1.3887449085950149E-2</v>
      </c>
    </row>
    <row r="88" spans="1:26" s="24" customFormat="1" hidden="1" outlineLevel="2" x14ac:dyDescent="0.25">
      <c r="A88" s="26"/>
      <c r="B88" s="11" t="str">
        <f>CONCATENATE("          ", "6006", " - ", "TEMPORARY PART TIME")</f>
        <v xml:space="preserve">          6006 - TEMPORARY PART TIME</v>
      </c>
      <c r="C88" s="11"/>
      <c r="D88" s="6"/>
      <c r="E88" s="2"/>
      <c r="F88" s="7">
        <f t="shared" si="28"/>
        <v>0</v>
      </c>
      <c r="G88" s="2"/>
      <c r="H88" s="6"/>
      <c r="I88" s="2"/>
      <c r="J88" s="7">
        <f t="shared" si="29"/>
        <v>0</v>
      </c>
      <c r="K88" s="2"/>
      <c r="L88" s="6">
        <f t="shared" si="30"/>
        <v>0</v>
      </c>
      <c r="M88" s="2"/>
      <c r="N88" s="7">
        <f t="shared" si="31"/>
        <v>0</v>
      </c>
      <c r="O88" s="11"/>
      <c r="P88" s="6"/>
      <c r="Q88" s="2"/>
      <c r="R88" s="7">
        <f t="shared" si="32"/>
        <v>0</v>
      </c>
      <c r="S88" s="2"/>
      <c r="T88" s="6">
        <v>25.5</v>
      </c>
      <c r="U88" s="2"/>
      <c r="V88" s="7">
        <f t="shared" si="33"/>
        <v>6.6353754503598454E-5</v>
      </c>
      <c r="W88" s="2"/>
      <c r="X88" s="6">
        <f t="shared" si="34"/>
        <v>-25.5</v>
      </c>
      <c r="Y88" s="2"/>
      <c r="Z88" s="7">
        <f t="shared" si="35"/>
        <v>-1</v>
      </c>
    </row>
    <row r="89" spans="1:26" s="24" customFormat="1" hidden="1" outlineLevel="2" x14ac:dyDescent="0.25">
      <c r="A89" s="26"/>
      <c r="B89" s="11" t="str">
        <f>CONCATENATE("          ", "6007", " - ", "STUDENT HOURLY")</f>
        <v xml:space="preserve">          6007 - STUDENT HOURLY</v>
      </c>
      <c r="C89" s="11"/>
      <c r="D89" s="6"/>
      <c r="E89" s="2"/>
      <c r="F89" s="7">
        <f t="shared" si="28"/>
        <v>0</v>
      </c>
      <c r="G89" s="2"/>
      <c r="H89" s="6">
        <v>5794.52</v>
      </c>
      <c r="I89" s="2"/>
      <c r="J89" s="7">
        <f t="shared" si="29"/>
        <v>9.1524869027250919E-2</v>
      </c>
      <c r="K89" s="2"/>
      <c r="L89" s="6">
        <f t="shared" si="30"/>
        <v>-5794.52</v>
      </c>
      <c r="M89" s="2"/>
      <c r="N89" s="7">
        <f t="shared" si="31"/>
        <v>-1</v>
      </c>
      <c r="O89" s="11"/>
      <c r="P89" s="6">
        <v>2773.35</v>
      </c>
      <c r="Q89" s="2"/>
      <c r="R89" s="7">
        <f t="shared" si="32"/>
        <v>0.13013140064339582</v>
      </c>
      <c r="S89" s="2"/>
      <c r="T89" s="6">
        <v>39675.96</v>
      </c>
      <c r="U89" s="2"/>
      <c r="V89" s="7">
        <f t="shared" si="33"/>
        <v>0.10324113370723891</v>
      </c>
      <c r="W89" s="2"/>
      <c r="X89" s="6">
        <f t="shared" si="34"/>
        <v>-36902.61</v>
      </c>
      <c r="Y89" s="2"/>
      <c r="Z89" s="7">
        <f t="shared" si="35"/>
        <v>-0.93009999001914512</v>
      </c>
    </row>
    <row r="90" spans="1:26" s="25" customFormat="1" outlineLevel="1" collapsed="1" x14ac:dyDescent="0.25">
      <c r="A90" s="27"/>
      <c r="B90" s="13" t="str">
        <f>CONCATENATE("     ","Advertising/Promo                                 ")</f>
        <v xml:space="preserve">     Advertising/Promo                                 </v>
      </c>
      <c r="C90" s="13"/>
      <c r="D90" s="1">
        <f>SUM(OSRRefD22_2x_0)</f>
        <v>0</v>
      </c>
      <c r="E90" s="1"/>
      <c r="F90" s="5">
        <f t="shared" ref="F90:F96" si="36">IF(D$12=0,0,D90/D$12)</f>
        <v>0</v>
      </c>
      <c r="G90" s="1"/>
      <c r="H90" s="1">
        <f>SUM(OSRRefH22_2x_0)</f>
        <v>0</v>
      </c>
      <c r="I90" s="1"/>
      <c r="J90" s="5">
        <f t="shared" ref="J90:J96" si="37">IF(H$12=0,0,H90/H$12)</f>
        <v>0</v>
      </c>
      <c r="K90" s="1"/>
      <c r="L90" s="1">
        <f t="shared" ref="L90:L96" si="38">+D90-H90</f>
        <v>0</v>
      </c>
      <c r="M90" s="1"/>
      <c r="N90" s="5">
        <f t="shared" ref="N90:N96" si="39">IF(H90=0,0,L90/H90)</f>
        <v>0</v>
      </c>
      <c r="O90" s="13"/>
      <c r="P90" s="1">
        <f>SUM(OSRRefP22_2x_0)</f>
        <v>124.72</v>
      </c>
      <c r="Q90" s="1"/>
      <c r="R90" s="5">
        <f t="shared" ref="R90:R96" si="40">IF(P$12=0,0,P90/P$12)</f>
        <v>5.8521240695347957E-3</v>
      </c>
      <c r="S90" s="1"/>
      <c r="T90" s="1">
        <f>SUM(OSRRefT22_2x_0)</f>
        <v>963.62</v>
      </c>
      <c r="U90" s="1"/>
      <c r="V90" s="5">
        <f t="shared" ref="V90:V96" si="41">IF(T$12=0,0,T90/T$12)</f>
        <v>2.5074433299904918E-3</v>
      </c>
      <c r="W90" s="1"/>
      <c r="X90" s="1">
        <f t="shared" ref="X90:X96" si="42">+P90-T90</f>
        <v>-838.9</v>
      </c>
      <c r="Y90" s="1"/>
      <c r="Z90" s="5">
        <f t="shared" ref="Z90:Z96" si="43">IF(T90=0,0,X90/T90)</f>
        <v>-0.87057138706128967</v>
      </c>
    </row>
    <row r="91" spans="1:26" s="24" customFormat="1" hidden="1" outlineLevel="2" x14ac:dyDescent="0.25">
      <c r="A91" s="26"/>
      <c r="B91" s="11" t="str">
        <f>CONCATENATE("          ", "6362", " - ", "ADVERTISING EXPENSE")</f>
        <v xml:space="preserve">          6362 - ADVERTISING EXPENSE</v>
      </c>
      <c r="C91" s="11"/>
      <c r="D91" s="6"/>
      <c r="E91" s="2"/>
      <c r="F91" s="7">
        <f t="shared" si="36"/>
        <v>0</v>
      </c>
      <c r="G91" s="2"/>
      <c r="H91" s="6"/>
      <c r="I91" s="2"/>
      <c r="J91" s="7">
        <f t="shared" si="37"/>
        <v>0</v>
      </c>
      <c r="K91" s="2"/>
      <c r="L91" s="6">
        <f t="shared" si="38"/>
        <v>0</v>
      </c>
      <c r="M91" s="2"/>
      <c r="N91" s="7">
        <f t="shared" si="39"/>
        <v>0</v>
      </c>
      <c r="O91" s="11"/>
      <c r="P91" s="6">
        <v>124.72</v>
      </c>
      <c r="Q91" s="2"/>
      <c r="R91" s="7">
        <f t="shared" si="40"/>
        <v>5.8521240695347957E-3</v>
      </c>
      <c r="S91" s="2"/>
      <c r="T91" s="6">
        <v>963.62</v>
      </c>
      <c r="U91" s="2"/>
      <c r="V91" s="7">
        <f t="shared" si="41"/>
        <v>2.5074433299904918E-3</v>
      </c>
      <c r="W91" s="2"/>
      <c r="X91" s="6">
        <f t="shared" si="42"/>
        <v>-838.9</v>
      </c>
      <c r="Y91" s="2"/>
      <c r="Z91" s="7">
        <f t="shared" si="43"/>
        <v>-0.87057138706128967</v>
      </c>
    </row>
    <row r="92" spans="1:26" s="25" customFormat="1" outlineLevel="1" collapsed="1" x14ac:dyDescent="0.25">
      <c r="A92" s="27"/>
      <c r="B92" s="13" t="str">
        <f>CONCATENATE("     ","Bad Debts/Over/Short                              ")</f>
        <v xml:space="preserve">     Bad Debts/Over/Short                              </v>
      </c>
      <c r="C92" s="13"/>
      <c r="D92" s="1">
        <f>SUM(OSRRefD22_3x_0)</f>
        <v>0</v>
      </c>
      <c r="E92" s="1"/>
      <c r="F92" s="5">
        <f t="shared" si="36"/>
        <v>0</v>
      </c>
      <c r="G92" s="1"/>
      <c r="H92" s="1">
        <f>SUM(OSRRefH22_3x_0)</f>
        <v>13.01</v>
      </c>
      <c r="I92" s="1"/>
      <c r="J92" s="5">
        <f t="shared" si="37"/>
        <v>2.0549390562885869E-4</v>
      </c>
      <c r="K92" s="1"/>
      <c r="L92" s="1">
        <f t="shared" si="38"/>
        <v>-13.01</v>
      </c>
      <c r="M92" s="1"/>
      <c r="N92" s="5">
        <f t="shared" si="39"/>
        <v>-1</v>
      </c>
      <c r="O92" s="13"/>
      <c r="P92" s="1">
        <f>SUM(OSRRefP22_3x_0)</f>
        <v>1.1000000000000001</v>
      </c>
      <c r="Q92" s="1"/>
      <c r="R92" s="5">
        <f t="shared" si="40"/>
        <v>5.1614307861516002E-5</v>
      </c>
      <c r="S92" s="1"/>
      <c r="T92" s="1">
        <f>SUM(OSRRefT22_3x_0)</f>
        <v>-55.49</v>
      </c>
      <c r="U92" s="1"/>
      <c r="V92" s="5">
        <f t="shared" si="41"/>
        <v>-1.4439097401586974E-4</v>
      </c>
      <c r="W92" s="1"/>
      <c r="X92" s="1">
        <f t="shared" si="42"/>
        <v>56.59</v>
      </c>
      <c r="Y92" s="1"/>
      <c r="Z92" s="5">
        <f t="shared" si="43"/>
        <v>-1.0198233916020905</v>
      </c>
    </row>
    <row r="93" spans="1:26" s="24" customFormat="1" hidden="1" outlineLevel="2" x14ac:dyDescent="0.25">
      <c r="A93" s="26"/>
      <c r="B93" s="11" t="str">
        <f>CONCATENATE("          ", "6272", " - ", "CASH (OVER/SHORT)")</f>
        <v xml:space="preserve">          6272 - CASH (OVER/SHORT)</v>
      </c>
      <c r="C93" s="11"/>
      <c r="D93" s="6"/>
      <c r="E93" s="2"/>
      <c r="F93" s="7">
        <f t="shared" si="36"/>
        <v>0</v>
      </c>
      <c r="G93" s="2"/>
      <c r="H93" s="6">
        <v>13.01</v>
      </c>
      <c r="I93" s="2"/>
      <c r="J93" s="7">
        <f t="shared" si="37"/>
        <v>2.0549390562885869E-4</v>
      </c>
      <c r="K93" s="2"/>
      <c r="L93" s="6">
        <f t="shared" si="38"/>
        <v>-13.01</v>
      </c>
      <c r="M93" s="2"/>
      <c r="N93" s="7">
        <f t="shared" si="39"/>
        <v>-1</v>
      </c>
      <c r="O93" s="11"/>
      <c r="P93" s="6">
        <v>1.1000000000000001</v>
      </c>
      <c r="Q93" s="2"/>
      <c r="R93" s="7">
        <f t="shared" si="40"/>
        <v>5.1614307861516002E-5</v>
      </c>
      <c r="S93" s="2"/>
      <c r="T93" s="6">
        <v>-55.49</v>
      </c>
      <c r="U93" s="2"/>
      <c r="V93" s="7">
        <f t="shared" si="41"/>
        <v>-1.4439097401586974E-4</v>
      </c>
      <c r="W93" s="2"/>
      <c r="X93" s="6">
        <f t="shared" si="42"/>
        <v>56.59</v>
      </c>
      <c r="Y93" s="2"/>
      <c r="Z93" s="7">
        <f t="shared" si="43"/>
        <v>-1.0198233916020905</v>
      </c>
    </row>
    <row r="94" spans="1:26" s="25" customFormat="1" outlineLevel="1" collapsed="1" x14ac:dyDescent="0.25">
      <c r="A94" s="27"/>
      <c r="B94" s="13" t="str">
        <f>CONCATENATE("     ","Discounts and Markdowns                           ")</f>
        <v xml:space="preserve">     Discounts and Markdowns                           </v>
      </c>
      <c r="C94" s="13"/>
      <c r="D94" s="1">
        <f>SUM(OSRRefD22_4x_0)</f>
        <v>0</v>
      </c>
      <c r="E94" s="1"/>
      <c r="F94" s="5">
        <f t="shared" si="36"/>
        <v>0</v>
      </c>
      <c r="G94" s="1"/>
      <c r="H94" s="1">
        <f>SUM(OSRRefH22_4x_0)</f>
        <v>983.02</v>
      </c>
      <c r="I94" s="1"/>
      <c r="J94" s="5">
        <f t="shared" si="37"/>
        <v>1.552687310617069E-2</v>
      </c>
      <c r="K94" s="1"/>
      <c r="L94" s="1">
        <f t="shared" si="38"/>
        <v>-983.02</v>
      </c>
      <c r="M94" s="1"/>
      <c r="N94" s="5">
        <f t="shared" si="39"/>
        <v>-1</v>
      </c>
      <c r="O94" s="13"/>
      <c r="P94" s="1">
        <f>SUM(OSRRefP22_4x_0)</f>
        <v>0</v>
      </c>
      <c r="Q94" s="1"/>
      <c r="R94" s="5">
        <f t="shared" si="40"/>
        <v>0</v>
      </c>
      <c r="S94" s="1"/>
      <c r="T94" s="1">
        <f>SUM(OSRRefT22_4x_0)</f>
        <v>8318.6200000000008</v>
      </c>
      <c r="U94" s="1"/>
      <c r="V94" s="5">
        <f t="shared" si="41"/>
        <v>2.164594781524409E-2</v>
      </c>
      <c r="W94" s="1"/>
      <c r="X94" s="1">
        <f t="shared" si="42"/>
        <v>-8318.6200000000008</v>
      </c>
      <c r="Y94" s="1"/>
      <c r="Z94" s="5">
        <f t="shared" si="43"/>
        <v>-1</v>
      </c>
    </row>
    <row r="95" spans="1:26" s="24" customFormat="1" hidden="1" outlineLevel="2" x14ac:dyDescent="0.25">
      <c r="A95" s="26"/>
      <c r="B95" s="11" t="str">
        <f>CONCATENATE("          ", "6382", " - ", "DISCOUNTS/MARK DOWNS")</f>
        <v xml:space="preserve">          6382 - DISCOUNTS/MARK DOWNS</v>
      </c>
      <c r="C95" s="11"/>
      <c r="D95" s="6"/>
      <c r="E95" s="2"/>
      <c r="F95" s="7">
        <f t="shared" si="36"/>
        <v>0</v>
      </c>
      <c r="G95" s="2"/>
      <c r="H95" s="6">
        <v>983.02</v>
      </c>
      <c r="I95" s="2"/>
      <c r="J95" s="7">
        <f t="shared" si="37"/>
        <v>1.552687310617069E-2</v>
      </c>
      <c r="K95" s="2"/>
      <c r="L95" s="6">
        <f t="shared" si="38"/>
        <v>-983.02</v>
      </c>
      <c r="M95" s="2"/>
      <c r="N95" s="7">
        <f t="shared" si="39"/>
        <v>-1</v>
      </c>
      <c r="O95" s="11"/>
      <c r="P95" s="6"/>
      <c r="Q95" s="2"/>
      <c r="R95" s="7">
        <f t="shared" si="40"/>
        <v>0</v>
      </c>
      <c r="S95" s="2"/>
      <c r="T95" s="6">
        <v>8318.6200000000008</v>
      </c>
      <c r="U95" s="2"/>
      <c r="V95" s="7">
        <f t="shared" si="41"/>
        <v>2.164594781524409E-2</v>
      </c>
      <c r="W95" s="2"/>
      <c r="X95" s="6">
        <f t="shared" si="42"/>
        <v>-8318.6200000000008</v>
      </c>
      <c r="Y95" s="2"/>
      <c r="Z95" s="7">
        <f t="shared" si="43"/>
        <v>-1</v>
      </c>
    </row>
    <row r="96" spans="1:26" s="24" customFormat="1" hidden="1" outlineLevel="2" x14ac:dyDescent="0.25">
      <c r="A96" s="26"/>
      <c r="B96" s="11" t="str">
        <f>CONCATENATE("          ", "9175", " - ", "EARNED DISCOUNTS")</f>
        <v xml:space="preserve">          9175 - EARNED DISCOUNTS</v>
      </c>
      <c r="C96" s="11"/>
      <c r="D96" s="6"/>
      <c r="E96" s="2"/>
      <c r="F96" s="7">
        <f t="shared" si="36"/>
        <v>0</v>
      </c>
      <c r="G96" s="2"/>
      <c r="H96" s="6"/>
      <c r="I96" s="2"/>
      <c r="J96" s="7">
        <f t="shared" si="37"/>
        <v>0</v>
      </c>
      <c r="K96" s="2"/>
      <c r="L96" s="6">
        <f t="shared" si="38"/>
        <v>0</v>
      </c>
      <c r="M96" s="2"/>
      <c r="N96" s="7">
        <f t="shared" si="39"/>
        <v>0</v>
      </c>
      <c r="O96" s="11"/>
      <c r="P96" s="6">
        <v>0</v>
      </c>
      <c r="Q96" s="2"/>
      <c r="R96" s="7">
        <f t="shared" si="40"/>
        <v>0</v>
      </c>
      <c r="S96" s="2"/>
      <c r="T96" s="6">
        <v>0</v>
      </c>
      <c r="U96" s="2"/>
      <c r="V96" s="7">
        <f t="shared" si="41"/>
        <v>0</v>
      </c>
      <c r="W96" s="2"/>
      <c r="X96" s="6">
        <f t="shared" si="42"/>
        <v>0</v>
      </c>
      <c r="Y96" s="2"/>
      <c r="Z96" s="7">
        <f t="shared" si="43"/>
        <v>0</v>
      </c>
    </row>
    <row r="97" spans="1:26" s="25" customFormat="1" outlineLevel="1" collapsed="1" x14ac:dyDescent="0.25">
      <c r="A97" s="27"/>
      <c r="B97" s="13" t="str">
        <f>CONCATENATE("     ","General                                           ")</f>
        <v xml:space="preserve">     General                                           </v>
      </c>
      <c r="C97" s="13"/>
      <c r="D97" s="1">
        <f>SUM(OSRRefD22_5x_0)</f>
        <v>0</v>
      </c>
      <c r="E97" s="1"/>
      <c r="F97" s="5">
        <f t="shared" ref="F97:F103" si="44">IF(D$12=0,0,D97/D$12)</f>
        <v>0</v>
      </c>
      <c r="G97" s="1"/>
      <c r="H97" s="1">
        <f>SUM(OSRRefH22_5x_0)</f>
        <v>0</v>
      </c>
      <c r="I97" s="1"/>
      <c r="J97" s="5">
        <f t="shared" ref="J97:J103" si="45">IF(H$12=0,0,H97/H$12)</f>
        <v>0</v>
      </c>
      <c r="K97" s="1"/>
      <c r="L97" s="1">
        <f t="shared" ref="L97:L103" si="46">+D97-H97</f>
        <v>0</v>
      </c>
      <c r="M97" s="1"/>
      <c r="N97" s="5">
        <f t="shared" ref="N97:N103" si="47">IF(H97=0,0,L97/H97)</f>
        <v>0</v>
      </c>
      <c r="O97" s="13"/>
      <c r="P97" s="1">
        <f>SUM(OSRRefP22_5x_0)</f>
        <v>879.55</v>
      </c>
      <c r="Q97" s="1"/>
      <c r="R97" s="5">
        <f t="shared" ref="R97:R103" si="48">IF(P$12=0,0,P97/P$12)</f>
        <v>4.1270331345087632E-2</v>
      </c>
      <c r="S97" s="1"/>
      <c r="T97" s="1">
        <f>SUM(OSRRefT22_5x_0)</f>
        <v>954.05</v>
      </c>
      <c r="U97" s="1"/>
      <c r="V97" s="5">
        <f t="shared" ref="V97:V103" si="49">IF(T$12=0,0,T97/T$12)</f>
        <v>2.4825411562414941E-3</v>
      </c>
      <c r="W97" s="1"/>
      <c r="X97" s="1">
        <f t="shared" ref="X97:X103" si="50">+P97-T97</f>
        <v>-74.5</v>
      </c>
      <c r="Y97" s="1"/>
      <c r="Z97" s="5">
        <f t="shared" ref="Z97:Z103" si="51">IF(T97=0,0,X97/T97)</f>
        <v>-7.8088150516220325E-2</v>
      </c>
    </row>
    <row r="98" spans="1:26" s="24" customFormat="1" hidden="1" outlineLevel="2" x14ac:dyDescent="0.25">
      <c r="A98" s="26"/>
      <c r="B98" s="11" t="str">
        <f>CONCATENATE("          ", "6279", " - ", "GENERAL EXPENSE")</f>
        <v xml:space="preserve">          6279 - GENERAL EXPENSE</v>
      </c>
      <c r="C98" s="11"/>
      <c r="D98" s="6"/>
      <c r="E98" s="2"/>
      <c r="F98" s="7">
        <f t="shared" si="44"/>
        <v>0</v>
      </c>
      <c r="G98" s="2"/>
      <c r="H98" s="6"/>
      <c r="I98" s="2"/>
      <c r="J98" s="7">
        <f t="shared" si="45"/>
        <v>0</v>
      </c>
      <c r="K98" s="2"/>
      <c r="L98" s="6">
        <f t="shared" si="46"/>
        <v>0</v>
      </c>
      <c r="M98" s="2"/>
      <c r="N98" s="7">
        <f t="shared" si="47"/>
        <v>0</v>
      </c>
      <c r="O98" s="11"/>
      <c r="P98" s="6">
        <v>879.55</v>
      </c>
      <c r="Q98" s="2"/>
      <c r="R98" s="7">
        <f t="shared" si="48"/>
        <v>4.1270331345087632E-2</v>
      </c>
      <c r="S98" s="2"/>
      <c r="T98" s="6">
        <v>954.05</v>
      </c>
      <c r="U98" s="2"/>
      <c r="V98" s="7">
        <f t="shared" si="49"/>
        <v>2.4825411562414941E-3</v>
      </c>
      <c r="W98" s="2"/>
      <c r="X98" s="6">
        <f t="shared" si="50"/>
        <v>-74.5</v>
      </c>
      <c r="Y98" s="2"/>
      <c r="Z98" s="7">
        <f t="shared" si="51"/>
        <v>-7.8088150516220325E-2</v>
      </c>
    </row>
    <row r="99" spans="1:26" s="25" customFormat="1" outlineLevel="1" collapsed="1" x14ac:dyDescent="0.25">
      <c r="A99" s="27"/>
      <c r="B99" s="13" t="str">
        <f>CONCATENATE("     ","Professional Services                             ")</f>
        <v xml:space="preserve">     Professional Services                             </v>
      </c>
      <c r="C99" s="13"/>
      <c r="D99" s="1">
        <f>SUM(OSRRefD22_6x_0)</f>
        <v>0</v>
      </c>
      <c r="E99" s="1"/>
      <c r="F99" s="5">
        <f t="shared" si="44"/>
        <v>0</v>
      </c>
      <c r="G99" s="1"/>
      <c r="H99" s="1">
        <f>SUM(OSRRefH22_6x_0)</f>
        <v>0</v>
      </c>
      <c r="I99" s="1"/>
      <c r="J99" s="5">
        <f t="shared" si="45"/>
        <v>0</v>
      </c>
      <c r="K99" s="1"/>
      <c r="L99" s="1">
        <f t="shared" si="46"/>
        <v>0</v>
      </c>
      <c r="M99" s="1"/>
      <c r="N99" s="5">
        <f t="shared" si="47"/>
        <v>0</v>
      </c>
      <c r="O99" s="13"/>
      <c r="P99" s="1">
        <f>SUM(OSRRefP22_6x_0)</f>
        <v>0</v>
      </c>
      <c r="Q99" s="1"/>
      <c r="R99" s="5">
        <f t="shared" si="48"/>
        <v>0</v>
      </c>
      <c r="S99" s="1"/>
      <c r="T99" s="1">
        <f>SUM(OSRRefT22_6x_0)</f>
        <v>791.15</v>
      </c>
      <c r="U99" s="1"/>
      <c r="V99" s="5">
        <f t="shared" si="49"/>
        <v>2.0586577598243889E-3</v>
      </c>
      <c r="W99" s="1"/>
      <c r="X99" s="1">
        <f t="shared" si="50"/>
        <v>-791.15</v>
      </c>
      <c r="Y99" s="1"/>
      <c r="Z99" s="5">
        <f t="shared" si="51"/>
        <v>-1</v>
      </c>
    </row>
    <row r="100" spans="1:26" s="24" customFormat="1" hidden="1" outlineLevel="2" x14ac:dyDescent="0.25">
      <c r="A100" s="26"/>
      <c r="B100" s="11" t="str">
        <f>CONCATENATE("          ", "6336", " - ", "PROFESSIONAL SERVICES")</f>
        <v xml:space="preserve">          6336 - PROFESSIONAL SERVICES</v>
      </c>
      <c r="C100" s="11"/>
      <c r="D100" s="6"/>
      <c r="E100" s="2"/>
      <c r="F100" s="7">
        <f t="shared" si="44"/>
        <v>0</v>
      </c>
      <c r="G100" s="2"/>
      <c r="H100" s="6"/>
      <c r="I100" s="2"/>
      <c r="J100" s="7">
        <f t="shared" si="45"/>
        <v>0</v>
      </c>
      <c r="K100" s="2"/>
      <c r="L100" s="6">
        <f t="shared" si="46"/>
        <v>0</v>
      </c>
      <c r="M100" s="2"/>
      <c r="N100" s="7">
        <f t="shared" si="47"/>
        <v>0</v>
      </c>
      <c r="O100" s="11"/>
      <c r="P100" s="6"/>
      <c r="Q100" s="2"/>
      <c r="R100" s="7">
        <f t="shared" si="48"/>
        <v>0</v>
      </c>
      <c r="S100" s="2"/>
      <c r="T100" s="6">
        <v>791.15</v>
      </c>
      <c r="U100" s="2"/>
      <c r="V100" s="7">
        <f t="shared" si="49"/>
        <v>2.0586577598243889E-3</v>
      </c>
      <c r="W100" s="2"/>
      <c r="X100" s="6">
        <f t="shared" si="50"/>
        <v>-791.15</v>
      </c>
      <c r="Y100" s="2"/>
      <c r="Z100" s="7">
        <f t="shared" si="51"/>
        <v>-1</v>
      </c>
    </row>
    <row r="101" spans="1:26" s="25" customFormat="1" outlineLevel="1" collapsed="1" x14ac:dyDescent="0.25">
      <c r="A101" s="27"/>
      <c r="B101" s="13" t="str">
        <f>CONCATENATE("     ","Repair and Maintenance                            ")</f>
        <v xml:space="preserve">     Repair and Maintenance                            </v>
      </c>
      <c r="C101" s="13"/>
      <c r="D101" s="1">
        <f>SUM(OSRRefD22_7x_0)</f>
        <v>0</v>
      </c>
      <c r="E101" s="1"/>
      <c r="F101" s="5">
        <f t="shared" si="44"/>
        <v>0</v>
      </c>
      <c r="G101" s="1"/>
      <c r="H101" s="1">
        <f>SUM(OSRRefH22_7x_0)</f>
        <v>0</v>
      </c>
      <c r="I101" s="1"/>
      <c r="J101" s="5">
        <f t="shared" si="45"/>
        <v>0</v>
      </c>
      <c r="K101" s="1"/>
      <c r="L101" s="1">
        <f t="shared" si="46"/>
        <v>0</v>
      </c>
      <c r="M101" s="1"/>
      <c r="N101" s="5">
        <f t="shared" si="47"/>
        <v>0</v>
      </c>
      <c r="O101" s="13"/>
      <c r="P101" s="1">
        <f>SUM(OSRRefP22_7x_0)</f>
        <v>200.82</v>
      </c>
      <c r="Q101" s="1"/>
      <c r="R101" s="5">
        <f t="shared" si="48"/>
        <v>9.4228957315905838E-3</v>
      </c>
      <c r="S101" s="1"/>
      <c r="T101" s="1">
        <f>SUM(OSRRefT22_7x_0)</f>
        <v>129.53</v>
      </c>
      <c r="U101" s="1"/>
      <c r="V101" s="5">
        <f t="shared" si="49"/>
        <v>3.3705105179808269E-4</v>
      </c>
      <c r="W101" s="1"/>
      <c r="X101" s="1">
        <f t="shared" si="50"/>
        <v>71.289999999999992</v>
      </c>
      <c r="Y101" s="1"/>
      <c r="Z101" s="5">
        <f t="shared" si="51"/>
        <v>0.55037443063382996</v>
      </c>
    </row>
    <row r="102" spans="1:26" s="24" customFormat="1" hidden="1" outlineLevel="2" x14ac:dyDescent="0.25">
      <c r="A102" s="26"/>
      <c r="B102" s="11" t="str">
        <f>CONCATENATE("          ", "6373", " - ", "MAINTENANCE CONTRACTS")</f>
        <v xml:space="preserve">          6373 - MAINTENANCE CONTRACTS</v>
      </c>
      <c r="C102" s="11"/>
      <c r="D102" s="6"/>
      <c r="E102" s="2"/>
      <c r="F102" s="7">
        <f t="shared" si="44"/>
        <v>0</v>
      </c>
      <c r="G102" s="2"/>
      <c r="H102" s="6"/>
      <c r="I102" s="2"/>
      <c r="J102" s="7">
        <f t="shared" si="45"/>
        <v>0</v>
      </c>
      <c r="K102" s="2"/>
      <c r="L102" s="6">
        <f t="shared" si="46"/>
        <v>0</v>
      </c>
      <c r="M102" s="2"/>
      <c r="N102" s="7">
        <f t="shared" si="47"/>
        <v>0</v>
      </c>
      <c r="O102" s="11"/>
      <c r="P102" s="6">
        <v>200.82</v>
      </c>
      <c r="Q102" s="2"/>
      <c r="R102" s="7">
        <f t="shared" si="48"/>
        <v>9.4228957315905838E-3</v>
      </c>
      <c r="S102" s="2"/>
      <c r="T102" s="6">
        <v>119.73</v>
      </c>
      <c r="U102" s="2"/>
      <c r="V102" s="7">
        <f t="shared" si="49"/>
        <v>3.1155039320454288E-4</v>
      </c>
      <c r="W102" s="2"/>
      <c r="X102" s="6">
        <f t="shared" si="50"/>
        <v>81.089999999999989</v>
      </c>
      <c r="Y102" s="2"/>
      <c r="Z102" s="7">
        <f t="shared" si="51"/>
        <v>0.67727386619894747</v>
      </c>
    </row>
    <row r="103" spans="1:26" s="24" customFormat="1" hidden="1" outlineLevel="2" x14ac:dyDescent="0.25">
      <c r="A103" s="26"/>
      <c r="B103" s="11" t="str">
        <f>CONCATENATE("          ", "6375", " - ", "OUTSIDE REPAIRS &amp; MAINTENANCE")</f>
        <v xml:space="preserve">          6375 - OUTSIDE REPAIRS &amp; MAINTENANCE</v>
      </c>
      <c r="C103" s="11"/>
      <c r="D103" s="6"/>
      <c r="E103" s="2"/>
      <c r="F103" s="7">
        <f t="shared" si="44"/>
        <v>0</v>
      </c>
      <c r="G103" s="2"/>
      <c r="H103" s="6"/>
      <c r="I103" s="2"/>
      <c r="J103" s="7">
        <f t="shared" si="45"/>
        <v>0</v>
      </c>
      <c r="K103" s="2"/>
      <c r="L103" s="6">
        <f t="shared" si="46"/>
        <v>0</v>
      </c>
      <c r="M103" s="2"/>
      <c r="N103" s="7">
        <f t="shared" si="47"/>
        <v>0</v>
      </c>
      <c r="O103" s="11"/>
      <c r="P103" s="6"/>
      <c r="Q103" s="2"/>
      <c r="R103" s="7">
        <f t="shared" si="48"/>
        <v>0</v>
      </c>
      <c r="S103" s="2"/>
      <c r="T103" s="6">
        <v>9.8000000000000007</v>
      </c>
      <c r="U103" s="2"/>
      <c r="V103" s="7">
        <f t="shared" si="49"/>
        <v>2.5500658593539801E-5</v>
      </c>
      <c r="W103" s="2"/>
      <c r="X103" s="6">
        <f t="shared" si="50"/>
        <v>-9.8000000000000007</v>
      </c>
      <c r="Y103" s="2"/>
      <c r="Z103" s="7">
        <f t="shared" si="51"/>
        <v>-1</v>
      </c>
    </row>
    <row r="104" spans="1:26" s="25" customFormat="1" outlineLevel="1" collapsed="1" x14ac:dyDescent="0.25">
      <c r="A104" s="27"/>
      <c r="B104" s="13" t="str">
        <f>CONCATENATE("     ","Services                                          ")</f>
        <v xml:space="preserve">     Services                                          </v>
      </c>
      <c r="C104" s="13"/>
      <c r="D104" s="1">
        <f>SUM(OSRRefD22_8x_0)</f>
        <v>0</v>
      </c>
      <c r="E104" s="1"/>
      <c r="F104" s="5">
        <f t="shared" ref="F104:F106" si="52">IF(D$12=0,0,D104/D$12)</f>
        <v>0</v>
      </c>
      <c r="G104" s="1"/>
      <c r="H104" s="1">
        <f>SUM(OSRRefH22_8x_0)</f>
        <v>249.75</v>
      </c>
      <c r="I104" s="1"/>
      <c r="J104" s="5">
        <f t="shared" ref="J104:J106" si="53">IF(H$12=0,0,H104/H$12)</f>
        <v>3.9448195949890437E-3</v>
      </c>
      <c r="K104" s="1"/>
      <c r="L104" s="1">
        <f t="shared" ref="L104:L106" si="54">+D104-H104</f>
        <v>-249.75</v>
      </c>
      <c r="M104" s="1"/>
      <c r="N104" s="5">
        <f t="shared" ref="N104:N106" si="55">IF(H104=0,0,L104/H104)</f>
        <v>-1</v>
      </c>
      <c r="O104" s="13"/>
      <c r="P104" s="1">
        <f>SUM(OSRRefP22_8x_0)</f>
        <v>18.5</v>
      </c>
      <c r="Q104" s="1"/>
      <c r="R104" s="5">
        <f t="shared" ref="R104:R106" si="56">IF(P$12=0,0,P104/P$12)</f>
        <v>8.6805881403458724E-4</v>
      </c>
      <c r="S104" s="1"/>
      <c r="T104" s="1">
        <f>SUM(OSRRefT22_8x_0)</f>
        <v>1818.61</v>
      </c>
      <c r="U104" s="1"/>
      <c r="V104" s="5">
        <f t="shared" ref="V104:V106" si="57">IF(T$12=0,0,T104/T$12)</f>
        <v>4.732219665795654E-3</v>
      </c>
      <c r="W104" s="1"/>
      <c r="X104" s="1">
        <f t="shared" ref="X104:X106" si="58">+P104-T104</f>
        <v>-1800.11</v>
      </c>
      <c r="Y104" s="1"/>
      <c r="Z104" s="5">
        <f t="shared" ref="Z104:Z106" si="59">IF(T104=0,0,X104/T104)</f>
        <v>-0.98982739564832478</v>
      </c>
    </row>
    <row r="105" spans="1:26" s="24" customFormat="1" hidden="1" outlineLevel="2" x14ac:dyDescent="0.25">
      <c r="A105" s="26"/>
      <c r="B105" s="11" t="str">
        <f>CONCATENATE("          ", "6282", " - ", "JANITORIAL/EXTERMINATOR EXPENS")</f>
        <v xml:space="preserve">          6282 - JANITORIAL/EXTERMINATOR EXPENS</v>
      </c>
      <c r="C105" s="11"/>
      <c r="D105" s="6"/>
      <c r="E105" s="2"/>
      <c r="F105" s="7">
        <f t="shared" si="52"/>
        <v>0</v>
      </c>
      <c r="G105" s="2"/>
      <c r="H105" s="6">
        <v>44</v>
      </c>
      <c r="I105" s="2"/>
      <c r="J105" s="7">
        <f t="shared" si="53"/>
        <v>6.9498323195002173E-4</v>
      </c>
      <c r="K105" s="2"/>
      <c r="L105" s="6">
        <f t="shared" si="54"/>
        <v>-44</v>
      </c>
      <c r="M105" s="2"/>
      <c r="N105" s="7">
        <f t="shared" si="55"/>
        <v>-1</v>
      </c>
      <c r="O105" s="11"/>
      <c r="P105" s="6">
        <v>176</v>
      </c>
      <c r="Q105" s="2"/>
      <c r="R105" s="7">
        <f t="shared" si="56"/>
        <v>8.2582892578425601E-3</v>
      </c>
      <c r="S105" s="2"/>
      <c r="T105" s="6">
        <v>373.02</v>
      </c>
      <c r="U105" s="2"/>
      <c r="V105" s="7">
        <f t="shared" si="57"/>
        <v>9.7063833352675668E-4</v>
      </c>
      <c r="W105" s="2"/>
      <c r="X105" s="6">
        <f t="shared" si="58"/>
        <v>-197.01999999999998</v>
      </c>
      <c r="Y105" s="2"/>
      <c r="Z105" s="7">
        <f t="shared" si="59"/>
        <v>-0.52817543295265668</v>
      </c>
    </row>
    <row r="106" spans="1:26" s="24" customFormat="1" hidden="1" outlineLevel="2" x14ac:dyDescent="0.25">
      <c r="A106" s="26"/>
      <c r="B106" s="11" t="str">
        <f>CONCATENATE("          ", "6285", " - ", "JANITORIAL SERVICES")</f>
        <v xml:space="preserve">          6285 - JANITORIAL SERVICES</v>
      </c>
      <c r="C106" s="11"/>
      <c r="D106" s="6"/>
      <c r="E106" s="2"/>
      <c r="F106" s="7">
        <f t="shared" si="52"/>
        <v>0</v>
      </c>
      <c r="G106" s="2"/>
      <c r="H106" s="6">
        <v>205.75</v>
      </c>
      <c r="I106" s="2"/>
      <c r="J106" s="7">
        <f t="shared" si="53"/>
        <v>3.2498363630390219E-3</v>
      </c>
      <c r="K106" s="2"/>
      <c r="L106" s="6">
        <f t="shared" si="54"/>
        <v>-205.75</v>
      </c>
      <c r="M106" s="2"/>
      <c r="N106" s="7">
        <f t="shared" si="55"/>
        <v>-1</v>
      </c>
      <c r="O106" s="11"/>
      <c r="P106" s="6">
        <v>-157.5</v>
      </c>
      <c r="Q106" s="2"/>
      <c r="R106" s="7">
        <f t="shared" si="56"/>
        <v>-7.3902304438079732E-3</v>
      </c>
      <c r="S106" s="2"/>
      <c r="T106" s="6">
        <v>1445.59</v>
      </c>
      <c r="U106" s="2"/>
      <c r="V106" s="7">
        <f t="shared" si="57"/>
        <v>3.7615813322688977E-3</v>
      </c>
      <c r="W106" s="2"/>
      <c r="X106" s="6">
        <f t="shared" si="58"/>
        <v>-1603.09</v>
      </c>
      <c r="Y106" s="2"/>
      <c r="Z106" s="7">
        <f t="shared" si="59"/>
        <v>-1.1089520541785707</v>
      </c>
    </row>
    <row r="107" spans="1:26" s="25" customFormat="1" outlineLevel="1" collapsed="1" x14ac:dyDescent="0.25">
      <c r="A107" s="27"/>
      <c r="B107" s="13" t="str">
        <f>CONCATENATE("     ","Supplies                                          ")</f>
        <v xml:space="preserve">     Supplies                                          </v>
      </c>
      <c r="C107" s="13"/>
      <c r="D107" s="1">
        <f>SUM(OSRRefD22_9x_0)</f>
        <v>0</v>
      </c>
      <c r="E107" s="1"/>
      <c r="F107" s="5">
        <f t="shared" ref="F107:F111" si="60">IF(D$12=0,0,D107/D$12)</f>
        <v>0</v>
      </c>
      <c r="G107" s="1"/>
      <c r="H107" s="1">
        <f>SUM(OSRRefH22_9x_0)</f>
        <v>19.79</v>
      </c>
      <c r="I107" s="1"/>
      <c r="J107" s="5">
        <f t="shared" ref="J107:J111" si="61">IF(H$12=0,0,H107/H$12)</f>
        <v>3.1258450364297566E-4</v>
      </c>
      <c r="K107" s="1"/>
      <c r="L107" s="1">
        <f t="shared" ref="L107:L111" si="62">+D107-H107</f>
        <v>-19.79</v>
      </c>
      <c r="M107" s="1"/>
      <c r="N107" s="5">
        <f t="shared" ref="N107:N111" si="63">IF(H107=0,0,L107/H107)</f>
        <v>-1</v>
      </c>
      <c r="O107" s="13"/>
      <c r="P107" s="1">
        <f>SUM(OSRRefP22_9x_0)</f>
        <v>1892.27</v>
      </c>
      <c r="Q107" s="1"/>
      <c r="R107" s="5">
        <f t="shared" ref="R107:R111" si="64">IF(P$12=0,0,P107/P$12)</f>
        <v>8.8789278488282622E-2</v>
      </c>
      <c r="S107" s="1"/>
      <c r="T107" s="1">
        <f>SUM(OSRRefT22_9x_0)</f>
        <v>1282.1099999999999</v>
      </c>
      <c r="U107" s="1"/>
      <c r="V107" s="5">
        <f t="shared" ref="V107:V111" si="65">IF(T$12=0,0,T107/T$12)</f>
        <v>3.3361887132003377E-3</v>
      </c>
      <c r="W107" s="1"/>
      <c r="X107" s="1">
        <f t="shared" ref="X107:X111" si="66">+P107-T107</f>
        <v>610.16000000000008</v>
      </c>
      <c r="Y107" s="1"/>
      <c r="Z107" s="5">
        <f t="shared" ref="Z107:Z111" si="67">IF(T107=0,0,X107/T107)</f>
        <v>0.47590300364243326</v>
      </c>
    </row>
    <row r="108" spans="1:26" s="24" customFormat="1" hidden="1" outlineLevel="2" x14ac:dyDescent="0.25">
      <c r="A108" s="26"/>
      <c r="B108" s="11" t="str">
        <f>CONCATENATE("          ", "6235", " - ", "COVID-19 EXPENSES")</f>
        <v xml:space="preserve">          6235 - COVID-19 EXPENSES</v>
      </c>
      <c r="C108" s="11"/>
      <c r="D108" s="6"/>
      <c r="E108" s="2"/>
      <c r="F108" s="7">
        <f t="shared" si="60"/>
        <v>0</v>
      </c>
      <c r="G108" s="2"/>
      <c r="H108" s="6"/>
      <c r="I108" s="2"/>
      <c r="J108" s="7">
        <f t="shared" si="61"/>
        <v>0</v>
      </c>
      <c r="K108" s="2"/>
      <c r="L108" s="6">
        <f t="shared" si="62"/>
        <v>0</v>
      </c>
      <c r="M108" s="2"/>
      <c r="N108" s="7">
        <f t="shared" si="63"/>
        <v>0</v>
      </c>
      <c r="O108" s="11"/>
      <c r="P108" s="6">
        <v>444.3</v>
      </c>
      <c r="Q108" s="2"/>
      <c r="R108" s="7">
        <f t="shared" si="64"/>
        <v>2.0847488166246871E-2</v>
      </c>
      <c r="S108" s="2"/>
      <c r="T108" s="6"/>
      <c r="U108" s="2"/>
      <c r="V108" s="7">
        <f t="shared" si="65"/>
        <v>0</v>
      </c>
      <c r="W108" s="2"/>
      <c r="X108" s="6">
        <f t="shared" si="66"/>
        <v>444.3</v>
      </c>
      <c r="Y108" s="2"/>
      <c r="Z108" s="7">
        <f t="shared" si="67"/>
        <v>0</v>
      </c>
    </row>
    <row r="109" spans="1:26" s="24" customFormat="1" hidden="1" outlineLevel="2" x14ac:dyDescent="0.25">
      <c r="A109" s="26"/>
      <c r="B109" s="11" t="str">
        <f>CONCATENATE("          ", "6241", " - ", "OFFICE EXPENSE")</f>
        <v xml:space="preserve">          6241 - OFFICE EXPENSE</v>
      </c>
      <c r="C109" s="11"/>
      <c r="D109" s="6"/>
      <c r="E109" s="2"/>
      <c r="F109" s="7">
        <f t="shared" si="60"/>
        <v>0</v>
      </c>
      <c r="G109" s="2"/>
      <c r="H109" s="6">
        <v>19.79</v>
      </c>
      <c r="I109" s="2"/>
      <c r="J109" s="7">
        <f t="shared" si="61"/>
        <v>3.1258450364297566E-4</v>
      </c>
      <c r="K109" s="2"/>
      <c r="L109" s="6">
        <f t="shared" si="62"/>
        <v>-19.79</v>
      </c>
      <c r="M109" s="2"/>
      <c r="N109" s="7">
        <f t="shared" si="63"/>
        <v>-1</v>
      </c>
      <c r="O109" s="11"/>
      <c r="P109" s="6">
        <v>225.24</v>
      </c>
      <c r="Q109" s="2"/>
      <c r="R109" s="7">
        <f t="shared" si="64"/>
        <v>1.056873336611624E-2</v>
      </c>
      <c r="S109" s="2"/>
      <c r="T109" s="6">
        <v>1260.76</v>
      </c>
      <c r="U109" s="2"/>
      <c r="V109" s="7">
        <f t="shared" si="65"/>
        <v>3.2806337069786976E-3</v>
      </c>
      <c r="W109" s="2"/>
      <c r="X109" s="6">
        <f t="shared" si="66"/>
        <v>-1035.52</v>
      </c>
      <c r="Y109" s="2"/>
      <c r="Z109" s="7">
        <f t="shared" si="67"/>
        <v>-0.82134585488118272</v>
      </c>
    </row>
    <row r="110" spans="1:26" s="24" customFormat="1" hidden="1" outlineLevel="2" x14ac:dyDescent="0.25">
      <c r="A110" s="26"/>
      <c r="B110" s="11" t="str">
        <f>CONCATENATE("          ", "6245", " - ", "PRINTING")</f>
        <v xml:space="preserve">          6245 - PRINTING</v>
      </c>
      <c r="C110" s="11"/>
      <c r="D110" s="6"/>
      <c r="E110" s="2"/>
      <c r="F110" s="7">
        <f t="shared" si="60"/>
        <v>0</v>
      </c>
      <c r="G110" s="2"/>
      <c r="H110" s="6"/>
      <c r="I110" s="2"/>
      <c r="J110" s="7">
        <f t="shared" si="61"/>
        <v>0</v>
      </c>
      <c r="K110" s="2"/>
      <c r="L110" s="6">
        <f t="shared" si="62"/>
        <v>0</v>
      </c>
      <c r="M110" s="2"/>
      <c r="N110" s="7">
        <f t="shared" si="63"/>
        <v>0</v>
      </c>
      <c r="O110" s="11"/>
      <c r="P110" s="6"/>
      <c r="Q110" s="2"/>
      <c r="R110" s="7">
        <f t="shared" si="64"/>
        <v>0</v>
      </c>
      <c r="S110" s="2"/>
      <c r="T110" s="6">
        <v>22.05</v>
      </c>
      <c r="U110" s="2"/>
      <c r="V110" s="7">
        <f t="shared" si="65"/>
        <v>5.7376481835464547E-5</v>
      </c>
      <c r="W110" s="2"/>
      <c r="X110" s="6">
        <f t="shared" si="66"/>
        <v>-22.05</v>
      </c>
      <c r="Y110" s="2"/>
      <c r="Z110" s="7">
        <f t="shared" si="67"/>
        <v>-1</v>
      </c>
    </row>
    <row r="111" spans="1:26" s="24" customFormat="1" hidden="1" outlineLevel="2" x14ac:dyDescent="0.25">
      <c r="A111" s="26"/>
      <c r="B111" s="11" t="str">
        <f>CONCATENATE("          ", "6247", " - ", "STORE SUPPLIES")</f>
        <v xml:space="preserve">          6247 - STORE SUPPLIES</v>
      </c>
      <c r="C111" s="11"/>
      <c r="D111" s="6"/>
      <c r="E111" s="2"/>
      <c r="F111" s="7">
        <f t="shared" si="60"/>
        <v>0</v>
      </c>
      <c r="G111" s="2"/>
      <c r="H111" s="6"/>
      <c r="I111" s="2"/>
      <c r="J111" s="7">
        <f t="shared" si="61"/>
        <v>0</v>
      </c>
      <c r="K111" s="2"/>
      <c r="L111" s="6">
        <f t="shared" si="62"/>
        <v>0</v>
      </c>
      <c r="M111" s="2"/>
      <c r="N111" s="7">
        <f t="shared" si="63"/>
        <v>0</v>
      </c>
      <c r="O111" s="11"/>
      <c r="P111" s="6">
        <v>1222.73</v>
      </c>
      <c r="Q111" s="2"/>
      <c r="R111" s="7">
        <f t="shared" si="64"/>
        <v>5.7373056955919509E-2</v>
      </c>
      <c r="S111" s="2"/>
      <c r="T111" s="6">
        <v>-0.7</v>
      </c>
      <c r="U111" s="2"/>
      <c r="V111" s="7">
        <f t="shared" si="65"/>
        <v>-1.8214756138242713E-6</v>
      </c>
      <c r="W111" s="2"/>
      <c r="X111" s="6">
        <f t="shared" si="66"/>
        <v>1223.43</v>
      </c>
      <c r="Y111" s="2"/>
      <c r="Z111" s="7">
        <f t="shared" si="67"/>
        <v>-1747.757142857143</v>
      </c>
    </row>
    <row r="112" spans="1:26" s="25" customFormat="1" outlineLevel="1" collapsed="1" x14ac:dyDescent="0.25">
      <c r="A112" s="27"/>
      <c r="B112" s="13" t="str">
        <f>CONCATENATE("     ","Telephone/Data Lines                              ")</f>
        <v xml:space="preserve">     Telephone/Data Lines                              </v>
      </c>
      <c r="C112" s="13"/>
      <c r="D112" s="1">
        <f>SUM(OSRRefD22_10x_0)</f>
        <v>53</v>
      </c>
      <c r="E112" s="1"/>
      <c r="F112" s="5">
        <f t="shared" ref="F112:F115" si="68">IF(D$12=0,0,D112/D$12)</f>
        <v>0</v>
      </c>
      <c r="G112" s="1"/>
      <c r="H112" s="1">
        <f>SUM(OSRRefH22_10x_0)</f>
        <v>104.65</v>
      </c>
      <c r="I112" s="1"/>
      <c r="J112" s="5">
        <f t="shared" ref="J112:J115" si="69">IF(H$12=0,0,H112/H$12)</f>
        <v>1.6529544368993131E-3</v>
      </c>
      <c r="K112" s="1"/>
      <c r="L112" s="1">
        <f t="shared" ref="L112:L115" si="70">+D112-H112</f>
        <v>-51.650000000000006</v>
      </c>
      <c r="M112" s="1"/>
      <c r="N112" s="5">
        <f t="shared" ref="N112:N115" si="71">IF(H112=0,0,L112/H112)</f>
        <v>-0.49354992833253708</v>
      </c>
      <c r="O112" s="13"/>
      <c r="P112" s="1">
        <f>SUM(OSRRefP22_10x_0)</f>
        <v>472.05</v>
      </c>
      <c r="Q112" s="1"/>
      <c r="R112" s="5">
        <f t="shared" ref="R112:R115" si="72">IF(P$12=0,0,P112/P$12)</f>
        <v>2.2149576387298753E-2</v>
      </c>
      <c r="S112" s="1"/>
      <c r="T112" s="1">
        <f>SUM(OSRRefT22_10x_0)</f>
        <v>784.22</v>
      </c>
      <c r="U112" s="1"/>
      <c r="V112" s="5">
        <f t="shared" ref="V112:V115" si="73">IF(T$12=0,0,T112/T$12)</f>
        <v>2.0406251512475287E-3</v>
      </c>
      <c r="W112" s="1"/>
      <c r="X112" s="1">
        <f t="shared" ref="X112:X115" si="74">+P112-T112</f>
        <v>-312.17</v>
      </c>
      <c r="Y112" s="1"/>
      <c r="Z112" s="5">
        <f t="shared" ref="Z112:Z115" si="75">IF(T112=0,0,X112/T112)</f>
        <v>-0.398064318686083</v>
      </c>
    </row>
    <row r="113" spans="1:26" s="24" customFormat="1" hidden="1" outlineLevel="2" x14ac:dyDescent="0.25">
      <c r="A113" s="26"/>
      <c r="B113" s="11" t="str">
        <f>CONCATENATE("          ", "6309", " - ", "TELEPHONE")</f>
        <v xml:space="preserve">          6309 - TELEPHONE</v>
      </c>
      <c r="C113" s="11"/>
      <c r="D113" s="6">
        <v>53</v>
      </c>
      <c r="E113" s="2"/>
      <c r="F113" s="7">
        <f t="shared" si="68"/>
        <v>0</v>
      </c>
      <c r="G113" s="2"/>
      <c r="H113" s="6">
        <v>104.65</v>
      </c>
      <c r="I113" s="2"/>
      <c r="J113" s="7">
        <f t="shared" si="69"/>
        <v>1.6529544368993131E-3</v>
      </c>
      <c r="K113" s="2"/>
      <c r="L113" s="6">
        <f t="shared" si="70"/>
        <v>-51.650000000000006</v>
      </c>
      <c r="M113" s="2"/>
      <c r="N113" s="7">
        <f t="shared" si="71"/>
        <v>-0.49354992833253708</v>
      </c>
      <c r="O113" s="11"/>
      <c r="P113" s="6">
        <v>472.05</v>
      </c>
      <c r="Q113" s="2"/>
      <c r="R113" s="7">
        <f t="shared" si="72"/>
        <v>2.2149576387298753E-2</v>
      </c>
      <c r="S113" s="2"/>
      <c r="T113" s="6">
        <v>784.22</v>
      </c>
      <c r="U113" s="2"/>
      <c r="V113" s="7">
        <f t="shared" si="73"/>
        <v>2.0406251512475287E-3</v>
      </c>
      <c r="W113" s="2"/>
      <c r="X113" s="6">
        <f t="shared" si="74"/>
        <v>-312.17</v>
      </c>
      <c r="Y113" s="2"/>
      <c r="Z113" s="7">
        <f t="shared" si="75"/>
        <v>-0.398064318686083</v>
      </c>
    </row>
    <row r="114" spans="1:26" s="25" customFormat="1" outlineLevel="1" collapsed="1" x14ac:dyDescent="0.25">
      <c r="A114" s="27"/>
      <c r="B114" s="13" t="str">
        <f>CONCATENATE("     ","Training                                          ")</f>
        <v xml:space="preserve">     Training                                          </v>
      </c>
      <c r="C114" s="13"/>
      <c r="D114" s="1">
        <f>SUM(OSRRefD22_11x_0)</f>
        <v>0</v>
      </c>
      <c r="E114" s="1"/>
      <c r="F114" s="5">
        <f t="shared" si="68"/>
        <v>0</v>
      </c>
      <c r="G114" s="1"/>
      <c r="H114" s="1">
        <f>SUM(OSRRefH22_11x_0)</f>
        <v>174.8</v>
      </c>
      <c r="I114" s="1"/>
      <c r="J114" s="5">
        <f t="shared" si="69"/>
        <v>2.7609788396559956E-3</v>
      </c>
      <c r="K114" s="1"/>
      <c r="L114" s="1">
        <f t="shared" si="70"/>
        <v>-174.8</v>
      </c>
      <c r="M114" s="1"/>
      <c r="N114" s="5">
        <f t="shared" si="71"/>
        <v>-1</v>
      </c>
      <c r="O114" s="13"/>
      <c r="P114" s="1">
        <f>SUM(OSRRefP22_11x_0)</f>
        <v>14</v>
      </c>
      <c r="Q114" s="1"/>
      <c r="R114" s="5">
        <f t="shared" si="72"/>
        <v>6.5690937278293094E-4</v>
      </c>
      <c r="S114" s="1"/>
      <c r="T114" s="1">
        <f>SUM(OSRRefT22_11x_0)</f>
        <v>254.8</v>
      </c>
      <c r="U114" s="1"/>
      <c r="V114" s="5">
        <f t="shared" si="73"/>
        <v>6.6301712343203479E-4</v>
      </c>
      <c r="W114" s="1"/>
      <c r="X114" s="1">
        <f t="shared" si="74"/>
        <v>-240.8</v>
      </c>
      <c r="Y114" s="1"/>
      <c r="Z114" s="5">
        <f t="shared" si="75"/>
        <v>-0.94505494505494503</v>
      </c>
    </row>
    <row r="115" spans="1:26" s="24" customFormat="1" hidden="1" outlineLevel="2" x14ac:dyDescent="0.25">
      <c r="A115" s="26"/>
      <c r="B115" s="11" t="str">
        <f>CONCATENATE("          ", "6376", " - ", "TRAINING")</f>
        <v xml:space="preserve">          6376 - TRAINING</v>
      </c>
      <c r="C115" s="11"/>
      <c r="D115" s="6"/>
      <c r="E115" s="2"/>
      <c r="F115" s="7">
        <f t="shared" si="68"/>
        <v>0</v>
      </c>
      <c r="G115" s="2"/>
      <c r="H115" s="6">
        <v>174.8</v>
      </c>
      <c r="I115" s="2"/>
      <c r="J115" s="7">
        <f t="shared" si="69"/>
        <v>2.7609788396559956E-3</v>
      </c>
      <c r="K115" s="2"/>
      <c r="L115" s="6">
        <f t="shared" si="70"/>
        <v>-174.8</v>
      </c>
      <c r="M115" s="2"/>
      <c r="N115" s="7">
        <f t="shared" si="71"/>
        <v>-1</v>
      </c>
      <c r="O115" s="11"/>
      <c r="P115" s="6">
        <v>14</v>
      </c>
      <c r="Q115" s="2"/>
      <c r="R115" s="7">
        <f t="shared" si="72"/>
        <v>6.5690937278293094E-4</v>
      </c>
      <c r="S115" s="2"/>
      <c r="T115" s="6">
        <v>254.8</v>
      </c>
      <c r="U115" s="2"/>
      <c r="V115" s="7">
        <f t="shared" si="73"/>
        <v>6.6301712343203479E-4</v>
      </c>
      <c r="W115" s="2"/>
      <c r="X115" s="6">
        <f t="shared" si="74"/>
        <v>-240.8</v>
      </c>
      <c r="Y115" s="2"/>
      <c r="Z115" s="7">
        <f t="shared" si="75"/>
        <v>-0.94505494505494503</v>
      </c>
    </row>
    <row r="116" spans="1:26" s="52" customFormat="1" x14ac:dyDescent="0.25">
      <c r="A116" s="37"/>
      <c r="B116" s="37"/>
      <c r="C116" s="37"/>
      <c r="D116" s="1"/>
      <c r="E116" s="1"/>
      <c r="F116" s="5"/>
      <c r="G116" s="1"/>
      <c r="H116" s="1"/>
      <c r="I116" s="1"/>
      <c r="J116" s="5"/>
      <c r="K116" s="1"/>
      <c r="L116" s="1"/>
      <c r="M116" s="1"/>
      <c r="N116" s="5"/>
      <c r="O116" s="37"/>
      <c r="P116" s="1"/>
      <c r="Q116" s="1"/>
      <c r="R116" s="5"/>
      <c r="S116" s="1"/>
      <c r="T116" s="1"/>
      <c r="U116" s="1"/>
      <c r="V116" s="5"/>
      <c r="W116" s="1"/>
      <c r="X116" s="1"/>
      <c r="Y116" s="1"/>
      <c r="Z116" s="5"/>
    </row>
    <row r="117" spans="1:26" s="23" customFormat="1" collapsed="1" x14ac:dyDescent="0.25">
      <c r="A117" s="10"/>
      <c r="B117" s="28" t="s">
        <v>0</v>
      </c>
      <c r="C117" s="10"/>
      <c r="D117" s="4">
        <f>SUM(OSRRefD25x_0)</f>
        <v>0</v>
      </c>
      <c r="E117" s="4"/>
      <c r="F117" s="12">
        <f t="shared" ref="F117:F118" si="76">IF(D$12=0,0,D117/D$12)</f>
        <v>0</v>
      </c>
      <c r="G117" s="4"/>
      <c r="H117" s="4">
        <f>SUM(OSRRefH25x_0)</f>
        <v>0</v>
      </c>
      <c r="I117" s="4"/>
      <c r="J117" s="12">
        <f t="shared" ref="J117:J118" si="77">IF(H$12=0,0,H117/H$12)</f>
        <v>0</v>
      </c>
      <c r="K117" s="4"/>
      <c r="L117" s="4">
        <f t="shared" ref="L117:L118" si="78">+D117-H117</f>
        <v>0</v>
      </c>
      <c r="M117" s="4"/>
      <c r="N117" s="12">
        <f t="shared" ref="N117:N118" si="79">IF(H117=0,0,L117/H117)</f>
        <v>0</v>
      </c>
      <c r="O117" s="10"/>
      <c r="P117" s="4">
        <f>SUM(OSRRefP25x_0)</f>
        <v>0</v>
      </c>
      <c r="Q117" s="4"/>
      <c r="R117" s="12">
        <f t="shared" ref="R117:R118" si="80">IF(P$12=0,0,P117/P$12)</f>
        <v>0</v>
      </c>
      <c r="S117" s="4"/>
      <c r="T117" s="4">
        <f>SUM(OSRRefT25x_0)</f>
        <v>68.760000000000005</v>
      </c>
      <c r="U117" s="4"/>
      <c r="V117" s="12">
        <f t="shared" ref="V117:V118" si="81">IF(T$12=0,0,T117/T$12)</f>
        <v>1.7892094743793843E-4</v>
      </c>
      <c r="W117" s="4"/>
      <c r="X117" s="4">
        <f t="shared" ref="X117:X118" si="82">+P117-T117</f>
        <v>-68.760000000000005</v>
      </c>
      <c r="Y117" s="4"/>
      <c r="Z117" s="12">
        <f t="shared" ref="Z117:Z118" si="83">IF(T117=0,0,X117/T117)</f>
        <v>-1</v>
      </c>
    </row>
    <row r="118" spans="1:26" s="24" customFormat="1" hidden="1" outlineLevel="1" x14ac:dyDescent="0.25">
      <c r="A118" s="44"/>
      <c r="B118" s="11" t="str">
        <f>CONCATENATE("          ", "9150", " - ", "MISC. INCOME")</f>
        <v xml:space="preserve">          9150 - MISC. INCOME</v>
      </c>
      <c r="C118" s="11"/>
      <c r="D118" s="2">
        <f>0</f>
        <v>0</v>
      </c>
      <c r="E118" s="2"/>
      <c r="F118" s="19">
        <f t="shared" si="76"/>
        <v>0</v>
      </c>
      <c r="G118" s="2"/>
      <c r="H118" s="2">
        <f>0</f>
        <v>0</v>
      </c>
      <c r="I118" s="2"/>
      <c r="J118" s="19">
        <f t="shared" si="77"/>
        <v>0</v>
      </c>
      <c r="K118" s="2"/>
      <c r="L118" s="2">
        <f t="shared" si="78"/>
        <v>0</v>
      </c>
      <c r="M118" s="2"/>
      <c r="N118" s="19">
        <f t="shared" si="79"/>
        <v>0</v>
      </c>
      <c r="O118" s="11"/>
      <c r="P118" s="2">
        <f>0</f>
        <v>0</v>
      </c>
      <c r="Q118" s="2"/>
      <c r="R118" s="19">
        <f t="shared" si="80"/>
        <v>0</v>
      </c>
      <c r="S118" s="2"/>
      <c r="T118" s="2">
        <f>--68.76</f>
        <v>68.760000000000005</v>
      </c>
      <c r="U118" s="2"/>
      <c r="V118" s="19">
        <f t="shared" si="81"/>
        <v>1.7892094743793843E-4</v>
      </c>
      <c r="W118" s="2"/>
      <c r="X118" s="2">
        <f t="shared" si="82"/>
        <v>-68.760000000000005</v>
      </c>
      <c r="Y118" s="2"/>
      <c r="Z118" s="19">
        <f t="shared" si="83"/>
        <v>-1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10"/>
      <c r="B120" s="29" t="s">
        <v>3</v>
      </c>
      <c r="C120" s="29"/>
      <c r="D120" s="22">
        <f>+D73-D75+D117</f>
        <v>-65.760000000000005</v>
      </c>
      <c r="E120" s="14"/>
      <c r="F120" s="20">
        <f>IF(D$12=0,0,D120/D$12)</f>
        <v>0</v>
      </c>
      <c r="G120" s="14"/>
      <c r="H120" s="22">
        <f>+H73-H75+H117</f>
        <v>17347.860000000011</v>
      </c>
      <c r="I120" s="14"/>
      <c r="J120" s="20">
        <f>IF(H$12=0,0,H120/H$12)</f>
        <v>0.27401072295946616</v>
      </c>
      <c r="K120" s="16"/>
      <c r="L120" s="22">
        <f>+D120-H120</f>
        <v>-17413.62000000001</v>
      </c>
      <c r="M120" s="16"/>
      <c r="N120" s="20">
        <f>IF(H120=0,0,L120/H120)</f>
        <v>-1.0037906692813983</v>
      </c>
      <c r="O120" s="28"/>
      <c r="P120" s="22">
        <f>+P73-P75+P117</f>
        <v>-4964.8499999999913</v>
      </c>
      <c r="Q120" s="14"/>
      <c r="R120" s="20">
        <f>IF(P$12=0,0,P120/P$12)</f>
        <v>-0.23296117853295206</v>
      </c>
      <c r="S120" s="14"/>
      <c r="T120" s="22">
        <f>+T73-T75+T117</f>
        <v>85711.02</v>
      </c>
      <c r="U120" s="14"/>
      <c r="V120" s="20">
        <f>IF(T$12=0,0,T120/T$12)</f>
        <v>0.22302933252286344</v>
      </c>
      <c r="W120" s="16"/>
      <c r="X120" s="22">
        <f>+P120-T120</f>
        <v>-90675.87</v>
      </c>
      <c r="Y120" s="16"/>
      <c r="Z120" s="20">
        <f>IF(T120=0,0,X120/T120)</f>
        <v>-1.0579254569599101</v>
      </c>
    </row>
    <row r="121" spans="1:26" x14ac:dyDescent="0.25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51"/>
      <c r="B122" s="10" t="s">
        <v>13</v>
      </c>
      <c r="C122" s="10"/>
      <c r="D122" s="4">
        <v>351.84</v>
      </c>
      <c r="E122" s="4"/>
      <c r="F122" s="12">
        <f>IF(D$12=0,0,D122/D$12)</f>
        <v>0</v>
      </c>
      <c r="G122" s="4"/>
      <c r="H122" s="4">
        <v>5693.14</v>
      </c>
      <c r="I122" s="4"/>
      <c r="J122" s="12">
        <f>IF(H$12=0,0,H122/H$12)</f>
        <v>8.9923564480544255E-2</v>
      </c>
      <c r="K122" s="4"/>
      <c r="L122" s="4">
        <f>+D122-H122</f>
        <v>-5341.3</v>
      </c>
      <c r="M122" s="4"/>
      <c r="N122" s="12">
        <f>IF(H122=0,0,L122/H122)</f>
        <v>-0.93819930653382844</v>
      </c>
      <c r="O122" s="10"/>
      <c r="P122" s="4">
        <v>4220.5200000000004</v>
      </c>
      <c r="Q122" s="4"/>
      <c r="R122" s="12">
        <f>IF(P$12=0,0,P122/P$12)</f>
        <v>0.19803565328698686</v>
      </c>
      <c r="S122" s="4"/>
      <c r="T122" s="4">
        <v>39168.160000000003</v>
      </c>
      <c r="U122" s="4"/>
      <c r="V122" s="12">
        <f>IF(T$12=0,0,T122/T$12)</f>
        <v>0.10191978325481039</v>
      </c>
      <c r="W122" s="4"/>
      <c r="X122" s="4">
        <f>+P122-T122</f>
        <v>-34947.64</v>
      </c>
      <c r="Y122" s="4"/>
      <c r="Z122" s="12">
        <f>IF(T122=0,0,X122/T122)</f>
        <v>-0.8922461509552656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9" t="s">
        <v>4</v>
      </c>
      <c r="C124" s="29"/>
      <c r="D124" s="35">
        <f>+D120-D122</f>
        <v>-417.59999999999997</v>
      </c>
      <c r="E124" s="14"/>
      <c r="F124" s="36">
        <f>IF(D$12=0,0,D124/D$12)</f>
        <v>0</v>
      </c>
      <c r="G124" s="14"/>
      <c r="H124" s="35">
        <f>+H120-H122</f>
        <v>11654.720000000012</v>
      </c>
      <c r="I124" s="14"/>
      <c r="J124" s="36">
        <f>IF(H$12=0,0,H124/H$12)</f>
        <v>0.18408715847892196</v>
      </c>
      <c r="K124" s="16"/>
      <c r="L124" s="35">
        <f>D124-H124</f>
        <v>-12072.320000000012</v>
      </c>
      <c r="M124" s="16"/>
      <c r="N124" s="36">
        <f>IF(H124=0,0,L124/H124)</f>
        <v>-1.0358309766343592</v>
      </c>
      <c r="O124" s="28"/>
      <c r="P124" s="35">
        <f>+P120-P122</f>
        <v>-9185.3699999999917</v>
      </c>
      <c r="Q124" s="14"/>
      <c r="R124" s="36">
        <f>IF(P$12=0,0,P124/P$12)</f>
        <v>-0.43099683181993892</v>
      </c>
      <c r="S124" s="14"/>
      <c r="T124" s="35">
        <f>+T120-T122</f>
        <v>46542.86</v>
      </c>
      <c r="U124" s="14"/>
      <c r="V124" s="36">
        <f>IF(T$12=0,0,T124/T$12)</f>
        <v>0.12110954926805303</v>
      </c>
      <c r="W124" s="16"/>
      <c r="X124" s="35">
        <f>P124-T124</f>
        <v>-55728.229999999996</v>
      </c>
      <c r="Y124" s="16"/>
      <c r="Z124" s="36">
        <f>IF(T124=0,0,X124/T124)</f>
        <v>-1.1973529344780272</v>
      </c>
    </row>
    <row r="125" spans="1:26" ht="15.75" thickTop="1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9" t="s">
        <v>5</v>
      </c>
      <c r="C127" s="29"/>
      <c r="D127" s="31">
        <f>SUM(D124:D126)</f>
        <v>-417.59999999999997</v>
      </c>
      <c r="E127" s="14"/>
      <c r="F127" s="33">
        <f>IF(D$12=0,0,D127/D$12)</f>
        <v>0</v>
      </c>
      <c r="G127" s="14"/>
      <c r="H127" s="31">
        <f>SUM(H124:H126)</f>
        <v>11654.720000000012</v>
      </c>
      <c r="I127" s="14"/>
      <c r="J127" s="33">
        <f>IF(H$12=0,0,H127/H$12)</f>
        <v>0.18408715847892196</v>
      </c>
      <c r="K127" s="16"/>
      <c r="L127" s="31">
        <f>+D127-H127</f>
        <v>-12072.320000000012</v>
      </c>
      <c r="M127" s="16"/>
      <c r="N127" s="33">
        <f>IF(H127=0,0,L127/H127)</f>
        <v>-1.0358309766343592</v>
      </c>
      <c r="O127" s="28"/>
      <c r="P127" s="31">
        <f>SUM(P124:P126)</f>
        <v>-9185.3699999999917</v>
      </c>
      <c r="Q127" s="14"/>
      <c r="R127" s="33">
        <f>IF(P$12=0,0,P127/P$12)</f>
        <v>-0.43099683181993892</v>
      </c>
      <c r="S127" s="14"/>
      <c r="T127" s="31">
        <f>SUM(T124:T126)</f>
        <v>46542.86</v>
      </c>
      <c r="U127" s="14"/>
      <c r="V127" s="33">
        <f>IF(T$12=0,0,T127/T$12)</f>
        <v>0.12110954926805303</v>
      </c>
      <c r="W127" s="16"/>
      <c r="X127" s="31">
        <f>+P127-T127</f>
        <v>-55728.229999999996</v>
      </c>
      <c r="Y127" s="16"/>
      <c r="Z127" s="33">
        <f>IF(T127=0,0,X127/T127)</f>
        <v>-1.1973529344780272</v>
      </c>
    </row>
    <row r="128" spans="1:26" ht="15.75" thickTop="1" x14ac:dyDescent="0.25">
      <c r="A128" s="9"/>
      <c r="C128" s="9"/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1:24" x14ac:dyDescent="0.25">
      <c r="A129" s="9"/>
      <c r="B129" s="56">
        <v>44267.668194016202</v>
      </c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A130" s="9"/>
      <c r="B130" s="54" t="s">
        <v>313</v>
      </c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4" x14ac:dyDescent="0.25">
      <c r="A131" s="9"/>
      <c r="B131" s="58"/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4" x14ac:dyDescent="0.25"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","314", " - ", "Tech/Supplies")</f>
        <v>Department 314 - Tech/Supplies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53507.399999999994</v>
      </c>
      <c r="I12" s="4"/>
      <c r="J12" s="12"/>
      <c r="K12" s="4"/>
      <c r="L12" s="4">
        <f t="shared" ref="L12:L32" si="0">+D12-H12</f>
        <v>-53507.399999999994</v>
      </c>
      <c r="M12" s="4"/>
      <c r="N12" s="12">
        <f t="shared" ref="N12:N32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386399.31000000006</v>
      </c>
      <c r="U12" s="4"/>
      <c r="V12" s="12"/>
      <c r="W12" s="4"/>
      <c r="X12" s="4">
        <f t="shared" ref="X12:X32" si="2">+P12-T12</f>
        <v>-386399.31000000006</v>
      </c>
      <c r="Y12" s="4"/>
      <c r="Z12" s="12">
        <f t="shared" ref="Z12:Z32" si="3">IF(T12=0,0,X12/T12)</f>
        <v>-1</v>
      </c>
    </row>
    <row r="13" spans="1:26" s="24" customFormat="1" hidden="1" outlineLevel="1" x14ac:dyDescent="0.25">
      <c r="A13" s="44"/>
      <c r="B13" s="11" t="str">
        <f>CONCATENATE("          ", "4017", " - ", "TAXABLE SALES-DORM/HOUSEWARES")</f>
        <v xml:space="preserve">          4017 - TAXABLE SALES-DORM/HOUSEWARES</v>
      </c>
      <c r="C13" s="11"/>
      <c r="D13" s="2">
        <f t="shared" ref="D13:D32" si="4"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32" si="5">0</f>
        <v>0</v>
      </c>
      <c r="Q13" s="2"/>
      <c r="R13" s="19"/>
      <c r="S13" s="2"/>
      <c r="T13" s="2">
        <f>--211.2</f>
        <v>211.2</v>
      </c>
      <c r="U13" s="2"/>
      <c r="V13" s="19"/>
      <c r="W13" s="2"/>
      <c r="X13" s="2">
        <f t="shared" si="2"/>
        <v>-211.2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"4019", " - ", "TAXABLE SALES-BOOK RELATED")</f>
        <v xml:space="preserve">          4019 - TAXABLE SALES-BOOK RELATED</v>
      </c>
      <c r="C14" s="11"/>
      <c r="D14" s="2">
        <f t="shared" si="4"/>
        <v>0</v>
      </c>
      <c r="E14" s="2"/>
      <c r="F14" s="19"/>
      <c r="G14" s="2"/>
      <c r="H14" s="2">
        <f>--8.97</f>
        <v>8.9700000000000006</v>
      </c>
      <c r="I14" s="2"/>
      <c r="J14" s="19"/>
      <c r="K14" s="2"/>
      <c r="L14" s="2">
        <f t="shared" si="0"/>
        <v>-8.9700000000000006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--42.85</f>
        <v>42.85</v>
      </c>
      <c r="U14" s="2"/>
      <c r="V14" s="19"/>
      <c r="W14" s="2"/>
      <c r="X14" s="2">
        <f t="shared" si="2"/>
        <v>-42.85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 t="shared" si="4"/>
        <v>0</v>
      </c>
      <c r="E15" s="2"/>
      <c r="F15" s="19"/>
      <c r="G15" s="2"/>
      <c r="H15" s="2">
        <f>--10984.27</f>
        <v>10984.27</v>
      </c>
      <c r="I15" s="2"/>
      <c r="J15" s="19"/>
      <c r="K15" s="2"/>
      <c r="L15" s="2">
        <f t="shared" si="0"/>
        <v>-10984.27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--49730.39</f>
        <v>49730.39</v>
      </c>
      <c r="U15" s="2"/>
      <c r="V15" s="19"/>
      <c r="W15" s="2"/>
      <c r="X15" s="2">
        <f t="shared" si="2"/>
        <v>-49730.39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 t="shared" si="4"/>
        <v>0</v>
      </c>
      <c r="E16" s="2"/>
      <c r="F16" s="19"/>
      <c r="G16" s="2"/>
      <c r="H16" s="2">
        <f>--10484</f>
        <v>10484</v>
      </c>
      <c r="I16" s="2"/>
      <c r="J16" s="19"/>
      <c r="K16" s="2"/>
      <c r="L16" s="2">
        <f t="shared" si="0"/>
        <v>-10484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--68972.73</f>
        <v>68972.73</v>
      </c>
      <c r="U16" s="2"/>
      <c r="V16" s="19"/>
      <c r="W16" s="2"/>
      <c r="X16" s="2">
        <f t="shared" si="2"/>
        <v>-68972.73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 t="shared" si="4"/>
        <v>0</v>
      </c>
      <c r="E17" s="2"/>
      <c r="F17" s="19"/>
      <c r="G17" s="2"/>
      <c r="H17" s="2">
        <f>--29196.55</f>
        <v>29196.55</v>
      </c>
      <c r="I17" s="2"/>
      <c r="J17" s="19"/>
      <c r="K17" s="2"/>
      <c r="L17" s="2">
        <f t="shared" si="0"/>
        <v>-29196.55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--252536.37</f>
        <v>252536.37</v>
      </c>
      <c r="U17" s="2"/>
      <c r="V17" s="19"/>
      <c r="W17" s="2"/>
      <c r="X17" s="2">
        <f t="shared" si="2"/>
        <v>-252536.37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 t="shared" si="4"/>
        <v>0</v>
      </c>
      <c r="E18" s="2"/>
      <c r="F18" s="19"/>
      <c r="G18" s="2"/>
      <c r="H18" s="2">
        <f>--1931.36</f>
        <v>1931.36</v>
      </c>
      <c r="I18" s="2"/>
      <c r="J18" s="19"/>
      <c r="K18" s="2"/>
      <c r="L18" s="2">
        <f t="shared" si="0"/>
        <v>-1931.36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--11631.82</f>
        <v>11631.82</v>
      </c>
      <c r="U18" s="2"/>
      <c r="V18" s="19"/>
      <c r="W18" s="2"/>
      <c r="X18" s="2">
        <f t="shared" si="2"/>
        <v>-11631.82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"4035", " - ", "TAXABLE SALES-HEALTH &amp; BEAUTY")</f>
        <v xml:space="preserve">          4035 - TAXABLE SALES-HEALTH &amp; BEAUTY</v>
      </c>
      <c r="C19" s="11"/>
      <c r="D19" s="2">
        <f t="shared" si="4"/>
        <v>0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5"/>
        <v>0</v>
      </c>
      <c r="Q19" s="2"/>
      <c r="R19" s="19"/>
      <c r="S19" s="2"/>
      <c r="T19" s="2">
        <f>--16.2</f>
        <v>16.2</v>
      </c>
      <c r="U19" s="2"/>
      <c r="V19" s="19"/>
      <c r="W19" s="2"/>
      <c r="X19" s="2">
        <f t="shared" si="2"/>
        <v>-16.2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"4125", " - ", "NON-TAXABLE SALES-TEST FORMS")</f>
        <v xml:space="preserve">          4125 - NON-TAXABLE SALES-TEST FORMS</v>
      </c>
      <c r="C20" s="11"/>
      <c r="D20" s="2">
        <f t="shared" si="4"/>
        <v>0</v>
      </c>
      <c r="E20" s="2"/>
      <c r="F20" s="19"/>
      <c r="G20" s="2"/>
      <c r="H20" s="2">
        <f>--40.39</f>
        <v>40.39</v>
      </c>
      <c r="I20" s="2"/>
      <c r="J20" s="19"/>
      <c r="K20" s="2"/>
      <c r="L20" s="2">
        <f t="shared" si="0"/>
        <v>-40.39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--263.07</f>
        <v>263.07</v>
      </c>
      <c r="U20" s="2"/>
      <c r="V20" s="19"/>
      <c r="W20" s="2"/>
      <c r="X20" s="2">
        <f t="shared" si="2"/>
        <v>-263.07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"4126", " - ", "NON-TAXABLE SALES-WRITING INST")</f>
        <v xml:space="preserve">          4126 - NON-TAXABLE SALES-WRITING INST</v>
      </c>
      <c r="C21" s="11"/>
      <c r="D21" s="2">
        <f t="shared" si="4"/>
        <v>0</v>
      </c>
      <c r="E21" s="2"/>
      <c r="F21" s="19"/>
      <c r="G21" s="2"/>
      <c r="H21" s="2">
        <f>--347.45</f>
        <v>347.45</v>
      </c>
      <c r="I21" s="2"/>
      <c r="J21" s="19"/>
      <c r="K21" s="2"/>
      <c r="L21" s="2">
        <f t="shared" si="0"/>
        <v>-347.45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--2904.09</f>
        <v>2904.09</v>
      </c>
      <c r="U21" s="2"/>
      <c r="V21" s="19"/>
      <c r="W21" s="2"/>
      <c r="X21" s="2">
        <f t="shared" si="2"/>
        <v>-2904.09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"4127", " - ", "NON-TAXABLE SALES-SCHOOL SUPPL")</f>
        <v xml:space="preserve">          4127 - NON-TAXABLE SALES-SCHOOL SUPPL</v>
      </c>
      <c r="C22" s="11"/>
      <c r="D22" s="2">
        <f t="shared" si="4"/>
        <v>0</v>
      </c>
      <c r="E22" s="2"/>
      <c r="F22" s="19"/>
      <c r="G22" s="2"/>
      <c r="H22" s="2">
        <f>--525.52</f>
        <v>525.52</v>
      </c>
      <c r="I22" s="2"/>
      <c r="J22" s="19"/>
      <c r="K22" s="2"/>
      <c r="L22" s="2">
        <f t="shared" si="0"/>
        <v>-525.52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--4645.96</f>
        <v>4645.96</v>
      </c>
      <c r="U22" s="2"/>
      <c r="V22" s="19"/>
      <c r="W22" s="2"/>
      <c r="X22" s="2">
        <f t="shared" si="2"/>
        <v>-4645.96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"4128", " - ", "NON-TAXABLE SALES-ART/TECH")</f>
        <v xml:space="preserve">          4128 - NON-TAXABLE SALES-ART/TECH</v>
      </c>
      <c r="C23" s="11"/>
      <c r="D23" s="2">
        <f t="shared" si="4"/>
        <v>0</v>
      </c>
      <c r="E23" s="2"/>
      <c r="F23" s="19"/>
      <c r="G23" s="2"/>
      <c r="H23" s="2">
        <f>--81.76</f>
        <v>81.760000000000005</v>
      </c>
      <c r="I23" s="2"/>
      <c r="J23" s="19"/>
      <c r="K23" s="2"/>
      <c r="L23" s="2">
        <f t="shared" si="0"/>
        <v>-81.760000000000005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--436.41</f>
        <v>436.41</v>
      </c>
      <c r="U23" s="2"/>
      <c r="V23" s="19"/>
      <c r="W23" s="2"/>
      <c r="X23" s="2">
        <f t="shared" si="2"/>
        <v>-436.41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"4131", " - ", "NON-TAXABLE SALES-FOOD")</f>
        <v xml:space="preserve">          4131 - NON-TAXABLE SALES-FOOD</v>
      </c>
      <c r="C24" s="11"/>
      <c r="D24" s="2">
        <f t="shared" si="4"/>
        <v>0</v>
      </c>
      <c r="E24" s="2"/>
      <c r="F24" s="19"/>
      <c r="G24" s="2"/>
      <c r="H24" s="2">
        <f>--334.19</f>
        <v>334.19</v>
      </c>
      <c r="I24" s="2"/>
      <c r="J24" s="19"/>
      <c r="K24" s="2"/>
      <c r="L24" s="2">
        <f t="shared" si="0"/>
        <v>-334.19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--1438.86</f>
        <v>1438.86</v>
      </c>
      <c r="U24" s="2"/>
      <c r="V24" s="19"/>
      <c r="W24" s="2"/>
      <c r="X24" s="2">
        <f t="shared" si="2"/>
        <v>-1438.86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"4133", " - ", "NON-TAXABLE SALES-CANDY")</f>
        <v xml:space="preserve">          4133 - NON-TAXABLE SALES-CANDY</v>
      </c>
      <c r="C25" s="11"/>
      <c r="D25" s="2">
        <f t="shared" si="4"/>
        <v>0</v>
      </c>
      <c r="E25" s="2"/>
      <c r="F25" s="19"/>
      <c r="G25" s="2"/>
      <c r="H25" s="2">
        <f>--407.92</f>
        <v>407.92</v>
      </c>
      <c r="I25" s="2"/>
      <c r="J25" s="19"/>
      <c r="K25" s="2"/>
      <c r="L25" s="2">
        <f t="shared" si="0"/>
        <v>-407.92</v>
      </c>
      <c r="M25" s="2"/>
      <c r="N25" s="19">
        <f t="shared" si="1"/>
        <v>-1</v>
      </c>
      <c r="O25" s="11"/>
      <c r="P25" s="2">
        <f t="shared" si="5"/>
        <v>0</v>
      </c>
      <c r="Q25" s="2"/>
      <c r="R25" s="19"/>
      <c r="S25" s="2"/>
      <c r="T25" s="2">
        <f>--2119.74</f>
        <v>2119.7399999999998</v>
      </c>
      <c r="U25" s="2"/>
      <c r="V25" s="19"/>
      <c r="W25" s="2"/>
      <c r="X25" s="2">
        <f t="shared" si="2"/>
        <v>-2119.7399999999998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"4135", " - ", "NON-TAXABLE SALES")</f>
        <v xml:space="preserve">          4135 - NON-TAXABLE SALES</v>
      </c>
      <c r="C26" s="11"/>
      <c r="D26" s="2">
        <f t="shared" si="4"/>
        <v>0</v>
      </c>
      <c r="E26" s="2"/>
      <c r="F26" s="19"/>
      <c r="G26" s="2"/>
      <c r="H26" s="2">
        <f t="shared" ref="H26:H27" si="6"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5"/>
        <v>0</v>
      </c>
      <c r="Q26" s="2"/>
      <c r="R26" s="19"/>
      <c r="S26" s="2"/>
      <c r="T26" s="2">
        <f>--50.16</f>
        <v>50.16</v>
      </c>
      <c r="U26" s="2"/>
      <c r="V26" s="19"/>
      <c r="W26" s="2"/>
      <c r="X26" s="2">
        <f t="shared" si="2"/>
        <v>-50.16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"4217", " - ", "NON-TAXABLE SALES-DORM/HOUSEWA")</f>
        <v xml:space="preserve">          4217 - NON-TAXABLE SALES-DORM/HOUSEWA</v>
      </c>
      <c r="C27" s="11"/>
      <c r="D27" s="2">
        <f t="shared" si="4"/>
        <v>0</v>
      </c>
      <c r="E27" s="2"/>
      <c r="F27" s="19"/>
      <c r="G27" s="2"/>
      <c r="H27" s="2">
        <f t="shared" si="6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 t="shared" si="5"/>
        <v>0</v>
      </c>
      <c r="Q27" s="2"/>
      <c r="R27" s="19"/>
      <c r="S27" s="2"/>
      <c r="T27" s="2">
        <f>-2.98</f>
        <v>-2.98</v>
      </c>
      <c r="U27" s="2"/>
      <c r="V27" s="19"/>
      <c r="W27" s="2"/>
      <c r="X27" s="2">
        <f t="shared" si="2"/>
        <v>2.98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"4225", " - ", "SALES RETURN TAXABLE-TEST FORM")</f>
        <v xml:space="preserve">          4225 - SALES RETURN TAXABLE-TEST FORM</v>
      </c>
      <c r="C28" s="11"/>
      <c r="D28" s="2">
        <f t="shared" si="4"/>
        <v>0</v>
      </c>
      <c r="E28" s="2"/>
      <c r="F28" s="19"/>
      <c r="G28" s="2"/>
      <c r="H28" s="2">
        <f>-38.8</f>
        <v>-38.799999999999997</v>
      </c>
      <c r="I28" s="2"/>
      <c r="J28" s="19"/>
      <c r="K28" s="2"/>
      <c r="L28" s="2">
        <f t="shared" si="0"/>
        <v>38.799999999999997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-133.12</f>
        <v>-133.12</v>
      </c>
      <c r="U28" s="2"/>
      <c r="V28" s="19"/>
      <c r="W28" s="2"/>
      <c r="X28" s="2">
        <f t="shared" si="2"/>
        <v>133.12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"4226", " - ", "SALES RETURN TAXABLE-WRITING I")</f>
        <v xml:space="preserve">          4226 - SALES RETURN TAXABLE-WRITING I</v>
      </c>
      <c r="C29" s="11"/>
      <c r="D29" s="2">
        <f t="shared" si="4"/>
        <v>0</v>
      </c>
      <c r="E29" s="2"/>
      <c r="F29" s="19"/>
      <c r="G29" s="2"/>
      <c r="H29" s="2">
        <f>-72.88</f>
        <v>-72.88</v>
      </c>
      <c r="I29" s="2"/>
      <c r="J29" s="19"/>
      <c r="K29" s="2"/>
      <c r="L29" s="2">
        <f t="shared" si="0"/>
        <v>72.88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-610.23</f>
        <v>-610.23</v>
      </c>
      <c r="U29" s="2"/>
      <c r="V29" s="19"/>
      <c r="W29" s="2"/>
      <c r="X29" s="2">
        <f t="shared" si="2"/>
        <v>610.23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"4227", " - ", "SALES RETURN TAXABLE-SCHOOL SU")</f>
        <v xml:space="preserve">          4227 - SALES RETURN TAXABLE-SCHOOL SU</v>
      </c>
      <c r="C30" s="11"/>
      <c r="D30" s="2">
        <f t="shared" si="4"/>
        <v>0</v>
      </c>
      <c r="E30" s="2"/>
      <c r="F30" s="19"/>
      <c r="G30" s="2"/>
      <c r="H30" s="2">
        <f>-703.56</f>
        <v>-703.56</v>
      </c>
      <c r="I30" s="2"/>
      <c r="J30" s="19"/>
      <c r="K30" s="2"/>
      <c r="L30" s="2">
        <f t="shared" si="0"/>
        <v>703.56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-7572.36</f>
        <v>-7572.36</v>
      </c>
      <c r="U30" s="2"/>
      <c r="V30" s="19"/>
      <c r="W30" s="2"/>
      <c r="X30" s="2">
        <f t="shared" si="2"/>
        <v>7572.36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"4228", " - ", "SALES RETURN TAXABLE-ART/TECH")</f>
        <v xml:space="preserve">          4228 - SALES RETURN TAXABLE-ART/TECH</v>
      </c>
      <c r="C31" s="11"/>
      <c r="D31" s="2">
        <f t="shared" si="4"/>
        <v>0</v>
      </c>
      <c r="E31" s="2"/>
      <c r="F31" s="19"/>
      <c r="G31" s="2"/>
      <c r="H31" s="2">
        <f>-19.74</f>
        <v>-19.739999999999998</v>
      </c>
      <c r="I31" s="2"/>
      <c r="J31" s="19"/>
      <c r="K31" s="2"/>
      <c r="L31" s="2">
        <f t="shared" si="0"/>
        <v>19.739999999999998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-259.98</f>
        <v>-259.98</v>
      </c>
      <c r="U31" s="2"/>
      <c r="V31" s="19"/>
      <c r="W31" s="2"/>
      <c r="X31" s="2">
        <f t="shared" si="2"/>
        <v>259.98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"4327", " - ", "SALES RETURN NON TAXABLE-SCHOO")</f>
        <v xml:space="preserve">          4327 - SALES RETURN NON TAXABLE-SCHOO</v>
      </c>
      <c r="C32" s="11"/>
      <c r="D32" s="2">
        <f t="shared" si="4"/>
        <v>0</v>
      </c>
      <c r="E32" s="2"/>
      <c r="F32" s="19"/>
      <c r="G32" s="2"/>
      <c r="H32" s="2">
        <f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 t="shared" si="5"/>
        <v>0</v>
      </c>
      <c r="Q32" s="2"/>
      <c r="R32" s="19"/>
      <c r="S32" s="2"/>
      <c r="T32" s="2">
        <f>-21.87</f>
        <v>-21.87</v>
      </c>
      <c r="U32" s="2"/>
      <c r="V32" s="19"/>
      <c r="W32" s="2"/>
      <c r="X32" s="2">
        <f t="shared" si="2"/>
        <v>21.87</v>
      </c>
      <c r="Y32" s="2"/>
      <c r="Z32" s="19">
        <f t="shared" si="3"/>
        <v>-1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collapsed="1" x14ac:dyDescent="0.25">
      <c r="A34" s="10"/>
      <c r="B34" s="28" t="s">
        <v>8</v>
      </c>
      <c r="C34" s="10"/>
      <c r="D34" s="4">
        <f>SUM(OSRRefD16x_0)</f>
        <v>0</v>
      </c>
      <c r="E34" s="4"/>
      <c r="F34" s="12">
        <f t="shared" ref="F34:F49" si="7">IF(D$12=0,0,D34/D$12)</f>
        <v>0</v>
      </c>
      <c r="G34" s="4"/>
      <c r="H34" s="4">
        <f>SUM(OSRRefH16x_0)</f>
        <v>25693.99</v>
      </c>
      <c r="I34" s="4"/>
      <c r="J34" s="12">
        <f t="shared" ref="J34:J49" si="8">IF(H$12=0,0,H34/H$12)</f>
        <v>0.48019507582128834</v>
      </c>
      <c r="K34" s="4"/>
      <c r="L34" s="4">
        <f t="shared" ref="L34:L49" si="9">+D34-H34</f>
        <v>-25693.99</v>
      </c>
      <c r="M34" s="4"/>
      <c r="N34" s="12">
        <f t="shared" ref="N34:N49" si="10">IF(H34=0,0,L34/H34)</f>
        <v>-1</v>
      </c>
      <c r="O34" s="10"/>
      <c r="P34" s="4">
        <f>SUM(OSRRefP16x_0)</f>
        <v>0</v>
      </c>
      <c r="Q34" s="4"/>
      <c r="R34" s="12">
        <f t="shared" ref="R34:R49" si="11">IF(P$12=0,0,P34/P$12)</f>
        <v>0</v>
      </c>
      <c r="S34" s="4"/>
      <c r="T34" s="4">
        <f>SUM(OSRRefT16x_0)</f>
        <v>183676.31</v>
      </c>
      <c r="U34" s="4"/>
      <c r="V34" s="12">
        <f t="shared" ref="V34:V49" si="12">IF(T$12=0,0,T34/T$12)</f>
        <v>0.47535361799688508</v>
      </c>
      <c r="W34" s="4"/>
      <c r="X34" s="4">
        <f t="shared" ref="X34:X49" si="13">+P34-T34</f>
        <v>-183676.31</v>
      </c>
      <c r="Y34" s="4"/>
      <c r="Z34" s="12">
        <f t="shared" ref="Z34:Z49" si="14">IF(T34=0,0,X34/T34)</f>
        <v>-1</v>
      </c>
    </row>
    <row r="35" spans="1:26" s="24" customFormat="1" hidden="1" outlineLevel="1" x14ac:dyDescent="0.25">
      <c r="A35" s="44"/>
      <c r="B35" s="11" t="str">
        <f>CONCATENATE("          ", "5017", " - ", "PURCHASES @ COST-DORM/HOUSEWAR")</f>
        <v xml:space="preserve">          5017 - PURCHASES @ COST-DORM/HOUSEWAR</v>
      </c>
      <c r="C35" s="11"/>
      <c r="D35" s="2"/>
      <c r="E35" s="2"/>
      <c r="F35" s="19">
        <f t="shared" si="7"/>
        <v>0</v>
      </c>
      <c r="G35" s="2"/>
      <c r="H35" s="2"/>
      <c r="I35" s="2"/>
      <c r="J35" s="19">
        <f t="shared" si="8"/>
        <v>0</v>
      </c>
      <c r="K35" s="2"/>
      <c r="L35" s="2">
        <f t="shared" si="9"/>
        <v>0</v>
      </c>
      <c r="M35" s="2"/>
      <c r="N35" s="19">
        <f t="shared" si="10"/>
        <v>0</v>
      </c>
      <c r="O35" s="11"/>
      <c r="P35" s="2"/>
      <c r="Q35" s="2"/>
      <c r="R35" s="19">
        <f t="shared" si="11"/>
        <v>0</v>
      </c>
      <c r="S35" s="2"/>
      <c r="T35" s="2">
        <v>0</v>
      </c>
      <c r="U35" s="2"/>
      <c r="V35" s="19">
        <f t="shared" si="12"/>
        <v>0</v>
      </c>
      <c r="W35" s="2"/>
      <c r="X35" s="2">
        <f t="shared" si="13"/>
        <v>0</v>
      </c>
      <c r="Y35" s="2"/>
      <c r="Z35" s="19">
        <f t="shared" si="14"/>
        <v>0</v>
      </c>
    </row>
    <row r="36" spans="1:26" s="24" customFormat="1" hidden="1" outlineLevel="1" x14ac:dyDescent="0.25">
      <c r="A36" s="44"/>
      <c r="B36" s="11" t="str">
        <f>CONCATENATE("          ", "5025", " - ", "PURCHASES @ COST-TEST FORMS")</f>
        <v xml:space="preserve">          5025 - PURCHASES @ COST-TEST FORMS</v>
      </c>
      <c r="C36" s="11"/>
      <c r="D36" s="2"/>
      <c r="E36" s="2"/>
      <c r="F36" s="19">
        <f t="shared" si="7"/>
        <v>0</v>
      </c>
      <c r="G36" s="2"/>
      <c r="H36" s="2">
        <v>3240.18</v>
      </c>
      <c r="I36" s="2"/>
      <c r="J36" s="19">
        <f t="shared" si="8"/>
        <v>6.0555736215925277E-2</v>
      </c>
      <c r="K36" s="2"/>
      <c r="L36" s="2">
        <f t="shared" si="9"/>
        <v>-3240.18</v>
      </c>
      <c r="M36" s="2"/>
      <c r="N36" s="19">
        <f t="shared" si="10"/>
        <v>-1</v>
      </c>
      <c r="O36" s="11"/>
      <c r="P36" s="2"/>
      <c r="Q36" s="2"/>
      <c r="R36" s="19">
        <f t="shared" si="11"/>
        <v>0</v>
      </c>
      <c r="S36" s="2"/>
      <c r="T36" s="2">
        <v>25707.15</v>
      </c>
      <c r="U36" s="2"/>
      <c r="V36" s="19">
        <f t="shared" si="12"/>
        <v>6.6530010107937299E-2</v>
      </c>
      <c r="W36" s="2"/>
      <c r="X36" s="2">
        <f t="shared" si="13"/>
        <v>-25707.15</v>
      </c>
      <c r="Y36" s="2"/>
      <c r="Z36" s="19">
        <f t="shared" si="14"/>
        <v>-1</v>
      </c>
    </row>
    <row r="37" spans="1:26" s="24" customFormat="1" hidden="1" outlineLevel="1" x14ac:dyDescent="0.25">
      <c r="A37" s="44"/>
      <c r="B37" s="11" t="str">
        <f>CONCATENATE("          ", "5026", " - ", "PURCHASES @ COST-WRITING INSTR")</f>
        <v xml:space="preserve">          5026 - PURCHASES @ COST-WRITING INSTR</v>
      </c>
      <c r="C37" s="11"/>
      <c r="D37" s="2"/>
      <c r="E37" s="2"/>
      <c r="F37" s="19">
        <f t="shared" si="7"/>
        <v>0</v>
      </c>
      <c r="G37" s="2"/>
      <c r="H37" s="2">
        <v>1915.52</v>
      </c>
      <c r="I37" s="2"/>
      <c r="J37" s="19">
        <f t="shared" si="8"/>
        <v>3.5799160489950924E-2</v>
      </c>
      <c r="K37" s="2"/>
      <c r="L37" s="2">
        <f t="shared" si="9"/>
        <v>-1915.52</v>
      </c>
      <c r="M37" s="2"/>
      <c r="N37" s="19">
        <f t="shared" si="10"/>
        <v>-1</v>
      </c>
      <c r="O37" s="11"/>
      <c r="P37" s="2"/>
      <c r="Q37" s="2"/>
      <c r="R37" s="19">
        <f t="shared" si="11"/>
        <v>0</v>
      </c>
      <c r="S37" s="2"/>
      <c r="T37" s="2">
        <v>40305.740000000005</v>
      </c>
      <c r="U37" s="2"/>
      <c r="V37" s="19">
        <f t="shared" si="12"/>
        <v>0.10431110759488675</v>
      </c>
      <c r="W37" s="2"/>
      <c r="X37" s="2">
        <f t="shared" si="13"/>
        <v>-40305.740000000005</v>
      </c>
      <c r="Y37" s="2"/>
      <c r="Z37" s="19">
        <f t="shared" si="14"/>
        <v>-1</v>
      </c>
    </row>
    <row r="38" spans="1:26" s="24" customFormat="1" hidden="1" outlineLevel="1" x14ac:dyDescent="0.25">
      <c r="A38" s="44"/>
      <c r="B38" s="11" t="str">
        <f>CONCATENATE("          ", "5027", " - ", "PURCHASES @ COST-SCHOOL SUPPLI")</f>
        <v xml:space="preserve">          5027 - PURCHASES @ COST-SCHOOL SUPPLI</v>
      </c>
      <c r="C38" s="11"/>
      <c r="D38" s="2"/>
      <c r="E38" s="2"/>
      <c r="F38" s="19">
        <f t="shared" si="7"/>
        <v>0</v>
      </c>
      <c r="G38" s="2"/>
      <c r="H38" s="2">
        <v>-3277.67</v>
      </c>
      <c r="I38" s="2"/>
      <c r="J38" s="19">
        <f t="shared" si="8"/>
        <v>-6.1256386967036343E-2</v>
      </c>
      <c r="K38" s="2"/>
      <c r="L38" s="2">
        <f t="shared" si="9"/>
        <v>3277.67</v>
      </c>
      <c r="M38" s="2"/>
      <c r="N38" s="19">
        <f t="shared" si="10"/>
        <v>-1</v>
      </c>
      <c r="O38" s="11"/>
      <c r="P38" s="2"/>
      <c r="Q38" s="2"/>
      <c r="R38" s="19">
        <f t="shared" si="11"/>
        <v>0</v>
      </c>
      <c r="S38" s="2"/>
      <c r="T38" s="2">
        <v>114178.48</v>
      </c>
      <c r="U38" s="2"/>
      <c r="V38" s="19">
        <f t="shared" si="12"/>
        <v>0.29549348832946926</v>
      </c>
      <c r="W38" s="2"/>
      <c r="X38" s="2">
        <f t="shared" si="13"/>
        <v>-114178.48</v>
      </c>
      <c r="Y38" s="2"/>
      <c r="Z38" s="19">
        <f t="shared" si="14"/>
        <v>-1</v>
      </c>
    </row>
    <row r="39" spans="1:26" s="24" customFormat="1" hidden="1" outlineLevel="1" x14ac:dyDescent="0.25">
      <c r="A39" s="44"/>
      <c r="B39" s="11" t="str">
        <f>CONCATENATE("          ", "5028", " - ", "PURCHASES @ COST-ART/TECH")</f>
        <v xml:space="preserve">          5028 - PURCHASES @ COST-ART/TECH</v>
      </c>
      <c r="C39" s="11"/>
      <c r="D39" s="2"/>
      <c r="E39" s="2"/>
      <c r="F39" s="19">
        <f t="shared" si="7"/>
        <v>0</v>
      </c>
      <c r="G39" s="2"/>
      <c r="H39" s="2">
        <v>813.79</v>
      </c>
      <c r="I39" s="2"/>
      <c r="J39" s="19">
        <f t="shared" si="8"/>
        <v>1.520892437307737E-2</v>
      </c>
      <c r="K39" s="2"/>
      <c r="L39" s="2">
        <f t="shared" si="9"/>
        <v>-813.79</v>
      </c>
      <c r="M39" s="2"/>
      <c r="N39" s="19">
        <f t="shared" si="10"/>
        <v>-1</v>
      </c>
      <c r="O39" s="11"/>
      <c r="P39" s="2"/>
      <c r="Q39" s="2"/>
      <c r="R39" s="19">
        <f t="shared" si="11"/>
        <v>0</v>
      </c>
      <c r="S39" s="2"/>
      <c r="T39" s="2">
        <v>5811.23</v>
      </c>
      <c r="U39" s="2"/>
      <c r="V39" s="19">
        <f t="shared" si="12"/>
        <v>1.5039441970018008E-2</v>
      </c>
      <c r="W39" s="2"/>
      <c r="X39" s="2">
        <f t="shared" si="13"/>
        <v>-5811.23</v>
      </c>
      <c r="Y39" s="2"/>
      <c r="Z39" s="19">
        <f t="shared" si="14"/>
        <v>-1</v>
      </c>
    </row>
    <row r="40" spans="1:26" s="24" customFormat="1" hidden="1" outlineLevel="1" x14ac:dyDescent="0.25">
      <c r="A40" s="44"/>
      <c r="B40" s="11" t="str">
        <f>CONCATENATE("          ", "5031", " - ", "PURCHASES @ COST-FOOD")</f>
        <v xml:space="preserve">          5031 - PURCHASES @ COST-FOOD</v>
      </c>
      <c r="C40" s="11"/>
      <c r="D40" s="2"/>
      <c r="E40" s="2"/>
      <c r="F40" s="19">
        <f t="shared" si="7"/>
        <v>0</v>
      </c>
      <c r="G40" s="2"/>
      <c r="H40" s="2">
        <v>96.65</v>
      </c>
      <c r="I40" s="2"/>
      <c r="J40" s="19">
        <f t="shared" si="8"/>
        <v>1.8062922137872521E-3</v>
      </c>
      <c r="K40" s="2"/>
      <c r="L40" s="2">
        <f t="shared" si="9"/>
        <v>-96.65</v>
      </c>
      <c r="M40" s="2"/>
      <c r="N40" s="19">
        <f t="shared" si="10"/>
        <v>-1</v>
      </c>
      <c r="O40" s="11"/>
      <c r="P40" s="2"/>
      <c r="Q40" s="2"/>
      <c r="R40" s="19">
        <f t="shared" si="11"/>
        <v>0</v>
      </c>
      <c r="S40" s="2"/>
      <c r="T40" s="2">
        <v>489.74</v>
      </c>
      <c r="U40" s="2"/>
      <c r="V40" s="19">
        <f t="shared" si="12"/>
        <v>1.267445327477422E-3</v>
      </c>
      <c r="W40" s="2"/>
      <c r="X40" s="2">
        <f t="shared" si="13"/>
        <v>-489.74</v>
      </c>
      <c r="Y40" s="2"/>
      <c r="Z40" s="19">
        <f t="shared" si="14"/>
        <v>-1</v>
      </c>
    </row>
    <row r="41" spans="1:26" s="24" customFormat="1" hidden="1" outlineLevel="1" x14ac:dyDescent="0.25">
      <c r="A41" s="44"/>
      <c r="B41" s="11" t="str">
        <f>CONCATENATE("          ", "5033", " - ", "PURCHASES @ COST-CANDY")</f>
        <v xml:space="preserve">          5033 - PURCHASES @ COST-CANDY</v>
      </c>
      <c r="C41" s="11"/>
      <c r="D41" s="2"/>
      <c r="E41" s="2"/>
      <c r="F41" s="19">
        <f t="shared" si="7"/>
        <v>0</v>
      </c>
      <c r="G41" s="2"/>
      <c r="H41" s="2">
        <v>228.5</v>
      </c>
      <c r="I41" s="2"/>
      <c r="J41" s="19">
        <f t="shared" si="8"/>
        <v>4.2704373600660848E-3</v>
      </c>
      <c r="K41" s="2"/>
      <c r="L41" s="2">
        <f t="shared" si="9"/>
        <v>-228.5</v>
      </c>
      <c r="M41" s="2"/>
      <c r="N41" s="19">
        <f t="shared" si="10"/>
        <v>-1</v>
      </c>
      <c r="O41" s="11"/>
      <c r="P41" s="2"/>
      <c r="Q41" s="2"/>
      <c r="R41" s="19">
        <f t="shared" si="11"/>
        <v>0</v>
      </c>
      <c r="S41" s="2"/>
      <c r="T41" s="2">
        <v>639.72</v>
      </c>
      <c r="U41" s="2"/>
      <c r="V41" s="19">
        <f t="shared" si="12"/>
        <v>1.6555930185279057E-3</v>
      </c>
      <c r="W41" s="2"/>
      <c r="X41" s="2">
        <f t="shared" si="13"/>
        <v>-639.72</v>
      </c>
      <c r="Y41" s="2"/>
      <c r="Z41" s="19">
        <f t="shared" si="14"/>
        <v>-1</v>
      </c>
    </row>
    <row r="42" spans="1:26" s="24" customFormat="1" hidden="1" outlineLevel="1" x14ac:dyDescent="0.25">
      <c r="A42" s="44"/>
      <c r="B42" s="11" t="str">
        <f>CONCATENATE("          ", "5035", " - ", "PURCHASES @ COST-HEALTH &amp; BEAU")</f>
        <v xml:space="preserve">          5035 - PURCHASES @ COST-HEALTH &amp; BEAU</v>
      </c>
      <c r="C42" s="11"/>
      <c r="D42" s="2"/>
      <c r="E42" s="2"/>
      <c r="F42" s="19">
        <f t="shared" si="7"/>
        <v>0</v>
      </c>
      <c r="G42" s="2"/>
      <c r="H42" s="2"/>
      <c r="I42" s="2"/>
      <c r="J42" s="19">
        <f t="shared" si="8"/>
        <v>0</v>
      </c>
      <c r="K42" s="2"/>
      <c r="L42" s="2">
        <f t="shared" si="9"/>
        <v>0</v>
      </c>
      <c r="M42" s="2"/>
      <c r="N42" s="19">
        <f t="shared" si="10"/>
        <v>0</v>
      </c>
      <c r="O42" s="11"/>
      <c r="P42" s="2"/>
      <c r="Q42" s="2"/>
      <c r="R42" s="19">
        <f t="shared" si="11"/>
        <v>0</v>
      </c>
      <c r="S42" s="2"/>
      <c r="T42" s="2">
        <v>36.25</v>
      </c>
      <c r="U42" s="2"/>
      <c r="V42" s="19">
        <f t="shared" si="12"/>
        <v>9.3814867319509432E-5</v>
      </c>
      <c r="W42" s="2"/>
      <c r="X42" s="2">
        <f t="shared" si="13"/>
        <v>-36.25</v>
      </c>
      <c r="Y42" s="2"/>
      <c r="Z42" s="19">
        <f t="shared" si="14"/>
        <v>-1</v>
      </c>
    </row>
    <row r="43" spans="1:26" s="24" customFormat="1" hidden="1" outlineLevel="1" x14ac:dyDescent="0.25">
      <c r="A43" s="44"/>
      <c r="B43" s="11" t="str">
        <f>CONCATENATE("          ", "5200", " - ", "PURCHASES OFFSET")</f>
        <v xml:space="preserve">          5200 - PURCHASES OFFSET</v>
      </c>
      <c r="C43" s="11"/>
      <c r="D43" s="2"/>
      <c r="E43" s="2"/>
      <c r="F43" s="19">
        <f t="shared" si="7"/>
        <v>0</v>
      </c>
      <c r="G43" s="2"/>
      <c r="H43" s="2">
        <v>-3780</v>
      </c>
      <c r="I43" s="2"/>
      <c r="J43" s="19">
        <f t="shared" si="8"/>
        <v>-7.0644434227789057E-2</v>
      </c>
      <c r="K43" s="2"/>
      <c r="L43" s="2">
        <f t="shared" si="9"/>
        <v>3780</v>
      </c>
      <c r="M43" s="2"/>
      <c r="N43" s="19">
        <f t="shared" si="10"/>
        <v>-1</v>
      </c>
      <c r="O43" s="11"/>
      <c r="P43" s="2"/>
      <c r="Q43" s="2"/>
      <c r="R43" s="19">
        <f t="shared" si="11"/>
        <v>0</v>
      </c>
      <c r="S43" s="2"/>
      <c r="T43" s="2">
        <v>-189829</v>
      </c>
      <c r="U43" s="2"/>
      <c r="V43" s="19">
        <f t="shared" si="12"/>
        <v>-0.49127675719710778</v>
      </c>
      <c r="W43" s="2"/>
      <c r="X43" s="2">
        <f t="shared" si="13"/>
        <v>189829</v>
      </c>
      <c r="Y43" s="2"/>
      <c r="Z43" s="19">
        <f t="shared" si="14"/>
        <v>-1</v>
      </c>
    </row>
    <row r="44" spans="1:26" s="24" customFormat="1" hidden="1" outlineLevel="1" x14ac:dyDescent="0.25">
      <c r="A44" s="44"/>
      <c r="B44" s="11" t="str">
        <f>CONCATENATE("          ", "5300", " - ", "COG$ OFFSET")</f>
        <v xml:space="preserve">          5300 - COG$ OFFSET</v>
      </c>
      <c r="C44" s="11"/>
      <c r="D44" s="2"/>
      <c r="E44" s="2"/>
      <c r="F44" s="19">
        <f t="shared" si="7"/>
        <v>0</v>
      </c>
      <c r="G44" s="2"/>
      <c r="H44" s="2">
        <v>25696</v>
      </c>
      <c r="I44" s="2"/>
      <c r="J44" s="19">
        <f t="shared" si="8"/>
        <v>0.48023264071885391</v>
      </c>
      <c r="K44" s="2"/>
      <c r="L44" s="2">
        <f t="shared" si="9"/>
        <v>-25696</v>
      </c>
      <c r="M44" s="2"/>
      <c r="N44" s="19">
        <f t="shared" si="10"/>
        <v>-1</v>
      </c>
      <c r="O44" s="11"/>
      <c r="P44" s="2"/>
      <c r="Q44" s="2"/>
      <c r="R44" s="19">
        <f t="shared" si="11"/>
        <v>0</v>
      </c>
      <c r="S44" s="2"/>
      <c r="T44" s="2">
        <v>183672</v>
      </c>
      <c r="U44" s="2"/>
      <c r="V44" s="19">
        <f t="shared" si="12"/>
        <v>0.47534246373266031</v>
      </c>
      <c r="W44" s="2"/>
      <c r="X44" s="2">
        <f t="shared" si="13"/>
        <v>-183672</v>
      </c>
      <c r="Y44" s="2"/>
      <c r="Z44" s="19">
        <f t="shared" si="14"/>
        <v>-1</v>
      </c>
    </row>
    <row r="45" spans="1:26" s="24" customFormat="1" hidden="1" outlineLevel="1" x14ac:dyDescent="0.25">
      <c r="A45" s="44"/>
      <c r="B45" s="11" t="str">
        <f>CONCATENATE("          ", "5500", " - ", "FREIGHT-IN")</f>
        <v xml:space="preserve">          5500 - FREIGHT-IN</v>
      </c>
      <c r="C45" s="11"/>
      <c r="D45" s="2"/>
      <c r="E45" s="2"/>
      <c r="F45" s="19">
        <f t="shared" si="7"/>
        <v>0</v>
      </c>
      <c r="G45" s="2"/>
      <c r="H45" s="2"/>
      <c r="I45" s="2"/>
      <c r="J45" s="19">
        <f t="shared" si="8"/>
        <v>0</v>
      </c>
      <c r="K45" s="2"/>
      <c r="L45" s="2">
        <f t="shared" si="9"/>
        <v>0</v>
      </c>
      <c r="M45" s="2"/>
      <c r="N45" s="19">
        <f t="shared" si="10"/>
        <v>0</v>
      </c>
      <c r="O45" s="11"/>
      <c r="P45" s="2"/>
      <c r="Q45" s="2"/>
      <c r="R45" s="19">
        <f t="shared" si="11"/>
        <v>0</v>
      </c>
      <c r="S45" s="2"/>
      <c r="T45" s="2">
        <v>6</v>
      </c>
      <c r="U45" s="2"/>
      <c r="V45" s="19">
        <f t="shared" si="12"/>
        <v>1.5527978039091215E-5</v>
      </c>
      <c r="W45" s="2"/>
      <c r="X45" s="2">
        <f t="shared" si="13"/>
        <v>-6</v>
      </c>
      <c r="Y45" s="2"/>
      <c r="Z45" s="19">
        <f t="shared" si="14"/>
        <v>-1</v>
      </c>
    </row>
    <row r="46" spans="1:26" s="24" customFormat="1" hidden="1" outlineLevel="1" x14ac:dyDescent="0.25">
      <c r="A46" s="44"/>
      <c r="B46" s="11" t="str">
        <f>CONCATENATE("          ", "5525", " - ", "FREIGHT-IN-TEST FORMS")</f>
        <v xml:space="preserve">          5525 - FREIGHT-IN-TEST FORMS</v>
      </c>
      <c r="C46" s="11"/>
      <c r="D46" s="2"/>
      <c r="E46" s="2"/>
      <c r="F46" s="19">
        <f t="shared" si="7"/>
        <v>0</v>
      </c>
      <c r="G46" s="2"/>
      <c r="H46" s="2">
        <v>532.61</v>
      </c>
      <c r="I46" s="2"/>
      <c r="J46" s="19">
        <f t="shared" si="8"/>
        <v>9.9539502947255908E-3</v>
      </c>
      <c r="K46" s="2"/>
      <c r="L46" s="2">
        <f t="shared" si="9"/>
        <v>-532.61</v>
      </c>
      <c r="M46" s="2"/>
      <c r="N46" s="19">
        <f t="shared" si="10"/>
        <v>-1</v>
      </c>
      <c r="O46" s="11"/>
      <c r="P46" s="2"/>
      <c r="Q46" s="2"/>
      <c r="R46" s="19">
        <f t="shared" si="11"/>
        <v>0</v>
      </c>
      <c r="S46" s="2"/>
      <c r="T46" s="2">
        <v>1155.02</v>
      </c>
      <c r="U46" s="2"/>
      <c r="V46" s="19">
        <f t="shared" si="12"/>
        <v>2.989187532451856E-3</v>
      </c>
      <c r="W46" s="2"/>
      <c r="X46" s="2">
        <f t="shared" si="13"/>
        <v>-1155.02</v>
      </c>
      <c r="Y46" s="2"/>
      <c r="Z46" s="19">
        <f t="shared" si="14"/>
        <v>-1</v>
      </c>
    </row>
    <row r="47" spans="1:26" s="24" customFormat="1" hidden="1" outlineLevel="1" x14ac:dyDescent="0.25">
      <c r="A47" s="44"/>
      <c r="B47" s="11" t="str">
        <f>CONCATENATE("          ", "5526", " - ", "FREIGHT-IN-WRITING INSTRUMENTS")</f>
        <v xml:space="preserve">          5526 - FREIGHT-IN-WRITING INSTRUMENTS</v>
      </c>
      <c r="C47" s="11"/>
      <c r="D47" s="2"/>
      <c r="E47" s="2"/>
      <c r="F47" s="19">
        <f t="shared" si="7"/>
        <v>0</v>
      </c>
      <c r="G47" s="2"/>
      <c r="H47" s="2"/>
      <c r="I47" s="2"/>
      <c r="J47" s="19">
        <f t="shared" si="8"/>
        <v>0</v>
      </c>
      <c r="K47" s="2"/>
      <c r="L47" s="2">
        <f t="shared" si="9"/>
        <v>0</v>
      </c>
      <c r="M47" s="2"/>
      <c r="N47" s="19">
        <f t="shared" si="10"/>
        <v>0</v>
      </c>
      <c r="O47" s="11"/>
      <c r="P47" s="2"/>
      <c r="Q47" s="2"/>
      <c r="R47" s="19">
        <f t="shared" si="11"/>
        <v>0</v>
      </c>
      <c r="S47" s="2"/>
      <c r="T47" s="2">
        <v>260.35000000000002</v>
      </c>
      <c r="U47" s="2"/>
      <c r="V47" s="19">
        <f t="shared" si="12"/>
        <v>6.737848470795664E-4</v>
      </c>
      <c r="W47" s="2"/>
      <c r="X47" s="2">
        <f t="shared" si="13"/>
        <v>-260.35000000000002</v>
      </c>
      <c r="Y47" s="2"/>
      <c r="Z47" s="19">
        <f t="shared" si="14"/>
        <v>-1</v>
      </c>
    </row>
    <row r="48" spans="1:26" s="24" customFormat="1" hidden="1" outlineLevel="1" x14ac:dyDescent="0.25">
      <c r="A48" s="44"/>
      <c r="B48" s="11" t="str">
        <f>CONCATENATE("          ", "5527", " - ", "FREIGHT-IN-SCHOOL SUPPLIES")</f>
        <v xml:space="preserve">          5527 - FREIGHT-IN-SCHOOL SUPPLIES</v>
      </c>
      <c r="C48" s="11"/>
      <c r="D48" s="2"/>
      <c r="E48" s="2"/>
      <c r="F48" s="19">
        <f t="shared" si="7"/>
        <v>0</v>
      </c>
      <c r="G48" s="2"/>
      <c r="H48" s="2">
        <v>228.41</v>
      </c>
      <c r="I48" s="2"/>
      <c r="J48" s="19">
        <f t="shared" si="8"/>
        <v>4.2687553497273278E-3</v>
      </c>
      <c r="K48" s="2"/>
      <c r="L48" s="2">
        <f t="shared" si="9"/>
        <v>-228.41</v>
      </c>
      <c r="M48" s="2"/>
      <c r="N48" s="19">
        <f t="shared" si="10"/>
        <v>-1</v>
      </c>
      <c r="O48" s="11"/>
      <c r="P48" s="2"/>
      <c r="Q48" s="2"/>
      <c r="R48" s="19">
        <f t="shared" si="11"/>
        <v>0</v>
      </c>
      <c r="S48" s="2"/>
      <c r="T48" s="2">
        <v>1186.72</v>
      </c>
      <c r="U48" s="2"/>
      <c r="V48" s="19">
        <f t="shared" si="12"/>
        <v>3.0712270164250551E-3</v>
      </c>
      <c r="W48" s="2"/>
      <c r="X48" s="2">
        <f t="shared" si="13"/>
        <v>-1186.72</v>
      </c>
      <c r="Y48" s="2"/>
      <c r="Z48" s="19">
        <f t="shared" si="14"/>
        <v>-1</v>
      </c>
    </row>
    <row r="49" spans="1:26" s="24" customFormat="1" hidden="1" outlineLevel="1" x14ac:dyDescent="0.25">
      <c r="A49" s="44"/>
      <c r="B49" s="11" t="str">
        <f>CONCATENATE("          ", "5528", " - ", "FREIGHT-IN-ART/TECH")</f>
        <v xml:space="preserve">          5528 - FREIGHT-IN-ART/TECH</v>
      </c>
      <c r="C49" s="11"/>
      <c r="D49" s="2"/>
      <c r="E49" s="2"/>
      <c r="F49" s="19">
        <f t="shared" si="7"/>
        <v>0</v>
      </c>
      <c r="G49" s="2"/>
      <c r="H49" s="2"/>
      <c r="I49" s="2"/>
      <c r="J49" s="19">
        <f t="shared" si="8"/>
        <v>0</v>
      </c>
      <c r="K49" s="2"/>
      <c r="L49" s="2">
        <f t="shared" si="9"/>
        <v>0</v>
      </c>
      <c r="M49" s="2"/>
      <c r="N49" s="19">
        <f t="shared" si="10"/>
        <v>0</v>
      </c>
      <c r="O49" s="11"/>
      <c r="P49" s="2"/>
      <c r="Q49" s="2"/>
      <c r="R49" s="19">
        <f t="shared" si="11"/>
        <v>0</v>
      </c>
      <c r="S49" s="2"/>
      <c r="T49" s="2">
        <v>56.91</v>
      </c>
      <c r="U49" s="2"/>
      <c r="V49" s="19">
        <f t="shared" si="12"/>
        <v>1.4728287170078018E-4</v>
      </c>
      <c r="W49" s="2"/>
      <c r="X49" s="2">
        <f t="shared" si="13"/>
        <v>-56.91</v>
      </c>
      <c r="Y49" s="2"/>
      <c r="Z49" s="19">
        <f t="shared" si="14"/>
        <v>-1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9" t="s">
        <v>6</v>
      </c>
      <c r="C51" s="29"/>
      <c r="D51" s="22">
        <f>D12-D34</f>
        <v>0</v>
      </c>
      <c r="E51" s="14"/>
      <c r="F51" s="20">
        <f>IF(D$12=0,0,D51/D$12)</f>
        <v>0</v>
      </c>
      <c r="G51" s="14"/>
      <c r="H51" s="22">
        <f>H12-H34</f>
        <v>27813.409999999993</v>
      </c>
      <c r="I51" s="14"/>
      <c r="J51" s="20">
        <f>IF(H$12=0,0,H51/H$12)</f>
        <v>0.5198049241787116</v>
      </c>
      <c r="K51" s="16"/>
      <c r="L51" s="22">
        <f>+D51-H51</f>
        <v>-27813.409999999993</v>
      </c>
      <c r="M51" s="16"/>
      <c r="N51" s="20">
        <f>IF(H51=0,0,L51/H51)</f>
        <v>-1</v>
      </c>
      <c r="O51" s="28"/>
      <c r="P51" s="22">
        <f>P12-P34</f>
        <v>0</v>
      </c>
      <c r="Q51" s="14"/>
      <c r="R51" s="20">
        <f>IF(P$12=0,0,P51/P$12)</f>
        <v>0</v>
      </c>
      <c r="S51" s="14"/>
      <c r="T51" s="22">
        <f>T12-T34</f>
        <v>202723.00000000006</v>
      </c>
      <c r="U51" s="14"/>
      <c r="V51" s="20">
        <f>IF(T$12=0,0,T51/T$12)</f>
        <v>0.52464638200311497</v>
      </c>
      <c r="W51" s="16"/>
      <c r="X51" s="22">
        <f>+P51-T51</f>
        <v>-202723.00000000006</v>
      </c>
      <c r="Y51" s="16"/>
      <c r="Z51" s="20">
        <f>IF(T51=0,0,X51/T51)</f>
        <v>-1</v>
      </c>
    </row>
    <row r="52" spans="1:26" x14ac:dyDescent="0.25">
      <c r="A52" s="9"/>
      <c r="B52" s="10"/>
      <c r="C52" s="9"/>
      <c r="D52" s="1"/>
      <c r="E52" s="1"/>
      <c r="F52" s="5"/>
      <c r="G52" s="1"/>
      <c r="H52" s="1"/>
      <c r="I52" s="1"/>
      <c r="J52" s="5"/>
      <c r="K52" s="1"/>
      <c r="L52" s="1"/>
      <c r="M52" s="1"/>
      <c r="N52" s="5"/>
      <c r="O52" s="37"/>
      <c r="P52" s="1"/>
      <c r="Q52" s="1"/>
      <c r="R52" s="5"/>
      <c r="S52" s="1"/>
      <c r="T52" s="1"/>
      <c r="U52" s="1"/>
      <c r="V52" s="5"/>
      <c r="W52" s="1"/>
      <c r="X52" s="1"/>
      <c r="Y52" s="1"/>
      <c r="Z52" s="5"/>
    </row>
    <row r="53" spans="1:26" s="23" customFormat="1" x14ac:dyDescent="0.25">
      <c r="A53" s="10"/>
      <c r="B53" s="28" t="s">
        <v>9</v>
      </c>
      <c r="C53" s="10"/>
      <c r="D53" s="21">
        <f>SUM(OSRRefD22x_0)</f>
        <v>0</v>
      </c>
      <c r="E53" s="21"/>
      <c r="F53" s="32">
        <f t="shared" ref="F53:F62" si="15">IF(D$12=0,0,D53/D$12)</f>
        <v>0</v>
      </c>
      <c r="G53" s="21"/>
      <c r="H53" s="21">
        <f>SUM(OSRRefH22x_0)</f>
        <v>12318.16</v>
      </c>
      <c r="I53" s="21"/>
      <c r="J53" s="32">
        <f t="shared" ref="J53:J62" si="16">IF(H$12=0,0,H53/H$12)</f>
        <v>0.23021413860512754</v>
      </c>
      <c r="K53" s="4"/>
      <c r="L53" s="21">
        <f t="shared" ref="L53:L62" si="17">+D53-H53</f>
        <v>-12318.16</v>
      </c>
      <c r="M53" s="4"/>
      <c r="N53" s="32">
        <f t="shared" ref="N53:N62" si="18">IF(H53=0,0,L53/H53)</f>
        <v>-1</v>
      </c>
      <c r="O53" s="10"/>
      <c r="P53" s="21">
        <f>SUM(OSRRefP22x_0)</f>
        <v>0</v>
      </c>
      <c r="Q53" s="21"/>
      <c r="R53" s="32">
        <f t="shared" ref="R53:R62" si="19">IF(P$12=0,0,P53/P$12)</f>
        <v>0</v>
      </c>
      <c r="S53" s="21"/>
      <c r="T53" s="21">
        <f>SUM(OSRRefT22x_0)</f>
        <v>85342.819999999992</v>
      </c>
      <c r="U53" s="21"/>
      <c r="V53" s="32">
        <f t="shared" ref="V53:V62" si="20">IF(T$12=0,0,T53/T$12)</f>
        <v>0.22086690579235244</v>
      </c>
      <c r="W53" s="4"/>
      <c r="X53" s="21">
        <f t="shared" ref="X53:X62" si="21">+P53-T53</f>
        <v>-85342.819999999992</v>
      </c>
      <c r="Y53" s="4"/>
      <c r="Z53" s="32">
        <f t="shared" ref="Z53:Z62" si="22">IF(T53=0,0,X53/T53)</f>
        <v>-1</v>
      </c>
    </row>
    <row r="54" spans="1:26" s="25" customFormat="1" outlineLevel="1" collapsed="1" x14ac:dyDescent="0.25">
      <c r="A54" s="27"/>
      <c r="B54" s="13" t="str">
        <f>CONCATENATE("     ","*Benefits                                         ")</f>
        <v xml:space="preserve">     *Benefits                                         </v>
      </c>
      <c r="C54" s="13"/>
      <c r="D54" s="1">
        <f>SUM(OSRRefD22_0x_0)</f>
        <v>0</v>
      </c>
      <c r="E54" s="1"/>
      <c r="F54" s="5">
        <f t="shared" si="15"/>
        <v>0</v>
      </c>
      <c r="G54" s="1"/>
      <c r="H54" s="1">
        <f>SUM(OSRRefH22_0x_0)</f>
        <v>2327.15</v>
      </c>
      <c r="I54" s="1"/>
      <c r="J54" s="5">
        <f t="shared" si="16"/>
        <v>4.3492115109311988E-2</v>
      </c>
      <c r="K54" s="1"/>
      <c r="L54" s="1">
        <f t="shared" si="17"/>
        <v>-2327.15</v>
      </c>
      <c r="M54" s="1"/>
      <c r="N54" s="5">
        <f t="shared" si="18"/>
        <v>-1</v>
      </c>
      <c r="O54" s="13"/>
      <c r="P54" s="1">
        <f>SUM(OSRRefP22_0x_0)</f>
        <v>0</v>
      </c>
      <c r="Q54" s="1"/>
      <c r="R54" s="5">
        <f t="shared" si="19"/>
        <v>0</v>
      </c>
      <c r="S54" s="1"/>
      <c r="T54" s="1">
        <f>SUM(OSRRefT22_0x_0)</f>
        <v>15433.23</v>
      </c>
      <c r="U54" s="1"/>
      <c r="V54" s="5">
        <f t="shared" si="20"/>
        <v>3.9941142752040623E-2</v>
      </c>
      <c r="W54" s="1"/>
      <c r="X54" s="1">
        <f t="shared" si="21"/>
        <v>-15433.23</v>
      </c>
      <c r="Y54" s="1"/>
      <c r="Z54" s="5">
        <f t="shared" si="22"/>
        <v>-1</v>
      </c>
    </row>
    <row r="55" spans="1:26" s="24" customFormat="1" hidden="1" outlineLevel="2" x14ac:dyDescent="0.25">
      <c r="A55" s="26"/>
      <c r="B55" s="11" t="str">
        <f>CONCATENATE("          ", "6111", " - ", "F.I.C.A.")</f>
        <v xml:space="preserve">          6111 - F.I.C.A.</v>
      </c>
      <c r="C55" s="11"/>
      <c r="D55" s="6"/>
      <c r="E55" s="2"/>
      <c r="F55" s="7">
        <f t="shared" si="15"/>
        <v>0</v>
      </c>
      <c r="G55" s="2"/>
      <c r="H55" s="6">
        <v>266.58</v>
      </c>
      <c r="I55" s="2"/>
      <c r="J55" s="7">
        <f t="shared" si="16"/>
        <v>4.9821146233978856E-3</v>
      </c>
      <c r="K55" s="2"/>
      <c r="L55" s="6">
        <f t="shared" si="17"/>
        <v>-266.58</v>
      </c>
      <c r="M55" s="2"/>
      <c r="N55" s="7">
        <f t="shared" si="18"/>
        <v>-1</v>
      </c>
      <c r="O55" s="11"/>
      <c r="P55" s="6"/>
      <c r="Q55" s="2"/>
      <c r="R55" s="7">
        <f t="shared" si="19"/>
        <v>0</v>
      </c>
      <c r="S55" s="2"/>
      <c r="T55" s="6">
        <v>2203.21</v>
      </c>
      <c r="U55" s="2"/>
      <c r="V55" s="7">
        <f t="shared" si="20"/>
        <v>5.7018994159176934E-3</v>
      </c>
      <c r="W55" s="2"/>
      <c r="X55" s="6">
        <f t="shared" si="21"/>
        <v>-2203.21</v>
      </c>
      <c r="Y55" s="2"/>
      <c r="Z55" s="7">
        <f t="shared" si="22"/>
        <v>-1</v>
      </c>
    </row>
    <row r="56" spans="1:26" s="24" customFormat="1" hidden="1" outlineLevel="2" x14ac:dyDescent="0.25">
      <c r="A56" s="26"/>
      <c r="B56" s="11" t="str">
        <f>CONCATENATE("          ", "6112", " - ", "COMPENSATION INSURANCE")</f>
        <v xml:space="preserve">          6112 - COMPENSATION INSURANCE</v>
      </c>
      <c r="C56" s="11"/>
      <c r="D56" s="6"/>
      <c r="E56" s="2"/>
      <c r="F56" s="7">
        <f t="shared" si="15"/>
        <v>0</v>
      </c>
      <c r="G56" s="2"/>
      <c r="H56" s="6">
        <v>171.81</v>
      </c>
      <c r="I56" s="2"/>
      <c r="J56" s="7">
        <f t="shared" si="16"/>
        <v>3.2109577366868885E-3</v>
      </c>
      <c r="K56" s="2"/>
      <c r="L56" s="6">
        <f t="shared" si="17"/>
        <v>-171.81</v>
      </c>
      <c r="M56" s="2"/>
      <c r="N56" s="7">
        <f t="shared" si="18"/>
        <v>-1</v>
      </c>
      <c r="O56" s="11"/>
      <c r="P56" s="6"/>
      <c r="Q56" s="2"/>
      <c r="R56" s="7">
        <f t="shared" si="19"/>
        <v>0</v>
      </c>
      <c r="S56" s="2"/>
      <c r="T56" s="6">
        <v>1009.82</v>
      </c>
      <c r="U56" s="2"/>
      <c r="V56" s="7">
        <f t="shared" si="20"/>
        <v>2.6134104639058487E-3</v>
      </c>
      <c r="W56" s="2"/>
      <c r="X56" s="6">
        <f t="shared" si="21"/>
        <v>-1009.82</v>
      </c>
      <c r="Y56" s="2"/>
      <c r="Z56" s="7">
        <f t="shared" si="22"/>
        <v>-1</v>
      </c>
    </row>
    <row r="57" spans="1:26" s="24" customFormat="1" hidden="1" outlineLevel="2" x14ac:dyDescent="0.25">
      <c r="A57" s="26"/>
      <c r="B57" s="11" t="str">
        <f>CONCATENATE("          ", "6113", " - ", "GROUP INSURANCE")</f>
        <v xml:space="preserve">          6113 - GROUP INSURANCE</v>
      </c>
      <c r="C57" s="11"/>
      <c r="D57" s="6"/>
      <c r="E57" s="2"/>
      <c r="F57" s="7">
        <f t="shared" si="15"/>
        <v>0</v>
      </c>
      <c r="G57" s="2"/>
      <c r="H57" s="6">
        <v>1216.43</v>
      </c>
      <c r="I57" s="2"/>
      <c r="J57" s="7">
        <f t="shared" si="16"/>
        <v>2.2733864848600384E-2</v>
      </c>
      <c r="K57" s="2"/>
      <c r="L57" s="6">
        <f t="shared" si="17"/>
        <v>-1216.43</v>
      </c>
      <c r="M57" s="2"/>
      <c r="N57" s="7">
        <f t="shared" si="18"/>
        <v>-1</v>
      </c>
      <c r="O57" s="11"/>
      <c r="P57" s="6"/>
      <c r="Q57" s="2"/>
      <c r="R57" s="7">
        <f t="shared" si="19"/>
        <v>0</v>
      </c>
      <c r="S57" s="2"/>
      <c r="T57" s="6">
        <v>7451.62</v>
      </c>
      <c r="U57" s="2"/>
      <c r="V57" s="7">
        <f t="shared" si="20"/>
        <v>1.9284765285942147E-2</v>
      </c>
      <c r="W57" s="2"/>
      <c r="X57" s="6">
        <f t="shared" si="21"/>
        <v>-7451.62</v>
      </c>
      <c r="Y57" s="2"/>
      <c r="Z57" s="7">
        <f t="shared" si="22"/>
        <v>-1</v>
      </c>
    </row>
    <row r="58" spans="1:26" s="24" customFormat="1" hidden="1" outlineLevel="2" x14ac:dyDescent="0.25">
      <c r="A58" s="26"/>
      <c r="B58" s="11" t="str">
        <f>CONCATENATE("          ", "6114", " - ", "STATE UNEMPLOYMENT INSURANCE")</f>
        <v xml:space="preserve">          6114 - STATE UNEMPLOYMENT INSURANCE</v>
      </c>
      <c r="C58" s="11"/>
      <c r="D58" s="6"/>
      <c r="E58" s="2"/>
      <c r="F58" s="7">
        <f t="shared" si="15"/>
        <v>0</v>
      </c>
      <c r="G58" s="2"/>
      <c r="H58" s="6">
        <v>23.51</v>
      </c>
      <c r="I58" s="2"/>
      <c r="J58" s="7">
        <f t="shared" si="16"/>
        <v>4.3937847849082566E-4</v>
      </c>
      <c r="K58" s="2"/>
      <c r="L58" s="6">
        <f t="shared" si="17"/>
        <v>-23.51</v>
      </c>
      <c r="M58" s="2"/>
      <c r="N58" s="7">
        <f t="shared" si="18"/>
        <v>-1</v>
      </c>
      <c r="O58" s="11"/>
      <c r="P58" s="6"/>
      <c r="Q58" s="2"/>
      <c r="R58" s="7">
        <f t="shared" si="19"/>
        <v>0</v>
      </c>
      <c r="S58" s="2"/>
      <c r="T58" s="6">
        <v>157.76</v>
      </c>
      <c r="U58" s="2"/>
      <c r="V58" s="7">
        <f t="shared" si="20"/>
        <v>4.0828230257450505E-4</v>
      </c>
      <c r="W58" s="2"/>
      <c r="X58" s="6">
        <f t="shared" si="21"/>
        <v>-157.76</v>
      </c>
      <c r="Y58" s="2"/>
      <c r="Z58" s="7">
        <f t="shared" si="22"/>
        <v>-1</v>
      </c>
    </row>
    <row r="59" spans="1:26" s="24" customFormat="1" hidden="1" outlineLevel="2" x14ac:dyDescent="0.25">
      <c r="A59" s="26"/>
      <c r="B59" s="11" t="str">
        <f>CONCATENATE("          ", "6115", " - ", "P.E.R.S.")</f>
        <v xml:space="preserve">          6115 - P.E.R.S.</v>
      </c>
      <c r="C59" s="11"/>
      <c r="D59" s="6"/>
      <c r="E59" s="2"/>
      <c r="F59" s="7">
        <f t="shared" si="15"/>
        <v>0</v>
      </c>
      <c r="G59" s="2"/>
      <c r="H59" s="6">
        <v>243.41</v>
      </c>
      <c r="I59" s="2"/>
      <c r="J59" s="7">
        <f t="shared" si="16"/>
        <v>4.5490904061868086E-3</v>
      </c>
      <c r="K59" s="2"/>
      <c r="L59" s="6">
        <f t="shared" si="17"/>
        <v>-243.41</v>
      </c>
      <c r="M59" s="2"/>
      <c r="N59" s="7">
        <f t="shared" si="18"/>
        <v>-1</v>
      </c>
      <c r="O59" s="11"/>
      <c r="P59" s="6"/>
      <c r="Q59" s="2"/>
      <c r="R59" s="7">
        <f t="shared" si="19"/>
        <v>0</v>
      </c>
      <c r="S59" s="2"/>
      <c r="T59" s="6">
        <v>1630.46</v>
      </c>
      <c r="U59" s="2"/>
      <c r="V59" s="7">
        <f t="shared" si="20"/>
        <v>4.2196245122694447E-3</v>
      </c>
      <c r="W59" s="2"/>
      <c r="X59" s="6">
        <f t="shared" si="21"/>
        <v>-1630.46</v>
      </c>
      <c r="Y59" s="2"/>
      <c r="Z59" s="7">
        <f t="shared" si="22"/>
        <v>-1</v>
      </c>
    </row>
    <row r="60" spans="1:26" s="24" customFormat="1" hidden="1" outlineLevel="2" x14ac:dyDescent="0.25">
      <c r="A60" s="26"/>
      <c r="B60" s="11" t="str">
        <f>CONCATENATE("          ", "6118", " - ", "VACATION")</f>
        <v xml:space="preserve">          6118 - VACATION</v>
      </c>
      <c r="C60" s="11"/>
      <c r="D60" s="6"/>
      <c r="E60" s="2"/>
      <c r="F60" s="7">
        <f t="shared" si="15"/>
        <v>0</v>
      </c>
      <c r="G60" s="2"/>
      <c r="H60" s="6">
        <v>135.97999999999999</v>
      </c>
      <c r="I60" s="2"/>
      <c r="J60" s="7">
        <f t="shared" si="16"/>
        <v>2.5413307318240094E-3</v>
      </c>
      <c r="K60" s="2"/>
      <c r="L60" s="6">
        <f t="shared" si="17"/>
        <v>-135.97999999999999</v>
      </c>
      <c r="M60" s="2"/>
      <c r="N60" s="7">
        <f t="shared" si="18"/>
        <v>-1</v>
      </c>
      <c r="O60" s="11"/>
      <c r="P60" s="6"/>
      <c r="Q60" s="2"/>
      <c r="R60" s="7">
        <f t="shared" si="19"/>
        <v>0</v>
      </c>
      <c r="S60" s="2"/>
      <c r="T60" s="6">
        <v>1269.82</v>
      </c>
      <c r="U60" s="2"/>
      <c r="V60" s="7">
        <f t="shared" si="20"/>
        <v>3.2862895122664679E-3</v>
      </c>
      <c r="W60" s="2"/>
      <c r="X60" s="6">
        <f t="shared" si="21"/>
        <v>-1269.82</v>
      </c>
      <c r="Y60" s="2"/>
      <c r="Z60" s="7">
        <f t="shared" si="22"/>
        <v>-1</v>
      </c>
    </row>
    <row r="61" spans="1:26" s="24" customFormat="1" hidden="1" outlineLevel="2" x14ac:dyDescent="0.25">
      <c r="A61" s="26"/>
      <c r="B61" s="11" t="str">
        <f>CONCATENATE("          ", "6119", " - ", "SICK LEAVE")</f>
        <v xml:space="preserve">          6119 - SICK LEAVE</v>
      </c>
      <c r="C61" s="11"/>
      <c r="D61" s="6"/>
      <c r="E61" s="2"/>
      <c r="F61" s="7">
        <f t="shared" si="15"/>
        <v>0</v>
      </c>
      <c r="G61" s="2"/>
      <c r="H61" s="6">
        <v>160.74</v>
      </c>
      <c r="I61" s="2"/>
      <c r="J61" s="7">
        <f t="shared" si="16"/>
        <v>3.0040704650197919E-3</v>
      </c>
      <c r="K61" s="2"/>
      <c r="L61" s="6">
        <f t="shared" si="17"/>
        <v>-160.74</v>
      </c>
      <c r="M61" s="2"/>
      <c r="N61" s="7">
        <f t="shared" si="18"/>
        <v>-1</v>
      </c>
      <c r="O61" s="11"/>
      <c r="P61" s="6"/>
      <c r="Q61" s="2"/>
      <c r="R61" s="7">
        <f t="shared" si="19"/>
        <v>0</v>
      </c>
      <c r="S61" s="2"/>
      <c r="T61" s="6">
        <v>1426.85</v>
      </c>
      <c r="U61" s="2"/>
      <c r="V61" s="7">
        <f t="shared" si="20"/>
        <v>3.6926825775128835E-3</v>
      </c>
      <c r="W61" s="2"/>
      <c r="X61" s="6">
        <f t="shared" si="21"/>
        <v>-1426.85</v>
      </c>
      <c r="Y61" s="2"/>
      <c r="Z61" s="7">
        <f t="shared" si="22"/>
        <v>-1</v>
      </c>
    </row>
    <row r="62" spans="1:26" s="24" customFormat="1" hidden="1" outlineLevel="2" x14ac:dyDescent="0.25">
      <c r="A62" s="26"/>
      <c r="B62" s="11" t="str">
        <f>CONCATENATE("          ", "6156", " - ", "EMPLOYEE MEALS")</f>
        <v xml:space="preserve">          6156 - EMPLOYEE MEALS</v>
      </c>
      <c r="C62" s="11"/>
      <c r="D62" s="6"/>
      <c r="E62" s="2"/>
      <c r="F62" s="7">
        <f t="shared" si="15"/>
        <v>0</v>
      </c>
      <c r="G62" s="2"/>
      <c r="H62" s="6">
        <v>108.69</v>
      </c>
      <c r="I62" s="2"/>
      <c r="J62" s="7">
        <f t="shared" si="16"/>
        <v>2.031307819105395E-3</v>
      </c>
      <c r="K62" s="2"/>
      <c r="L62" s="6">
        <f t="shared" si="17"/>
        <v>-108.69</v>
      </c>
      <c r="M62" s="2"/>
      <c r="N62" s="7">
        <f t="shared" si="18"/>
        <v>-1</v>
      </c>
      <c r="O62" s="11"/>
      <c r="P62" s="6"/>
      <c r="Q62" s="2"/>
      <c r="R62" s="7">
        <f t="shared" si="19"/>
        <v>0</v>
      </c>
      <c r="S62" s="2"/>
      <c r="T62" s="6">
        <v>283.69</v>
      </c>
      <c r="U62" s="2"/>
      <c r="V62" s="7">
        <f t="shared" si="20"/>
        <v>7.3418868165163118E-4</v>
      </c>
      <c r="W62" s="2"/>
      <c r="X62" s="6">
        <f t="shared" si="21"/>
        <v>-283.69</v>
      </c>
      <c r="Y62" s="2"/>
      <c r="Z62" s="7">
        <f t="shared" si="22"/>
        <v>-1</v>
      </c>
    </row>
    <row r="63" spans="1:26" s="25" customFormat="1" outlineLevel="1" collapsed="1" x14ac:dyDescent="0.25">
      <c r="A63" s="27"/>
      <c r="B63" s="13" t="str">
        <f>CONCATENATE("     ","*Payroll                                          ")</f>
        <v xml:space="preserve">     *Payroll                                          </v>
      </c>
      <c r="C63" s="13"/>
      <c r="D63" s="1">
        <f>SUM(OSRRefD22_1x_0)</f>
        <v>0</v>
      </c>
      <c r="E63" s="1"/>
      <c r="F63" s="5">
        <f t="shared" ref="F63:F66" si="23">IF(D$12=0,0,D63/D$12)</f>
        <v>0</v>
      </c>
      <c r="G63" s="1"/>
      <c r="H63" s="1">
        <f>SUM(OSRRefH22_1x_0)</f>
        <v>8632.2200000000012</v>
      </c>
      <c r="I63" s="1"/>
      <c r="J63" s="5">
        <f t="shared" ref="J63:J66" si="24">IF(H$12=0,0,H63/H$12)</f>
        <v>0.16132759207137709</v>
      </c>
      <c r="K63" s="1"/>
      <c r="L63" s="1">
        <f t="shared" ref="L63:L66" si="25">+D63-H63</f>
        <v>-8632.2200000000012</v>
      </c>
      <c r="M63" s="1"/>
      <c r="N63" s="5">
        <f t="shared" ref="N63:N66" si="26">IF(H63=0,0,L63/H63)</f>
        <v>-1</v>
      </c>
      <c r="O63" s="13"/>
      <c r="P63" s="1">
        <f>SUM(OSRRefP22_1x_0)</f>
        <v>0</v>
      </c>
      <c r="Q63" s="1"/>
      <c r="R63" s="5">
        <f t="shared" ref="R63:R66" si="27">IF(P$12=0,0,P63/P$12)</f>
        <v>0</v>
      </c>
      <c r="S63" s="1"/>
      <c r="T63" s="1">
        <f>SUM(OSRRefT22_1x_0)</f>
        <v>59821.650000000009</v>
      </c>
      <c r="U63" s="1"/>
      <c r="V63" s="5">
        <f t="shared" ref="V63:V66" si="28">IF(T$12=0,0,T63/T$12)</f>
        <v>0.15481821124370021</v>
      </c>
      <c r="W63" s="1"/>
      <c r="X63" s="1">
        <f t="shared" ref="X63:X66" si="29">+P63-T63</f>
        <v>-59821.650000000009</v>
      </c>
      <c r="Y63" s="1"/>
      <c r="Z63" s="5">
        <f t="shared" ref="Z63:Z66" si="30">IF(T63=0,0,X63/T63)</f>
        <v>-1</v>
      </c>
    </row>
    <row r="64" spans="1:26" s="24" customFormat="1" hidden="1" outlineLevel="2" x14ac:dyDescent="0.25">
      <c r="A64" s="26"/>
      <c r="B64" s="11" t="str">
        <f>CONCATENATE("          ", "6002", " - ", "STAFF SALARIES")</f>
        <v xml:space="preserve">          6002 - STAFF SALARIES</v>
      </c>
      <c r="C64" s="11"/>
      <c r="D64" s="6"/>
      <c r="E64" s="2"/>
      <c r="F64" s="7">
        <f t="shared" si="23"/>
        <v>0</v>
      </c>
      <c r="G64" s="2"/>
      <c r="H64" s="6">
        <v>3380.8</v>
      </c>
      <c r="I64" s="2"/>
      <c r="J64" s="7">
        <f t="shared" si="24"/>
        <v>6.3183783925214093E-2</v>
      </c>
      <c r="K64" s="2"/>
      <c r="L64" s="6">
        <f t="shared" si="25"/>
        <v>-3380.8</v>
      </c>
      <c r="M64" s="2"/>
      <c r="N64" s="7">
        <f t="shared" si="26"/>
        <v>-1</v>
      </c>
      <c r="O64" s="11"/>
      <c r="P64" s="6"/>
      <c r="Q64" s="2"/>
      <c r="R64" s="7">
        <f t="shared" si="27"/>
        <v>0</v>
      </c>
      <c r="S64" s="2"/>
      <c r="T64" s="6">
        <v>21858.31</v>
      </c>
      <c r="U64" s="2"/>
      <c r="V64" s="7">
        <f t="shared" si="28"/>
        <v>5.6569226275274657E-2</v>
      </c>
      <c r="W64" s="2"/>
      <c r="X64" s="6">
        <f t="shared" si="29"/>
        <v>-21858.31</v>
      </c>
      <c r="Y64" s="2"/>
      <c r="Z64" s="7">
        <f t="shared" si="30"/>
        <v>-1</v>
      </c>
    </row>
    <row r="65" spans="1:26" s="24" customFormat="1" hidden="1" outlineLevel="2" x14ac:dyDescent="0.25">
      <c r="A65" s="26"/>
      <c r="B65" s="11" t="str">
        <f>CONCATENATE("          ", "6004", " - ", "STAFF HOURLY")</f>
        <v xml:space="preserve">          6004 - STAFF HOURLY</v>
      </c>
      <c r="C65" s="11"/>
      <c r="D65" s="6"/>
      <c r="E65" s="2"/>
      <c r="F65" s="7">
        <f t="shared" si="23"/>
        <v>0</v>
      </c>
      <c r="G65" s="2"/>
      <c r="H65" s="6"/>
      <c r="I65" s="2"/>
      <c r="J65" s="7">
        <f t="shared" si="24"/>
        <v>0</v>
      </c>
      <c r="K65" s="2"/>
      <c r="L65" s="6">
        <f t="shared" si="25"/>
        <v>0</v>
      </c>
      <c r="M65" s="2"/>
      <c r="N65" s="7">
        <f t="shared" si="26"/>
        <v>0</v>
      </c>
      <c r="O65" s="11"/>
      <c r="P65" s="6"/>
      <c r="Q65" s="2"/>
      <c r="R65" s="7">
        <f t="shared" si="27"/>
        <v>0</v>
      </c>
      <c r="S65" s="2"/>
      <c r="T65" s="6">
        <v>-48</v>
      </c>
      <c r="U65" s="2"/>
      <c r="V65" s="7">
        <f t="shared" si="28"/>
        <v>-1.2422382431272972E-4</v>
      </c>
      <c r="W65" s="2"/>
      <c r="X65" s="6">
        <f t="shared" si="29"/>
        <v>48</v>
      </c>
      <c r="Y65" s="2"/>
      <c r="Z65" s="7">
        <f t="shared" si="30"/>
        <v>-1</v>
      </c>
    </row>
    <row r="66" spans="1:26" s="24" customFormat="1" hidden="1" outlineLevel="2" x14ac:dyDescent="0.25">
      <c r="A66" s="26"/>
      <c r="B66" s="11" t="str">
        <f>CONCATENATE("          ", "6007", " - ", "STUDENT HOURLY")</f>
        <v xml:space="preserve">          6007 - STUDENT HOURLY</v>
      </c>
      <c r="C66" s="11"/>
      <c r="D66" s="6"/>
      <c r="E66" s="2"/>
      <c r="F66" s="7">
        <f t="shared" si="23"/>
        <v>0</v>
      </c>
      <c r="G66" s="2"/>
      <c r="H66" s="6">
        <v>5251.42</v>
      </c>
      <c r="I66" s="2"/>
      <c r="J66" s="7">
        <f t="shared" si="24"/>
        <v>9.814380814616297E-2</v>
      </c>
      <c r="K66" s="2"/>
      <c r="L66" s="6">
        <f t="shared" si="25"/>
        <v>-5251.42</v>
      </c>
      <c r="M66" s="2"/>
      <c r="N66" s="7">
        <f t="shared" si="26"/>
        <v>-1</v>
      </c>
      <c r="O66" s="11"/>
      <c r="P66" s="6"/>
      <c r="Q66" s="2"/>
      <c r="R66" s="7">
        <f t="shared" si="27"/>
        <v>0</v>
      </c>
      <c r="S66" s="2"/>
      <c r="T66" s="6">
        <v>38011.340000000004</v>
      </c>
      <c r="U66" s="2"/>
      <c r="V66" s="7">
        <f t="shared" si="28"/>
        <v>9.8373208792738268E-2</v>
      </c>
      <c r="W66" s="2"/>
      <c r="X66" s="6">
        <f t="shared" si="29"/>
        <v>-38011.340000000004</v>
      </c>
      <c r="Y66" s="2"/>
      <c r="Z66" s="7">
        <f t="shared" si="30"/>
        <v>-1</v>
      </c>
    </row>
    <row r="67" spans="1:26" s="25" customFormat="1" outlineLevel="1" collapsed="1" x14ac:dyDescent="0.25">
      <c r="A67" s="27"/>
      <c r="B67" s="13" t="str">
        <f>CONCATENATE("     ","Advertising/Promo                                 ")</f>
        <v xml:space="preserve">     Advertising/Promo                                 </v>
      </c>
      <c r="C67" s="13"/>
      <c r="D67" s="1">
        <f>SUM(OSRRefD22_2x_0)</f>
        <v>0</v>
      </c>
      <c r="E67" s="1"/>
      <c r="F67" s="5">
        <f t="shared" ref="F67:F71" si="31">IF(D$12=0,0,D67/D$12)</f>
        <v>0</v>
      </c>
      <c r="G67" s="1"/>
      <c r="H67" s="1">
        <f>SUM(OSRRefH22_2x_0)</f>
        <v>10.75</v>
      </c>
      <c r="I67" s="1"/>
      <c r="J67" s="5">
        <f t="shared" ref="J67:J71" si="32">IF(H$12=0,0,H67/H$12)</f>
        <v>2.0090679046262761E-4</v>
      </c>
      <c r="K67" s="1"/>
      <c r="L67" s="1">
        <f t="shared" ref="L67:L71" si="33">+D67-H67</f>
        <v>-10.75</v>
      </c>
      <c r="M67" s="1"/>
      <c r="N67" s="5">
        <f t="shared" ref="N67:N71" si="34">IF(H67=0,0,L67/H67)</f>
        <v>-1</v>
      </c>
      <c r="O67" s="13"/>
      <c r="P67" s="1">
        <f>SUM(OSRRefP22_2x_0)</f>
        <v>0</v>
      </c>
      <c r="Q67" s="1"/>
      <c r="R67" s="5">
        <f t="shared" ref="R67:R71" si="35">IF(P$12=0,0,P67/P$12)</f>
        <v>0</v>
      </c>
      <c r="S67" s="1"/>
      <c r="T67" s="1">
        <f>SUM(OSRRefT22_2x_0)</f>
        <v>1181.76</v>
      </c>
      <c r="U67" s="1"/>
      <c r="V67" s="5">
        <f t="shared" ref="V67:V71" si="36">IF(T$12=0,0,T67/T$12)</f>
        <v>3.0583905545794061E-3</v>
      </c>
      <c r="W67" s="1"/>
      <c r="X67" s="1">
        <f t="shared" ref="X67:X71" si="37">+P67-T67</f>
        <v>-1181.76</v>
      </c>
      <c r="Y67" s="1"/>
      <c r="Z67" s="5">
        <f t="shared" ref="Z67:Z71" si="38">IF(T67=0,0,X67/T67)</f>
        <v>-1</v>
      </c>
    </row>
    <row r="68" spans="1:26" s="24" customFormat="1" hidden="1" outlineLevel="2" x14ac:dyDescent="0.25">
      <c r="A68" s="26"/>
      <c r="B68" s="11" t="str">
        <f>CONCATENATE("          ", "6362", " - ", "ADVERTISING EXPENSE")</f>
        <v xml:space="preserve">          6362 - ADVERTISING EXPENSE</v>
      </c>
      <c r="C68" s="11"/>
      <c r="D68" s="6"/>
      <c r="E68" s="2"/>
      <c r="F68" s="7">
        <f t="shared" si="31"/>
        <v>0</v>
      </c>
      <c r="G68" s="2"/>
      <c r="H68" s="6">
        <v>10.75</v>
      </c>
      <c r="I68" s="2"/>
      <c r="J68" s="7">
        <f t="shared" si="32"/>
        <v>2.0090679046262761E-4</v>
      </c>
      <c r="K68" s="2"/>
      <c r="L68" s="6">
        <f t="shared" si="33"/>
        <v>-10.75</v>
      </c>
      <c r="M68" s="2"/>
      <c r="N68" s="7">
        <f t="shared" si="34"/>
        <v>-1</v>
      </c>
      <c r="O68" s="11"/>
      <c r="P68" s="6"/>
      <c r="Q68" s="2"/>
      <c r="R68" s="7">
        <f t="shared" si="35"/>
        <v>0</v>
      </c>
      <c r="S68" s="2"/>
      <c r="T68" s="6">
        <v>1181.76</v>
      </c>
      <c r="U68" s="2"/>
      <c r="V68" s="7">
        <f t="shared" si="36"/>
        <v>3.0583905545794061E-3</v>
      </c>
      <c r="W68" s="2"/>
      <c r="X68" s="6">
        <f t="shared" si="37"/>
        <v>-1181.76</v>
      </c>
      <c r="Y68" s="2"/>
      <c r="Z68" s="7">
        <f t="shared" si="38"/>
        <v>-1</v>
      </c>
    </row>
    <row r="69" spans="1:26" s="25" customFormat="1" outlineLevel="1" collapsed="1" x14ac:dyDescent="0.25">
      <c r="A69" s="27"/>
      <c r="B69" s="13" t="str">
        <f>CONCATENATE("     ","Discounts and Markdowns                           ")</f>
        <v xml:space="preserve">     Discounts and Markdowns                           </v>
      </c>
      <c r="C69" s="13"/>
      <c r="D69" s="1">
        <f>SUM(OSRRefD22_3x_0)</f>
        <v>0</v>
      </c>
      <c r="E69" s="1"/>
      <c r="F69" s="5">
        <f t="shared" si="31"/>
        <v>0</v>
      </c>
      <c r="G69" s="1"/>
      <c r="H69" s="1">
        <f>SUM(OSRRefH22_3x_0)</f>
        <v>1281.99</v>
      </c>
      <c r="I69" s="1"/>
      <c r="J69" s="5">
        <f t="shared" si="32"/>
        <v>2.3959115935365951E-2</v>
      </c>
      <c r="K69" s="1"/>
      <c r="L69" s="1">
        <f t="shared" si="33"/>
        <v>-1281.99</v>
      </c>
      <c r="M69" s="1"/>
      <c r="N69" s="5">
        <f t="shared" si="34"/>
        <v>-1</v>
      </c>
      <c r="O69" s="13"/>
      <c r="P69" s="1">
        <f>SUM(OSRRefP22_3x_0)</f>
        <v>0</v>
      </c>
      <c r="Q69" s="1"/>
      <c r="R69" s="5">
        <f t="shared" si="35"/>
        <v>0</v>
      </c>
      <c r="S69" s="1"/>
      <c r="T69" s="1">
        <f>SUM(OSRRefT22_3x_0)</f>
        <v>8781.09</v>
      </c>
      <c r="U69" s="1"/>
      <c r="V69" s="5">
        <f t="shared" si="36"/>
        <v>2.2725428779880583E-2</v>
      </c>
      <c r="W69" s="1"/>
      <c r="X69" s="1">
        <f t="shared" si="37"/>
        <v>-8781.09</v>
      </c>
      <c r="Y69" s="1"/>
      <c r="Z69" s="5">
        <f t="shared" si="38"/>
        <v>-1</v>
      </c>
    </row>
    <row r="70" spans="1:26" s="24" customFormat="1" hidden="1" outlineLevel="2" x14ac:dyDescent="0.25">
      <c r="A70" s="26"/>
      <c r="B70" s="11" t="str">
        <f>CONCATENATE("          ", "6382", " - ", "DISCOUNTS/MARK DOWNS")</f>
        <v xml:space="preserve">          6382 - DISCOUNTS/MARK DOWNS</v>
      </c>
      <c r="C70" s="11"/>
      <c r="D70" s="6"/>
      <c r="E70" s="2"/>
      <c r="F70" s="7">
        <f t="shared" si="31"/>
        <v>0</v>
      </c>
      <c r="G70" s="2"/>
      <c r="H70" s="6">
        <v>1248.1600000000001</v>
      </c>
      <c r="I70" s="2"/>
      <c r="J70" s="7">
        <f t="shared" si="32"/>
        <v>2.3326866938031005E-2</v>
      </c>
      <c r="K70" s="2"/>
      <c r="L70" s="6">
        <f t="shared" si="33"/>
        <v>-1248.1600000000001</v>
      </c>
      <c r="M70" s="2"/>
      <c r="N70" s="7">
        <f t="shared" si="34"/>
        <v>-1</v>
      </c>
      <c r="O70" s="11"/>
      <c r="P70" s="6"/>
      <c r="Q70" s="2"/>
      <c r="R70" s="7">
        <f t="shared" si="35"/>
        <v>0</v>
      </c>
      <c r="S70" s="2"/>
      <c r="T70" s="6">
        <v>8781.09</v>
      </c>
      <c r="U70" s="2"/>
      <c r="V70" s="7">
        <f t="shared" si="36"/>
        <v>2.2725428779880583E-2</v>
      </c>
      <c r="W70" s="2"/>
      <c r="X70" s="6">
        <f t="shared" si="37"/>
        <v>-8781.09</v>
      </c>
      <c r="Y70" s="2"/>
      <c r="Z70" s="7">
        <f t="shared" si="38"/>
        <v>-1</v>
      </c>
    </row>
    <row r="71" spans="1:26" s="24" customFormat="1" hidden="1" outlineLevel="2" x14ac:dyDescent="0.25">
      <c r="A71" s="26"/>
      <c r="B71" s="11" t="str">
        <f>CONCATENATE("          ", "9175", " - ", "EARNED DISCOUNTS")</f>
        <v xml:space="preserve">          9175 - EARNED DISCOUNTS</v>
      </c>
      <c r="C71" s="11"/>
      <c r="D71" s="6"/>
      <c r="E71" s="2"/>
      <c r="F71" s="7">
        <f t="shared" si="31"/>
        <v>0</v>
      </c>
      <c r="G71" s="2"/>
      <c r="H71" s="6">
        <v>33.83</v>
      </c>
      <c r="I71" s="2"/>
      <c r="J71" s="7">
        <f t="shared" si="32"/>
        <v>6.322489973349481E-4</v>
      </c>
      <c r="K71" s="2"/>
      <c r="L71" s="6">
        <f t="shared" si="33"/>
        <v>-33.83</v>
      </c>
      <c r="M71" s="2"/>
      <c r="N71" s="7">
        <f t="shared" si="34"/>
        <v>-1</v>
      </c>
      <c r="O71" s="11"/>
      <c r="P71" s="6"/>
      <c r="Q71" s="2"/>
      <c r="R71" s="7">
        <f t="shared" si="35"/>
        <v>0</v>
      </c>
      <c r="S71" s="2"/>
      <c r="T71" s="6">
        <v>0</v>
      </c>
      <c r="U71" s="2"/>
      <c r="V71" s="7">
        <f t="shared" si="36"/>
        <v>0</v>
      </c>
      <c r="W71" s="2"/>
      <c r="X71" s="6">
        <f t="shared" si="37"/>
        <v>0</v>
      </c>
      <c r="Y71" s="2"/>
      <c r="Z71" s="7">
        <f t="shared" si="38"/>
        <v>0</v>
      </c>
    </row>
    <row r="72" spans="1:26" s="25" customFormat="1" outlineLevel="1" collapsed="1" x14ac:dyDescent="0.25">
      <c r="A72" s="27"/>
      <c r="B72" s="13" t="str">
        <f>CONCATENATE("     ","Freight out/Postage                               ")</f>
        <v xml:space="preserve">     Freight out/Postage                               </v>
      </c>
      <c r="C72" s="13"/>
      <c r="D72" s="1">
        <f>SUM(OSRRefD22_4x_0)</f>
        <v>0</v>
      </c>
      <c r="E72" s="1"/>
      <c r="F72" s="5">
        <f t="shared" ref="F72:F81" si="39">IF(D$12=0,0,D72/D$12)</f>
        <v>0</v>
      </c>
      <c r="G72" s="1"/>
      <c r="H72" s="1">
        <f>SUM(OSRRefH22_4x_0)</f>
        <v>0</v>
      </c>
      <c r="I72" s="1"/>
      <c r="J72" s="5">
        <f t="shared" ref="J72:J81" si="40">IF(H$12=0,0,H72/H$12)</f>
        <v>0</v>
      </c>
      <c r="K72" s="1"/>
      <c r="L72" s="1">
        <f t="shared" ref="L72:L81" si="41">+D72-H72</f>
        <v>0</v>
      </c>
      <c r="M72" s="1"/>
      <c r="N72" s="5">
        <f t="shared" ref="N72:N81" si="42">IF(H72=0,0,L72/H72)</f>
        <v>0</v>
      </c>
      <c r="O72" s="13"/>
      <c r="P72" s="1">
        <f>SUM(OSRRefP22_4x_0)</f>
        <v>0</v>
      </c>
      <c r="Q72" s="1"/>
      <c r="R72" s="5">
        <f t="shared" ref="R72:R81" si="43">IF(P$12=0,0,P72/P$12)</f>
        <v>0</v>
      </c>
      <c r="S72" s="1"/>
      <c r="T72" s="1">
        <f>SUM(OSRRefT22_4x_0)</f>
        <v>15.81</v>
      </c>
      <c r="U72" s="1"/>
      <c r="V72" s="5">
        <f t="shared" ref="V72:V81" si="44">IF(T$12=0,0,T72/T$12)</f>
        <v>4.0916222133005355E-5</v>
      </c>
      <c r="W72" s="1"/>
      <c r="X72" s="1">
        <f t="shared" ref="X72:X81" si="45">+P72-T72</f>
        <v>-15.81</v>
      </c>
      <c r="Y72" s="1"/>
      <c r="Z72" s="5">
        <f t="shared" ref="Z72:Z81" si="46">IF(T72=0,0,X72/T72)</f>
        <v>-1</v>
      </c>
    </row>
    <row r="73" spans="1:26" s="24" customFormat="1" hidden="1" outlineLevel="2" x14ac:dyDescent="0.25">
      <c r="A73" s="26"/>
      <c r="B73" s="11" t="str">
        <f>CONCATENATE("          ", "6305", " - ", "FREIGHT OUT")</f>
        <v xml:space="preserve">          6305 - FREIGHT OUT</v>
      </c>
      <c r="C73" s="11"/>
      <c r="D73" s="6"/>
      <c r="E73" s="2"/>
      <c r="F73" s="7">
        <f t="shared" si="39"/>
        <v>0</v>
      </c>
      <c r="G73" s="2"/>
      <c r="H73" s="6"/>
      <c r="I73" s="2"/>
      <c r="J73" s="7">
        <f t="shared" si="40"/>
        <v>0</v>
      </c>
      <c r="K73" s="2"/>
      <c r="L73" s="6">
        <f t="shared" si="41"/>
        <v>0</v>
      </c>
      <c r="M73" s="2"/>
      <c r="N73" s="7">
        <f t="shared" si="42"/>
        <v>0</v>
      </c>
      <c r="O73" s="11"/>
      <c r="P73" s="6"/>
      <c r="Q73" s="2"/>
      <c r="R73" s="7">
        <f t="shared" si="43"/>
        <v>0</v>
      </c>
      <c r="S73" s="2"/>
      <c r="T73" s="6">
        <v>15.81</v>
      </c>
      <c r="U73" s="2"/>
      <c r="V73" s="7">
        <f t="shared" si="44"/>
        <v>4.0916222133005355E-5</v>
      </c>
      <c r="W73" s="2"/>
      <c r="X73" s="6">
        <f t="shared" si="45"/>
        <v>-15.81</v>
      </c>
      <c r="Y73" s="2"/>
      <c r="Z73" s="7">
        <f t="shared" si="46"/>
        <v>-1</v>
      </c>
    </row>
    <row r="74" spans="1:26" s="25" customFormat="1" outlineLevel="1" collapsed="1" x14ac:dyDescent="0.25">
      <c r="A74" s="27"/>
      <c r="B74" s="13" t="str">
        <f>CONCATENATE("     ","Subscriptions &amp; Dues                              ")</f>
        <v xml:space="preserve">     Subscriptions &amp; Dues                              </v>
      </c>
      <c r="C74" s="13"/>
      <c r="D74" s="1">
        <f>SUM(OSRRefD22_5x_0)</f>
        <v>0</v>
      </c>
      <c r="E74" s="1"/>
      <c r="F74" s="5">
        <f t="shared" si="39"/>
        <v>0</v>
      </c>
      <c r="G74" s="1"/>
      <c r="H74" s="1">
        <f>SUM(OSRRefH22_5x_0)</f>
        <v>0</v>
      </c>
      <c r="I74" s="1"/>
      <c r="J74" s="5">
        <f t="shared" si="40"/>
        <v>0</v>
      </c>
      <c r="K74" s="1"/>
      <c r="L74" s="1">
        <f t="shared" si="41"/>
        <v>0</v>
      </c>
      <c r="M74" s="1"/>
      <c r="N74" s="5">
        <f t="shared" si="42"/>
        <v>0</v>
      </c>
      <c r="O74" s="13"/>
      <c r="P74" s="1">
        <f>SUM(OSRRefP22_5x_0)</f>
        <v>0</v>
      </c>
      <c r="Q74" s="1"/>
      <c r="R74" s="5">
        <f t="shared" si="43"/>
        <v>0</v>
      </c>
      <c r="S74" s="1"/>
      <c r="T74" s="1">
        <f>SUM(OSRRefT22_5x_0)</f>
        <v>120</v>
      </c>
      <c r="U74" s="1"/>
      <c r="V74" s="5">
        <f t="shared" si="44"/>
        <v>3.1055956078182432E-4</v>
      </c>
      <c r="W74" s="1"/>
      <c r="X74" s="1">
        <f t="shared" si="45"/>
        <v>-120</v>
      </c>
      <c r="Y74" s="1"/>
      <c r="Z74" s="5">
        <f t="shared" si="46"/>
        <v>-1</v>
      </c>
    </row>
    <row r="75" spans="1:26" s="24" customFormat="1" hidden="1" outlineLevel="2" x14ac:dyDescent="0.25">
      <c r="A75" s="26"/>
      <c r="B75" s="11" t="str">
        <f>CONCATENATE("          ", "6258", " - ", "MEMBERSHIP DUES")</f>
        <v xml:space="preserve">          6258 - MEMBERSHIP DUES</v>
      </c>
      <c r="C75" s="11"/>
      <c r="D75" s="6"/>
      <c r="E75" s="2"/>
      <c r="F75" s="7">
        <f t="shared" si="39"/>
        <v>0</v>
      </c>
      <c r="G75" s="2"/>
      <c r="H75" s="6"/>
      <c r="I75" s="2"/>
      <c r="J75" s="7">
        <f t="shared" si="40"/>
        <v>0</v>
      </c>
      <c r="K75" s="2"/>
      <c r="L75" s="6">
        <f t="shared" si="41"/>
        <v>0</v>
      </c>
      <c r="M75" s="2"/>
      <c r="N75" s="7">
        <f t="shared" si="42"/>
        <v>0</v>
      </c>
      <c r="O75" s="11"/>
      <c r="P75" s="6"/>
      <c r="Q75" s="2"/>
      <c r="R75" s="7">
        <f t="shared" si="43"/>
        <v>0</v>
      </c>
      <c r="S75" s="2"/>
      <c r="T75" s="6">
        <v>120</v>
      </c>
      <c r="U75" s="2"/>
      <c r="V75" s="7">
        <f t="shared" si="44"/>
        <v>3.1055956078182432E-4</v>
      </c>
      <c r="W75" s="2"/>
      <c r="X75" s="6">
        <f t="shared" si="45"/>
        <v>-120</v>
      </c>
      <c r="Y75" s="2"/>
      <c r="Z75" s="7">
        <f t="shared" si="46"/>
        <v>-1</v>
      </c>
    </row>
    <row r="76" spans="1:26" s="25" customFormat="1" outlineLevel="1" collapsed="1" x14ac:dyDescent="0.25">
      <c r="A76" s="27"/>
      <c r="B76" s="13" t="str">
        <f>CONCATENATE("     ","Supplies                                          ")</f>
        <v xml:space="preserve">     Supplies                                          </v>
      </c>
      <c r="C76" s="13"/>
      <c r="D76" s="1">
        <f>SUM(OSRRefD22_6x_0)</f>
        <v>0</v>
      </c>
      <c r="E76" s="1"/>
      <c r="F76" s="5">
        <f t="shared" si="39"/>
        <v>0</v>
      </c>
      <c r="G76" s="1"/>
      <c r="H76" s="1">
        <f>SUM(OSRRefH22_6x_0)</f>
        <v>6.05</v>
      </c>
      <c r="I76" s="1"/>
      <c r="J76" s="5">
        <f t="shared" si="40"/>
        <v>1.1306847277199043E-4</v>
      </c>
      <c r="K76" s="1"/>
      <c r="L76" s="1">
        <f t="shared" si="41"/>
        <v>-6.05</v>
      </c>
      <c r="M76" s="1"/>
      <c r="N76" s="5">
        <f t="shared" si="42"/>
        <v>-1</v>
      </c>
      <c r="O76" s="13"/>
      <c r="P76" s="1">
        <f>SUM(OSRRefP22_6x_0)</f>
        <v>0</v>
      </c>
      <c r="Q76" s="1"/>
      <c r="R76" s="5">
        <f t="shared" si="43"/>
        <v>0</v>
      </c>
      <c r="S76" s="1"/>
      <c r="T76" s="1">
        <f>SUM(OSRRefT22_6x_0)</f>
        <v>252.29</v>
      </c>
      <c r="U76" s="1"/>
      <c r="V76" s="5">
        <f t="shared" si="44"/>
        <v>6.5292559658038714E-4</v>
      </c>
      <c r="W76" s="1"/>
      <c r="X76" s="1">
        <f t="shared" si="45"/>
        <v>-252.29</v>
      </c>
      <c r="Y76" s="1"/>
      <c r="Z76" s="5">
        <f t="shared" si="46"/>
        <v>-1</v>
      </c>
    </row>
    <row r="77" spans="1:26" s="24" customFormat="1" hidden="1" outlineLevel="2" x14ac:dyDescent="0.25">
      <c r="A77" s="26"/>
      <c r="B77" s="11" t="str">
        <f>CONCATENATE("          ", "6241", " - ", "OFFICE EXPENSE")</f>
        <v xml:space="preserve">          6241 - OFFICE EXPENSE</v>
      </c>
      <c r="C77" s="11"/>
      <c r="D77" s="6"/>
      <c r="E77" s="2"/>
      <c r="F77" s="7">
        <f t="shared" si="39"/>
        <v>0</v>
      </c>
      <c r="G77" s="2"/>
      <c r="H77" s="6">
        <v>6.05</v>
      </c>
      <c r="I77" s="2"/>
      <c r="J77" s="7">
        <f t="shared" si="40"/>
        <v>1.1306847277199043E-4</v>
      </c>
      <c r="K77" s="2"/>
      <c r="L77" s="6">
        <f t="shared" si="41"/>
        <v>-6.05</v>
      </c>
      <c r="M77" s="2"/>
      <c r="N77" s="7">
        <f t="shared" si="42"/>
        <v>-1</v>
      </c>
      <c r="O77" s="11"/>
      <c r="P77" s="6"/>
      <c r="Q77" s="2"/>
      <c r="R77" s="7">
        <f t="shared" si="43"/>
        <v>0</v>
      </c>
      <c r="S77" s="2"/>
      <c r="T77" s="6">
        <v>252.29</v>
      </c>
      <c r="U77" s="2"/>
      <c r="V77" s="7">
        <f t="shared" si="44"/>
        <v>6.5292559658038714E-4</v>
      </c>
      <c r="W77" s="2"/>
      <c r="X77" s="6">
        <f t="shared" si="45"/>
        <v>-252.29</v>
      </c>
      <c r="Y77" s="2"/>
      <c r="Z77" s="7">
        <f t="shared" si="46"/>
        <v>-1</v>
      </c>
    </row>
    <row r="78" spans="1:26" s="25" customFormat="1" outlineLevel="1" collapsed="1" x14ac:dyDescent="0.25">
      <c r="A78" s="27"/>
      <c r="B78" s="13" t="str">
        <f>CONCATENATE("     ","Training                                          ")</f>
        <v xml:space="preserve">     Training                                          </v>
      </c>
      <c r="C78" s="13"/>
      <c r="D78" s="1">
        <f>SUM(OSRRefD22_7x_0)</f>
        <v>0</v>
      </c>
      <c r="E78" s="1"/>
      <c r="F78" s="5">
        <f t="shared" si="39"/>
        <v>0</v>
      </c>
      <c r="G78" s="1"/>
      <c r="H78" s="1">
        <f>SUM(OSRRefH22_7x_0)</f>
        <v>60</v>
      </c>
      <c r="I78" s="1"/>
      <c r="J78" s="5">
        <f t="shared" si="40"/>
        <v>1.1213402258379217E-3</v>
      </c>
      <c r="K78" s="1"/>
      <c r="L78" s="1">
        <f t="shared" si="41"/>
        <v>-60</v>
      </c>
      <c r="M78" s="1"/>
      <c r="N78" s="5">
        <f t="shared" si="42"/>
        <v>-1</v>
      </c>
      <c r="O78" s="13"/>
      <c r="P78" s="1">
        <f>SUM(OSRRefP22_7x_0)</f>
        <v>0</v>
      </c>
      <c r="Q78" s="1"/>
      <c r="R78" s="5">
        <f t="shared" si="43"/>
        <v>0</v>
      </c>
      <c r="S78" s="1"/>
      <c r="T78" s="1">
        <f>SUM(OSRRefT22_7x_0)</f>
        <v>60</v>
      </c>
      <c r="U78" s="1"/>
      <c r="V78" s="5">
        <f t="shared" si="44"/>
        <v>1.5527978039091216E-4</v>
      </c>
      <c r="W78" s="1"/>
      <c r="X78" s="1">
        <f t="shared" si="45"/>
        <v>-60</v>
      </c>
      <c r="Y78" s="1"/>
      <c r="Z78" s="5">
        <f t="shared" si="46"/>
        <v>-1</v>
      </c>
    </row>
    <row r="79" spans="1:26" s="24" customFormat="1" hidden="1" outlineLevel="2" x14ac:dyDescent="0.25">
      <c r="A79" s="26"/>
      <c r="B79" s="11" t="str">
        <f>CONCATENATE("          ", "6376", " - ", "TRAINING")</f>
        <v xml:space="preserve">          6376 - TRAINING</v>
      </c>
      <c r="C79" s="11"/>
      <c r="D79" s="6"/>
      <c r="E79" s="2"/>
      <c r="F79" s="7">
        <f t="shared" si="39"/>
        <v>0</v>
      </c>
      <c r="G79" s="2"/>
      <c r="H79" s="6">
        <v>60</v>
      </c>
      <c r="I79" s="2"/>
      <c r="J79" s="7">
        <f t="shared" si="40"/>
        <v>1.1213402258379217E-3</v>
      </c>
      <c r="K79" s="2"/>
      <c r="L79" s="6">
        <f t="shared" si="41"/>
        <v>-60</v>
      </c>
      <c r="M79" s="2"/>
      <c r="N79" s="7">
        <f t="shared" si="42"/>
        <v>-1</v>
      </c>
      <c r="O79" s="11"/>
      <c r="P79" s="6"/>
      <c r="Q79" s="2"/>
      <c r="R79" s="7">
        <f t="shared" si="43"/>
        <v>0</v>
      </c>
      <c r="S79" s="2"/>
      <c r="T79" s="6">
        <v>60</v>
      </c>
      <c r="U79" s="2"/>
      <c r="V79" s="7">
        <f t="shared" si="44"/>
        <v>1.5527978039091216E-4</v>
      </c>
      <c r="W79" s="2"/>
      <c r="X79" s="6">
        <f t="shared" si="45"/>
        <v>-60</v>
      </c>
      <c r="Y79" s="2"/>
      <c r="Z79" s="7">
        <f t="shared" si="46"/>
        <v>-1</v>
      </c>
    </row>
    <row r="80" spans="1:26" s="25" customFormat="1" outlineLevel="1" collapsed="1" x14ac:dyDescent="0.25">
      <c r="A80" s="27"/>
      <c r="B80" s="13" t="str">
        <f>CONCATENATE("     ","Travel                                            ")</f>
        <v xml:space="preserve">     Travel                                            </v>
      </c>
      <c r="C80" s="13"/>
      <c r="D80" s="1">
        <f>SUM(OSRRefD22_8x_0)</f>
        <v>0</v>
      </c>
      <c r="E80" s="1"/>
      <c r="F80" s="5">
        <f t="shared" si="39"/>
        <v>0</v>
      </c>
      <c r="G80" s="1"/>
      <c r="H80" s="1">
        <f>SUM(OSRRefH22_8x_0)</f>
        <v>0</v>
      </c>
      <c r="I80" s="1"/>
      <c r="J80" s="5">
        <f t="shared" si="40"/>
        <v>0</v>
      </c>
      <c r="K80" s="1"/>
      <c r="L80" s="1">
        <f t="shared" si="41"/>
        <v>0</v>
      </c>
      <c r="M80" s="1"/>
      <c r="N80" s="5">
        <f t="shared" si="42"/>
        <v>0</v>
      </c>
      <c r="O80" s="13"/>
      <c r="P80" s="1">
        <f>SUM(OSRRefP22_8x_0)</f>
        <v>0</v>
      </c>
      <c r="Q80" s="1"/>
      <c r="R80" s="5">
        <f t="shared" si="43"/>
        <v>0</v>
      </c>
      <c r="S80" s="1"/>
      <c r="T80" s="1">
        <f>SUM(OSRRefT22_8x_0)</f>
        <v>-323.01</v>
      </c>
      <c r="U80" s="1"/>
      <c r="V80" s="5">
        <f t="shared" si="44"/>
        <v>-8.3594869773447565E-4</v>
      </c>
      <c r="W80" s="1"/>
      <c r="X80" s="1">
        <f t="shared" si="45"/>
        <v>323.01</v>
      </c>
      <c r="Y80" s="1"/>
      <c r="Z80" s="5">
        <f t="shared" si="46"/>
        <v>-1</v>
      </c>
    </row>
    <row r="81" spans="1:26" s="24" customFormat="1" hidden="1" outlineLevel="2" x14ac:dyDescent="0.25">
      <c r="A81" s="26"/>
      <c r="B81" s="11" t="str">
        <f>CONCATENATE("          ", "6292", " - ", "TRAVEL/CONFERENCE")</f>
        <v xml:space="preserve">          6292 - TRAVEL/CONFERENCE</v>
      </c>
      <c r="C81" s="11"/>
      <c r="D81" s="6"/>
      <c r="E81" s="2"/>
      <c r="F81" s="7">
        <f t="shared" si="39"/>
        <v>0</v>
      </c>
      <c r="G81" s="2"/>
      <c r="H81" s="6"/>
      <c r="I81" s="2"/>
      <c r="J81" s="7">
        <f t="shared" si="40"/>
        <v>0</v>
      </c>
      <c r="K81" s="2"/>
      <c r="L81" s="6">
        <f t="shared" si="41"/>
        <v>0</v>
      </c>
      <c r="M81" s="2"/>
      <c r="N81" s="7">
        <f t="shared" si="42"/>
        <v>0</v>
      </c>
      <c r="O81" s="11"/>
      <c r="P81" s="6"/>
      <c r="Q81" s="2"/>
      <c r="R81" s="7">
        <f t="shared" si="43"/>
        <v>0</v>
      </c>
      <c r="S81" s="2"/>
      <c r="T81" s="6">
        <v>-323.01</v>
      </c>
      <c r="U81" s="2"/>
      <c r="V81" s="7">
        <f t="shared" si="44"/>
        <v>-8.3594869773447565E-4</v>
      </c>
      <c r="W81" s="2"/>
      <c r="X81" s="6">
        <f t="shared" si="45"/>
        <v>323.01</v>
      </c>
      <c r="Y81" s="2"/>
      <c r="Z81" s="7">
        <f t="shared" si="46"/>
        <v>-1</v>
      </c>
    </row>
    <row r="82" spans="1:26" s="52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8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9" t="s">
        <v>3</v>
      </c>
      <c r="C85" s="29"/>
      <c r="D85" s="22">
        <f>+D51-D53+D83</f>
        <v>0</v>
      </c>
      <c r="E85" s="14"/>
      <c r="F85" s="20">
        <f>IF(D$12=0,0,D85/D$12)</f>
        <v>0</v>
      </c>
      <c r="G85" s="14"/>
      <c r="H85" s="22">
        <f>+H51-H53+H83</f>
        <v>15495.249999999993</v>
      </c>
      <c r="I85" s="14"/>
      <c r="J85" s="20">
        <f>IF(H$12=0,0,H85/H$12)</f>
        <v>0.28959078557358409</v>
      </c>
      <c r="K85" s="16"/>
      <c r="L85" s="22">
        <f>+D85-H85</f>
        <v>-15495.249999999993</v>
      </c>
      <c r="M85" s="16"/>
      <c r="N85" s="20">
        <f>IF(H85=0,0,L85/H85)</f>
        <v>-1</v>
      </c>
      <c r="O85" s="28"/>
      <c r="P85" s="22">
        <f>+P51-P53+P83</f>
        <v>0</v>
      </c>
      <c r="Q85" s="14"/>
      <c r="R85" s="20">
        <f>IF(P$12=0,0,P85/P$12)</f>
        <v>0</v>
      </c>
      <c r="S85" s="14"/>
      <c r="T85" s="22">
        <f>+T51-T53+T83</f>
        <v>117380.18000000007</v>
      </c>
      <c r="U85" s="14"/>
      <c r="V85" s="20">
        <f>IF(T$12=0,0,T85/T$12)</f>
        <v>0.30377947621076251</v>
      </c>
      <c r="W85" s="16"/>
      <c r="X85" s="22">
        <f>+P85-T85</f>
        <v>-117380.18000000007</v>
      </c>
      <c r="Y85" s="16"/>
      <c r="Z85" s="20">
        <f>IF(T85=0,0,X85/T85)</f>
        <v>-1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1"/>
      <c r="B87" s="10" t="s">
        <v>13</v>
      </c>
      <c r="C87" s="10"/>
      <c r="D87" s="4"/>
      <c r="E87" s="4"/>
      <c r="F87" s="12">
        <f>IF(D$12=0,0,D87/D$12)</f>
        <v>0</v>
      </c>
      <c r="G87" s="4"/>
      <c r="H87" s="4">
        <v>4665.82</v>
      </c>
      <c r="I87" s="4"/>
      <c r="J87" s="12">
        <f>IF(H$12=0,0,H87/H$12)</f>
        <v>8.7199527541984845E-2</v>
      </c>
      <c r="K87" s="4"/>
      <c r="L87" s="4">
        <f>+D87-H87</f>
        <v>-4665.82</v>
      </c>
      <c r="M87" s="4"/>
      <c r="N87" s="12">
        <f>IF(H87=0,0,L87/H87)</f>
        <v>-1</v>
      </c>
      <c r="O87" s="10"/>
      <c r="P87" s="4"/>
      <c r="Q87" s="4"/>
      <c r="R87" s="12">
        <f>IF(P$12=0,0,P87/P$12)</f>
        <v>0</v>
      </c>
      <c r="S87" s="4"/>
      <c r="T87" s="4">
        <v>39381.729999999996</v>
      </c>
      <c r="U87" s="4"/>
      <c r="V87" s="12">
        <f>IF(T$12=0,0,T87/T$12)</f>
        <v>0.10191977309690328</v>
      </c>
      <c r="W87" s="4"/>
      <c r="X87" s="4">
        <f>+P87-T87</f>
        <v>-39381.729999999996</v>
      </c>
      <c r="Y87" s="4"/>
      <c r="Z87" s="12">
        <f>IF(T87=0,0,X87/T87)</f>
        <v>-1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4</v>
      </c>
      <c r="C89" s="29"/>
      <c r="D89" s="35">
        <f>+D85-D87</f>
        <v>0</v>
      </c>
      <c r="E89" s="14"/>
      <c r="F89" s="36">
        <f>IF(D$12=0,0,D89/D$12)</f>
        <v>0</v>
      </c>
      <c r="G89" s="14"/>
      <c r="H89" s="35">
        <f>+H85-H87</f>
        <v>10829.429999999993</v>
      </c>
      <c r="I89" s="14"/>
      <c r="J89" s="36">
        <f>IF(H$12=0,0,H89/H$12)</f>
        <v>0.20239125803159927</v>
      </c>
      <c r="K89" s="16"/>
      <c r="L89" s="35">
        <f>D89-H89</f>
        <v>-10829.429999999993</v>
      </c>
      <c r="M89" s="16"/>
      <c r="N89" s="36">
        <f>IF(H89=0,0,L89/H89)</f>
        <v>-1</v>
      </c>
      <c r="O89" s="28"/>
      <c r="P89" s="35">
        <f>+P85-P87</f>
        <v>0</v>
      </c>
      <c r="Q89" s="14"/>
      <c r="R89" s="36">
        <f>IF(P$12=0,0,P89/P$12)</f>
        <v>0</v>
      </c>
      <c r="S89" s="14"/>
      <c r="T89" s="35">
        <f>+T85-T87</f>
        <v>77998.45000000007</v>
      </c>
      <c r="U89" s="14"/>
      <c r="V89" s="36">
        <f>IF(T$12=0,0,T89/T$12)</f>
        <v>0.20185970311385923</v>
      </c>
      <c r="W89" s="16"/>
      <c r="X89" s="35">
        <f>P89-T89</f>
        <v>-77998.45000000007</v>
      </c>
      <c r="Y89" s="16"/>
      <c r="Z89" s="36">
        <f>IF(T89=0,0,X89/T89)</f>
        <v>-1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9" t="s">
        <v>5</v>
      </c>
      <c r="C92" s="29"/>
      <c r="D92" s="31">
        <f>SUM(D89:D91)</f>
        <v>0</v>
      </c>
      <c r="E92" s="14"/>
      <c r="F92" s="33">
        <f>IF(D$12=0,0,D92/D$12)</f>
        <v>0</v>
      </c>
      <c r="G92" s="14"/>
      <c r="H92" s="31">
        <f>SUM(H89:H91)</f>
        <v>10829.429999999993</v>
      </c>
      <c r="I92" s="14"/>
      <c r="J92" s="33">
        <f>IF(H$12=0,0,H92/H$12)</f>
        <v>0.20239125803159927</v>
      </c>
      <c r="K92" s="16"/>
      <c r="L92" s="31">
        <f>+D92-H92</f>
        <v>-10829.429999999993</v>
      </c>
      <c r="M92" s="16"/>
      <c r="N92" s="33">
        <f>IF(H92=0,0,L92/H92)</f>
        <v>-1</v>
      </c>
      <c r="O92" s="28"/>
      <c r="P92" s="31">
        <f>SUM(P89:P91)</f>
        <v>0</v>
      </c>
      <c r="Q92" s="14"/>
      <c r="R92" s="33">
        <f>IF(P$12=0,0,P92/P$12)</f>
        <v>0</v>
      </c>
      <c r="S92" s="14"/>
      <c r="T92" s="31">
        <f>SUM(T89:T91)</f>
        <v>77998.45000000007</v>
      </c>
      <c r="U92" s="14"/>
      <c r="V92" s="33">
        <f>IF(T$12=0,0,T92/T$12)</f>
        <v>0.20185970311385923</v>
      </c>
      <c r="W92" s="16"/>
      <c r="X92" s="31">
        <f>+P92-T92</f>
        <v>-77998.45000000007</v>
      </c>
      <c r="Y92" s="16"/>
      <c r="Z92" s="33">
        <f>IF(T92=0,0,X92/T92)</f>
        <v>-1</v>
      </c>
    </row>
    <row r="93" spans="1:26" ht="15.75" thickTop="1" x14ac:dyDescent="0.25">
      <c r="A93" s="9"/>
      <c r="C93" s="9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56">
        <v>44267.668261307874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54" t="s">
        <v>313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8"/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4:24" x14ac:dyDescent="0.25"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301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78083.129999999976</v>
      </c>
      <c r="E12" s="4"/>
      <c r="F12" s="12"/>
      <c r="G12" s="4"/>
      <c r="H12" s="4">
        <f>SUM(OSRRefH13x_0)</f>
        <v>204035.03999999995</v>
      </c>
      <c r="I12" s="4"/>
      <c r="J12" s="12"/>
      <c r="K12" s="4"/>
      <c r="L12" s="4">
        <f t="shared" ref="L12:L41" si="0">+D12-H12</f>
        <v>-125951.90999999997</v>
      </c>
      <c r="M12" s="4"/>
      <c r="N12" s="12">
        <f t="shared" ref="N12:N41" si="1">IF(H12=0,0,L12/H12)</f>
        <v>-0.6173052922674459</v>
      </c>
      <c r="O12" s="10"/>
      <c r="P12" s="4">
        <f>SUM(OSRRefP13x_0)</f>
        <v>2638990.4499999997</v>
      </c>
      <c r="Q12" s="4"/>
      <c r="R12" s="12"/>
      <c r="S12" s="4"/>
      <c r="T12" s="4">
        <f>SUM(OSRRefT13x_0)</f>
        <v>4817356.7399999993</v>
      </c>
      <c r="U12" s="4"/>
      <c r="V12" s="12"/>
      <c r="W12" s="4"/>
      <c r="X12" s="4">
        <f t="shared" ref="X12:X41" si="2">+P12-T12</f>
        <v>-2178366.2899999996</v>
      </c>
      <c r="Y12" s="4"/>
      <c r="Z12" s="12">
        <f t="shared" ref="Z12:Z41" si="3">IF(T12=0,0,X12/T12)</f>
        <v>-0.45219119271619479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-296.28</f>
        <v>-296.27999999999997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-296.27999999999997</v>
      </c>
      <c r="M13" s="2"/>
      <c r="N13" s="19">
        <f t="shared" si="1"/>
        <v>0</v>
      </c>
      <c r="O13" s="11"/>
      <c r="P13" s="2">
        <f>-8057.31</f>
        <v>-8057.31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-8057.31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--34627.67</f>
        <v>34627.67</v>
      </c>
      <c r="E14" s="2"/>
      <c r="F14" s="19"/>
      <c r="G14" s="2"/>
      <c r="H14" s="2">
        <f>--104784.96</f>
        <v>104784.96000000001</v>
      </c>
      <c r="I14" s="2"/>
      <c r="J14" s="19"/>
      <c r="K14" s="2"/>
      <c r="L14" s="2">
        <f t="shared" si="0"/>
        <v>-70157.290000000008</v>
      </c>
      <c r="M14" s="2"/>
      <c r="N14" s="19">
        <f t="shared" si="1"/>
        <v>-0.66953587614100352</v>
      </c>
      <c r="O14" s="11"/>
      <c r="P14" s="2">
        <f>--1224724.01</f>
        <v>1224724.01</v>
      </c>
      <c r="Q14" s="2"/>
      <c r="R14" s="19"/>
      <c r="S14" s="2"/>
      <c r="T14" s="2">
        <f>--2390761.72</f>
        <v>2390761.7200000002</v>
      </c>
      <c r="U14" s="2"/>
      <c r="V14" s="19"/>
      <c r="W14" s="2"/>
      <c r="X14" s="2">
        <f t="shared" si="2"/>
        <v>-1166037.7100000002</v>
      </c>
      <c r="Y14" s="2"/>
      <c r="Z14" s="19">
        <f t="shared" si="3"/>
        <v>-0.48772644310199181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--12732.98</f>
        <v>12732.98</v>
      </c>
      <c r="E15" s="2"/>
      <c r="F15" s="19"/>
      <c r="G15" s="2"/>
      <c r="H15" s="2">
        <f>--46558.78</f>
        <v>46558.78</v>
      </c>
      <c r="I15" s="2"/>
      <c r="J15" s="19"/>
      <c r="K15" s="2"/>
      <c r="L15" s="2">
        <f t="shared" si="0"/>
        <v>-33825.800000000003</v>
      </c>
      <c r="M15" s="2"/>
      <c r="N15" s="19">
        <f t="shared" si="1"/>
        <v>-0.72651817766702653</v>
      </c>
      <c r="O15" s="11"/>
      <c r="P15" s="2">
        <f>--575134.48</f>
        <v>575134.48</v>
      </c>
      <c r="Q15" s="2"/>
      <c r="R15" s="19"/>
      <c r="S15" s="2"/>
      <c r="T15" s="2">
        <f>--1239973.19</f>
        <v>1239973.19</v>
      </c>
      <c r="U15" s="2"/>
      <c r="V15" s="19"/>
      <c r="W15" s="2"/>
      <c r="X15" s="2">
        <f t="shared" si="2"/>
        <v>-664838.71</v>
      </c>
      <c r="Y15" s="2"/>
      <c r="Z15" s="19">
        <f t="shared" si="3"/>
        <v>-0.53617184255411199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--40</f>
        <v>40</v>
      </c>
      <c r="E16" s="2"/>
      <c r="F16" s="19"/>
      <c r="G16" s="2"/>
      <c r="H16" s="2">
        <f>--1344.88</f>
        <v>1344.88</v>
      </c>
      <c r="I16" s="2"/>
      <c r="J16" s="19"/>
      <c r="K16" s="2"/>
      <c r="L16" s="2">
        <f t="shared" si="0"/>
        <v>-1304.8800000000001</v>
      </c>
      <c r="M16" s="2"/>
      <c r="N16" s="19">
        <f t="shared" si="1"/>
        <v>-0.97025756944857533</v>
      </c>
      <c r="O16" s="11"/>
      <c r="P16" s="2">
        <f>--17927.89</f>
        <v>17927.89</v>
      </c>
      <c r="Q16" s="2"/>
      <c r="R16" s="19"/>
      <c r="S16" s="2"/>
      <c r="T16" s="2">
        <f>--33616.89</f>
        <v>33616.89</v>
      </c>
      <c r="U16" s="2"/>
      <c r="V16" s="19"/>
      <c r="W16" s="2"/>
      <c r="X16" s="2">
        <f t="shared" si="2"/>
        <v>-15689</v>
      </c>
      <c r="Y16" s="2"/>
      <c r="Z16" s="19">
        <f t="shared" si="3"/>
        <v>-0.46669992375856306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ref="D17:D18" si="4">0</f>
        <v>0</v>
      </c>
      <c r="E17" s="2"/>
      <c r="F17" s="19"/>
      <c r="G17" s="2"/>
      <c r="H17" s="2">
        <f>--993.89</f>
        <v>993.89</v>
      </c>
      <c r="I17" s="2"/>
      <c r="J17" s="19"/>
      <c r="K17" s="2"/>
      <c r="L17" s="2">
        <f t="shared" si="0"/>
        <v>-993.89</v>
      </c>
      <c r="M17" s="2"/>
      <c r="N17" s="19">
        <f t="shared" si="1"/>
        <v>-1</v>
      </c>
      <c r="O17" s="11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--785.66</f>
        <v>785.66</v>
      </c>
      <c r="I18" s="2"/>
      <c r="J18" s="19"/>
      <c r="K18" s="2"/>
      <c r="L18" s="2">
        <f t="shared" si="0"/>
        <v>-785.66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f>--798.88</f>
        <v>798.88</v>
      </c>
      <c r="U18" s="2"/>
      <c r="V18" s="19"/>
      <c r="W18" s="2"/>
      <c r="X18" s="2">
        <f t="shared" si="2"/>
        <v>-798.88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--242.29</f>
        <v>242.29</v>
      </c>
      <c r="E19" s="2"/>
      <c r="F19" s="19"/>
      <c r="G19" s="2"/>
      <c r="H19" s="2">
        <f>--772.36</f>
        <v>772.36</v>
      </c>
      <c r="I19" s="2"/>
      <c r="J19" s="19"/>
      <c r="K19" s="2"/>
      <c r="L19" s="2">
        <f t="shared" si="0"/>
        <v>-530.07000000000005</v>
      </c>
      <c r="M19" s="2"/>
      <c r="N19" s="19">
        <f t="shared" si="1"/>
        <v>-0.68629913511833862</v>
      </c>
      <c r="O19" s="11"/>
      <c r="P19" s="2">
        <f>--1172.81</f>
        <v>1172.81</v>
      </c>
      <c r="Q19" s="2"/>
      <c r="R19" s="19"/>
      <c r="S19" s="2"/>
      <c r="T19" s="2">
        <f>--2282.25</f>
        <v>2282.25</v>
      </c>
      <c r="U19" s="2"/>
      <c r="V19" s="19"/>
      <c r="W19" s="2"/>
      <c r="X19" s="2">
        <f t="shared" si="2"/>
        <v>-1109.44</v>
      </c>
      <c r="Y19" s="2"/>
      <c r="Z19" s="19">
        <f t="shared" si="3"/>
        <v>-0.48611677073063864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--31.84</f>
        <v>31.84</v>
      </c>
      <c r="E20" s="2"/>
      <c r="F20" s="19"/>
      <c r="G20" s="2"/>
      <c r="H20" s="2">
        <f>--51.77</f>
        <v>51.77</v>
      </c>
      <c r="I20" s="2"/>
      <c r="J20" s="19"/>
      <c r="K20" s="2"/>
      <c r="L20" s="2">
        <f t="shared" si="0"/>
        <v>-19.930000000000003</v>
      </c>
      <c r="M20" s="2"/>
      <c r="N20" s="19">
        <f t="shared" si="1"/>
        <v>-0.38497199150086925</v>
      </c>
      <c r="O20" s="11"/>
      <c r="P20" s="2">
        <f>--411.88</f>
        <v>411.88</v>
      </c>
      <c r="Q20" s="2"/>
      <c r="R20" s="19"/>
      <c r="S20" s="2"/>
      <c r="T20" s="2">
        <f>--1151.94</f>
        <v>1151.94</v>
      </c>
      <c r="U20" s="2"/>
      <c r="V20" s="19"/>
      <c r="W20" s="2"/>
      <c r="X20" s="2">
        <f t="shared" si="2"/>
        <v>-740.06000000000006</v>
      </c>
      <c r="Y20" s="2"/>
      <c r="Z20" s="19">
        <f t="shared" si="3"/>
        <v>-0.64244665520773658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--41.7</f>
        <v>41.7</v>
      </c>
      <c r="E21" s="2"/>
      <c r="F21" s="19"/>
      <c r="G21" s="2"/>
      <c r="H21" s="2">
        <f>--469.81</f>
        <v>469.81</v>
      </c>
      <c r="I21" s="2"/>
      <c r="J21" s="19"/>
      <c r="K21" s="2"/>
      <c r="L21" s="2">
        <f t="shared" si="0"/>
        <v>-428.11</v>
      </c>
      <c r="M21" s="2"/>
      <c r="N21" s="19">
        <f t="shared" si="1"/>
        <v>-0.91124071433132547</v>
      </c>
      <c r="O21" s="11"/>
      <c r="P21" s="2">
        <f>--332.84</f>
        <v>332.84</v>
      </c>
      <c r="Q21" s="2"/>
      <c r="R21" s="19"/>
      <c r="S21" s="2"/>
      <c r="T21" s="2">
        <f>--4097.71</f>
        <v>4097.71</v>
      </c>
      <c r="U21" s="2"/>
      <c r="V21" s="19"/>
      <c r="W21" s="2"/>
      <c r="X21" s="2">
        <f t="shared" si="2"/>
        <v>-3764.87</v>
      </c>
      <c r="Y21" s="2"/>
      <c r="Z21" s="19">
        <f t="shared" si="3"/>
        <v>-0.91877414458319395</v>
      </c>
    </row>
    <row r="22" spans="1:26" s="24" customFormat="1" hidden="1" outlineLevel="1" x14ac:dyDescent="0.25">
      <c r="A22" s="44"/>
      <c r="B22" s="11" t="str">
        <f>CONCATENATE("          ", "4100", " - ", "NON-TAXABLE SALES")</f>
        <v xml:space="preserve">          4100 - NON-TAXABLE SALES</v>
      </c>
      <c r="C22" s="11"/>
      <c r="D22" s="2">
        <f>--5617.7</f>
        <v>5617.7</v>
      </c>
      <c r="E22" s="2"/>
      <c r="F22" s="19"/>
      <c r="G22" s="2"/>
      <c r="H22" s="2">
        <f>--22519.96</f>
        <v>22519.96</v>
      </c>
      <c r="I22" s="2"/>
      <c r="J22" s="19"/>
      <c r="K22" s="2"/>
      <c r="L22" s="2">
        <f t="shared" si="0"/>
        <v>-16902.259999999998</v>
      </c>
      <c r="M22" s="2"/>
      <c r="N22" s="19">
        <f t="shared" si="1"/>
        <v>-0.75054573809189706</v>
      </c>
      <c r="O22" s="11"/>
      <c r="P22" s="2">
        <f>--284173.56</f>
        <v>284173.56</v>
      </c>
      <c r="Q22" s="2"/>
      <c r="R22" s="19"/>
      <c r="S22" s="2"/>
      <c r="T22" s="2">
        <f>--572740.12</f>
        <v>572740.12</v>
      </c>
      <c r="U22" s="2"/>
      <c r="V22" s="19"/>
      <c r="W22" s="2"/>
      <c r="X22" s="2">
        <f t="shared" si="2"/>
        <v>-288566.56</v>
      </c>
      <c r="Y22" s="2"/>
      <c r="Z22" s="19">
        <f t="shared" si="3"/>
        <v>-0.50383507270278183</v>
      </c>
    </row>
    <row r="23" spans="1:26" s="24" customFormat="1" hidden="1" outlineLevel="1" x14ac:dyDescent="0.25">
      <c r="A23" s="44"/>
      <c r="B23" s="11" t="str">
        <f>CONCATENATE("          ", "4101", " - ", "NON-TAXABLE SALES-NEW TEXT")</f>
        <v xml:space="preserve">          4101 - NON-TAXABLE SALES-NEW TEXT</v>
      </c>
      <c r="C23" s="11"/>
      <c r="D23" s="2">
        <f>--6785.91</f>
        <v>6785.91</v>
      </c>
      <c r="E23" s="2"/>
      <c r="F23" s="19"/>
      <c r="G23" s="2"/>
      <c r="H23" s="2">
        <f>--7332.54</f>
        <v>7332.54</v>
      </c>
      <c r="I23" s="2"/>
      <c r="J23" s="19"/>
      <c r="K23" s="2"/>
      <c r="L23" s="2">
        <f t="shared" si="0"/>
        <v>-546.63000000000011</v>
      </c>
      <c r="M23" s="2"/>
      <c r="N23" s="19">
        <f t="shared" si="1"/>
        <v>-7.45485193398195E-2</v>
      </c>
      <c r="O23" s="11"/>
      <c r="P23" s="2">
        <f>--111011.54</f>
        <v>111011.54</v>
      </c>
      <c r="Q23" s="2"/>
      <c r="R23" s="19"/>
      <c r="S23" s="2"/>
      <c r="T23" s="2">
        <f>--139737.77</f>
        <v>139737.76999999999</v>
      </c>
      <c r="U23" s="2"/>
      <c r="V23" s="19"/>
      <c r="W23" s="2"/>
      <c r="X23" s="2">
        <f t="shared" si="2"/>
        <v>-28726.229999999996</v>
      </c>
      <c r="Y23" s="2"/>
      <c r="Z23" s="19">
        <f t="shared" si="3"/>
        <v>-0.20557240894856127</v>
      </c>
    </row>
    <row r="24" spans="1:26" s="24" customFormat="1" hidden="1" outlineLevel="1" x14ac:dyDescent="0.25">
      <c r="A24" s="44"/>
      <c r="B24" s="11" t="str">
        <f>CONCATENATE("          ", "4102", " - ", "NON-TAXABLE SALES-USED TEXT")</f>
        <v xml:space="preserve">          4102 - NON-TAXABLE SALES-USED TEXT</v>
      </c>
      <c r="C24" s="11"/>
      <c r="D24" s="2">
        <f>--3426.05</f>
        <v>3426.05</v>
      </c>
      <c r="E24" s="2"/>
      <c r="F24" s="19"/>
      <c r="G24" s="2"/>
      <c r="H24" s="2">
        <f>--1850.06</f>
        <v>1850.06</v>
      </c>
      <c r="I24" s="2"/>
      <c r="J24" s="19"/>
      <c r="K24" s="2"/>
      <c r="L24" s="2">
        <f t="shared" si="0"/>
        <v>1575.9900000000002</v>
      </c>
      <c r="M24" s="2"/>
      <c r="N24" s="19">
        <f t="shared" si="1"/>
        <v>0.85185885863161215</v>
      </c>
      <c r="O24" s="11"/>
      <c r="P24" s="2">
        <f>--46387.37</f>
        <v>46387.37</v>
      </c>
      <c r="Q24" s="2"/>
      <c r="R24" s="19"/>
      <c r="S24" s="2"/>
      <c r="T24" s="2">
        <f>--68466.86</f>
        <v>68466.86</v>
      </c>
      <c r="U24" s="2"/>
      <c r="V24" s="19"/>
      <c r="W24" s="2"/>
      <c r="X24" s="2">
        <f t="shared" si="2"/>
        <v>-22079.489999999998</v>
      </c>
      <c r="Y24" s="2"/>
      <c r="Z24" s="19">
        <f t="shared" si="3"/>
        <v>-0.32248433767811169</v>
      </c>
    </row>
    <row r="25" spans="1:26" s="24" customFormat="1" hidden="1" outlineLevel="1" x14ac:dyDescent="0.25">
      <c r="A25" s="44"/>
      <c r="B25" s="11" t="str">
        <f>CONCATENATE("          ", "4103", " - ", "NON-TAXABLE SALES-RENTAL TEXT")</f>
        <v xml:space="preserve">          4103 - NON-TAXABLE SALES-RENTAL TEXT</v>
      </c>
      <c r="C25" s="11"/>
      <c r="D25" s="2">
        <f>0</f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--1138.95</f>
        <v>1138.95</v>
      </c>
      <c r="Q25" s="2"/>
      <c r="R25" s="19"/>
      <c r="S25" s="2"/>
      <c r="T25" s="2">
        <f>--664.97</f>
        <v>664.97</v>
      </c>
      <c r="U25" s="2"/>
      <c r="V25" s="19"/>
      <c r="W25" s="2"/>
      <c r="X25" s="2">
        <f t="shared" si="2"/>
        <v>473.98</v>
      </c>
      <c r="Y25" s="2"/>
      <c r="Z25" s="19">
        <f t="shared" si="3"/>
        <v>0.71278403537001667</v>
      </c>
    </row>
    <row r="26" spans="1:26" s="24" customFormat="1" hidden="1" outlineLevel="1" x14ac:dyDescent="0.25">
      <c r="A26" s="44"/>
      <c r="B26" s="11" t="str">
        <f>CONCATENATE("          ", "4104", " - ", "NON-TAXABLE SALES-DIGITAL TEXT")</f>
        <v xml:space="preserve">          4104 - NON-TAXABLE SALES-DIGITAL TEXT</v>
      </c>
      <c r="C26" s="11"/>
      <c r="D26" s="2">
        <f>--17705.92</f>
        <v>17705.919999999998</v>
      </c>
      <c r="E26" s="2"/>
      <c r="F26" s="19"/>
      <c r="G26" s="2"/>
      <c r="H26" s="2">
        <f>--21322.38</f>
        <v>21322.38</v>
      </c>
      <c r="I26" s="2"/>
      <c r="J26" s="19"/>
      <c r="K26" s="2"/>
      <c r="L26" s="2">
        <f t="shared" si="0"/>
        <v>-3616.4600000000028</v>
      </c>
      <c r="M26" s="2"/>
      <c r="N26" s="19">
        <f t="shared" si="1"/>
        <v>-0.16960864593914951</v>
      </c>
      <c r="O26" s="11"/>
      <c r="P26" s="2">
        <f>--475874.05</f>
        <v>475874.05</v>
      </c>
      <c r="Q26" s="2"/>
      <c r="R26" s="19"/>
      <c r="S26" s="2"/>
      <c r="T26" s="2">
        <f>--523390.34</f>
        <v>523390.34</v>
      </c>
      <c r="U26" s="2"/>
      <c r="V26" s="19"/>
      <c r="W26" s="2"/>
      <c r="X26" s="2">
        <f t="shared" si="2"/>
        <v>-47516.290000000037</v>
      </c>
      <c r="Y26" s="2"/>
      <c r="Z26" s="19">
        <f t="shared" si="3"/>
        <v>-9.0785569332441321E-2</v>
      </c>
    </row>
    <row r="27" spans="1:26" s="24" customFormat="1" hidden="1" outlineLevel="1" x14ac:dyDescent="0.25">
      <c r="A27" s="44"/>
      <c r="B27" s="11" t="str">
        <f>CONCATENATE("          ", "4111", " - ", "NON-TAXABLE SALES-NO VALUE TEX")</f>
        <v xml:space="preserve">          4111 - NON-TAXABLE SALES-NO VALUE TEX</v>
      </c>
      <c r="C27" s="11"/>
      <c r="D27" s="2">
        <f>0</f>
        <v>0</v>
      </c>
      <c r="E27" s="2"/>
      <c r="F27" s="19"/>
      <c r="G27" s="2"/>
      <c r="H27" s="2">
        <f>--1651.49</f>
        <v>1651.49</v>
      </c>
      <c r="I27" s="2"/>
      <c r="J27" s="19"/>
      <c r="K27" s="2"/>
      <c r="L27" s="2">
        <f t="shared" si="0"/>
        <v>-1651.49</v>
      </c>
      <c r="M27" s="2"/>
      <c r="N27" s="19">
        <f t="shared" si="1"/>
        <v>-1</v>
      </c>
      <c r="O27" s="11"/>
      <c r="P27" s="2">
        <f>0</f>
        <v>0</v>
      </c>
      <c r="Q27" s="2"/>
      <c r="R27" s="19"/>
      <c r="S27" s="2"/>
      <c r="T27" s="2">
        <f>--14359.99</f>
        <v>14359.99</v>
      </c>
      <c r="U27" s="2"/>
      <c r="V27" s="19"/>
      <c r="W27" s="2"/>
      <c r="X27" s="2">
        <f t="shared" si="2"/>
        <v>-14359.99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"4113", " - ", "NON-TAXABLE SALES-TRADE BOOKS")</f>
        <v xml:space="preserve">          4113 - NON-TAXABLE SALES-TRADE BOOKS</v>
      </c>
      <c r="C28" s="11"/>
      <c r="D28" s="2">
        <f>--3150</f>
        <v>3150</v>
      </c>
      <c r="E28" s="2"/>
      <c r="F28" s="19"/>
      <c r="G28" s="2"/>
      <c r="H28" s="2">
        <f>--2215.2</f>
        <v>2215.1999999999998</v>
      </c>
      <c r="I28" s="2"/>
      <c r="J28" s="19"/>
      <c r="K28" s="2"/>
      <c r="L28" s="2">
        <f t="shared" si="0"/>
        <v>934.80000000000018</v>
      </c>
      <c r="M28" s="2"/>
      <c r="N28" s="19">
        <f t="shared" si="1"/>
        <v>0.42199349945828829</v>
      </c>
      <c r="O28" s="11"/>
      <c r="P28" s="2">
        <f>--10139.25</f>
        <v>10139.25</v>
      </c>
      <c r="Q28" s="2"/>
      <c r="R28" s="19"/>
      <c r="S28" s="2"/>
      <c r="T28" s="2">
        <f>--3361.92</f>
        <v>3361.92</v>
      </c>
      <c r="U28" s="2"/>
      <c r="V28" s="19"/>
      <c r="W28" s="2"/>
      <c r="X28" s="2">
        <f t="shared" si="2"/>
        <v>6777.33</v>
      </c>
      <c r="Y28" s="2"/>
      <c r="Z28" s="19">
        <f t="shared" si="3"/>
        <v>2.0159105511136493</v>
      </c>
    </row>
    <row r="29" spans="1:26" s="24" customFormat="1" hidden="1" outlineLevel="1" x14ac:dyDescent="0.25">
      <c r="A29" s="44"/>
      <c r="B29" s="11" t="str">
        <f>CONCATENATE("          ", "4118", " - ", "NON-TAXABLE SALES-STUDY GUIDES")</f>
        <v xml:space="preserve">          4118 - NON-TAXABLE SALES-STUDY GUIDES</v>
      </c>
      <c r="C29" s="11"/>
      <c r="D29" s="2">
        <f>0</f>
        <v>0</v>
      </c>
      <c r="E29" s="2"/>
      <c r="F29" s="19"/>
      <c r="G29" s="2"/>
      <c r="H29" s="2">
        <f>--19.99</f>
        <v>19.989999999999998</v>
      </c>
      <c r="I29" s="2"/>
      <c r="J29" s="19"/>
      <c r="K29" s="2"/>
      <c r="L29" s="2">
        <f t="shared" si="0"/>
        <v>-19.989999999999998</v>
      </c>
      <c r="M29" s="2"/>
      <c r="N29" s="19">
        <f t="shared" si="1"/>
        <v>-1</v>
      </c>
      <c r="O29" s="11"/>
      <c r="P29" s="2">
        <f>--771.73</f>
        <v>771.73</v>
      </c>
      <c r="Q29" s="2"/>
      <c r="R29" s="19"/>
      <c r="S29" s="2"/>
      <c r="T29" s="2">
        <f>--61.9</f>
        <v>61.9</v>
      </c>
      <c r="U29" s="2"/>
      <c r="V29" s="19"/>
      <c r="W29" s="2"/>
      <c r="X29" s="2">
        <f t="shared" si="2"/>
        <v>709.83</v>
      </c>
      <c r="Y29" s="2"/>
      <c r="Z29" s="19">
        <f t="shared" si="3"/>
        <v>11.467366720516964</v>
      </c>
    </row>
    <row r="30" spans="1:26" s="24" customFormat="1" hidden="1" outlineLevel="1" x14ac:dyDescent="0.25">
      <c r="A30" s="44"/>
      <c r="B30" s="11" t="str">
        <f>CONCATENATE("          ", "4201", " - ", "SALES RETURN TAXABLE-NEW TEXT")</f>
        <v xml:space="preserve">          4201 - SALES RETURN TAXABLE-NEW TEXT</v>
      </c>
      <c r="C30" s="11"/>
      <c r="D30" s="2">
        <f>-2146.49</f>
        <v>-2146.4899999999998</v>
      </c>
      <c r="E30" s="2"/>
      <c r="F30" s="19"/>
      <c r="G30" s="2"/>
      <c r="H30" s="2">
        <f>-4114.56</f>
        <v>-4114.5600000000004</v>
      </c>
      <c r="I30" s="2"/>
      <c r="J30" s="19"/>
      <c r="K30" s="2"/>
      <c r="L30" s="2">
        <f t="shared" si="0"/>
        <v>1968.0700000000006</v>
      </c>
      <c r="M30" s="2"/>
      <c r="N30" s="19">
        <f t="shared" si="1"/>
        <v>-0.478318459324934</v>
      </c>
      <c r="O30" s="11"/>
      <c r="P30" s="2">
        <f>-50664.23</f>
        <v>-50664.23</v>
      </c>
      <c r="Q30" s="2"/>
      <c r="R30" s="19"/>
      <c r="S30" s="2"/>
      <c r="T30" s="2">
        <f>-120740.41</f>
        <v>-120740.41</v>
      </c>
      <c r="U30" s="2"/>
      <c r="V30" s="19"/>
      <c r="W30" s="2"/>
      <c r="X30" s="2">
        <f t="shared" si="2"/>
        <v>70076.179999999993</v>
      </c>
      <c r="Y30" s="2"/>
      <c r="Z30" s="19">
        <f t="shared" si="3"/>
        <v>-0.58038712971075712</v>
      </c>
    </row>
    <row r="31" spans="1:26" s="24" customFormat="1" hidden="1" outlineLevel="1" x14ac:dyDescent="0.25">
      <c r="A31" s="44"/>
      <c r="B31" s="11" t="str">
        <f>CONCATENATE("          ", "4202", " - ", "SALES RETURN TAXABLE-USED TEXT")</f>
        <v xml:space="preserve">          4202 - SALES RETURN TAXABLE-USED TEXT</v>
      </c>
      <c r="C31" s="11"/>
      <c r="D31" s="2">
        <f>-1199.21</f>
        <v>-1199.21</v>
      </c>
      <c r="E31" s="2"/>
      <c r="F31" s="19"/>
      <c r="G31" s="2"/>
      <c r="H31" s="2">
        <f>-2008.16</f>
        <v>-2008.16</v>
      </c>
      <c r="I31" s="2"/>
      <c r="J31" s="19"/>
      <c r="K31" s="2"/>
      <c r="L31" s="2">
        <f t="shared" si="0"/>
        <v>808.95</v>
      </c>
      <c r="M31" s="2"/>
      <c r="N31" s="19">
        <f t="shared" si="1"/>
        <v>-0.40283144769341089</v>
      </c>
      <c r="O31" s="11"/>
      <c r="P31" s="2">
        <f>-19735.51</f>
        <v>-19735.509999999998</v>
      </c>
      <c r="Q31" s="2"/>
      <c r="R31" s="19"/>
      <c r="S31" s="2"/>
      <c r="T31" s="2">
        <f>-45387.31</f>
        <v>-45387.31</v>
      </c>
      <c r="U31" s="2"/>
      <c r="V31" s="19"/>
      <c r="W31" s="2"/>
      <c r="X31" s="2">
        <f t="shared" si="2"/>
        <v>25651.8</v>
      </c>
      <c r="Y31" s="2"/>
      <c r="Z31" s="19">
        <f t="shared" si="3"/>
        <v>-0.56517559643874027</v>
      </c>
    </row>
    <row r="32" spans="1:26" s="24" customFormat="1" hidden="1" outlineLevel="1" x14ac:dyDescent="0.25">
      <c r="A32" s="44"/>
      <c r="B32" s="11" t="str">
        <f>CONCATENATE("          ", "4203", " - ", "SALES RETURN TAXABLE-RENTAL TE")</f>
        <v xml:space="preserve">          4203 - SALES RETURN TAXABLE-RENTAL TE</v>
      </c>
      <c r="C32" s="11"/>
      <c r="D32" s="2">
        <f>0</f>
        <v>0</v>
      </c>
      <c r="E32" s="2"/>
      <c r="F32" s="19"/>
      <c r="G32" s="2"/>
      <c r="H32" s="2">
        <f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0</f>
        <v>0</v>
      </c>
      <c r="Q32" s="2"/>
      <c r="R32" s="19"/>
      <c r="S32" s="2"/>
      <c r="T32" s="2">
        <f>-144.99</f>
        <v>-144.99</v>
      </c>
      <c r="U32" s="2"/>
      <c r="V32" s="19"/>
      <c r="W32" s="2"/>
      <c r="X32" s="2">
        <f t="shared" si="2"/>
        <v>144.99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"4204", " - ", "SALES RETURN TAXABLE-DIGITAL T")</f>
        <v xml:space="preserve">          4204 - SALES RETURN TAXABLE-DIGITAL T</v>
      </c>
      <c r="C33" s="11"/>
      <c r="D33" s="2">
        <f>-132.25</f>
        <v>-132.25</v>
      </c>
      <c r="E33" s="2"/>
      <c r="F33" s="19"/>
      <c r="G33" s="2"/>
      <c r="H33" s="2">
        <f>-993.89</f>
        <v>-993.89</v>
      </c>
      <c r="I33" s="2"/>
      <c r="J33" s="19"/>
      <c r="K33" s="2"/>
      <c r="L33" s="2">
        <f t="shared" si="0"/>
        <v>861.64</v>
      </c>
      <c r="M33" s="2"/>
      <c r="N33" s="19">
        <f t="shared" si="1"/>
        <v>-0.86693698497821692</v>
      </c>
      <c r="O33" s="11"/>
      <c r="P33" s="2">
        <f>-1763.1</f>
        <v>-1763.1</v>
      </c>
      <c r="Q33" s="2"/>
      <c r="R33" s="19"/>
      <c r="S33" s="2"/>
      <c r="T33" s="2">
        <f>-17255.33</f>
        <v>-17255.330000000002</v>
      </c>
      <c r="U33" s="2"/>
      <c r="V33" s="19"/>
      <c r="W33" s="2"/>
      <c r="X33" s="2">
        <f t="shared" si="2"/>
        <v>15492.230000000001</v>
      </c>
      <c r="Y33" s="2"/>
      <c r="Z33" s="19">
        <f t="shared" si="3"/>
        <v>-0.89782287559843832</v>
      </c>
    </row>
    <row r="34" spans="1:26" s="24" customFormat="1" hidden="1" outlineLevel="1" x14ac:dyDescent="0.25">
      <c r="A34" s="44"/>
      <c r="B34" s="11" t="str">
        <f>CONCATENATE("          ", "4213", " - ", "NON-TAXABLE SALES-TRADE BOOKS")</f>
        <v xml:space="preserve">          4213 - NON-TAXABLE SALES-TRADE BOOKS</v>
      </c>
      <c r="C34" s="11"/>
      <c r="D34" s="2">
        <f>-69.93</f>
        <v>-69.930000000000007</v>
      </c>
      <c r="E34" s="2"/>
      <c r="F34" s="19"/>
      <c r="G34" s="2"/>
      <c r="H34" s="2">
        <f>-103.4</f>
        <v>-103.4</v>
      </c>
      <c r="I34" s="2"/>
      <c r="J34" s="19"/>
      <c r="K34" s="2"/>
      <c r="L34" s="2">
        <f t="shared" si="0"/>
        <v>33.47</v>
      </c>
      <c r="M34" s="2"/>
      <c r="N34" s="19">
        <f t="shared" si="1"/>
        <v>-0.3236943907156673</v>
      </c>
      <c r="O34" s="11"/>
      <c r="P34" s="2">
        <f>-69.93</f>
        <v>-69.930000000000007</v>
      </c>
      <c r="Q34" s="2"/>
      <c r="R34" s="19"/>
      <c r="S34" s="2"/>
      <c r="T34" s="2">
        <f>-220.06</f>
        <v>-220.06</v>
      </c>
      <c r="U34" s="2"/>
      <c r="V34" s="19"/>
      <c r="W34" s="2"/>
      <c r="X34" s="2">
        <f t="shared" si="2"/>
        <v>150.13</v>
      </c>
      <c r="Y34" s="2"/>
      <c r="Z34" s="19">
        <f t="shared" si="3"/>
        <v>-0.68222303008270468</v>
      </c>
    </row>
    <row r="35" spans="1:26" s="24" customFormat="1" hidden="1" outlineLevel="1" x14ac:dyDescent="0.25">
      <c r="A35" s="44"/>
      <c r="B35" s="11" t="str">
        <f>CONCATENATE("          ", "4214", " - ", "SALES RETURN TAXABLE-REMAINDER")</f>
        <v xml:space="preserve">          4214 - SALES RETURN TAXABLE-REMAINDER</v>
      </c>
      <c r="C35" s="11"/>
      <c r="D35" s="2">
        <f t="shared" ref="D35:D36" si="5">0</f>
        <v>0</v>
      </c>
      <c r="E35" s="2"/>
      <c r="F35" s="19"/>
      <c r="G35" s="2"/>
      <c r="H35" s="2">
        <f t="shared" ref="H35:H39" si="6"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 t="shared" ref="P35:P36" si="7">0</f>
        <v>0</v>
      </c>
      <c r="Q35" s="2"/>
      <c r="R35" s="19"/>
      <c r="S35" s="2"/>
      <c r="T35" s="2">
        <f>-11.94</f>
        <v>-11.94</v>
      </c>
      <c r="U35" s="2"/>
      <c r="V35" s="19"/>
      <c r="W35" s="2"/>
      <c r="X35" s="2">
        <f t="shared" si="2"/>
        <v>11.94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"4218", " - ", "SALES RETURN TAXABLE-STUDY GUI")</f>
        <v xml:space="preserve">          4218 - SALES RETURN TAXABLE-STUDY GUI</v>
      </c>
      <c r="C36" s="11"/>
      <c r="D36" s="2">
        <f t="shared" si="5"/>
        <v>0</v>
      </c>
      <c r="E36" s="2"/>
      <c r="F36" s="19"/>
      <c r="G36" s="2"/>
      <c r="H36" s="2">
        <f t="shared" si="6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 t="shared" si="7"/>
        <v>0</v>
      </c>
      <c r="Q36" s="2"/>
      <c r="R36" s="19"/>
      <c r="S36" s="2"/>
      <c r="T36" s="2">
        <f>-39.25</f>
        <v>-39.25</v>
      </c>
      <c r="U36" s="2"/>
      <c r="V36" s="19"/>
      <c r="W36" s="2"/>
      <c r="X36" s="2">
        <f t="shared" si="2"/>
        <v>39.25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"4301", " - ", "SALES RETURN NON TAXABLE-NEW T")</f>
        <v xml:space="preserve">          4301 - SALES RETURN NON TAXABLE-NEW T</v>
      </c>
      <c r="C37" s="11"/>
      <c r="D37" s="2">
        <f>-231.5</f>
        <v>-231.5</v>
      </c>
      <c r="E37" s="2"/>
      <c r="F37" s="19"/>
      <c r="G37" s="2"/>
      <c r="H37" s="2">
        <f t="shared" si="6"/>
        <v>0</v>
      </c>
      <c r="I37" s="2"/>
      <c r="J37" s="19"/>
      <c r="K37" s="2"/>
      <c r="L37" s="2">
        <f t="shared" si="0"/>
        <v>-231.5</v>
      </c>
      <c r="M37" s="2"/>
      <c r="N37" s="19">
        <f t="shared" si="1"/>
        <v>0</v>
      </c>
      <c r="O37" s="11"/>
      <c r="P37" s="2">
        <f>-3237.29</f>
        <v>-3237.29</v>
      </c>
      <c r="Q37" s="2"/>
      <c r="R37" s="19"/>
      <c r="S37" s="2"/>
      <c r="T37" s="2">
        <f>-15221.62</f>
        <v>-15221.62</v>
      </c>
      <c r="U37" s="2"/>
      <c r="V37" s="19"/>
      <c r="W37" s="2"/>
      <c r="X37" s="2">
        <f t="shared" si="2"/>
        <v>11984.330000000002</v>
      </c>
      <c r="Y37" s="2"/>
      <c r="Z37" s="19">
        <f t="shared" si="3"/>
        <v>-0.78732289992786586</v>
      </c>
    </row>
    <row r="38" spans="1:26" s="24" customFormat="1" hidden="1" outlineLevel="1" x14ac:dyDescent="0.25">
      <c r="A38" s="44"/>
      <c r="B38" s="11" t="str">
        <f>CONCATENATE("          ", "4302", " - ", "SALES RETURN NON TAXABLE-TEXT")</f>
        <v xml:space="preserve">          4302 - SALES RETURN NON TAXABLE-TEXT</v>
      </c>
      <c r="C38" s="11"/>
      <c r="D38" s="2">
        <f>-70.32</f>
        <v>-70.319999999999993</v>
      </c>
      <c r="E38" s="2"/>
      <c r="F38" s="19"/>
      <c r="G38" s="2"/>
      <c r="H38" s="2">
        <f t="shared" si="6"/>
        <v>0</v>
      </c>
      <c r="I38" s="2"/>
      <c r="J38" s="19"/>
      <c r="K38" s="2"/>
      <c r="L38" s="2">
        <f t="shared" si="0"/>
        <v>-70.319999999999993</v>
      </c>
      <c r="M38" s="2"/>
      <c r="N38" s="19">
        <f t="shared" si="1"/>
        <v>0</v>
      </c>
      <c r="O38" s="11"/>
      <c r="P38" s="2">
        <f>-2073.48</f>
        <v>-2073.48</v>
      </c>
      <c r="Q38" s="2"/>
      <c r="R38" s="19"/>
      <c r="S38" s="2"/>
      <c r="T38" s="2">
        <f>-1312.37</f>
        <v>-1312.37</v>
      </c>
      <c r="U38" s="2"/>
      <c r="V38" s="19"/>
      <c r="W38" s="2"/>
      <c r="X38" s="2">
        <f t="shared" si="2"/>
        <v>-761.11000000000013</v>
      </c>
      <c r="Y38" s="2"/>
      <c r="Z38" s="19">
        <f t="shared" si="3"/>
        <v>0.57995077607686873</v>
      </c>
    </row>
    <row r="39" spans="1:26" s="24" customFormat="1" hidden="1" outlineLevel="1" x14ac:dyDescent="0.25">
      <c r="A39" s="44"/>
      <c r="B39" s="11" t="str">
        <f>CONCATENATE("          ", "4303", " - ", "SALES RETURN NON-TAXABLE-RENTA")</f>
        <v xml:space="preserve">          4303 - SALES RETURN NON-TAXABLE-RENTA</v>
      </c>
      <c r="C39" s="11"/>
      <c r="D39" s="2">
        <f>0</f>
        <v>0</v>
      </c>
      <c r="E39" s="2"/>
      <c r="F39" s="19"/>
      <c r="G39" s="2"/>
      <c r="H39" s="2">
        <f t="shared" si="6"/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0</f>
        <v>0</v>
      </c>
      <c r="Q39" s="2"/>
      <c r="R39" s="19"/>
      <c r="S39" s="2"/>
      <c r="T39" s="2">
        <f>-184.99</f>
        <v>-184.99</v>
      </c>
      <c r="U39" s="2"/>
      <c r="V39" s="19"/>
      <c r="W39" s="2"/>
      <c r="X39" s="2">
        <f t="shared" si="2"/>
        <v>184.99</v>
      </c>
      <c r="Y39" s="2"/>
      <c r="Z39" s="19">
        <f t="shared" si="3"/>
        <v>-1</v>
      </c>
    </row>
    <row r="40" spans="1:26" s="24" customFormat="1" hidden="1" outlineLevel="1" x14ac:dyDescent="0.25">
      <c r="A40" s="44"/>
      <c r="B40" s="11" t="str">
        <f>CONCATENATE("          ", "4304", " - ", "SALES RETURN NON TAXABLE-DIGIT")</f>
        <v xml:space="preserve">          4304 - SALES RETURN NON TAXABLE-DIGIT</v>
      </c>
      <c r="C40" s="11"/>
      <c r="D40" s="2">
        <f>-2172.95</f>
        <v>-2172.9499999999998</v>
      </c>
      <c r="E40" s="2"/>
      <c r="F40" s="19"/>
      <c r="G40" s="2"/>
      <c r="H40" s="2">
        <f>-1249.23</f>
        <v>-1249.23</v>
      </c>
      <c r="I40" s="2"/>
      <c r="J40" s="19"/>
      <c r="K40" s="2"/>
      <c r="L40" s="2">
        <f t="shared" si="0"/>
        <v>-923.7199999999998</v>
      </c>
      <c r="M40" s="2"/>
      <c r="N40" s="19">
        <f t="shared" si="1"/>
        <v>0.73943148979771522</v>
      </c>
      <c r="O40" s="11"/>
      <c r="P40" s="2">
        <f>-27268.72</f>
        <v>-27268.720000000001</v>
      </c>
      <c r="Q40" s="2"/>
      <c r="R40" s="19"/>
      <c r="S40" s="2"/>
      <c r="T40" s="2">
        <f>-18991.98</f>
        <v>-18991.98</v>
      </c>
      <c r="U40" s="2"/>
      <c r="V40" s="19"/>
      <c r="W40" s="2"/>
      <c r="X40" s="2">
        <f t="shared" si="2"/>
        <v>-8276.7400000000016</v>
      </c>
      <c r="Y40" s="2"/>
      <c r="Z40" s="19">
        <f t="shared" si="3"/>
        <v>0.43580184899099522</v>
      </c>
    </row>
    <row r="41" spans="1:26" s="24" customFormat="1" hidden="1" outlineLevel="1" x14ac:dyDescent="0.25">
      <c r="A41" s="44"/>
      <c r="B41" s="11" t="str">
        <f>CONCATENATE("          ", "4311", " - ", "SALES RETURN NON TAXABLE-NO VA")</f>
        <v xml:space="preserve">          4311 - SALES RETURN NON TAXABLE-NO VA</v>
      </c>
      <c r="C41" s="11"/>
      <c r="D41" s="2">
        <f>0</f>
        <v>0</v>
      </c>
      <c r="E41" s="2"/>
      <c r="F41" s="19"/>
      <c r="G41" s="2"/>
      <c r="H41" s="2">
        <f>-169.45</f>
        <v>-169.45</v>
      </c>
      <c r="I41" s="2"/>
      <c r="J41" s="19"/>
      <c r="K41" s="2"/>
      <c r="L41" s="2">
        <f t="shared" si="0"/>
        <v>169.45</v>
      </c>
      <c r="M41" s="2"/>
      <c r="N41" s="19">
        <f t="shared" si="1"/>
        <v>-1</v>
      </c>
      <c r="O41" s="11"/>
      <c r="P41" s="2">
        <f>0</f>
        <v>0</v>
      </c>
      <c r="Q41" s="2"/>
      <c r="R41" s="19"/>
      <c r="S41" s="2"/>
      <c r="T41" s="2">
        <f>-794.76</f>
        <v>-794.76</v>
      </c>
      <c r="U41" s="2"/>
      <c r="V41" s="19"/>
      <c r="W41" s="2"/>
      <c r="X41" s="2">
        <f t="shared" si="2"/>
        <v>794.76</v>
      </c>
      <c r="Y41" s="2"/>
      <c r="Z41" s="19">
        <f t="shared" si="3"/>
        <v>-1</v>
      </c>
    </row>
    <row r="42" spans="1:26" x14ac:dyDescent="0.25">
      <c r="A42" s="9"/>
      <c r="B42" s="10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collapsed="1" x14ac:dyDescent="0.25">
      <c r="A43" s="10"/>
      <c r="B43" s="28" t="s">
        <v>8</v>
      </c>
      <c r="C43" s="10"/>
      <c r="D43" s="4">
        <f>SUM(OSRRefD16x_0)</f>
        <v>53931.379999999983</v>
      </c>
      <c r="E43" s="4"/>
      <c r="F43" s="12">
        <f t="shared" ref="F43:F59" si="8">IF(D$12=0,0,D43/D$12)</f>
        <v>0.69069183061693351</v>
      </c>
      <c r="G43" s="4"/>
      <c r="H43" s="4">
        <f>SUM(OSRRefH16x_0)</f>
        <v>292924.21000000002</v>
      </c>
      <c r="I43" s="4"/>
      <c r="J43" s="12">
        <f t="shared" ref="J43:J59" si="9">IF(H$12=0,0,H43/H$12)</f>
        <v>1.4356563950976269</v>
      </c>
      <c r="K43" s="4"/>
      <c r="L43" s="4">
        <f t="shared" ref="L43:L59" si="10">+D43-H43</f>
        <v>-238992.83000000005</v>
      </c>
      <c r="M43" s="4"/>
      <c r="N43" s="12">
        <f t="shared" ref="N43:N59" si="11">IF(H43=0,0,L43/H43)</f>
        <v>-0.81588623214175449</v>
      </c>
      <c r="O43" s="10"/>
      <c r="P43" s="4">
        <f>SUM(OSRRefP16x_0)</f>
        <v>1863507.3499999999</v>
      </c>
      <c r="Q43" s="4"/>
      <c r="R43" s="12">
        <f t="shared" ref="R43:R59" si="12">IF(P$12=0,0,P43/P$12)</f>
        <v>0.70614402943367982</v>
      </c>
      <c r="S43" s="4"/>
      <c r="T43" s="4">
        <f>SUM(OSRRefT16x_0)</f>
        <v>3451580.1900000009</v>
      </c>
      <c r="U43" s="4"/>
      <c r="V43" s="12">
        <f t="shared" ref="V43:V59" si="13">IF(T$12=0,0,T43/T$12)</f>
        <v>0.71648839317637947</v>
      </c>
      <c r="W43" s="4"/>
      <c r="X43" s="4">
        <f t="shared" ref="X43:X59" si="14">+P43-T43</f>
        <v>-1588072.840000001</v>
      </c>
      <c r="Y43" s="4"/>
      <c r="Z43" s="12">
        <f t="shared" ref="Z43:Z59" si="15">IF(T43=0,0,X43/T43)</f>
        <v>-0.46010023020789231</v>
      </c>
    </row>
    <row r="44" spans="1:26" s="24" customFormat="1" hidden="1" outlineLevel="1" x14ac:dyDescent="0.25">
      <c r="A44" s="44"/>
      <c r="B44" s="11" t="str">
        <f>CONCATENATE("          ", "5001", " - ", "PURCHASES @ COST-NEW TEXT")</f>
        <v xml:space="preserve">          5001 - PURCHASES @ COST-NEW TEXT</v>
      </c>
      <c r="C44" s="11"/>
      <c r="D44" s="2">
        <v>-332593.57</v>
      </c>
      <c r="E44" s="2"/>
      <c r="F44" s="19">
        <f t="shared" si="8"/>
        <v>-4.2594805049438991</v>
      </c>
      <c r="G44" s="2"/>
      <c r="H44" s="2">
        <v>-110695.19</v>
      </c>
      <c r="I44" s="2"/>
      <c r="J44" s="19">
        <f t="shared" si="9"/>
        <v>-0.54253029283597576</v>
      </c>
      <c r="K44" s="2"/>
      <c r="L44" s="2">
        <f t="shared" si="10"/>
        <v>-221898.38</v>
      </c>
      <c r="M44" s="2"/>
      <c r="N44" s="19">
        <f t="shared" si="11"/>
        <v>2.0045891786264605</v>
      </c>
      <c r="O44" s="11"/>
      <c r="P44" s="2">
        <v>1326415.6399999999</v>
      </c>
      <c r="Q44" s="2"/>
      <c r="R44" s="19">
        <f t="shared" si="12"/>
        <v>0.50262237212718974</v>
      </c>
      <c r="S44" s="2"/>
      <c r="T44" s="2">
        <v>2516599.4700000002</v>
      </c>
      <c r="U44" s="2"/>
      <c r="V44" s="19">
        <f t="shared" si="13"/>
        <v>0.52240255514064349</v>
      </c>
      <c r="W44" s="2"/>
      <c r="X44" s="2">
        <f t="shared" si="14"/>
        <v>-1190183.8300000003</v>
      </c>
      <c r="Y44" s="2"/>
      <c r="Z44" s="19">
        <f t="shared" si="15"/>
        <v>-0.47293335478609166</v>
      </c>
    </row>
    <row r="45" spans="1:26" s="24" customFormat="1" hidden="1" outlineLevel="1" x14ac:dyDescent="0.25">
      <c r="A45" s="44"/>
      <c r="B45" s="11" t="str">
        <f>CONCATENATE("          ", "5002", " - ", "PURCHASES @ COST-USED TEXT")</f>
        <v xml:space="preserve">          5002 - PURCHASES @ COST-USED TEXT</v>
      </c>
      <c r="C45" s="11"/>
      <c r="D45" s="2">
        <v>121987.94000000002</v>
      </c>
      <c r="E45" s="2"/>
      <c r="F45" s="19">
        <f t="shared" si="8"/>
        <v>1.562282915656686</v>
      </c>
      <c r="G45" s="2"/>
      <c r="H45" s="2">
        <v>11947.84</v>
      </c>
      <c r="I45" s="2"/>
      <c r="J45" s="19">
        <f t="shared" si="9"/>
        <v>5.8557784976541301E-2</v>
      </c>
      <c r="K45" s="2"/>
      <c r="L45" s="2">
        <f t="shared" si="10"/>
        <v>110040.10000000002</v>
      </c>
      <c r="M45" s="2"/>
      <c r="N45" s="19">
        <f t="shared" si="11"/>
        <v>9.2100413129067693</v>
      </c>
      <c r="O45" s="11"/>
      <c r="P45" s="2">
        <v>382324.22000000003</v>
      </c>
      <c r="Q45" s="2"/>
      <c r="R45" s="19">
        <f t="shared" si="12"/>
        <v>0.14487518134065247</v>
      </c>
      <c r="S45" s="2"/>
      <c r="T45" s="2">
        <v>524555.37</v>
      </c>
      <c r="U45" s="2"/>
      <c r="V45" s="19">
        <f t="shared" si="13"/>
        <v>0.10888862882926127</v>
      </c>
      <c r="W45" s="2"/>
      <c r="X45" s="2">
        <f t="shared" si="14"/>
        <v>-142231.14999999997</v>
      </c>
      <c r="Y45" s="2"/>
      <c r="Z45" s="19">
        <f t="shared" si="15"/>
        <v>-0.27114611370769109</v>
      </c>
    </row>
    <row r="46" spans="1:26" s="24" customFormat="1" hidden="1" outlineLevel="1" x14ac:dyDescent="0.25">
      <c r="A46" s="44"/>
      <c r="B46" s="11" t="str">
        <f>CONCATENATE("          ", "5003", " - ", "PURCHASES @ COST-RENTAL TEXT")</f>
        <v xml:space="preserve">          5003 - PURCHASES @ COST-RENTAL TEXT</v>
      </c>
      <c r="C46" s="11"/>
      <c r="D46" s="2"/>
      <c r="E46" s="2"/>
      <c r="F46" s="19">
        <f t="shared" si="8"/>
        <v>0</v>
      </c>
      <c r="G46" s="2"/>
      <c r="H46" s="2"/>
      <c r="I46" s="2"/>
      <c r="J46" s="19">
        <f t="shared" si="9"/>
        <v>0</v>
      </c>
      <c r="K46" s="2"/>
      <c r="L46" s="2">
        <f t="shared" si="10"/>
        <v>0</v>
      </c>
      <c r="M46" s="2"/>
      <c r="N46" s="19">
        <f t="shared" si="11"/>
        <v>0</v>
      </c>
      <c r="O46" s="11"/>
      <c r="P46" s="2">
        <v>32.520000000000003</v>
      </c>
      <c r="Q46" s="2"/>
      <c r="R46" s="19">
        <f t="shared" si="12"/>
        <v>1.2322894158256619E-5</v>
      </c>
      <c r="S46" s="2"/>
      <c r="T46" s="2">
        <v>-78.400000000000006</v>
      </c>
      <c r="U46" s="2"/>
      <c r="V46" s="19">
        <f t="shared" si="13"/>
        <v>-1.6274484999007986E-5</v>
      </c>
      <c r="W46" s="2"/>
      <c r="X46" s="2">
        <f t="shared" si="14"/>
        <v>110.92000000000002</v>
      </c>
      <c r="Y46" s="2"/>
      <c r="Z46" s="19">
        <f t="shared" si="15"/>
        <v>-1.4147959183673471</v>
      </c>
    </row>
    <row r="47" spans="1:26" s="24" customFormat="1" hidden="1" outlineLevel="1" x14ac:dyDescent="0.25">
      <c r="A47" s="44"/>
      <c r="B47" s="11" t="str">
        <f>CONCATENATE("          ", "5004", " - ", "PURCHASES @ COST-DIGITAL TEXT")</f>
        <v xml:space="preserve">          5004 - PURCHASES @ COST-DIGITAL TEXT</v>
      </c>
      <c r="C47" s="11"/>
      <c r="D47" s="2">
        <v>3282.02</v>
      </c>
      <c r="E47" s="2"/>
      <c r="F47" s="19">
        <f t="shared" si="8"/>
        <v>4.2032382667037051E-2</v>
      </c>
      <c r="G47" s="2"/>
      <c r="H47" s="2">
        <v>61264.060000000005</v>
      </c>
      <c r="I47" s="2"/>
      <c r="J47" s="19">
        <f t="shared" si="9"/>
        <v>0.30026244511727013</v>
      </c>
      <c r="K47" s="2"/>
      <c r="L47" s="2">
        <f t="shared" si="10"/>
        <v>-57982.040000000008</v>
      </c>
      <c r="M47" s="2"/>
      <c r="N47" s="19">
        <f t="shared" si="11"/>
        <v>-0.94642829743898793</v>
      </c>
      <c r="O47" s="11"/>
      <c r="P47" s="2">
        <v>220008.58000000002</v>
      </c>
      <c r="Q47" s="2"/>
      <c r="R47" s="19">
        <f t="shared" si="12"/>
        <v>8.3368463876025034E-2</v>
      </c>
      <c r="S47" s="2"/>
      <c r="T47" s="2">
        <v>535157.82999999996</v>
      </c>
      <c r="U47" s="2"/>
      <c r="V47" s="19">
        <f t="shared" si="13"/>
        <v>0.11108951628107991</v>
      </c>
      <c r="W47" s="2"/>
      <c r="X47" s="2">
        <f t="shared" si="14"/>
        <v>-315149.24999999994</v>
      </c>
      <c r="Y47" s="2"/>
      <c r="Z47" s="19">
        <f t="shared" si="15"/>
        <v>-0.58889029055222819</v>
      </c>
    </row>
    <row r="48" spans="1:26" s="24" customFormat="1" hidden="1" outlineLevel="1" x14ac:dyDescent="0.25">
      <c r="A48" s="44"/>
      <c r="B48" s="11" t="str">
        <f>CONCATENATE("          ", "5011", " - ", "PURCHASES @ COST-NO VALUE TEXT")</f>
        <v xml:space="preserve">          5011 - PURCHASES @ COST-NO VALUE TEXT</v>
      </c>
      <c r="C48" s="11"/>
      <c r="D48" s="2"/>
      <c r="E48" s="2"/>
      <c r="F48" s="19">
        <f t="shared" si="8"/>
        <v>0</v>
      </c>
      <c r="G48" s="2"/>
      <c r="H48" s="2">
        <v>258</v>
      </c>
      <c r="I48" s="2"/>
      <c r="J48" s="19">
        <f t="shared" si="9"/>
        <v>1.2644886878253857E-3</v>
      </c>
      <c r="K48" s="2"/>
      <c r="L48" s="2">
        <f t="shared" si="10"/>
        <v>-258</v>
      </c>
      <c r="M48" s="2"/>
      <c r="N48" s="19">
        <f t="shared" si="11"/>
        <v>-1</v>
      </c>
      <c r="O48" s="11"/>
      <c r="P48" s="2">
        <v>67.17</v>
      </c>
      <c r="Q48" s="2"/>
      <c r="R48" s="19">
        <f t="shared" si="12"/>
        <v>2.5452915147911962E-5</v>
      </c>
      <c r="S48" s="2"/>
      <c r="T48" s="2">
        <v>5733</v>
      </c>
      <c r="U48" s="2"/>
      <c r="V48" s="19">
        <f t="shared" si="13"/>
        <v>1.1900717155524589E-3</v>
      </c>
      <c r="W48" s="2"/>
      <c r="X48" s="2">
        <f t="shared" si="14"/>
        <v>-5665.83</v>
      </c>
      <c r="Y48" s="2"/>
      <c r="Z48" s="19">
        <f t="shared" si="15"/>
        <v>-0.98828362114076396</v>
      </c>
    </row>
    <row r="49" spans="1:26" s="24" customFormat="1" hidden="1" outlineLevel="1" x14ac:dyDescent="0.25">
      <c r="A49" s="44"/>
      <c r="B49" s="11" t="str">
        <f>CONCATENATE("          ", "5013", " - ", "PURCHASES @ COST-TRADE BOOKS")</f>
        <v xml:space="preserve">          5013 - PURCHASES @ COST-TRADE BOOKS</v>
      </c>
      <c r="C49" s="11"/>
      <c r="D49" s="2">
        <v>305.11</v>
      </c>
      <c r="E49" s="2"/>
      <c r="F49" s="19">
        <f t="shared" si="8"/>
        <v>3.9075021710835633E-3</v>
      </c>
      <c r="G49" s="2"/>
      <c r="H49" s="2">
        <v>2592.2600000000002</v>
      </c>
      <c r="I49" s="2"/>
      <c r="J49" s="19">
        <f t="shared" si="9"/>
        <v>1.2704974596520289E-2</v>
      </c>
      <c r="K49" s="2"/>
      <c r="L49" s="2">
        <f t="shared" si="10"/>
        <v>-2287.15</v>
      </c>
      <c r="M49" s="2"/>
      <c r="N49" s="19">
        <f t="shared" si="11"/>
        <v>-0.88229961500775378</v>
      </c>
      <c r="O49" s="11"/>
      <c r="P49" s="2">
        <v>5962.09</v>
      </c>
      <c r="Q49" s="2"/>
      <c r="R49" s="19">
        <f t="shared" si="12"/>
        <v>2.2592313662976693E-3</v>
      </c>
      <c r="S49" s="2"/>
      <c r="T49" s="2">
        <v>3050.72</v>
      </c>
      <c r="U49" s="2"/>
      <c r="V49" s="19">
        <f t="shared" si="13"/>
        <v>6.3327674586956175E-4</v>
      </c>
      <c r="W49" s="2"/>
      <c r="X49" s="2">
        <f t="shared" si="14"/>
        <v>2911.3700000000003</v>
      </c>
      <c r="Y49" s="2"/>
      <c r="Z49" s="19">
        <f t="shared" si="15"/>
        <v>0.95432225835212692</v>
      </c>
    </row>
    <row r="50" spans="1:26" s="24" customFormat="1" hidden="1" outlineLevel="1" x14ac:dyDescent="0.25">
      <c r="A50" s="44"/>
      <c r="B50" s="11" t="str">
        <f>CONCATENATE("          ", "5014", " - ", "PURCHASES @ COST-REMAINDERS")</f>
        <v xml:space="preserve">          5014 - PURCHASES @ COST-REMAINDERS</v>
      </c>
      <c r="C50" s="11"/>
      <c r="D50" s="2">
        <v>21.16</v>
      </c>
      <c r="E50" s="2"/>
      <c r="F50" s="19">
        <f t="shared" si="8"/>
        <v>2.7099323503040933E-4</v>
      </c>
      <c r="G50" s="2"/>
      <c r="H50" s="2">
        <v>17.78</v>
      </c>
      <c r="I50" s="2"/>
      <c r="J50" s="19">
        <f t="shared" si="9"/>
        <v>8.7141894843160303E-5</v>
      </c>
      <c r="K50" s="2"/>
      <c r="L50" s="2">
        <f t="shared" si="10"/>
        <v>3.379999999999999</v>
      </c>
      <c r="M50" s="2"/>
      <c r="N50" s="19">
        <f t="shared" si="11"/>
        <v>0.19010123734533177</v>
      </c>
      <c r="O50" s="11"/>
      <c r="P50" s="2">
        <v>111.57</v>
      </c>
      <c r="Q50" s="2"/>
      <c r="R50" s="19">
        <f t="shared" si="12"/>
        <v>4.2277530788336124E-5</v>
      </c>
      <c r="S50" s="2"/>
      <c r="T50" s="2">
        <v>586.71</v>
      </c>
      <c r="U50" s="2"/>
      <c r="V50" s="19">
        <f t="shared" si="13"/>
        <v>1.2179085578785684E-4</v>
      </c>
      <c r="W50" s="2"/>
      <c r="X50" s="2">
        <f t="shared" si="14"/>
        <v>-475.14000000000004</v>
      </c>
      <c r="Y50" s="2"/>
      <c r="Z50" s="19">
        <f t="shared" si="15"/>
        <v>-0.8098379096998517</v>
      </c>
    </row>
    <row r="51" spans="1:26" s="24" customFormat="1" hidden="1" outlineLevel="1" x14ac:dyDescent="0.25">
      <c r="A51" s="44"/>
      <c r="B51" s="11" t="str">
        <f>CONCATENATE("          ", "5018", " - ", "PURCHASES @ COST-STUDY GUIDES")</f>
        <v xml:space="preserve">          5018 - PURCHASES @ COST-STUDY GUIDES</v>
      </c>
      <c r="C51" s="11"/>
      <c r="D51" s="2"/>
      <c r="E51" s="2"/>
      <c r="F51" s="19">
        <f t="shared" si="8"/>
        <v>0</v>
      </c>
      <c r="G51" s="2"/>
      <c r="H51" s="2">
        <v>237.28</v>
      </c>
      <c r="I51" s="2"/>
      <c r="J51" s="19">
        <f t="shared" si="9"/>
        <v>1.1629375032837499E-3</v>
      </c>
      <c r="K51" s="2"/>
      <c r="L51" s="2">
        <f t="shared" si="10"/>
        <v>-237.28</v>
      </c>
      <c r="M51" s="2"/>
      <c r="N51" s="19">
        <f t="shared" si="11"/>
        <v>-1</v>
      </c>
      <c r="O51" s="11"/>
      <c r="P51" s="2">
        <v>522.34</v>
      </c>
      <c r="Q51" s="2"/>
      <c r="R51" s="19">
        <f t="shared" si="12"/>
        <v>1.9793175075718826E-4</v>
      </c>
      <c r="S51" s="2"/>
      <c r="T51" s="2">
        <v>2268.4299999999998</v>
      </c>
      <c r="U51" s="2"/>
      <c r="V51" s="19">
        <f t="shared" si="13"/>
        <v>4.7088686232525103E-4</v>
      </c>
      <c r="W51" s="2"/>
      <c r="X51" s="2">
        <f t="shared" si="14"/>
        <v>-1746.0899999999997</v>
      </c>
      <c r="Y51" s="2"/>
      <c r="Z51" s="19">
        <f t="shared" si="15"/>
        <v>-0.76973501496629815</v>
      </c>
    </row>
    <row r="52" spans="1:26" s="24" customFormat="1" hidden="1" outlineLevel="1" x14ac:dyDescent="0.25">
      <c r="A52" s="44"/>
      <c r="B52" s="11" t="str">
        <f>CONCATENATE("          ", "5200", " - ", "PURCHASES OFFSET")</f>
        <v xml:space="preserve">          5200 - PURCHASES OFFSET</v>
      </c>
      <c r="C52" s="11"/>
      <c r="D52" s="2">
        <v>212842.2</v>
      </c>
      <c r="E52" s="2"/>
      <c r="F52" s="19">
        <f t="shared" si="8"/>
        <v>2.7258410363416536</v>
      </c>
      <c r="G52" s="2"/>
      <c r="H52" s="2">
        <v>52958</v>
      </c>
      <c r="I52" s="2"/>
      <c r="J52" s="19">
        <f t="shared" si="9"/>
        <v>0.25955345709246808</v>
      </c>
      <c r="K52" s="2"/>
      <c r="L52" s="2">
        <f t="shared" si="10"/>
        <v>159884.20000000001</v>
      </c>
      <c r="M52" s="2"/>
      <c r="N52" s="19">
        <f t="shared" si="11"/>
        <v>3.0190754937875299</v>
      </c>
      <c r="O52" s="11"/>
      <c r="P52" s="2">
        <v>-1459800.9000000001</v>
      </c>
      <c r="Q52" s="2"/>
      <c r="R52" s="19">
        <f t="shared" si="12"/>
        <v>-0.5531664201361548</v>
      </c>
      <c r="S52" s="2"/>
      <c r="T52" s="2">
        <v>-2521582</v>
      </c>
      <c r="U52" s="2"/>
      <c r="V52" s="19">
        <f t="shared" si="13"/>
        <v>-0.52343684225470088</v>
      </c>
      <c r="W52" s="2"/>
      <c r="X52" s="2">
        <f t="shared" si="14"/>
        <v>1061781.0999999999</v>
      </c>
      <c r="Y52" s="2"/>
      <c r="Z52" s="19">
        <f t="shared" si="15"/>
        <v>-0.42107736333777757</v>
      </c>
    </row>
    <row r="53" spans="1:26" s="24" customFormat="1" hidden="1" outlineLevel="1" x14ac:dyDescent="0.25">
      <c r="A53" s="44"/>
      <c r="B53" s="11" t="str">
        <f>CONCATENATE("          ", "5300", " - ", "COG$ OFFSET")</f>
        <v xml:space="preserve">          5300 - COG$ OFFSET</v>
      </c>
      <c r="C53" s="11"/>
      <c r="D53" s="2">
        <v>41957</v>
      </c>
      <c r="E53" s="2"/>
      <c r="F53" s="19">
        <f t="shared" si="8"/>
        <v>0.53733757855249931</v>
      </c>
      <c r="G53" s="2"/>
      <c r="H53" s="2">
        <v>247383</v>
      </c>
      <c r="I53" s="2"/>
      <c r="J53" s="19">
        <f t="shared" si="9"/>
        <v>1.2124535079856875</v>
      </c>
      <c r="K53" s="2"/>
      <c r="L53" s="2">
        <f t="shared" si="10"/>
        <v>-205426</v>
      </c>
      <c r="M53" s="2"/>
      <c r="N53" s="19">
        <f t="shared" si="11"/>
        <v>-0.83039659152003165</v>
      </c>
      <c r="O53" s="11"/>
      <c r="P53" s="2">
        <v>1321408</v>
      </c>
      <c r="Q53" s="2"/>
      <c r="R53" s="19">
        <f t="shared" si="12"/>
        <v>0.5007248131572436</v>
      </c>
      <c r="S53" s="2"/>
      <c r="T53" s="2">
        <v>2304316.4700000002</v>
      </c>
      <c r="U53" s="2"/>
      <c r="V53" s="19">
        <f t="shared" si="13"/>
        <v>0.47833627326507699</v>
      </c>
      <c r="W53" s="2"/>
      <c r="X53" s="2">
        <f t="shared" si="14"/>
        <v>-982908.4700000002</v>
      </c>
      <c r="Y53" s="2"/>
      <c r="Z53" s="19">
        <f t="shared" si="15"/>
        <v>-0.42655098932656593</v>
      </c>
    </row>
    <row r="54" spans="1:26" s="24" customFormat="1" hidden="1" outlineLevel="1" x14ac:dyDescent="0.25">
      <c r="A54" s="44"/>
      <c r="B54" s="11" t="str">
        <f>CONCATENATE("          ", "5500", " - ", "FREIGHT-IN")</f>
        <v xml:space="preserve">          5500 - FREIGHT-IN</v>
      </c>
      <c r="C54" s="11"/>
      <c r="D54" s="2"/>
      <c r="E54" s="2"/>
      <c r="F54" s="19">
        <f t="shared" si="8"/>
        <v>0</v>
      </c>
      <c r="G54" s="2"/>
      <c r="H54" s="2">
        <v>33.950000000000003</v>
      </c>
      <c r="I54" s="2"/>
      <c r="J54" s="19">
        <f t="shared" si="9"/>
        <v>1.6639298818477458E-4</v>
      </c>
      <c r="K54" s="2"/>
      <c r="L54" s="2">
        <f t="shared" si="10"/>
        <v>-33.950000000000003</v>
      </c>
      <c r="M54" s="2"/>
      <c r="N54" s="19">
        <f t="shared" si="11"/>
        <v>-1</v>
      </c>
      <c r="O54" s="11"/>
      <c r="P54" s="2"/>
      <c r="Q54" s="2"/>
      <c r="R54" s="19">
        <f t="shared" si="12"/>
        <v>0</v>
      </c>
      <c r="S54" s="2"/>
      <c r="T54" s="2">
        <v>41.25</v>
      </c>
      <c r="U54" s="2"/>
      <c r="V54" s="19">
        <f t="shared" si="13"/>
        <v>8.5627870689933593E-6</v>
      </c>
      <c r="W54" s="2"/>
      <c r="X54" s="2">
        <f t="shared" si="14"/>
        <v>-41.25</v>
      </c>
      <c r="Y54" s="2"/>
      <c r="Z54" s="19">
        <f t="shared" si="15"/>
        <v>-1</v>
      </c>
    </row>
    <row r="55" spans="1:26" s="24" customFormat="1" hidden="1" outlineLevel="1" x14ac:dyDescent="0.25">
      <c r="A55" s="44"/>
      <c r="B55" s="11" t="str">
        <f>CONCATENATE("          ", "5501", " - ", "FREIGHT-IN-NEW TEXT")</f>
        <v xml:space="preserve">          5501 - FREIGHT-IN-NEW TEXT</v>
      </c>
      <c r="C55" s="11"/>
      <c r="D55" s="2">
        <v>4638.13</v>
      </c>
      <c r="E55" s="2"/>
      <c r="F55" s="19">
        <f t="shared" si="8"/>
        <v>5.9399898544026108E-2</v>
      </c>
      <c r="G55" s="2"/>
      <c r="H55" s="2">
        <v>23947.37</v>
      </c>
      <c r="I55" s="2"/>
      <c r="J55" s="19">
        <f t="shared" si="9"/>
        <v>0.11736890879135273</v>
      </c>
      <c r="K55" s="2"/>
      <c r="L55" s="2">
        <f t="shared" si="10"/>
        <v>-19309.239999999998</v>
      </c>
      <c r="M55" s="2"/>
      <c r="N55" s="19">
        <f t="shared" si="11"/>
        <v>-0.80631985892396529</v>
      </c>
      <c r="O55" s="11"/>
      <c r="P55" s="2">
        <v>49256.92</v>
      </c>
      <c r="Q55" s="2"/>
      <c r="R55" s="19">
        <f t="shared" si="12"/>
        <v>1.8665061861061302E-2</v>
      </c>
      <c r="S55" s="2"/>
      <c r="T55" s="2">
        <v>66024.739999999991</v>
      </c>
      <c r="U55" s="2"/>
      <c r="V55" s="19">
        <f t="shared" si="13"/>
        <v>1.3705594906803601E-2</v>
      </c>
      <c r="W55" s="2"/>
      <c r="X55" s="2">
        <f t="shared" si="14"/>
        <v>-16767.819999999992</v>
      </c>
      <c r="Y55" s="2"/>
      <c r="Z55" s="19">
        <f t="shared" si="15"/>
        <v>-0.25396268126159977</v>
      </c>
    </row>
    <row r="56" spans="1:26" s="24" customFormat="1" hidden="1" outlineLevel="1" x14ac:dyDescent="0.25">
      <c r="A56" s="44"/>
      <c r="B56" s="11" t="str">
        <f>CONCATENATE("          ", "5502", " - ", "FREIGHT-IN-USED TEXT")</f>
        <v xml:space="preserve">          5502 - FREIGHT-IN-USED TEXT</v>
      </c>
      <c r="C56" s="11"/>
      <c r="D56" s="2">
        <v>1484.45</v>
      </c>
      <c r="E56" s="2"/>
      <c r="F56" s="19">
        <f t="shared" si="8"/>
        <v>1.901114875902132E-2</v>
      </c>
      <c r="G56" s="2"/>
      <c r="H56" s="2">
        <v>2979.86</v>
      </c>
      <c r="I56" s="2"/>
      <c r="J56" s="19">
        <f t="shared" si="9"/>
        <v>1.4604648299625402E-2</v>
      </c>
      <c r="K56" s="2"/>
      <c r="L56" s="2">
        <f t="shared" si="10"/>
        <v>-1495.41</v>
      </c>
      <c r="M56" s="2"/>
      <c r="N56" s="19">
        <f t="shared" si="11"/>
        <v>-0.50183901257106034</v>
      </c>
      <c r="O56" s="11"/>
      <c r="P56" s="2">
        <v>17136.759999999998</v>
      </c>
      <c r="Q56" s="2"/>
      <c r="R56" s="19">
        <f t="shared" si="12"/>
        <v>6.4936801874368281E-3</v>
      </c>
      <c r="S56" s="2"/>
      <c r="T56" s="2">
        <v>14758.089999999998</v>
      </c>
      <c r="U56" s="2"/>
      <c r="V56" s="19">
        <f t="shared" si="13"/>
        <v>3.0635244173343079E-3</v>
      </c>
      <c r="W56" s="2"/>
      <c r="X56" s="2">
        <f t="shared" si="14"/>
        <v>2378.67</v>
      </c>
      <c r="Y56" s="2"/>
      <c r="Z56" s="19">
        <f t="shared" si="15"/>
        <v>0.16117736102707059</v>
      </c>
    </row>
    <row r="57" spans="1:26" s="24" customFormat="1" hidden="1" outlineLevel="1" x14ac:dyDescent="0.25">
      <c r="A57" s="44"/>
      <c r="B57" s="11" t="str">
        <f>CONCATENATE("          ", "5504", " - ", "FREIGHT-IN-DIGITAL TEXT")</f>
        <v xml:space="preserve">          5504 - FREIGHT-IN-DIGITAL TEXT</v>
      </c>
      <c r="C57" s="11"/>
      <c r="D57" s="2">
        <v>6.94</v>
      </c>
      <c r="E57" s="2"/>
      <c r="F57" s="19">
        <f t="shared" si="8"/>
        <v>8.8879633795417814E-5</v>
      </c>
      <c r="G57" s="2"/>
      <c r="H57" s="2"/>
      <c r="I57" s="2"/>
      <c r="J57" s="19">
        <f t="shared" si="9"/>
        <v>0</v>
      </c>
      <c r="K57" s="2"/>
      <c r="L57" s="2">
        <f t="shared" si="10"/>
        <v>6.94</v>
      </c>
      <c r="M57" s="2"/>
      <c r="N57" s="19">
        <f t="shared" si="11"/>
        <v>0</v>
      </c>
      <c r="O57" s="11"/>
      <c r="P57" s="2">
        <v>28.92</v>
      </c>
      <c r="Q57" s="2"/>
      <c r="R57" s="19">
        <f t="shared" si="12"/>
        <v>1.0958736133357363E-5</v>
      </c>
      <c r="S57" s="2"/>
      <c r="T57" s="2">
        <v>105.97</v>
      </c>
      <c r="U57" s="2"/>
      <c r="V57" s="19">
        <f t="shared" si="13"/>
        <v>2.1997540501847909E-5</v>
      </c>
      <c r="W57" s="2"/>
      <c r="X57" s="2">
        <f t="shared" si="14"/>
        <v>-77.05</v>
      </c>
      <c r="Y57" s="2"/>
      <c r="Z57" s="19">
        <f t="shared" si="15"/>
        <v>-0.72709257336982158</v>
      </c>
    </row>
    <row r="58" spans="1:26" s="24" customFormat="1" hidden="1" outlineLevel="1" x14ac:dyDescent="0.25">
      <c r="A58" s="44"/>
      <c r="B58" s="11" t="str">
        <f>CONCATENATE("          ", "5513", " - ", "FREIGHT-IN-TRADE BOOKS")</f>
        <v xml:space="preserve">          5513 - FREIGHT-IN-TRADE BOOKS</v>
      </c>
      <c r="C58" s="11"/>
      <c r="D58" s="2"/>
      <c r="E58" s="2"/>
      <c r="F58" s="19">
        <f t="shared" si="8"/>
        <v>0</v>
      </c>
      <c r="G58" s="2"/>
      <c r="H58" s="2"/>
      <c r="I58" s="2"/>
      <c r="J58" s="19">
        <f t="shared" si="9"/>
        <v>0</v>
      </c>
      <c r="K58" s="2"/>
      <c r="L58" s="2">
        <f t="shared" si="10"/>
        <v>0</v>
      </c>
      <c r="M58" s="2"/>
      <c r="N58" s="19">
        <f t="shared" si="11"/>
        <v>0</v>
      </c>
      <c r="O58" s="11"/>
      <c r="P58" s="2">
        <v>33.520000000000003</v>
      </c>
      <c r="Q58" s="2"/>
      <c r="R58" s="19">
        <f t="shared" si="12"/>
        <v>1.2701826942950857E-5</v>
      </c>
      <c r="S58" s="2"/>
      <c r="T58" s="2">
        <v>21.41</v>
      </c>
      <c r="U58" s="2"/>
      <c r="V58" s="19">
        <f t="shared" si="13"/>
        <v>4.4443459672035839E-6</v>
      </c>
      <c r="W58" s="2"/>
      <c r="X58" s="2">
        <f t="shared" si="14"/>
        <v>12.110000000000003</v>
      </c>
      <c r="Y58" s="2"/>
      <c r="Z58" s="19">
        <f t="shared" si="15"/>
        <v>0.56562354040168161</v>
      </c>
    </row>
    <row r="59" spans="1:26" s="24" customFormat="1" hidden="1" outlineLevel="1" x14ac:dyDescent="0.25">
      <c r="A59" s="44"/>
      <c r="B59" s="11" t="str">
        <f>CONCATENATE("          ", "5518", " - ", "FREIGHT-IN-STUDY GUIDES")</f>
        <v xml:space="preserve">          5518 - FREIGHT-IN-STUDY GUIDES</v>
      </c>
      <c r="C59" s="11"/>
      <c r="D59" s="2"/>
      <c r="E59" s="2"/>
      <c r="F59" s="19">
        <f t="shared" si="8"/>
        <v>0</v>
      </c>
      <c r="G59" s="2"/>
      <c r="H59" s="2"/>
      <c r="I59" s="2"/>
      <c r="J59" s="19">
        <f t="shared" si="9"/>
        <v>0</v>
      </c>
      <c r="K59" s="2"/>
      <c r="L59" s="2">
        <f t="shared" si="10"/>
        <v>0</v>
      </c>
      <c r="M59" s="2"/>
      <c r="N59" s="19">
        <f t="shared" si="11"/>
        <v>0</v>
      </c>
      <c r="O59" s="11"/>
      <c r="P59" s="2"/>
      <c r="Q59" s="2"/>
      <c r="R59" s="19">
        <f t="shared" si="12"/>
        <v>0</v>
      </c>
      <c r="S59" s="2"/>
      <c r="T59" s="2">
        <v>21.13</v>
      </c>
      <c r="U59" s="2"/>
      <c r="V59" s="19">
        <f t="shared" si="13"/>
        <v>4.3862228064928406E-6</v>
      </c>
      <c r="W59" s="2"/>
      <c r="X59" s="2">
        <f t="shared" si="14"/>
        <v>-21.13</v>
      </c>
      <c r="Y59" s="2"/>
      <c r="Z59" s="19">
        <f t="shared" si="15"/>
        <v>-1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9" t="s">
        <v>6</v>
      </c>
      <c r="C61" s="29"/>
      <c r="D61" s="22">
        <f>D12-D43</f>
        <v>24151.749999999993</v>
      </c>
      <c r="E61" s="14"/>
      <c r="F61" s="20">
        <f>IF(D$12=0,0,D61/D$12)</f>
        <v>0.30930816938306649</v>
      </c>
      <c r="G61" s="14"/>
      <c r="H61" s="22">
        <f>H12-H43</f>
        <v>-88889.170000000071</v>
      </c>
      <c r="I61" s="14"/>
      <c r="J61" s="20">
        <f>IF(H$12=0,0,H61/H$12)</f>
        <v>-0.43565639509762683</v>
      </c>
      <c r="K61" s="16"/>
      <c r="L61" s="22">
        <f>+D61-H61</f>
        <v>113040.92000000007</v>
      </c>
      <c r="M61" s="16"/>
      <c r="N61" s="20">
        <f>IF(H61=0,0,L61/H61)</f>
        <v>-1.2717063282287369</v>
      </c>
      <c r="O61" s="28"/>
      <c r="P61" s="22">
        <f>P12-P43</f>
        <v>775483.09999999986</v>
      </c>
      <c r="Q61" s="14"/>
      <c r="R61" s="20">
        <f>IF(P$12=0,0,P61/P$12)</f>
        <v>0.29385597056632012</v>
      </c>
      <c r="S61" s="14"/>
      <c r="T61" s="22">
        <f>T12-T43</f>
        <v>1365776.5499999984</v>
      </c>
      <c r="U61" s="14"/>
      <c r="V61" s="20">
        <f>IF(T$12=0,0,T61/T$12)</f>
        <v>0.28351160682362059</v>
      </c>
      <c r="W61" s="16"/>
      <c r="X61" s="22">
        <f>+P61-T61</f>
        <v>-590293.44999999856</v>
      </c>
      <c r="Y61" s="16"/>
      <c r="Z61" s="20">
        <f>IF(T61=0,0,X61/T61)</f>
        <v>-0.43220353285462343</v>
      </c>
    </row>
    <row r="62" spans="1:26" x14ac:dyDescent="0.25">
      <c r="A62" s="9"/>
      <c r="B62" s="10"/>
      <c r="C62" s="9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8" t="s">
        <v>9</v>
      </c>
      <c r="C63" s="10"/>
      <c r="D63" s="21">
        <f>SUM(OSRRefD22x_0)</f>
        <v>39269.65</v>
      </c>
      <c r="E63" s="21"/>
      <c r="F63" s="32">
        <f t="shared" ref="F63:F73" si="16">IF(D$12=0,0,D63/D$12)</f>
        <v>0.50292105349772753</v>
      </c>
      <c r="G63" s="21"/>
      <c r="H63" s="21">
        <f>SUM(OSRRefH22x_0)</f>
        <v>70554.160000000018</v>
      </c>
      <c r="I63" s="21"/>
      <c r="J63" s="32">
        <f t="shared" ref="J63:J73" si="17">IF(H$12=0,0,H63/H$12)</f>
        <v>0.34579433022876871</v>
      </c>
      <c r="K63" s="4"/>
      <c r="L63" s="21">
        <f t="shared" ref="L63:L73" si="18">+D63-H63</f>
        <v>-31284.510000000017</v>
      </c>
      <c r="M63" s="4"/>
      <c r="N63" s="32">
        <f t="shared" ref="N63:N73" si="19">IF(H63=0,0,L63/H63)</f>
        <v>-0.44341127440253003</v>
      </c>
      <c r="O63" s="10"/>
      <c r="P63" s="21">
        <f>SUM(OSRRefP22x_0)</f>
        <v>362260.23999999993</v>
      </c>
      <c r="Q63" s="21"/>
      <c r="R63" s="32">
        <f t="shared" ref="R63:R73" si="20">IF(P$12=0,0,P63/P$12)</f>
        <v>0.13727228152720294</v>
      </c>
      <c r="S63" s="21"/>
      <c r="T63" s="21">
        <f>SUM(OSRRefT22x_0)</f>
        <v>377142.68000000011</v>
      </c>
      <c r="U63" s="21"/>
      <c r="V63" s="32">
        <f t="shared" ref="V63:V73" si="21">IF(T$12=0,0,T63/T$12)</f>
        <v>7.8288302144715188E-2</v>
      </c>
      <c r="W63" s="4"/>
      <c r="X63" s="21">
        <f t="shared" ref="X63:X73" si="22">+P63-T63</f>
        <v>-14882.440000000177</v>
      </c>
      <c r="Y63" s="4"/>
      <c r="Z63" s="32">
        <f t="shared" ref="Z63:Z73" si="23">IF(T63=0,0,X63/T63)</f>
        <v>-3.9461033686243555E-2</v>
      </c>
    </row>
    <row r="64" spans="1:26" s="25" customFormat="1" outlineLevel="1" collapsed="1" x14ac:dyDescent="0.25">
      <c r="A64" s="27"/>
      <c r="B64" s="13" t="str">
        <f>CONCATENATE("     ","*Benefits                                         ")</f>
        <v xml:space="preserve">     *Benefits                                         </v>
      </c>
      <c r="C64" s="13"/>
      <c r="D64" s="1">
        <f>SUM(OSRRefD22_0x_0)</f>
        <v>11929.13</v>
      </c>
      <c r="E64" s="1"/>
      <c r="F64" s="5">
        <f t="shared" si="16"/>
        <v>0.15277474148385192</v>
      </c>
      <c r="G64" s="1"/>
      <c r="H64" s="1">
        <f>SUM(OSRRefH22_0x_0)</f>
        <v>9906.17</v>
      </c>
      <c r="I64" s="1"/>
      <c r="J64" s="5">
        <f t="shared" si="17"/>
        <v>4.8551317459981397E-2</v>
      </c>
      <c r="K64" s="1"/>
      <c r="L64" s="1">
        <f t="shared" si="18"/>
        <v>2022.9599999999991</v>
      </c>
      <c r="M64" s="1"/>
      <c r="N64" s="5">
        <f t="shared" si="19"/>
        <v>0.20421212234395322</v>
      </c>
      <c r="O64" s="13"/>
      <c r="P64" s="1">
        <f>SUM(OSRRefP22_0x_0)</f>
        <v>93726.34</v>
      </c>
      <c r="Q64" s="1"/>
      <c r="R64" s="5">
        <f t="shared" si="20"/>
        <v>3.551598301539894E-2</v>
      </c>
      <c r="S64" s="1"/>
      <c r="T64" s="1">
        <f>SUM(OSRRefT22_0x_0)</f>
        <v>81665.299999999988</v>
      </c>
      <c r="U64" s="1"/>
      <c r="V64" s="5">
        <f t="shared" si="21"/>
        <v>1.6952304844253654E-2</v>
      </c>
      <c r="W64" s="1"/>
      <c r="X64" s="1">
        <f t="shared" si="22"/>
        <v>12061.040000000008</v>
      </c>
      <c r="Y64" s="1"/>
      <c r="Z64" s="5">
        <f t="shared" si="23"/>
        <v>0.14768867560640822</v>
      </c>
    </row>
    <row r="65" spans="1:26" s="24" customFormat="1" hidden="1" outlineLevel="2" x14ac:dyDescent="0.25">
      <c r="A65" s="26"/>
      <c r="B65" s="11" t="str">
        <f>CONCATENATE("          ", "6111", " - ", "F.I.C.A.")</f>
        <v xml:space="preserve">          6111 - F.I.C.A.</v>
      </c>
      <c r="C65" s="11"/>
      <c r="D65" s="6">
        <v>1875.59</v>
      </c>
      <c r="E65" s="2"/>
      <c r="F65" s="7">
        <f t="shared" si="16"/>
        <v>2.4020425410712924E-2</v>
      </c>
      <c r="G65" s="2"/>
      <c r="H65" s="6">
        <v>1721.42</v>
      </c>
      <c r="I65" s="2"/>
      <c r="J65" s="7">
        <f t="shared" si="17"/>
        <v>8.4368841744045554E-3</v>
      </c>
      <c r="K65" s="2"/>
      <c r="L65" s="6">
        <f t="shared" si="18"/>
        <v>154.16999999999985</v>
      </c>
      <c r="M65" s="2"/>
      <c r="N65" s="7">
        <f t="shared" si="19"/>
        <v>8.9559782040408403E-2</v>
      </c>
      <c r="O65" s="11"/>
      <c r="P65" s="6">
        <v>17001.2</v>
      </c>
      <c r="Q65" s="2"/>
      <c r="R65" s="7">
        <f t="shared" si="20"/>
        <v>6.4423120591436782E-3</v>
      </c>
      <c r="S65" s="2"/>
      <c r="T65" s="6">
        <v>14032.9</v>
      </c>
      <c r="U65" s="2"/>
      <c r="V65" s="7">
        <f t="shared" si="21"/>
        <v>2.9129875069206523E-3</v>
      </c>
      <c r="W65" s="2"/>
      <c r="X65" s="6">
        <f t="shared" si="22"/>
        <v>2968.3000000000011</v>
      </c>
      <c r="Y65" s="2"/>
      <c r="Z65" s="7">
        <f t="shared" si="23"/>
        <v>0.21152434635748857</v>
      </c>
    </row>
    <row r="66" spans="1:26" s="24" customFormat="1" hidden="1" outlineLevel="2" x14ac:dyDescent="0.25">
      <c r="A66" s="26"/>
      <c r="B66" s="11" t="str">
        <f>CONCATENATE("          ", "6112", " - ", "COMPENSATION INSURANCE")</f>
        <v xml:space="preserve">          6112 - COMPENSATION INSURANCE</v>
      </c>
      <c r="C66" s="11"/>
      <c r="D66" s="6">
        <v>86.99</v>
      </c>
      <c r="E66" s="2"/>
      <c r="F66" s="7">
        <f t="shared" si="16"/>
        <v>1.1140690697209502E-3</v>
      </c>
      <c r="G66" s="2"/>
      <c r="H66" s="6">
        <v>83.46</v>
      </c>
      <c r="I66" s="2"/>
      <c r="J66" s="7">
        <f t="shared" si="17"/>
        <v>4.0904738715467703E-4</v>
      </c>
      <c r="K66" s="2"/>
      <c r="L66" s="6">
        <f t="shared" si="18"/>
        <v>3.5300000000000011</v>
      </c>
      <c r="M66" s="2"/>
      <c r="N66" s="7">
        <f t="shared" si="19"/>
        <v>4.2295710520009605E-2</v>
      </c>
      <c r="O66" s="11"/>
      <c r="P66" s="6">
        <v>943.96</v>
      </c>
      <c r="Q66" s="2"/>
      <c r="R66" s="7">
        <f t="shared" si="20"/>
        <v>3.5769739143997286E-4</v>
      </c>
      <c r="S66" s="2"/>
      <c r="T66" s="6">
        <v>556.78</v>
      </c>
      <c r="U66" s="2"/>
      <c r="V66" s="7">
        <f t="shared" si="21"/>
        <v>1.1557790507331207E-4</v>
      </c>
      <c r="W66" s="2"/>
      <c r="X66" s="6">
        <f t="shared" si="22"/>
        <v>387.18000000000006</v>
      </c>
      <c r="Y66" s="2"/>
      <c r="Z66" s="7">
        <f t="shared" si="23"/>
        <v>0.69539135744818437</v>
      </c>
    </row>
    <row r="67" spans="1:26" s="24" customFormat="1" hidden="1" outlineLevel="2" x14ac:dyDescent="0.25">
      <c r="A67" s="26"/>
      <c r="B67" s="11" t="str">
        <f>CONCATENATE("          ", "6113", " - ", "GROUP INSURANCE")</f>
        <v xml:space="preserve">          6113 - GROUP INSURANCE</v>
      </c>
      <c r="C67" s="11"/>
      <c r="D67" s="6">
        <v>4943.91</v>
      </c>
      <c r="E67" s="2"/>
      <c r="F67" s="7">
        <f t="shared" si="16"/>
        <v>6.3315981313761385E-2</v>
      </c>
      <c r="G67" s="2"/>
      <c r="H67" s="6">
        <v>4248.21</v>
      </c>
      <c r="I67" s="2"/>
      <c r="J67" s="7">
        <f t="shared" si="17"/>
        <v>2.0820982513591789E-2</v>
      </c>
      <c r="K67" s="2"/>
      <c r="L67" s="6">
        <f t="shared" si="18"/>
        <v>695.69999999999982</v>
      </c>
      <c r="M67" s="2"/>
      <c r="N67" s="7">
        <f t="shared" si="19"/>
        <v>0.16376309080765777</v>
      </c>
      <c r="O67" s="11"/>
      <c r="P67" s="6">
        <v>35276.04</v>
      </c>
      <c r="Q67" s="2"/>
      <c r="R67" s="7">
        <f t="shared" si="20"/>
        <v>1.3367248070185326E-2</v>
      </c>
      <c r="S67" s="2"/>
      <c r="T67" s="6">
        <v>33507.839999999997</v>
      </c>
      <c r="U67" s="2"/>
      <c r="V67" s="7">
        <f t="shared" si="21"/>
        <v>6.9556484621066282E-3</v>
      </c>
      <c r="W67" s="2"/>
      <c r="X67" s="6">
        <f t="shared" si="22"/>
        <v>1768.2000000000044</v>
      </c>
      <c r="Y67" s="2"/>
      <c r="Z67" s="7">
        <f t="shared" si="23"/>
        <v>5.2769739857896077E-2</v>
      </c>
    </row>
    <row r="68" spans="1:26" s="24" customFormat="1" hidden="1" outlineLevel="2" x14ac:dyDescent="0.25">
      <c r="A68" s="26"/>
      <c r="B68" s="11" t="str">
        <f>CONCATENATE("          ", "6114", " - ", "STATE UNEMPLOYMENT INSURANCE")</f>
        <v xml:space="preserve">          6114 - STATE UNEMPLOYMENT INSURANCE</v>
      </c>
      <c r="C68" s="11"/>
      <c r="D68" s="6">
        <v>68.540000000000006</v>
      </c>
      <c r="E68" s="2"/>
      <c r="F68" s="7">
        <f t="shared" si="16"/>
        <v>8.7778243520719561E-4</v>
      </c>
      <c r="G68" s="2"/>
      <c r="H68" s="6">
        <v>63.82</v>
      </c>
      <c r="I68" s="2"/>
      <c r="J68" s="7">
        <f t="shared" si="17"/>
        <v>3.1278941107370584E-4</v>
      </c>
      <c r="K68" s="2"/>
      <c r="L68" s="6">
        <f t="shared" si="18"/>
        <v>4.720000000000006</v>
      </c>
      <c r="M68" s="2"/>
      <c r="N68" s="7">
        <f t="shared" si="19"/>
        <v>7.3958006894390568E-2</v>
      </c>
      <c r="O68" s="11"/>
      <c r="P68" s="6">
        <v>600.69000000000005</v>
      </c>
      <c r="Q68" s="2"/>
      <c r="R68" s="7">
        <f t="shared" si="20"/>
        <v>2.2762113443798181E-4</v>
      </c>
      <c r="S68" s="2"/>
      <c r="T68" s="6">
        <v>524.22</v>
      </c>
      <c r="U68" s="2"/>
      <c r="V68" s="7">
        <f t="shared" si="21"/>
        <v>1.0881901181351999E-4</v>
      </c>
      <c r="W68" s="2"/>
      <c r="X68" s="6">
        <f t="shared" si="22"/>
        <v>76.470000000000027</v>
      </c>
      <c r="Y68" s="2"/>
      <c r="Z68" s="7">
        <f t="shared" si="23"/>
        <v>0.14587386974934191</v>
      </c>
    </row>
    <row r="69" spans="1:26" s="24" customFormat="1" hidden="1" outlineLevel="2" x14ac:dyDescent="0.25">
      <c r="A69" s="26"/>
      <c r="B69" s="11" t="str">
        <f>CONCATENATE("          ", "6115", " - ", "P.E.R.S.")</f>
        <v xml:space="preserve">          6115 - P.E.R.S.</v>
      </c>
      <c r="C69" s="11"/>
      <c r="D69" s="6">
        <v>1783.22</v>
      </c>
      <c r="E69" s="2"/>
      <c r="F69" s="7">
        <f t="shared" si="16"/>
        <v>2.2837455414505034E-2</v>
      </c>
      <c r="G69" s="2"/>
      <c r="H69" s="6">
        <v>1334.35</v>
      </c>
      <c r="I69" s="2"/>
      <c r="J69" s="7">
        <f t="shared" si="17"/>
        <v>6.5398080643403224E-3</v>
      </c>
      <c r="K69" s="2"/>
      <c r="L69" s="6">
        <f t="shared" si="18"/>
        <v>448.87000000000012</v>
      </c>
      <c r="M69" s="2"/>
      <c r="N69" s="7">
        <f t="shared" si="19"/>
        <v>0.33639599805148584</v>
      </c>
      <c r="O69" s="11"/>
      <c r="P69" s="6">
        <v>14958.510000000002</v>
      </c>
      <c r="Q69" s="2"/>
      <c r="R69" s="7">
        <f t="shared" si="20"/>
        <v>5.6682698491766059E-3</v>
      </c>
      <c r="S69" s="2"/>
      <c r="T69" s="6">
        <v>11764.02</v>
      </c>
      <c r="U69" s="2"/>
      <c r="V69" s="7">
        <f t="shared" si="21"/>
        <v>2.4420072323728306E-3</v>
      </c>
      <c r="W69" s="2"/>
      <c r="X69" s="6">
        <f t="shared" si="22"/>
        <v>3194.4900000000016</v>
      </c>
      <c r="Y69" s="2"/>
      <c r="Z69" s="7">
        <f t="shared" si="23"/>
        <v>0.27154748121815514</v>
      </c>
    </row>
    <row r="70" spans="1:26" s="24" customFormat="1" hidden="1" outlineLevel="2" x14ac:dyDescent="0.25">
      <c r="A70" s="26"/>
      <c r="B70" s="11" t="str">
        <f>CONCATENATE("          ", "6117", " - ", "RETIREMENT STAFF HOURLY")</f>
        <v xml:space="preserve">          6117 - RETIREMENT STAFF HOURLY</v>
      </c>
      <c r="C70" s="11"/>
      <c r="D70" s="6">
        <v>298.89999999999998</v>
      </c>
      <c r="E70" s="2"/>
      <c r="F70" s="7">
        <f t="shared" si="16"/>
        <v>3.827971547759421E-3</v>
      </c>
      <c r="G70" s="2"/>
      <c r="H70" s="6">
        <v>111.34</v>
      </c>
      <c r="I70" s="2"/>
      <c r="J70" s="7">
        <f t="shared" si="17"/>
        <v>5.4569058334293964E-4</v>
      </c>
      <c r="K70" s="2"/>
      <c r="L70" s="6">
        <f t="shared" si="18"/>
        <v>187.55999999999997</v>
      </c>
      <c r="M70" s="2"/>
      <c r="N70" s="7">
        <f t="shared" si="19"/>
        <v>1.6845697862403446</v>
      </c>
      <c r="O70" s="11"/>
      <c r="P70" s="6">
        <v>2140.98</v>
      </c>
      <c r="Q70" s="2"/>
      <c r="R70" s="7">
        <f t="shared" si="20"/>
        <v>8.1128751337466954E-4</v>
      </c>
      <c r="S70" s="2"/>
      <c r="T70" s="6">
        <v>1063.57</v>
      </c>
      <c r="U70" s="2"/>
      <c r="V70" s="7">
        <f t="shared" si="21"/>
        <v>2.2077875013258829E-4</v>
      </c>
      <c r="W70" s="2"/>
      <c r="X70" s="6">
        <f t="shared" si="22"/>
        <v>1077.4100000000001</v>
      </c>
      <c r="Y70" s="2"/>
      <c r="Z70" s="7">
        <f t="shared" si="23"/>
        <v>1.0130127777203195</v>
      </c>
    </row>
    <row r="71" spans="1:26" s="24" customFormat="1" hidden="1" outlineLevel="2" x14ac:dyDescent="0.25">
      <c r="A71" s="26"/>
      <c r="B71" s="11" t="str">
        <f>CONCATENATE("          ", "6118", " - ", "VACATION")</f>
        <v xml:space="preserve">          6118 - VACATION</v>
      </c>
      <c r="C71" s="11"/>
      <c r="D71" s="6">
        <v>1386.96</v>
      </c>
      <c r="E71" s="2"/>
      <c r="F71" s="7">
        <f t="shared" si="16"/>
        <v>1.7762607620877908E-2</v>
      </c>
      <c r="G71" s="2"/>
      <c r="H71" s="6">
        <v>629.08000000000004</v>
      </c>
      <c r="I71" s="2"/>
      <c r="J71" s="7">
        <f t="shared" si="17"/>
        <v>3.0831959059581149E-3</v>
      </c>
      <c r="K71" s="2"/>
      <c r="L71" s="6">
        <f t="shared" si="18"/>
        <v>757.88</v>
      </c>
      <c r="M71" s="2"/>
      <c r="N71" s="7">
        <f t="shared" si="19"/>
        <v>1.2047434348572519</v>
      </c>
      <c r="O71" s="11"/>
      <c r="P71" s="6">
        <v>10689.66</v>
      </c>
      <c r="Q71" s="2"/>
      <c r="R71" s="7">
        <f t="shared" si="20"/>
        <v>4.0506626312346071E-3</v>
      </c>
      <c r="S71" s="2"/>
      <c r="T71" s="6">
        <v>7046.72</v>
      </c>
      <c r="U71" s="2"/>
      <c r="V71" s="7">
        <f t="shared" si="21"/>
        <v>1.4627772822985914E-3</v>
      </c>
      <c r="W71" s="2"/>
      <c r="X71" s="6">
        <f t="shared" si="22"/>
        <v>3642.9399999999996</v>
      </c>
      <c r="Y71" s="2"/>
      <c r="Z71" s="7">
        <f t="shared" si="23"/>
        <v>0.51696959720267011</v>
      </c>
    </row>
    <row r="72" spans="1:26" s="24" customFormat="1" hidden="1" outlineLevel="2" x14ac:dyDescent="0.25">
      <c r="A72" s="26"/>
      <c r="B72" s="11" t="str">
        <f>CONCATENATE("          ", "6119", " - ", "SICK LEAVE")</f>
        <v xml:space="preserve">          6119 - SICK LEAVE</v>
      </c>
      <c r="C72" s="11"/>
      <c r="D72" s="6">
        <v>1147.56</v>
      </c>
      <c r="E72" s="2"/>
      <c r="F72" s="7">
        <f t="shared" si="16"/>
        <v>1.4696644460845771E-2</v>
      </c>
      <c r="G72" s="2"/>
      <c r="H72" s="6">
        <v>925.42</v>
      </c>
      <c r="I72" s="2"/>
      <c r="J72" s="7">
        <f t="shared" si="17"/>
        <v>4.5355934941370864E-3</v>
      </c>
      <c r="K72" s="2"/>
      <c r="L72" s="6">
        <f t="shared" si="18"/>
        <v>222.14</v>
      </c>
      <c r="M72" s="2"/>
      <c r="N72" s="7">
        <f t="shared" si="19"/>
        <v>0.24004235914503685</v>
      </c>
      <c r="O72" s="11"/>
      <c r="P72" s="6">
        <v>8739.4599999999991</v>
      </c>
      <c r="Q72" s="2"/>
      <c r="R72" s="7">
        <f t="shared" si="20"/>
        <v>3.3116679145239044E-3</v>
      </c>
      <c r="S72" s="2"/>
      <c r="T72" s="6">
        <v>7970.95</v>
      </c>
      <c r="U72" s="2"/>
      <c r="V72" s="7">
        <f t="shared" si="21"/>
        <v>1.654631456668912E-3</v>
      </c>
      <c r="W72" s="2"/>
      <c r="X72" s="6">
        <f t="shared" si="22"/>
        <v>768.50999999999931</v>
      </c>
      <c r="Y72" s="2"/>
      <c r="Z72" s="7">
        <f t="shared" si="23"/>
        <v>9.6413852802990779E-2</v>
      </c>
    </row>
    <row r="73" spans="1:26" s="24" customFormat="1" hidden="1" outlineLevel="2" x14ac:dyDescent="0.25">
      <c r="A73" s="26"/>
      <c r="B73" s="11" t="str">
        <f>CONCATENATE("          ", "6156", " - ", "EMPLOYEE MEALS")</f>
        <v xml:space="preserve">          6156 - EMPLOYEE MEALS</v>
      </c>
      <c r="C73" s="11"/>
      <c r="D73" s="6">
        <v>337.46</v>
      </c>
      <c r="E73" s="2"/>
      <c r="F73" s="7">
        <f t="shared" si="16"/>
        <v>4.3218042104613387E-3</v>
      </c>
      <c r="G73" s="2"/>
      <c r="H73" s="6">
        <v>789.07</v>
      </c>
      <c r="I73" s="2"/>
      <c r="J73" s="7">
        <f t="shared" si="17"/>
        <v>3.8673259259782056E-3</v>
      </c>
      <c r="K73" s="2"/>
      <c r="L73" s="6">
        <f t="shared" si="18"/>
        <v>-451.61000000000007</v>
      </c>
      <c r="M73" s="2"/>
      <c r="N73" s="7">
        <f t="shared" si="19"/>
        <v>-0.57233198575538302</v>
      </c>
      <c r="O73" s="11"/>
      <c r="P73" s="6">
        <v>3375.84</v>
      </c>
      <c r="Q73" s="2"/>
      <c r="R73" s="7">
        <f t="shared" si="20"/>
        <v>1.2792164518821963E-3</v>
      </c>
      <c r="S73" s="2"/>
      <c r="T73" s="6">
        <v>5198.3</v>
      </c>
      <c r="U73" s="2"/>
      <c r="V73" s="7">
        <f t="shared" si="21"/>
        <v>1.0790772368666226E-3</v>
      </c>
      <c r="W73" s="2"/>
      <c r="X73" s="6">
        <f t="shared" si="22"/>
        <v>-1822.46</v>
      </c>
      <c r="Y73" s="2"/>
      <c r="Z73" s="7">
        <f t="shared" si="23"/>
        <v>-0.35058769213011948</v>
      </c>
    </row>
    <row r="74" spans="1:26" s="25" customFormat="1" outlineLevel="1" collapsed="1" x14ac:dyDescent="0.25">
      <c r="A74" s="27"/>
      <c r="B74" s="13" t="str">
        <f>CONCATENATE("     ","*Payroll                                          ")</f>
        <v xml:space="preserve">     *Payroll                                          </v>
      </c>
      <c r="C74" s="13"/>
      <c r="D74" s="1">
        <f>SUM(OSRRefD22_1x_0)</f>
        <v>23630.000000000004</v>
      </c>
      <c r="E74" s="1"/>
      <c r="F74" s="5">
        <f t="shared" ref="F74:F81" si="24">IF(D$12=0,0,D74/D$12)</f>
        <v>0.30262618826883619</v>
      </c>
      <c r="G74" s="1"/>
      <c r="H74" s="1">
        <f>SUM(OSRRefH22_1x_0)</f>
        <v>55278.33</v>
      </c>
      <c r="I74" s="1"/>
      <c r="J74" s="5">
        <f t="shared" ref="J74:J81" si="25">IF(H$12=0,0,H74/H$12)</f>
        <v>0.27092567041425836</v>
      </c>
      <c r="K74" s="1"/>
      <c r="L74" s="1">
        <f t="shared" ref="L74:L81" si="26">+D74-H74</f>
        <v>-31648.329999999998</v>
      </c>
      <c r="M74" s="1"/>
      <c r="N74" s="5">
        <f t="shared" ref="N74:N81" si="27">IF(H74=0,0,L74/H74)</f>
        <v>-0.57252688350027936</v>
      </c>
      <c r="O74" s="13"/>
      <c r="P74" s="1">
        <f>SUM(OSRRefP22_1x_0)</f>
        <v>227398.37</v>
      </c>
      <c r="Q74" s="1"/>
      <c r="R74" s="5">
        <f t="shared" ref="R74:R81" si="28">IF(P$12=0,0,P74/P$12)</f>
        <v>8.6168697579030659E-2</v>
      </c>
      <c r="S74" s="1"/>
      <c r="T74" s="1">
        <f>SUM(OSRRefT22_1x_0)</f>
        <v>232963.76</v>
      </c>
      <c r="U74" s="1"/>
      <c r="V74" s="5">
        <f t="shared" ref="V74:V81" si="29">IF(T$12=0,0,T74/T$12)</f>
        <v>4.8359250222353274E-2</v>
      </c>
      <c r="W74" s="1"/>
      <c r="X74" s="1">
        <f t="shared" ref="X74:X81" si="30">+P74-T74</f>
        <v>-5565.390000000014</v>
      </c>
      <c r="Y74" s="1"/>
      <c r="Z74" s="5">
        <f t="shared" ref="Z74:Z81" si="31">IF(T74=0,0,X74/T74)</f>
        <v>-2.3889509681677586E-2</v>
      </c>
    </row>
    <row r="75" spans="1:26" s="24" customFormat="1" hidden="1" outlineLevel="2" x14ac:dyDescent="0.25">
      <c r="A75" s="26"/>
      <c r="B75" s="11" t="str">
        <f>CONCATENATE("          ", "6001", " - ", "ADMINISTRATIVE SALARIES")</f>
        <v xml:space="preserve">          6001 - ADMINISTRATIVE SALARIES</v>
      </c>
      <c r="C75" s="11"/>
      <c r="D75" s="6"/>
      <c r="E75" s="2"/>
      <c r="F75" s="7">
        <f t="shared" si="24"/>
        <v>0</v>
      </c>
      <c r="G75" s="2"/>
      <c r="H75" s="6"/>
      <c r="I75" s="2"/>
      <c r="J75" s="7">
        <f t="shared" si="25"/>
        <v>0</v>
      </c>
      <c r="K75" s="2"/>
      <c r="L75" s="6">
        <f t="shared" si="26"/>
        <v>0</v>
      </c>
      <c r="M75" s="2"/>
      <c r="N75" s="7">
        <f t="shared" si="27"/>
        <v>0</v>
      </c>
      <c r="O75" s="11"/>
      <c r="P75" s="6">
        <v>-311.32</v>
      </c>
      <c r="Q75" s="2"/>
      <c r="R75" s="7">
        <f t="shared" si="28"/>
        <v>-1.1796935453101015E-4</v>
      </c>
      <c r="S75" s="2"/>
      <c r="T75" s="6"/>
      <c r="U75" s="2"/>
      <c r="V75" s="7">
        <f t="shared" si="29"/>
        <v>0</v>
      </c>
      <c r="W75" s="2"/>
      <c r="X75" s="6">
        <f t="shared" si="30"/>
        <v>-311.32</v>
      </c>
      <c r="Y75" s="2"/>
      <c r="Z75" s="7">
        <f t="shared" si="31"/>
        <v>0</v>
      </c>
    </row>
    <row r="76" spans="1:26" s="24" customFormat="1" hidden="1" outlineLevel="2" x14ac:dyDescent="0.25">
      <c r="A76" s="26"/>
      <c r="B76" s="11" t="str">
        <f>CONCATENATE("          ", "6002", " - ", "STAFF SALARIES")</f>
        <v xml:space="preserve">          6002 - STAFF SALARIES</v>
      </c>
      <c r="C76" s="11"/>
      <c r="D76" s="6">
        <v>16765.57</v>
      </c>
      <c r="E76" s="2"/>
      <c r="F76" s="7">
        <f t="shared" si="24"/>
        <v>0.21471436916015027</v>
      </c>
      <c r="G76" s="2"/>
      <c r="H76" s="6">
        <v>22827.9</v>
      </c>
      <c r="I76" s="2"/>
      <c r="J76" s="7">
        <f t="shared" si="25"/>
        <v>0.11188225316592683</v>
      </c>
      <c r="K76" s="2"/>
      <c r="L76" s="6">
        <f t="shared" si="26"/>
        <v>-6062.3300000000017</v>
      </c>
      <c r="M76" s="2"/>
      <c r="N76" s="7">
        <f t="shared" si="27"/>
        <v>-0.26556669689283735</v>
      </c>
      <c r="O76" s="11"/>
      <c r="P76" s="6">
        <v>138126.24</v>
      </c>
      <c r="Q76" s="2"/>
      <c r="R76" s="7">
        <f t="shared" si="28"/>
        <v>5.2340560762544633E-2</v>
      </c>
      <c r="S76" s="2"/>
      <c r="T76" s="6">
        <v>129964.14</v>
      </c>
      <c r="U76" s="2"/>
      <c r="V76" s="7">
        <f t="shared" si="29"/>
        <v>2.6978309270905276E-2</v>
      </c>
      <c r="W76" s="2"/>
      <c r="X76" s="6">
        <f t="shared" si="30"/>
        <v>8162.0999999999913</v>
      </c>
      <c r="Y76" s="2"/>
      <c r="Z76" s="7">
        <f t="shared" si="31"/>
        <v>6.2802708500975662E-2</v>
      </c>
    </row>
    <row r="77" spans="1:26" s="24" customFormat="1" hidden="1" outlineLevel="2" x14ac:dyDescent="0.25">
      <c r="A77" s="26"/>
      <c r="B77" s="11" t="str">
        <f>CONCATENATE("          ", "6004", " - ", "STAFF HOURLY")</f>
        <v xml:space="preserve">          6004 - STAFF HOURLY</v>
      </c>
      <c r="C77" s="11"/>
      <c r="D77" s="6">
        <v>6038.31</v>
      </c>
      <c r="E77" s="2"/>
      <c r="F77" s="7">
        <f t="shared" si="24"/>
        <v>7.733181290247973E-2</v>
      </c>
      <c r="G77" s="2"/>
      <c r="H77" s="6">
        <v>4401.38</v>
      </c>
      <c r="I77" s="2"/>
      <c r="J77" s="7">
        <f t="shared" si="25"/>
        <v>2.1571686902406573E-2</v>
      </c>
      <c r="K77" s="2"/>
      <c r="L77" s="6">
        <f t="shared" si="26"/>
        <v>1636.9300000000003</v>
      </c>
      <c r="M77" s="2"/>
      <c r="N77" s="7">
        <f t="shared" si="27"/>
        <v>0.37191290004498595</v>
      </c>
      <c r="O77" s="11"/>
      <c r="P77" s="6">
        <v>53932.72</v>
      </c>
      <c r="Q77" s="2"/>
      <c r="R77" s="7">
        <f t="shared" si="28"/>
        <v>2.0436875775734623E-2</v>
      </c>
      <c r="S77" s="2"/>
      <c r="T77" s="6">
        <v>26297.27</v>
      </c>
      <c r="U77" s="2"/>
      <c r="V77" s="7">
        <f t="shared" si="29"/>
        <v>5.4588587516564121E-3</v>
      </c>
      <c r="W77" s="2"/>
      <c r="X77" s="6">
        <f t="shared" si="30"/>
        <v>27635.45</v>
      </c>
      <c r="Y77" s="2"/>
      <c r="Z77" s="7">
        <f t="shared" si="31"/>
        <v>1.0508866509717549</v>
      </c>
    </row>
    <row r="78" spans="1:26" s="24" customFormat="1" hidden="1" outlineLevel="2" x14ac:dyDescent="0.25">
      <c r="A78" s="26"/>
      <c r="B78" s="11" t="str">
        <f>CONCATENATE("          ", "6005", " - ", "TEMPORARY WAGES-HOURLY")</f>
        <v xml:space="preserve">          6005 - TEMPORARY WAGES-HOURLY</v>
      </c>
      <c r="C78" s="11"/>
      <c r="D78" s="6"/>
      <c r="E78" s="2"/>
      <c r="F78" s="7">
        <f t="shared" si="24"/>
        <v>0</v>
      </c>
      <c r="G78" s="2"/>
      <c r="H78" s="6">
        <v>2953.29</v>
      </c>
      <c r="I78" s="2"/>
      <c r="J78" s="7">
        <f t="shared" si="25"/>
        <v>1.4474425569255166E-2</v>
      </c>
      <c r="K78" s="2"/>
      <c r="L78" s="6">
        <f t="shared" si="26"/>
        <v>-2953.29</v>
      </c>
      <c r="M78" s="2"/>
      <c r="N78" s="7">
        <f t="shared" si="27"/>
        <v>-1</v>
      </c>
      <c r="O78" s="11"/>
      <c r="P78" s="6">
        <v>12838</v>
      </c>
      <c r="Q78" s="2"/>
      <c r="R78" s="7">
        <f t="shared" si="28"/>
        <v>4.864739089904627E-3</v>
      </c>
      <c r="S78" s="2"/>
      <c r="T78" s="6">
        <v>20778.34</v>
      </c>
      <c r="U78" s="2"/>
      <c r="V78" s="7">
        <f t="shared" si="29"/>
        <v>4.3132242682944848E-3</v>
      </c>
      <c r="W78" s="2"/>
      <c r="X78" s="6">
        <f t="shared" si="30"/>
        <v>-7940.34</v>
      </c>
      <c r="Y78" s="2"/>
      <c r="Z78" s="7">
        <f t="shared" si="31"/>
        <v>-0.38214506067375931</v>
      </c>
    </row>
    <row r="79" spans="1:26" s="24" customFormat="1" hidden="1" outlineLevel="2" x14ac:dyDescent="0.25">
      <c r="A79" s="26"/>
      <c r="B79" s="11" t="str">
        <f>CONCATENATE("          ", "6006", " - ", "TEMPORARY PART TIME")</f>
        <v xml:space="preserve">          6006 - TEMPORARY PART TIME</v>
      </c>
      <c r="C79" s="11"/>
      <c r="D79" s="6"/>
      <c r="E79" s="2"/>
      <c r="F79" s="7">
        <f t="shared" si="24"/>
        <v>0</v>
      </c>
      <c r="G79" s="2"/>
      <c r="H79" s="6">
        <v>826.88</v>
      </c>
      <c r="I79" s="2"/>
      <c r="J79" s="7">
        <f t="shared" si="25"/>
        <v>4.0526372332909105E-3</v>
      </c>
      <c r="K79" s="2"/>
      <c r="L79" s="6">
        <f t="shared" si="26"/>
        <v>-826.88</v>
      </c>
      <c r="M79" s="2"/>
      <c r="N79" s="7">
        <f t="shared" si="27"/>
        <v>-1</v>
      </c>
      <c r="O79" s="11"/>
      <c r="P79" s="6">
        <v>502.29</v>
      </c>
      <c r="Q79" s="2"/>
      <c r="R79" s="7">
        <f t="shared" si="28"/>
        <v>1.9033414842406878E-4</v>
      </c>
      <c r="S79" s="2"/>
      <c r="T79" s="6">
        <v>826.88</v>
      </c>
      <c r="U79" s="2"/>
      <c r="V79" s="7">
        <f t="shared" si="29"/>
        <v>1.7164599688749646E-4</v>
      </c>
      <c r="W79" s="2"/>
      <c r="X79" s="6">
        <f t="shared" si="30"/>
        <v>-324.58999999999997</v>
      </c>
      <c r="Y79" s="2"/>
      <c r="Z79" s="7">
        <f t="shared" si="31"/>
        <v>-0.39254789086687303</v>
      </c>
    </row>
    <row r="80" spans="1:26" s="24" customFormat="1" hidden="1" outlineLevel="2" x14ac:dyDescent="0.25">
      <c r="A80" s="26"/>
      <c r="B80" s="11" t="str">
        <f>CONCATENATE("          ", "6007", " - ", "STUDENT HOURLY")</f>
        <v xml:space="preserve">          6007 - STUDENT HOURLY</v>
      </c>
      <c r="C80" s="11"/>
      <c r="D80" s="6">
        <v>541.22</v>
      </c>
      <c r="E80" s="2"/>
      <c r="F80" s="7">
        <f t="shared" si="24"/>
        <v>6.9313307496766613E-3</v>
      </c>
      <c r="G80" s="2"/>
      <c r="H80" s="6">
        <v>24268.880000000001</v>
      </c>
      <c r="I80" s="2"/>
      <c r="J80" s="7">
        <f t="shared" si="25"/>
        <v>0.11894466754337886</v>
      </c>
      <c r="K80" s="2"/>
      <c r="L80" s="6">
        <f t="shared" si="26"/>
        <v>-23727.66</v>
      </c>
      <c r="M80" s="2"/>
      <c r="N80" s="7">
        <f t="shared" si="27"/>
        <v>-0.97769901206813004</v>
      </c>
      <c r="O80" s="11"/>
      <c r="P80" s="6">
        <v>21343.18</v>
      </c>
      <c r="Q80" s="2"/>
      <c r="R80" s="7">
        <f t="shared" si="28"/>
        <v>8.0876306316303662E-3</v>
      </c>
      <c r="S80" s="2"/>
      <c r="T80" s="6">
        <v>55097.13</v>
      </c>
      <c r="U80" s="2"/>
      <c r="V80" s="7">
        <f t="shared" si="29"/>
        <v>1.1437211934609602E-2</v>
      </c>
      <c r="W80" s="2"/>
      <c r="X80" s="6">
        <f t="shared" si="30"/>
        <v>-33753.949999999997</v>
      </c>
      <c r="Y80" s="2"/>
      <c r="Z80" s="7">
        <f t="shared" si="31"/>
        <v>-0.61262628380098927</v>
      </c>
    </row>
    <row r="81" spans="1:26" s="24" customFormat="1" hidden="1" outlineLevel="2" x14ac:dyDescent="0.25">
      <c r="A81" s="26"/>
      <c r="B81" s="11" t="str">
        <f>CONCATENATE("          ", "6008", " - ", "STUDENT HOURLY-FICA EXEMPT")</f>
        <v xml:space="preserve">          6008 - STUDENT HOURLY-FICA EXEMPT</v>
      </c>
      <c r="C81" s="11"/>
      <c r="D81" s="6">
        <v>284.89999999999998</v>
      </c>
      <c r="E81" s="2"/>
      <c r="F81" s="7">
        <f t="shared" si="24"/>
        <v>3.6486754565294714E-3</v>
      </c>
      <c r="G81" s="2"/>
      <c r="H81" s="6"/>
      <c r="I81" s="2"/>
      <c r="J81" s="7">
        <f t="shared" si="25"/>
        <v>0</v>
      </c>
      <c r="K81" s="2"/>
      <c r="L81" s="6">
        <f t="shared" si="26"/>
        <v>284.89999999999998</v>
      </c>
      <c r="M81" s="2"/>
      <c r="N81" s="7">
        <f t="shared" si="27"/>
        <v>0</v>
      </c>
      <c r="O81" s="11"/>
      <c r="P81" s="6">
        <v>967.26</v>
      </c>
      <c r="Q81" s="2"/>
      <c r="R81" s="7">
        <f t="shared" si="28"/>
        <v>3.6652652532334862E-4</v>
      </c>
      <c r="S81" s="2"/>
      <c r="T81" s="6"/>
      <c r="U81" s="2"/>
      <c r="V81" s="7">
        <f t="shared" si="29"/>
        <v>0</v>
      </c>
      <c r="W81" s="2"/>
      <c r="X81" s="6">
        <f t="shared" si="30"/>
        <v>967.26</v>
      </c>
      <c r="Y81" s="2"/>
      <c r="Z81" s="7">
        <f t="shared" si="31"/>
        <v>0</v>
      </c>
    </row>
    <row r="82" spans="1:26" s="25" customFormat="1" outlineLevel="1" collapsed="1" x14ac:dyDescent="0.25">
      <c r="A82" s="27"/>
      <c r="B82" s="13" t="str">
        <f>CONCATENATE("     ","Advertising/Promo                                 ")</f>
        <v xml:space="preserve">     Advertising/Promo                                 </v>
      </c>
      <c r="C82" s="13"/>
      <c r="D82" s="1">
        <f>SUM(OSRRefD22_2x_0)</f>
        <v>0</v>
      </c>
      <c r="E82" s="1"/>
      <c r="F82" s="5">
        <f t="shared" ref="F82:F86" si="32">IF(D$12=0,0,D82/D$12)</f>
        <v>0</v>
      </c>
      <c r="G82" s="1"/>
      <c r="H82" s="1">
        <f>SUM(OSRRefH22_2x_0)</f>
        <v>0.5</v>
      </c>
      <c r="I82" s="1"/>
      <c r="J82" s="5">
        <f t="shared" ref="J82:J86" si="33">IF(H$12=0,0,H82/H$12)</f>
        <v>2.4505594725298172E-6</v>
      </c>
      <c r="K82" s="1"/>
      <c r="L82" s="1">
        <f t="shared" ref="L82:L86" si="34">+D82-H82</f>
        <v>-0.5</v>
      </c>
      <c r="M82" s="1"/>
      <c r="N82" s="5">
        <f t="shared" ref="N82:N86" si="35">IF(H82=0,0,L82/H82)</f>
        <v>-1</v>
      </c>
      <c r="O82" s="13"/>
      <c r="P82" s="1">
        <f>SUM(OSRRefP22_2x_0)</f>
        <v>1999.55</v>
      </c>
      <c r="Q82" s="1"/>
      <c r="R82" s="5">
        <f t="shared" ref="R82:R86" si="36">IF(P$12=0,0,P82/P$12)</f>
        <v>7.5769504963536349E-4</v>
      </c>
      <c r="S82" s="1"/>
      <c r="T82" s="1">
        <f>SUM(OSRRefT22_2x_0)</f>
        <v>3981.59</v>
      </c>
      <c r="U82" s="1"/>
      <c r="V82" s="5">
        <f t="shared" ref="V82:V86" si="37">IF(T$12=0,0,T82/T$12)</f>
        <v>8.2650926947959447E-4</v>
      </c>
      <c r="W82" s="1"/>
      <c r="X82" s="1">
        <f t="shared" ref="X82:X86" si="38">+P82-T82</f>
        <v>-1982.0400000000002</v>
      </c>
      <c r="Y82" s="1"/>
      <c r="Z82" s="5">
        <f t="shared" ref="Z82:Z86" si="39">IF(T82=0,0,X82/T82)</f>
        <v>-0.49780112969944174</v>
      </c>
    </row>
    <row r="83" spans="1:26" s="24" customFormat="1" hidden="1" outlineLevel="2" x14ac:dyDescent="0.25">
      <c r="A83" s="26"/>
      <c r="B83" s="11" t="str">
        <f>CONCATENATE("          ", "6362", " - ", "ADVERTISING EXPENSE")</f>
        <v xml:space="preserve">          6362 - ADVERTISING EXPENSE</v>
      </c>
      <c r="C83" s="11"/>
      <c r="D83" s="6"/>
      <c r="E83" s="2"/>
      <c r="F83" s="7">
        <f t="shared" si="32"/>
        <v>0</v>
      </c>
      <c r="G83" s="2"/>
      <c r="H83" s="6">
        <v>0.5</v>
      </c>
      <c r="I83" s="2"/>
      <c r="J83" s="7">
        <f t="shared" si="33"/>
        <v>2.4505594725298172E-6</v>
      </c>
      <c r="K83" s="2"/>
      <c r="L83" s="6">
        <f t="shared" si="34"/>
        <v>-0.5</v>
      </c>
      <c r="M83" s="2"/>
      <c r="N83" s="7">
        <f t="shared" si="35"/>
        <v>-1</v>
      </c>
      <c r="O83" s="11"/>
      <c r="P83" s="6">
        <v>1999.55</v>
      </c>
      <c r="Q83" s="2"/>
      <c r="R83" s="7">
        <f t="shared" si="36"/>
        <v>7.5769504963536349E-4</v>
      </c>
      <c r="S83" s="2"/>
      <c r="T83" s="6">
        <v>3981.59</v>
      </c>
      <c r="U83" s="2"/>
      <c r="V83" s="7">
        <f t="shared" si="37"/>
        <v>8.2650926947959447E-4</v>
      </c>
      <c r="W83" s="2"/>
      <c r="X83" s="6">
        <f t="shared" si="38"/>
        <v>-1982.0400000000002</v>
      </c>
      <c r="Y83" s="2"/>
      <c r="Z83" s="7">
        <f t="shared" si="39"/>
        <v>-0.49780112969944174</v>
      </c>
    </row>
    <row r="84" spans="1:26" s="25" customFormat="1" outlineLevel="1" collapsed="1" x14ac:dyDescent="0.25">
      <c r="A84" s="27"/>
      <c r="B84" s="13" t="str">
        <f>CONCATENATE("     ","Discounts and Markdowns                           ")</f>
        <v xml:space="preserve">     Discounts and Markdowns                           </v>
      </c>
      <c r="C84" s="13"/>
      <c r="D84" s="1">
        <f>SUM(OSRRefD22_3x_0)</f>
        <v>42.86</v>
      </c>
      <c r="E84" s="1"/>
      <c r="F84" s="5">
        <f t="shared" si="32"/>
        <v>5.4890217643683106E-4</v>
      </c>
      <c r="G84" s="1"/>
      <c r="H84" s="1">
        <f>SUM(OSRRefH22_3x_0)</f>
        <v>-160.26</v>
      </c>
      <c r="I84" s="1"/>
      <c r="J84" s="5">
        <f t="shared" si="33"/>
        <v>-7.8545332213525692E-4</v>
      </c>
      <c r="K84" s="1"/>
      <c r="L84" s="1">
        <f t="shared" si="34"/>
        <v>203.12</v>
      </c>
      <c r="M84" s="1"/>
      <c r="N84" s="5">
        <f t="shared" si="35"/>
        <v>-1.267440409334831</v>
      </c>
      <c r="O84" s="13"/>
      <c r="P84" s="1">
        <f>SUM(OSRRefP22_3x_0)</f>
        <v>0</v>
      </c>
      <c r="Q84" s="1"/>
      <c r="R84" s="5">
        <f t="shared" si="36"/>
        <v>0</v>
      </c>
      <c r="S84" s="1"/>
      <c r="T84" s="1">
        <f>SUM(OSRRefT22_3x_0)</f>
        <v>331.68000000000006</v>
      </c>
      <c r="U84" s="1"/>
      <c r="V84" s="5">
        <f t="shared" si="37"/>
        <v>6.8851035516211346E-5</v>
      </c>
      <c r="W84" s="1"/>
      <c r="X84" s="1">
        <f t="shared" si="38"/>
        <v>-331.68000000000006</v>
      </c>
      <c r="Y84" s="1"/>
      <c r="Z84" s="5">
        <f t="shared" si="39"/>
        <v>-1</v>
      </c>
    </row>
    <row r="85" spans="1:26" s="24" customFormat="1" hidden="1" outlineLevel="2" x14ac:dyDescent="0.25">
      <c r="A85" s="26"/>
      <c r="B85" s="11" t="str">
        <f>CONCATENATE("          ", "6382", " - ", "DISCOUNTS/MARK DOWNS")</f>
        <v xml:space="preserve">          6382 - DISCOUNTS/MARK DOWNS</v>
      </c>
      <c r="C85" s="11"/>
      <c r="D85" s="6"/>
      <c r="E85" s="2"/>
      <c r="F85" s="7">
        <f t="shared" si="32"/>
        <v>0</v>
      </c>
      <c r="G85" s="2"/>
      <c r="H85" s="6">
        <v>-141.62</v>
      </c>
      <c r="I85" s="2"/>
      <c r="J85" s="7">
        <f t="shared" si="33"/>
        <v>-6.940964649993454E-4</v>
      </c>
      <c r="K85" s="2"/>
      <c r="L85" s="6">
        <f t="shared" si="34"/>
        <v>141.62</v>
      </c>
      <c r="M85" s="2"/>
      <c r="N85" s="7">
        <f t="shared" si="35"/>
        <v>-1</v>
      </c>
      <c r="O85" s="11"/>
      <c r="P85" s="6"/>
      <c r="Q85" s="2"/>
      <c r="R85" s="7">
        <f t="shared" si="36"/>
        <v>0</v>
      </c>
      <c r="S85" s="2"/>
      <c r="T85" s="6">
        <v>783.95</v>
      </c>
      <c r="U85" s="2"/>
      <c r="V85" s="7">
        <f t="shared" si="37"/>
        <v>1.6273447085423865E-4</v>
      </c>
      <c r="W85" s="2"/>
      <c r="X85" s="6">
        <f t="shared" si="38"/>
        <v>-783.95</v>
      </c>
      <c r="Y85" s="2"/>
      <c r="Z85" s="7">
        <f t="shared" si="39"/>
        <v>-1</v>
      </c>
    </row>
    <row r="86" spans="1:26" s="24" customFormat="1" hidden="1" outlineLevel="2" x14ac:dyDescent="0.25">
      <c r="A86" s="26"/>
      <c r="B86" s="11" t="str">
        <f>CONCATENATE("          ", "9175", " - ", "EARNED DISCOUNTS")</f>
        <v xml:space="preserve">          9175 - EARNED DISCOUNTS</v>
      </c>
      <c r="C86" s="11"/>
      <c r="D86" s="6">
        <v>42.86</v>
      </c>
      <c r="E86" s="2"/>
      <c r="F86" s="7">
        <f t="shared" si="32"/>
        <v>5.4890217643683106E-4</v>
      </c>
      <c r="G86" s="2"/>
      <c r="H86" s="6">
        <v>-18.64</v>
      </c>
      <c r="I86" s="2"/>
      <c r="J86" s="7">
        <f t="shared" si="33"/>
        <v>-9.1356857135911588E-5</v>
      </c>
      <c r="K86" s="2"/>
      <c r="L86" s="6">
        <f t="shared" si="34"/>
        <v>61.5</v>
      </c>
      <c r="M86" s="2"/>
      <c r="N86" s="7">
        <f t="shared" si="35"/>
        <v>-3.2993562231759657</v>
      </c>
      <c r="O86" s="11"/>
      <c r="P86" s="6">
        <v>0</v>
      </c>
      <c r="Q86" s="2"/>
      <c r="R86" s="7">
        <f t="shared" si="36"/>
        <v>0</v>
      </c>
      <c r="S86" s="2"/>
      <c r="T86" s="6">
        <v>-452.27</v>
      </c>
      <c r="U86" s="2"/>
      <c r="V86" s="7">
        <f t="shared" si="37"/>
        <v>-9.3883435338027314E-5</v>
      </c>
      <c r="W86" s="2"/>
      <c r="X86" s="6">
        <f t="shared" si="38"/>
        <v>452.27</v>
      </c>
      <c r="Y86" s="2"/>
      <c r="Z86" s="7">
        <f t="shared" si="39"/>
        <v>-1</v>
      </c>
    </row>
    <row r="87" spans="1:26" s="25" customFormat="1" outlineLevel="1" collapsed="1" x14ac:dyDescent="0.25">
      <c r="A87" s="27"/>
      <c r="B87" s="13" t="str">
        <f>CONCATENATE("     ","Employees' Appreciation                           ")</f>
        <v xml:space="preserve">     Employees' Appreciation                           </v>
      </c>
      <c r="C87" s="13"/>
      <c r="D87" s="1">
        <f>SUM(OSRRefD22_4x_0)</f>
        <v>0</v>
      </c>
      <c r="E87" s="1"/>
      <c r="F87" s="5">
        <f t="shared" ref="F87:F93" si="40">IF(D$12=0,0,D87/D$12)</f>
        <v>0</v>
      </c>
      <c r="G87" s="1"/>
      <c r="H87" s="1">
        <f>SUM(OSRRefH22_4x_0)</f>
        <v>0</v>
      </c>
      <c r="I87" s="1"/>
      <c r="J87" s="5">
        <f t="shared" ref="J87:J93" si="41">IF(H$12=0,0,H87/H$12)</f>
        <v>0</v>
      </c>
      <c r="K87" s="1"/>
      <c r="L87" s="1">
        <f t="shared" ref="L87:L93" si="42">+D87-H87</f>
        <v>0</v>
      </c>
      <c r="M87" s="1"/>
      <c r="N87" s="5">
        <f t="shared" ref="N87:N93" si="43">IF(H87=0,0,L87/H87)</f>
        <v>0</v>
      </c>
      <c r="O87" s="13"/>
      <c r="P87" s="1">
        <f>SUM(OSRRefP22_4x_0)</f>
        <v>107.7</v>
      </c>
      <c r="Q87" s="1"/>
      <c r="R87" s="5">
        <f t="shared" ref="R87:R93" si="44">IF(P$12=0,0,P87/P$12)</f>
        <v>4.0811060911569428E-5</v>
      </c>
      <c r="S87" s="1"/>
      <c r="T87" s="1">
        <f>SUM(OSRRefT22_4x_0)</f>
        <v>37.880000000000003</v>
      </c>
      <c r="U87" s="1"/>
      <c r="V87" s="5">
        <f t="shared" ref="V87:V93" si="45">IF(T$12=0,0,T87/T$12)</f>
        <v>7.8632333132962061E-6</v>
      </c>
      <c r="W87" s="1"/>
      <c r="X87" s="1">
        <f t="shared" ref="X87:X93" si="46">+P87-T87</f>
        <v>69.819999999999993</v>
      </c>
      <c r="Y87" s="1"/>
      <c r="Z87" s="5">
        <f t="shared" ref="Z87:Z93" si="47">IF(T87=0,0,X87/T87)</f>
        <v>1.8431890179514252</v>
      </c>
    </row>
    <row r="88" spans="1:26" s="24" customFormat="1" hidden="1" outlineLevel="2" x14ac:dyDescent="0.25">
      <c r="A88" s="26"/>
      <c r="B88" s="11" t="str">
        <f>CONCATENATE("          ", "6277", " - ", "EMPLOYEE APPRECIATION")</f>
        <v xml:space="preserve">          6277 - EMPLOYEE APPRECIATION</v>
      </c>
      <c r="C88" s="11"/>
      <c r="D88" s="6"/>
      <c r="E88" s="2"/>
      <c r="F88" s="7">
        <f t="shared" si="40"/>
        <v>0</v>
      </c>
      <c r="G88" s="2"/>
      <c r="H88" s="6"/>
      <c r="I88" s="2"/>
      <c r="J88" s="7">
        <f t="shared" si="41"/>
        <v>0</v>
      </c>
      <c r="K88" s="2"/>
      <c r="L88" s="6">
        <f t="shared" si="42"/>
        <v>0</v>
      </c>
      <c r="M88" s="2"/>
      <c r="N88" s="7">
        <f t="shared" si="43"/>
        <v>0</v>
      </c>
      <c r="O88" s="11"/>
      <c r="P88" s="6">
        <v>107.7</v>
      </c>
      <c r="Q88" s="2"/>
      <c r="R88" s="7">
        <f t="shared" si="44"/>
        <v>4.0811060911569428E-5</v>
      </c>
      <c r="S88" s="2"/>
      <c r="T88" s="6">
        <v>37.880000000000003</v>
      </c>
      <c r="U88" s="2"/>
      <c r="V88" s="7">
        <f t="shared" si="45"/>
        <v>7.8632333132962061E-6</v>
      </c>
      <c r="W88" s="2"/>
      <c r="X88" s="6">
        <f t="shared" si="46"/>
        <v>69.819999999999993</v>
      </c>
      <c r="Y88" s="2"/>
      <c r="Z88" s="7">
        <f t="shared" si="47"/>
        <v>1.8431890179514252</v>
      </c>
    </row>
    <row r="89" spans="1:26" s="25" customFormat="1" outlineLevel="1" collapsed="1" x14ac:dyDescent="0.25">
      <c r="A89" s="27"/>
      <c r="B89" s="13" t="str">
        <f>CONCATENATE("     ","Equipment Rental                                  ")</f>
        <v xml:space="preserve">     Equipment Rental                                  </v>
      </c>
      <c r="C89" s="13"/>
      <c r="D89" s="1">
        <f>SUM(OSRRefD22_5x_0)</f>
        <v>91.26</v>
      </c>
      <c r="E89" s="1"/>
      <c r="F89" s="5">
        <f t="shared" si="40"/>
        <v>1.168754377546085E-3</v>
      </c>
      <c r="G89" s="1"/>
      <c r="H89" s="1">
        <f>SUM(OSRRefH22_5x_0)</f>
        <v>91.26</v>
      </c>
      <c r="I89" s="1"/>
      <c r="J89" s="5">
        <f t="shared" si="41"/>
        <v>4.4727611492614226E-4</v>
      </c>
      <c r="K89" s="1"/>
      <c r="L89" s="1">
        <f t="shared" si="42"/>
        <v>0</v>
      </c>
      <c r="M89" s="1"/>
      <c r="N89" s="5">
        <f t="shared" si="43"/>
        <v>0</v>
      </c>
      <c r="O89" s="13"/>
      <c r="P89" s="1">
        <f>SUM(OSRRefP22_5x_0)</f>
        <v>730.08</v>
      </c>
      <c r="Q89" s="1"/>
      <c r="R89" s="5">
        <f t="shared" si="44"/>
        <v>2.7665124744956924E-4</v>
      </c>
      <c r="S89" s="1"/>
      <c r="T89" s="1">
        <f>SUM(OSRRefT22_5x_0)</f>
        <v>730.08</v>
      </c>
      <c r="U89" s="1"/>
      <c r="V89" s="5">
        <f t="shared" si="45"/>
        <v>1.515519898989254E-4</v>
      </c>
      <c r="W89" s="1"/>
      <c r="X89" s="1">
        <f t="shared" si="46"/>
        <v>0</v>
      </c>
      <c r="Y89" s="1"/>
      <c r="Z89" s="5">
        <f t="shared" si="47"/>
        <v>0</v>
      </c>
    </row>
    <row r="90" spans="1:26" s="24" customFormat="1" hidden="1" outlineLevel="2" x14ac:dyDescent="0.25">
      <c r="A90" s="26"/>
      <c r="B90" s="11" t="str">
        <f>CONCATENATE("          ", "6351", " - ", "EQUIPMENT RENTAL")</f>
        <v xml:space="preserve">          6351 - EQUIPMENT RENTAL</v>
      </c>
      <c r="C90" s="11"/>
      <c r="D90" s="6">
        <v>91.26</v>
      </c>
      <c r="E90" s="2"/>
      <c r="F90" s="7">
        <f t="shared" si="40"/>
        <v>1.168754377546085E-3</v>
      </c>
      <c r="G90" s="2"/>
      <c r="H90" s="6">
        <v>91.26</v>
      </c>
      <c r="I90" s="2"/>
      <c r="J90" s="7">
        <f t="shared" si="41"/>
        <v>4.4727611492614226E-4</v>
      </c>
      <c r="K90" s="2"/>
      <c r="L90" s="6">
        <f t="shared" si="42"/>
        <v>0</v>
      </c>
      <c r="M90" s="2"/>
      <c r="N90" s="7">
        <f t="shared" si="43"/>
        <v>0</v>
      </c>
      <c r="O90" s="11"/>
      <c r="P90" s="6">
        <v>730.08</v>
      </c>
      <c r="Q90" s="2"/>
      <c r="R90" s="7">
        <f t="shared" si="44"/>
        <v>2.7665124744956924E-4</v>
      </c>
      <c r="S90" s="2"/>
      <c r="T90" s="6">
        <v>730.08</v>
      </c>
      <c r="U90" s="2"/>
      <c r="V90" s="7">
        <f t="shared" si="45"/>
        <v>1.515519898989254E-4</v>
      </c>
      <c r="W90" s="2"/>
      <c r="X90" s="6">
        <f t="shared" si="46"/>
        <v>0</v>
      </c>
      <c r="Y90" s="2"/>
      <c r="Z90" s="7">
        <f t="shared" si="47"/>
        <v>0</v>
      </c>
    </row>
    <row r="91" spans="1:26" s="25" customFormat="1" outlineLevel="1" collapsed="1" x14ac:dyDescent="0.25">
      <c r="A91" s="27"/>
      <c r="B91" s="13" t="str">
        <f>CONCATENATE("     ","Freight out/Postage                               ")</f>
        <v xml:space="preserve">     Freight out/Postage                               </v>
      </c>
      <c r="C91" s="13"/>
      <c r="D91" s="1">
        <f>SUM(OSRRefD22_6x_0)</f>
        <v>1294.28</v>
      </c>
      <c r="E91" s="1"/>
      <c r="F91" s="5">
        <f t="shared" si="40"/>
        <v>1.6575667496935644E-2</v>
      </c>
      <c r="G91" s="1"/>
      <c r="H91" s="1">
        <f>SUM(OSRRefH22_6x_0)</f>
        <v>335.51</v>
      </c>
      <c r="I91" s="1"/>
      <c r="J91" s="5">
        <f t="shared" si="41"/>
        <v>1.6443744172569578E-3</v>
      </c>
      <c r="K91" s="1"/>
      <c r="L91" s="1">
        <f t="shared" si="42"/>
        <v>958.77</v>
      </c>
      <c r="M91" s="1"/>
      <c r="N91" s="5">
        <f t="shared" si="43"/>
        <v>2.8576495484486304</v>
      </c>
      <c r="O91" s="13"/>
      <c r="P91" s="1">
        <f>SUM(OSRRefP22_6x_0)</f>
        <v>10464.33</v>
      </c>
      <c r="Q91" s="1"/>
      <c r="R91" s="5">
        <f t="shared" si="44"/>
        <v>3.9652777068594552E-3</v>
      </c>
      <c r="S91" s="1"/>
      <c r="T91" s="1">
        <f>SUM(OSRRefT22_6x_0)</f>
        <v>12288.900000000001</v>
      </c>
      <c r="U91" s="1"/>
      <c r="V91" s="5">
        <f t="shared" si="45"/>
        <v>2.5509632487794548E-3</v>
      </c>
      <c r="W91" s="1"/>
      <c r="X91" s="1">
        <f t="shared" si="46"/>
        <v>-1824.5700000000015</v>
      </c>
      <c r="Y91" s="1"/>
      <c r="Z91" s="5">
        <f t="shared" si="47"/>
        <v>-0.14847301223054962</v>
      </c>
    </row>
    <row r="92" spans="1:26" s="24" customFormat="1" hidden="1" outlineLevel="2" x14ac:dyDescent="0.25">
      <c r="A92" s="26"/>
      <c r="B92" s="11" t="str">
        <f>CONCATENATE("          ", "6305", " - ", "FREIGHT OUT")</f>
        <v xml:space="preserve">          6305 - FREIGHT OUT</v>
      </c>
      <c r="C92" s="11"/>
      <c r="D92" s="6">
        <v>1294.28</v>
      </c>
      <c r="E92" s="2"/>
      <c r="F92" s="7">
        <f t="shared" si="40"/>
        <v>1.6575667496935644E-2</v>
      </c>
      <c r="G92" s="2"/>
      <c r="H92" s="6">
        <v>335.51</v>
      </c>
      <c r="I92" s="2"/>
      <c r="J92" s="7">
        <f t="shared" si="41"/>
        <v>1.6443744172569578E-3</v>
      </c>
      <c r="K92" s="2"/>
      <c r="L92" s="6">
        <f t="shared" si="42"/>
        <v>958.77</v>
      </c>
      <c r="M92" s="2"/>
      <c r="N92" s="7">
        <f t="shared" si="43"/>
        <v>2.8576495484486304</v>
      </c>
      <c r="O92" s="11"/>
      <c r="P92" s="6">
        <v>10463.83</v>
      </c>
      <c r="Q92" s="2"/>
      <c r="R92" s="7">
        <f t="shared" si="44"/>
        <v>3.9650882404671075E-3</v>
      </c>
      <c r="S92" s="2"/>
      <c r="T92" s="6">
        <v>12287.45</v>
      </c>
      <c r="U92" s="2"/>
      <c r="V92" s="7">
        <f t="shared" si="45"/>
        <v>2.5506622538400596E-3</v>
      </c>
      <c r="W92" s="2"/>
      <c r="X92" s="6">
        <f t="shared" si="46"/>
        <v>-1823.6200000000008</v>
      </c>
      <c r="Y92" s="2"/>
      <c r="Z92" s="7">
        <f t="shared" si="47"/>
        <v>-0.14841321836507987</v>
      </c>
    </row>
    <row r="93" spans="1:26" s="24" customFormat="1" hidden="1" outlineLevel="2" x14ac:dyDescent="0.25">
      <c r="A93" s="26"/>
      <c r="B93" s="11" t="str">
        <f>CONCATENATE("          ", "6307", " - ", "POSTAGE")</f>
        <v xml:space="preserve">          6307 - POSTAGE</v>
      </c>
      <c r="C93" s="11"/>
      <c r="D93" s="6"/>
      <c r="E93" s="2"/>
      <c r="F93" s="7">
        <f t="shared" si="40"/>
        <v>0</v>
      </c>
      <c r="G93" s="2"/>
      <c r="H93" s="6"/>
      <c r="I93" s="2"/>
      <c r="J93" s="7">
        <f t="shared" si="41"/>
        <v>0</v>
      </c>
      <c r="K93" s="2"/>
      <c r="L93" s="6">
        <f t="shared" si="42"/>
        <v>0</v>
      </c>
      <c r="M93" s="2"/>
      <c r="N93" s="7">
        <f t="shared" si="43"/>
        <v>0</v>
      </c>
      <c r="O93" s="11"/>
      <c r="P93" s="6">
        <v>0.5</v>
      </c>
      <c r="Q93" s="2"/>
      <c r="R93" s="7">
        <f t="shared" si="44"/>
        <v>1.8946639234711898E-7</v>
      </c>
      <c r="S93" s="2"/>
      <c r="T93" s="6">
        <v>1.45</v>
      </c>
      <c r="U93" s="2"/>
      <c r="V93" s="7">
        <f t="shared" si="45"/>
        <v>3.0099493939491807E-7</v>
      </c>
      <c r="W93" s="2"/>
      <c r="X93" s="6">
        <f t="shared" si="46"/>
        <v>-0.95</v>
      </c>
      <c r="Y93" s="2"/>
      <c r="Z93" s="7">
        <f t="shared" si="47"/>
        <v>-0.65517241379310343</v>
      </c>
    </row>
    <row r="94" spans="1:26" s="25" customFormat="1" outlineLevel="1" collapsed="1" x14ac:dyDescent="0.25">
      <c r="A94" s="27"/>
      <c r="B94" s="13" t="str">
        <f>CONCATENATE("     ","General                                           ")</f>
        <v xml:space="preserve">     General                                           </v>
      </c>
      <c r="C94" s="13"/>
      <c r="D94" s="1">
        <f>SUM(OSRRefD22_7x_0)</f>
        <v>-4.21</v>
      </c>
      <c r="E94" s="1"/>
      <c r="F94" s="5">
        <f t="shared" ref="F94:F100" si="48">IF(D$12=0,0,D94/D$12)</f>
        <v>-5.3916896005577659E-5</v>
      </c>
      <c r="G94" s="1"/>
      <c r="H94" s="1">
        <f>SUM(OSRRefH22_7x_0)</f>
        <v>0</v>
      </c>
      <c r="I94" s="1"/>
      <c r="J94" s="5">
        <f t="shared" ref="J94:J100" si="49">IF(H$12=0,0,H94/H$12)</f>
        <v>0</v>
      </c>
      <c r="K94" s="1"/>
      <c r="L94" s="1">
        <f t="shared" ref="L94:L100" si="50">+D94-H94</f>
        <v>-4.21</v>
      </c>
      <c r="M94" s="1"/>
      <c r="N94" s="5">
        <f t="shared" ref="N94:N100" si="51">IF(H94=0,0,L94/H94)</f>
        <v>0</v>
      </c>
      <c r="O94" s="13"/>
      <c r="P94" s="1">
        <f>SUM(OSRRefP22_7x_0)</f>
        <v>-1042.03</v>
      </c>
      <c r="Q94" s="1"/>
      <c r="R94" s="5">
        <f t="shared" ref="R94:R100" si="52">IF(P$12=0,0,P94/P$12)</f>
        <v>-3.9485932963493676E-4</v>
      </c>
      <c r="S94" s="1"/>
      <c r="T94" s="1">
        <f>SUM(OSRRefT22_7x_0)</f>
        <v>8253.06</v>
      </c>
      <c r="U94" s="1"/>
      <c r="V94" s="5">
        <f t="shared" ref="V94:V100" si="53">IF(T$12=0,0,T94/T$12)</f>
        <v>1.7131926169121534E-3</v>
      </c>
      <c r="W94" s="1"/>
      <c r="X94" s="1">
        <f t="shared" ref="X94:X100" si="54">+P94-T94</f>
        <v>-9295.09</v>
      </c>
      <c r="Y94" s="1"/>
      <c r="Z94" s="5">
        <f t="shared" ref="Z94:Z100" si="55">IF(T94=0,0,X94/T94)</f>
        <v>-1.126259835745772</v>
      </c>
    </row>
    <row r="95" spans="1:26" s="24" customFormat="1" hidden="1" outlineLevel="2" x14ac:dyDescent="0.25">
      <c r="A95" s="26"/>
      <c r="B95" s="11" t="str">
        <f>CONCATENATE("          ", "6279", " - ", "GENERAL EXPENSE")</f>
        <v xml:space="preserve">          6279 - GENERAL EXPENSE</v>
      </c>
      <c r="C95" s="11"/>
      <c r="D95" s="6">
        <v>-4.21</v>
      </c>
      <c r="E95" s="2"/>
      <c r="F95" s="7">
        <f t="shared" si="48"/>
        <v>-5.3916896005577659E-5</v>
      </c>
      <c r="G95" s="2"/>
      <c r="H95" s="6"/>
      <c r="I95" s="2"/>
      <c r="J95" s="7">
        <f t="shared" si="49"/>
        <v>0</v>
      </c>
      <c r="K95" s="2"/>
      <c r="L95" s="6">
        <f t="shared" si="50"/>
        <v>-4.21</v>
      </c>
      <c r="M95" s="2"/>
      <c r="N95" s="7">
        <f t="shared" si="51"/>
        <v>0</v>
      </c>
      <c r="O95" s="11"/>
      <c r="P95" s="6">
        <v>-1042.03</v>
      </c>
      <c r="Q95" s="2"/>
      <c r="R95" s="7">
        <f t="shared" si="52"/>
        <v>-3.9485932963493676E-4</v>
      </c>
      <c r="S95" s="2"/>
      <c r="T95" s="6">
        <v>8253.06</v>
      </c>
      <c r="U95" s="2"/>
      <c r="V95" s="7">
        <f t="shared" si="53"/>
        <v>1.7131926169121534E-3</v>
      </c>
      <c r="W95" s="2"/>
      <c r="X95" s="6">
        <f t="shared" si="54"/>
        <v>-9295.09</v>
      </c>
      <c r="Y95" s="2"/>
      <c r="Z95" s="7">
        <f t="shared" si="55"/>
        <v>-1.126259835745772</v>
      </c>
    </row>
    <row r="96" spans="1:26" s="25" customFormat="1" outlineLevel="1" collapsed="1" x14ac:dyDescent="0.25">
      <c r="A96" s="27"/>
      <c r="B96" s="13" t="str">
        <f>CONCATENATE("     ","Inventory Adjustment                              ")</f>
        <v xml:space="preserve">     Inventory Adjustment                              </v>
      </c>
      <c r="C96" s="13"/>
      <c r="D96" s="1">
        <f>SUM(OSRRefD22_8x_0)</f>
        <v>1000</v>
      </c>
      <c r="E96" s="1"/>
      <c r="F96" s="5">
        <f t="shared" si="48"/>
        <v>1.2806863659282105E-2</v>
      </c>
      <c r="G96" s="1"/>
      <c r="H96" s="1">
        <f>SUM(OSRRefH22_8x_0)</f>
        <v>1000</v>
      </c>
      <c r="I96" s="1"/>
      <c r="J96" s="5">
        <f t="shared" si="49"/>
        <v>4.9011189450596342E-3</v>
      </c>
      <c r="K96" s="1"/>
      <c r="L96" s="1">
        <f t="shared" si="50"/>
        <v>0</v>
      </c>
      <c r="M96" s="1"/>
      <c r="N96" s="5">
        <f t="shared" si="51"/>
        <v>0</v>
      </c>
      <c r="O96" s="13"/>
      <c r="P96" s="1">
        <f>SUM(OSRRefP22_8x_0)</f>
        <v>13000</v>
      </c>
      <c r="Q96" s="1"/>
      <c r="R96" s="5">
        <f t="shared" si="52"/>
        <v>4.9261262010250936E-3</v>
      </c>
      <c r="S96" s="1"/>
      <c r="T96" s="1">
        <f>SUM(OSRRefT22_8x_0)</f>
        <v>13800</v>
      </c>
      <c r="U96" s="1"/>
      <c r="V96" s="5">
        <f t="shared" si="53"/>
        <v>2.864641492172324E-3</v>
      </c>
      <c r="W96" s="1"/>
      <c r="X96" s="1">
        <f t="shared" si="54"/>
        <v>-800</v>
      </c>
      <c r="Y96" s="1"/>
      <c r="Z96" s="5">
        <f t="shared" si="55"/>
        <v>-5.7971014492753624E-2</v>
      </c>
    </row>
    <row r="97" spans="1:26" s="24" customFormat="1" hidden="1" outlineLevel="2" x14ac:dyDescent="0.25">
      <c r="A97" s="26"/>
      <c r="B97" s="11" t="str">
        <f>CONCATENATE("          ", "6408", " - ", "INVENTORY ADJUSTMENT")</f>
        <v xml:space="preserve">          6408 - INVENTORY ADJUSTMENT</v>
      </c>
      <c r="C97" s="11"/>
      <c r="D97" s="6">
        <v>1000</v>
      </c>
      <c r="E97" s="2"/>
      <c r="F97" s="7">
        <f t="shared" si="48"/>
        <v>1.2806863659282105E-2</v>
      </c>
      <c r="G97" s="2"/>
      <c r="H97" s="6">
        <v>1000</v>
      </c>
      <c r="I97" s="2"/>
      <c r="J97" s="7">
        <f t="shared" si="49"/>
        <v>4.9011189450596342E-3</v>
      </c>
      <c r="K97" s="2"/>
      <c r="L97" s="6">
        <f t="shared" si="50"/>
        <v>0</v>
      </c>
      <c r="M97" s="2"/>
      <c r="N97" s="7">
        <f t="shared" si="51"/>
        <v>0</v>
      </c>
      <c r="O97" s="11"/>
      <c r="P97" s="6">
        <v>13000</v>
      </c>
      <c r="Q97" s="2"/>
      <c r="R97" s="7">
        <f t="shared" si="52"/>
        <v>4.9261262010250936E-3</v>
      </c>
      <c r="S97" s="2"/>
      <c r="T97" s="6">
        <v>13800</v>
      </c>
      <c r="U97" s="2"/>
      <c r="V97" s="7">
        <f t="shared" si="53"/>
        <v>2.864641492172324E-3</v>
      </c>
      <c r="W97" s="2"/>
      <c r="X97" s="6">
        <f t="shared" si="54"/>
        <v>-800</v>
      </c>
      <c r="Y97" s="2"/>
      <c r="Z97" s="7">
        <f t="shared" si="55"/>
        <v>-5.7971014492753624E-2</v>
      </c>
    </row>
    <row r="98" spans="1:26" s="25" customFormat="1" outlineLevel="1" collapsed="1" x14ac:dyDescent="0.25">
      <c r="A98" s="27"/>
      <c r="B98" s="13" t="str">
        <f>CONCATENATE("     ","Repair and Maintenance                            ")</f>
        <v xml:space="preserve">     Repair and Maintenance                            </v>
      </c>
      <c r="C98" s="13"/>
      <c r="D98" s="1">
        <f>SUM(OSRRefD22_9x_0)</f>
        <v>15.47</v>
      </c>
      <c r="E98" s="1"/>
      <c r="F98" s="5">
        <f t="shared" si="48"/>
        <v>1.9812218080909416E-4</v>
      </c>
      <c r="G98" s="1"/>
      <c r="H98" s="1">
        <f>SUM(OSRRefH22_9x_0)</f>
        <v>43.62</v>
      </c>
      <c r="I98" s="1"/>
      <c r="J98" s="5">
        <f t="shared" si="49"/>
        <v>2.1378680838350121E-4</v>
      </c>
      <c r="K98" s="1"/>
      <c r="L98" s="1">
        <f t="shared" si="50"/>
        <v>-28.15</v>
      </c>
      <c r="M98" s="1"/>
      <c r="N98" s="5">
        <f t="shared" si="51"/>
        <v>-0.64534617148097206</v>
      </c>
      <c r="O98" s="13"/>
      <c r="P98" s="1">
        <f>SUM(OSRRefP22_9x_0)</f>
        <v>182.85000000000002</v>
      </c>
      <c r="Q98" s="1"/>
      <c r="R98" s="5">
        <f t="shared" si="52"/>
        <v>6.9287859681341416E-5</v>
      </c>
      <c r="S98" s="1"/>
      <c r="T98" s="1">
        <f>SUM(OSRRefT22_9x_0)</f>
        <v>186.78</v>
      </c>
      <c r="U98" s="1"/>
      <c r="V98" s="5">
        <f t="shared" si="53"/>
        <v>3.8772299848401934E-5</v>
      </c>
      <c r="W98" s="1"/>
      <c r="X98" s="1">
        <f t="shared" si="54"/>
        <v>-3.9299999999999784</v>
      </c>
      <c r="Y98" s="1"/>
      <c r="Z98" s="5">
        <f t="shared" si="55"/>
        <v>-2.10407966591711E-2</v>
      </c>
    </row>
    <row r="99" spans="1:26" s="24" customFormat="1" hidden="1" outlineLevel="2" x14ac:dyDescent="0.25">
      <c r="A99" s="26"/>
      <c r="B99" s="11" t="str">
        <f>CONCATENATE("          ", "6373", " - ", "MAINTENANCE CONTRACTS")</f>
        <v xml:space="preserve">          6373 - MAINTENANCE CONTRACTS</v>
      </c>
      <c r="C99" s="11"/>
      <c r="D99" s="6">
        <v>15.47</v>
      </c>
      <c r="E99" s="2"/>
      <c r="F99" s="7">
        <f t="shared" si="48"/>
        <v>1.9812218080909416E-4</v>
      </c>
      <c r="G99" s="2"/>
      <c r="H99" s="6">
        <v>43.62</v>
      </c>
      <c r="I99" s="2"/>
      <c r="J99" s="7">
        <f t="shared" si="49"/>
        <v>2.1378680838350121E-4</v>
      </c>
      <c r="K99" s="2"/>
      <c r="L99" s="6">
        <f t="shared" si="50"/>
        <v>-28.15</v>
      </c>
      <c r="M99" s="2"/>
      <c r="N99" s="7">
        <f t="shared" si="51"/>
        <v>-0.64534617148097206</v>
      </c>
      <c r="O99" s="11"/>
      <c r="P99" s="6">
        <v>157.74</v>
      </c>
      <c r="Q99" s="2"/>
      <c r="R99" s="7">
        <f t="shared" si="52"/>
        <v>5.97728574576691E-5</v>
      </c>
      <c r="S99" s="2"/>
      <c r="T99" s="6">
        <v>186.78</v>
      </c>
      <c r="U99" s="2"/>
      <c r="V99" s="7">
        <f t="shared" si="53"/>
        <v>3.8772299848401934E-5</v>
      </c>
      <c r="W99" s="2"/>
      <c r="X99" s="6">
        <f t="shared" si="54"/>
        <v>-29.039999999999992</v>
      </c>
      <c r="Y99" s="2"/>
      <c r="Z99" s="7">
        <f t="shared" si="55"/>
        <v>-0.15547703180212011</v>
      </c>
    </row>
    <row r="100" spans="1:26" s="24" customFormat="1" hidden="1" outlineLevel="2" x14ac:dyDescent="0.25">
      <c r="A100" s="26"/>
      <c r="B100" s="11" t="str">
        <f>CONCATENATE("          ", "6375", " - ", "OUTSIDE REPAIRS &amp; MAINTENANCE")</f>
        <v xml:space="preserve">          6375 - OUTSIDE REPAIRS &amp; MAINTENANCE</v>
      </c>
      <c r="C100" s="11"/>
      <c r="D100" s="6"/>
      <c r="E100" s="2"/>
      <c r="F100" s="7">
        <f t="shared" si="48"/>
        <v>0</v>
      </c>
      <c r="G100" s="2"/>
      <c r="H100" s="6"/>
      <c r="I100" s="2"/>
      <c r="J100" s="7">
        <f t="shared" si="49"/>
        <v>0</v>
      </c>
      <c r="K100" s="2"/>
      <c r="L100" s="6">
        <f t="shared" si="50"/>
        <v>0</v>
      </c>
      <c r="M100" s="2"/>
      <c r="N100" s="7">
        <f t="shared" si="51"/>
        <v>0</v>
      </c>
      <c r="O100" s="11"/>
      <c r="P100" s="6">
        <v>25.11</v>
      </c>
      <c r="Q100" s="2"/>
      <c r="R100" s="7">
        <f t="shared" si="52"/>
        <v>9.5150022236723143E-6</v>
      </c>
      <c r="S100" s="2"/>
      <c r="T100" s="6"/>
      <c r="U100" s="2"/>
      <c r="V100" s="7">
        <f t="shared" si="53"/>
        <v>0</v>
      </c>
      <c r="W100" s="2"/>
      <c r="X100" s="6">
        <f t="shared" si="54"/>
        <v>25.11</v>
      </c>
      <c r="Y100" s="2"/>
      <c r="Z100" s="7">
        <f t="shared" si="55"/>
        <v>0</v>
      </c>
    </row>
    <row r="101" spans="1:26" s="25" customFormat="1" outlineLevel="1" collapsed="1" x14ac:dyDescent="0.25">
      <c r="A101" s="27"/>
      <c r="B101" s="13" t="str">
        <f>CONCATENATE("     ","Subscriptions &amp; Dues                              ")</f>
        <v xml:space="preserve">     Subscriptions &amp; Dues                              </v>
      </c>
      <c r="C101" s="13"/>
      <c r="D101" s="1">
        <f>SUM(OSRRefD22_10x_0)</f>
        <v>181.41</v>
      </c>
      <c r="E101" s="1"/>
      <c r="F101" s="5">
        <f t="shared" ref="F101:F103" si="56">IF(D$12=0,0,D101/D$12)</f>
        <v>2.3232931364303667E-3</v>
      </c>
      <c r="G101" s="1"/>
      <c r="H101" s="1">
        <f>SUM(OSRRefH22_10x_0)</f>
        <v>506.44</v>
      </c>
      <c r="I101" s="1"/>
      <c r="J101" s="5">
        <f t="shared" ref="J101:J103" si="57">IF(H$12=0,0,H101/H$12)</f>
        <v>2.4821226785360011E-3</v>
      </c>
      <c r="K101" s="1"/>
      <c r="L101" s="1">
        <f t="shared" ref="L101:L103" si="58">+D101-H101</f>
        <v>-325.02999999999997</v>
      </c>
      <c r="M101" s="1"/>
      <c r="N101" s="5">
        <f t="shared" ref="N101:N103" si="59">IF(H101=0,0,L101/H101)</f>
        <v>-0.64179369718031742</v>
      </c>
      <c r="O101" s="13"/>
      <c r="P101" s="1">
        <f>SUM(OSRRefP22_10x_0)</f>
        <v>4093.84</v>
      </c>
      <c r="Q101" s="1"/>
      <c r="R101" s="5">
        <f t="shared" ref="R101:R103" si="60">IF(P$12=0,0,P101/P$12)</f>
        <v>1.5512901912926591E-3</v>
      </c>
      <c r="S101" s="1"/>
      <c r="T101" s="1">
        <f>SUM(OSRRefT22_10x_0)</f>
        <v>2321.94</v>
      </c>
      <c r="U101" s="1"/>
      <c r="V101" s="5">
        <f t="shared" ref="V101:V103" si="61">IF(T$12=0,0,T101/T$12)</f>
        <v>4.8199461350250766E-4</v>
      </c>
      <c r="W101" s="1"/>
      <c r="X101" s="1">
        <f t="shared" ref="X101:X103" si="62">+P101-T101</f>
        <v>1771.9</v>
      </c>
      <c r="Y101" s="1"/>
      <c r="Z101" s="5">
        <f t="shared" ref="Z101:Z103" si="63">IF(T101=0,0,X101/T101)</f>
        <v>0.76311188058261625</v>
      </c>
    </row>
    <row r="102" spans="1:26" s="24" customFormat="1" hidden="1" outlineLevel="2" x14ac:dyDescent="0.25">
      <c r="A102" s="26"/>
      <c r="B102" s="11" t="str">
        <f>CONCATENATE("          ", "6258", " - ", "MEMBERSHIP DUES")</f>
        <v xml:space="preserve">          6258 - MEMBERSHIP DUES</v>
      </c>
      <c r="C102" s="11"/>
      <c r="D102" s="6">
        <v>181.41</v>
      </c>
      <c r="E102" s="2"/>
      <c r="F102" s="7">
        <f t="shared" si="56"/>
        <v>2.3232931364303667E-3</v>
      </c>
      <c r="G102" s="2"/>
      <c r="H102" s="6">
        <v>506.44</v>
      </c>
      <c r="I102" s="2"/>
      <c r="J102" s="7">
        <f t="shared" si="57"/>
        <v>2.4821226785360011E-3</v>
      </c>
      <c r="K102" s="2"/>
      <c r="L102" s="6">
        <f t="shared" si="58"/>
        <v>-325.02999999999997</v>
      </c>
      <c r="M102" s="2"/>
      <c r="N102" s="7">
        <f t="shared" si="59"/>
        <v>-0.64179369718031742</v>
      </c>
      <c r="O102" s="11"/>
      <c r="P102" s="6">
        <v>2241.7600000000002</v>
      </c>
      <c r="Q102" s="2"/>
      <c r="R102" s="7">
        <f t="shared" si="60"/>
        <v>8.4947635941615498E-4</v>
      </c>
      <c r="S102" s="2"/>
      <c r="T102" s="6">
        <v>2321.94</v>
      </c>
      <c r="U102" s="2"/>
      <c r="V102" s="7">
        <f t="shared" si="61"/>
        <v>4.8199461350250766E-4</v>
      </c>
      <c r="W102" s="2"/>
      <c r="X102" s="6">
        <f t="shared" si="62"/>
        <v>-80.179999999999836</v>
      </c>
      <c r="Y102" s="2"/>
      <c r="Z102" s="7">
        <f t="shared" si="63"/>
        <v>-3.4531469374746909E-2</v>
      </c>
    </row>
    <row r="103" spans="1:26" s="24" customFormat="1" hidden="1" outlineLevel="2" x14ac:dyDescent="0.25">
      <c r="A103" s="26"/>
      <c r="B103" s="11" t="str">
        <f>CONCATENATE("          ", "6275", " - ", "SUBSCRIPTIONS")</f>
        <v xml:space="preserve">          6275 - SUBSCRIPTIONS</v>
      </c>
      <c r="C103" s="11"/>
      <c r="D103" s="6"/>
      <c r="E103" s="2"/>
      <c r="F103" s="7">
        <f t="shared" si="56"/>
        <v>0</v>
      </c>
      <c r="G103" s="2"/>
      <c r="H103" s="6"/>
      <c r="I103" s="2"/>
      <c r="J103" s="7">
        <f t="shared" si="57"/>
        <v>0</v>
      </c>
      <c r="K103" s="2"/>
      <c r="L103" s="6">
        <f t="shared" si="58"/>
        <v>0</v>
      </c>
      <c r="M103" s="2"/>
      <c r="N103" s="7">
        <f t="shared" si="59"/>
        <v>0</v>
      </c>
      <c r="O103" s="11"/>
      <c r="P103" s="6">
        <v>1852.08</v>
      </c>
      <c r="Q103" s="2"/>
      <c r="R103" s="7">
        <f t="shared" si="60"/>
        <v>7.0181383187650423E-4</v>
      </c>
      <c r="S103" s="2"/>
      <c r="T103" s="6"/>
      <c r="U103" s="2"/>
      <c r="V103" s="7">
        <f t="shared" si="61"/>
        <v>0</v>
      </c>
      <c r="W103" s="2"/>
      <c r="X103" s="6">
        <f t="shared" si="62"/>
        <v>1852.08</v>
      </c>
      <c r="Y103" s="2"/>
      <c r="Z103" s="7">
        <f t="shared" si="63"/>
        <v>0</v>
      </c>
    </row>
    <row r="104" spans="1:26" s="25" customFormat="1" outlineLevel="1" collapsed="1" x14ac:dyDescent="0.25">
      <c r="A104" s="27"/>
      <c r="B104" s="13" t="str">
        <f>CONCATENATE("     ","Supplies                                          ")</f>
        <v xml:space="preserve">     Supplies                                          </v>
      </c>
      <c r="C104" s="13"/>
      <c r="D104" s="1">
        <f>SUM(OSRRefD22_11x_0)</f>
        <v>583.6</v>
      </c>
      <c r="E104" s="1"/>
      <c r="F104" s="5">
        <f t="shared" ref="F104:F107" si="64">IF(D$12=0,0,D104/D$12)</f>
        <v>7.4740856315570368E-3</v>
      </c>
      <c r="G104" s="1"/>
      <c r="H104" s="1">
        <f>SUM(OSRRefH22_11x_0)</f>
        <v>1393.8600000000001</v>
      </c>
      <c r="I104" s="1"/>
      <c r="J104" s="5">
        <f t="shared" ref="J104:J107" si="65">IF(H$12=0,0,H104/H$12)</f>
        <v>6.8314736527608222E-3</v>
      </c>
      <c r="K104" s="1"/>
      <c r="L104" s="1">
        <f t="shared" ref="L104:L107" si="66">+D104-H104</f>
        <v>-810.2600000000001</v>
      </c>
      <c r="M104" s="1"/>
      <c r="N104" s="5">
        <f t="shared" ref="N104:N107" si="67">IF(H104=0,0,L104/H104)</f>
        <v>-0.58130658746215547</v>
      </c>
      <c r="O104" s="13"/>
      <c r="P104" s="1">
        <f>SUM(OSRRefP22_11x_0)</f>
        <v>4835.5</v>
      </c>
      <c r="Q104" s="1"/>
      <c r="R104" s="5">
        <f t="shared" ref="R104:R107" si="68">IF(P$12=0,0,P104/P$12)</f>
        <v>1.8323294803889876E-3</v>
      </c>
      <c r="S104" s="1"/>
      <c r="T104" s="1">
        <f>SUM(OSRRefT22_11x_0)</f>
        <v>11037.189999999999</v>
      </c>
      <c r="U104" s="1"/>
      <c r="V104" s="5">
        <f t="shared" ref="V104:V107" si="69">IF(T$12=0,0,T104/T$12)</f>
        <v>2.2911298863035833E-3</v>
      </c>
      <c r="W104" s="1"/>
      <c r="X104" s="1">
        <f t="shared" ref="X104:X107" si="70">+P104-T104</f>
        <v>-6201.6899999999987</v>
      </c>
      <c r="Y104" s="1"/>
      <c r="Z104" s="5">
        <f t="shared" ref="Z104:Z107" si="71">IF(T104=0,0,X104/T104)</f>
        <v>-0.56189029997671502</v>
      </c>
    </row>
    <row r="105" spans="1:26" s="24" customFormat="1" hidden="1" outlineLevel="2" x14ac:dyDescent="0.25">
      <c r="A105" s="26"/>
      <c r="B105" s="11" t="str">
        <f>CONCATENATE("          ", "6241", " - ", "OFFICE EXPENSE")</f>
        <v xml:space="preserve">          6241 - OFFICE EXPENSE</v>
      </c>
      <c r="C105" s="11"/>
      <c r="D105" s="6">
        <v>45</v>
      </c>
      <c r="E105" s="2"/>
      <c r="F105" s="7">
        <f t="shared" si="64"/>
        <v>5.7630886466769474E-4</v>
      </c>
      <c r="G105" s="2"/>
      <c r="H105" s="6">
        <v>140.94</v>
      </c>
      <c r="I105" s="2"/>
      <c r="J105" s="7">
        <f t="shared" si="65"/>
        <v>6.9076370411670477E-4</v>
      </c>
      <c r="K105" s="2"/>
      <c r="L105" s="6">
        <f t="shared" si="66"/>
        <v>-95.94</v>
      </c>
      <c r="M105" s="2"/>
      <c r="N105" s="7">
        <f t="shared" si="67"/>
        <v>-0.68071519795657731</v>
      </c>
      <c r="O105" s="11"/>
      <c r="P105" s="6">
        <v>1254.5999999999999</v>
      </c>
      <c r="Q105" s="2"/>
      <c r="R105" s="7">
        <f t="shared" si="68"/>
        <v>4.754090716773909E-4</v>
      </c>
      <c r="S105" s="2"/>
      <c r="T105" s="6">
        <v>3945.15</v>
      </c>
      <c r="U105" s="2"/>
      <c r="V105" s="7">
        <f t="shared" si="69"/>
        <v>8.1894495527852496E-4</v>
      </c>
      <c r="W105" s="2"/>
      <c r="X105" s="6">
        <f t="shared" si="70"/>
        <v>-2690.55</v>
      </c>
      <c r="Y105" s="2"/>
      <c r="Z105" s="7">
        <f t="shared" si="71"/>
        <v>-0.6819892779742216</v>
      </c>
    </row>
    <row r="106" spans="1:26" s="24" customFormat="1" hidden="1" outlineLevel="2" x14ac:dyDescent="0.25">
      <c r="A106" s="26"/>
      <c r="B106" s="11" t="str">
        <f>CONCATENATE("          ", "6245", " - ", "PRINTING")</f>
        <v xml:space="preserve">          6245 - PRINTING</v>
      </c>
      <c r="C106" s="11"/>
      <c r="D106" s="6"/>
      <c r="E106" s="2"/>
      <c r="F106" s="7">
        <f t="shared" si="64"/>
        <v>0</v>
      </c>
      <c r="G106" s="2"/>
      <c r="H106" s="6"/>
      <c r="I106" s="2"/>
      <c r="J106" s="7">
        <f t="shared" si="65"/>
        <v>0</v>
      </c>
      <c r="K106" s="2"/>
      <c r="L106" s="6">
        <f t="shared" si="66"/>
        <v>0</v>
      </c>
      <c r="M106" s="2"/>
      <c r="N106" s="7">
        <f t="shared" si="67"/>
        <v>0</v>
      </c>
      <c r="O106" s="11"/>
      <c r="P106" s="6"/>
      <c r="Q106" s="2"/>
      <c r="R106" s="7">
        <f t="shared" si="68"/>
        <v>0</v>
      </c>
      <c r="S106" s="2"/>
      <c r="T106" s="6">
        <v>4978.08</v>
      </c>
      <c r="U106" s="2"/>
      <c r="V106" s="7">
        <f t="shared" si="69"/>
        <v>1.0333633709676234E-3</v>
      </c>
      <c r="W106" s="2"/>
      <c r="X106" s="6">
        <f t="shared" si="70"/>
        <v>-4978.08</v>
      </c>
      <c r="Y106" s="2"/>
      <c r="Z106" s="7">
        <f t="shared" si="71"/>
        <v>-1</v>
      </c>
    </row>
    <row r="107" spans="1:26" s="24" customFormat="1" hidden="1" outlineLevel="2" x14ac:dyDescent="0.25">
      <c r="A107" s="26"/>
      <c r="B107" s="11" t="str">
        <f>CONCATENATE("          ", "6247", " - ", "STORE SUPPLIES")</f>
        <v xml:space="preserve">          6247 - STORE SUPPLIES</v>
      </c>
      <c r="C107" s="11"/>
      <c r="D107" s="6">
        <v>538.6</v>
      </c>
      <c r="E107" s="2"/>
      <c r="F107" s="7">
        <f t="shared" si="64"/>
        <v>6.8977767668893424E-3</v>
      </c>
      <c r="G107" s="2"/>
      <c r="H107" s="6">
        <v>1252.92</v>
      </c>
      <c r="I107" s="2"/>
      <c r="J107" s="7">
        <f t="shared" si="65"/>
        <v>6.1407099486441175E-3</v>
      </c>
      <c r="K107" s="2"/>
      <c r="L107" s="6">
        <f t="shared" si="66"/>
        <v>-714.32</v>
      </c>
      <c r="M107" s="2"/>
      <c r="N107" s="7">
        <f t="shared" si="67"/>
        <v>-0.57012418989241131</v>
      </c>
      <c r="O107" s="11"/>
      <c r="P107" s="6">
        <v>3580.9</v>
      </c>
      <c r="Q107" s="2"/>
      <c r="R107" s="7">
        <f t="shared" si="68"/>
        <v>1.3569204087115966E-3</v>
      </c>
      <c r="S107" s="2"/>
      <c r="T107" s="6">
        <v>2113.96</v>
      </c>
      <c r="U107" s="2"/>
      <c r="V107" s="7">
        <f t="shared" si="69"/>
        <v>4.3882156005743521E-4</v>
      </c>
      <c r="W107" s="2"/>
      <c r="X107" s="6">
        <f t="shared" si="70"/>
        <v>1466.94</v>
      </c>
      <c r="Y107" s="2"/>
      <c r="Z107" s="7">
        <f t="shared" si="71"/>
        <v>0.69392987568355124</v>
      </c>
    </row>
    <row r="108" spans="1:26" s="25" customFormat="1" outlineLevel="1" collapsed="1" x14ac:dyDescent="0.25">
      <c r="A108" s="27"/>
      <c r="B108" s="13" t="str">
        <f>CONCATENATE("     ","Telephone/Data Lines                              ")</f>
        <v xml:space="preserve">     Telephone/Data Lines                              </v>
      </c>
      <c r="C108" s="13"/>
      <c r="D108" s="1">
        <f>SUM(OSRRefD22_12x_0)</f>
        <v>505.85</v>
      </c>
      <c r="E108" s="1"/>
      <c r="F108" s="5">
        <f t="shared" ref="F108:F110" si="72">IF(D$12=0,0,D108/D$12)</f>
        <v>6.478351982047853E-3</v>
      </c>
      <c r="G108" s="1"/>
      <c r="H108" s="1">
        <f>SUM(OSRRefH22_12x_0)</f>
        <v>289.85000000000002</v>
      </c>
      <c r="I108" s="1"/>
      <c r="J108" s="5">
        <f t="shared" ref="J108:J110" si="73">IF(H$12=0,0,H108/H$12)</f>
        <v>1.420589326225535E-3</v>
      </c>
      <c r="K108" s="1"/>
      <c r="L108" s="1">
        <f t="shared" ref="L108:L110" si="74">+D108-H108</f>
        <v>216</v>
      </c>
      <c r="M108" s="1"/>
      <c r="N108" s="5">
        <f t="shared" ref="N108:N110" si="75">IF(H108=0,0,L108/H108)</f>
        <v>0.74521304122822141</v>
      </c>
      <c r="O108" s="13"/>
      <c r="P108" s="1">
        <f>SUM(OSRRefP22_12x_0)</f>
        <v>6763.55</v>
      </c>
      <c r="Q108" s="1"/>
      <c r="R108" s="5">
        <f t="shared" ref="R108:R110" si="76">IF(P$12=0,0,P108/P$12)</f>
        <v>2.5629308359187133E-3</v>
      </c>
      <c r="S108" s="1"/>
      <c r="T108" s="1">
        <f>SUM(OSRRefT22_12x_0)</f>
        <v>6200.24</v>
      </c>
      <c r="U108" s="1"/>
      <c r="V108" s="5">
        <f t="shared" ref="V108:V110" si="77">IF(T$12=0,0,T108/T$12)</f>
        <v>1.2870626641613427E-3</v>
      </c>
      <c r="W108" s="1"/>
      <c r="X108" s="1">
        <f t="shared" ref="X108:X110" si="78">+P108-T108</f>
        <v>563.3100000000004</v>
      </c>
      <c r="Y108" s="1"/>
      <c r="Z108" s="5">
        <f t="shared" ref="Z108:Z110" si="79">IF(T108=0,0,X108/T108)</f>
        <v>9.0852934725107484E-2</v>
      </c>
    </row>
    <row r="109" spans="1:26" s="24" customFormat="1" hidden="1" outlineLevel="2" x14ac:dyDescent="0.25">
      <c r="A109" s="26"/>
      <c r="B109" s="11" t="str">
        <f>CONCATENATE("          ", "6303", " - ", "DATA PHONE LINES")</f>
        <v xml:space="preserve">          6303 - DATA PHONE LINES</v>
      </c>
      <c r="C109" s="11"/>
      <c r="D109" s="6">
        <v>590</v>
      </c>
      <c r="E109" s="2"/>
      <c r="F109" s="7">
        <f t="shared" si="72"/>
        <v>7.556049558976442E-3</v>
      </c>
      <c r="G109" s="2"/>
      <c r="H109" s="6">
        <v>295</v>
      </c>
      <c r="I109" s="2"/>
      <c r="J109" s="7">
        <f t="shared" si="73"/>
        <v>1.4458300887925921E-3</v>
      </c>
      <c r="K109" s="2"/>
      <c r="L109" s="6">
        <f t="shared" si="74"/>
        <v>295</v>
      </c>
      <c r="M109" s="2"/>
      <c r="N109" s="7">
        <f t="shared" si="75"/>
        <v>1</v>
      </c>
      <c r="O109" s="11"/>
      <c r="P109" s="6">
        <v>2950</v>
      </c>
      <c r="Q109" s="2"/>
      <c r="R109" s="7">
        <f t="shared" si="76"/>
        <v>1.117851714848002E-3</v>
      </c>
      <c r="S109" s="2"/>
      <c r="T109" s="6">
        <v>2360</v>
      </c>
      <c r="U109" s="2"/>
      <c r="V109" s="7">
        <f t="shared" si="77"/>
        <v>4.8989521170483222E-4</v>
      </c>
      <c r="W109" s="2"/>
      <c r="X109" s="6">
        <f t="shared" si="78"/>
        <v>590</v>
      </c>
      <c r="Y109" s="2"/>
      <c r="Z109" s="7">
        <f t="shared" si="79"/>
        <v>0.25</v>
      </c>
    </row>
    <row r="110" spans="1:26" s="24" customFormat="1" hidden="1" outlineLevel="2" x14ac:dyDescent="0.25">
      <c r="A110" s="26"/>
      <c r="B110" s="11" t="str">
        <f>CONCATENATE("          ", "6309", " - ", "TELEPHONE")</f>
        <v xml:space="preserve">          6309 - TELEPHONE</v>
      </c>
      <c r="C110" s="11"/>
      <c r="D110" s="6">
        <v>-84.15</v>
      </c>
      <c r="E110" s="2"/>
      <c r="F110" s="7">
        <f t="shared" si="72"/>
        <v>-1.0776975769285892E-3</v>
      </c>
      <c r="G110" s="2"/>
      <c r="H110" s="6">
        <v>-5.15</v>
      </c>
      <c r="I110" s="2"/>
      <c r="J110" s="7">
        <f t="shared" si="73"/>
        <v>-2.5240762567057116E-5</v>
      </c>
      <c r="K110" s="2"/>
      <c r="L110" s="6">
        <f t="shared" si="74"/>
        <v>-79</v>
      </c>
      <c r="M110" s="2"/>
      <c r="N110" s="7">
        <f t="shared" si="75"/>
        <v>15.339805825242717</v>
      </c>
      <c r="O110" s="11"/>
      <c r="P110" s="6">
        <v>3813.55</v>
      </c>
      <c r="Q110" s="2"/>
      <c r="R110" s="7">
        <f t="shared" si="76"/>
        <v>1.4450791210707111E-3</v>
      </c>
      <c r="S110" s="2"/>
      <c r="T110" s="6">
        <v>3840.24</v>
      </c>
      <c r="U110" s="2"/>
      <c r="V110" s="7">
        <f t="shared" si="77"/>
        <v>7.9716745245651051E-4</v>
      </c>
      <c r="W110" s="2"/>
      <c r="X110" s="6">
        <f t="shared" si="78"/>
        <v>-26.6899999999996</v>
      </c>
      <c r="Y110" s="2"/>
      <c r="Z110" s="7">
        <f t="shared" si="79"/>
        <v>-6.9500864529299213E-3</v>
      </c>
    </row>
    <row r="111" spans="1:26" s="25" customFormat="1" outlineLevel="1" collapsed="1" x14ac:dyDescent="0.25">
      <c r="A111" s="27"/>
      <c r="B111" s="13" t="str">
        <f>CONCATENATE("     ","Training                                          ")</f>
        <v xml:space="preserve">     Training                                          </v>
      </c>
      <c r="C111" s="13"/>
      <c r="D111" s="1">
        <f>SUM(OSRRefD22_13x_0)</f>
        <v>0</v>
      </c>
      <c r="E111" s="1"/>
      <c r="F111" s="5">
        <f t="shared" ref="F111:F114" si="80">IF(D$12=0,0,D111/D$12)</f>
        <v>0</v>
      </c>
      <c r="G111" s="1"/>
      <c r="H111" s="1">
        <f>SUM(OSRRefH22_13x_0)</f>
        <v>1868.88</v>
      </c>
      <c r="I111" s="1"/>
      <c r="J111" s="5">
        <f t="shared" ref="J111:J114" si="81">IF(H$12=0,0,H111/H$12)</f>
        <v>9.1596031740430496E-3</v>
      </c>
      <c r="K111" s="1"/>
      <c r="L111" s="1">
        <f t="shared" ref="L111:L114" si="82">+D111-H111</f>
        <v>-1868.88</v>
      </c>
      <c r="M111" s="1"/>
      <c r="N111" s="5">
        <f t="shared" ref="N111:N114" si="83">IF(H111=0,0,L111/H111)</f>
        <v>-1</v>
      </c>
      <c r="O111" s="13"/>
      <c r="P111" s="1">
        <f>SUM(OSRRefP22_13x_0)</f>
        <v>0</v>
      </c>
      <c r="Q111" s="1"/>
      <c r="R111" s="5">
        <f t="shared" ref="R111:R114" si="84">IF(P$12=0,0,P111/P$12)</f>
        <v>0</v>
      </c>
      <c r="S111" s="1"/>
      <c r="T111" s="1">
        <f>SUM(OSRRefT22_13x_0)</f>
        <v>3260.35</v>
      </c>
      <c r="U111" s="1"/>
      <c r="V111" s="5">
        <f t="shared" ref="V111:V114" si="85">IF(T$12=0,0,T111/T$12)</f>
        <v>6.7679231079739396E-4</v>
      </c>
      <c r="W111" s="1"/>
      <c r="X111" s="1">
        <f t="shared" ref="X111:X114" si="86">+P111-T111</f>
        <v>-3260.35</v>
      </c>
      <c r="Y111" s="1"/>
      <c r="Z111" s="5">
        <f t="shared" ref="Z111:Z114" si="87">IF(T111=0,0,X111/T111)</f>
        <v>-1</v>
      </c>
    </row>
    <row r="112" spans="1:26" s="24" customFormat="1" hidden="1" outlineLevel="2" x14ac:dyDescent="0.25">
      <c r="A112" s="26"/>
      <c r="B112" s="11" t="str">
        <f>CONCATENATE("          ", "6376", " - ", "TRAINING")</f>
        <v xml:space="preserve">          6376 - TRAINING</v>
      </c>
      <c r="C112" s="11"/>
      <c r="D112" s="6"/>
      <c r="E112" s="2"/>
      <c r="F112" s="7">
        <f t="shared" si="80"/>
        <v>0</v>
      </c>
      <c r="G112" s="2"/>
      <c r="H112" s="6">
        <v>1868.88</v>
      </c>
      <c r="I112" s="2"/>
      <c r="J112" s="7">
        <f t="shared" si="81"/>
        <v>9.1596031740430496E-3</v>
      </c>
      <c r="K112" s="2"/>
      <c r="L112" s="6">
        <f t="shared" si="82"/>
        <v>-1868.88</v>
      </c>
      <c r="M112" s="2"/>
      <c r="N112" s="7">
        <f t="shared" si="83"/>
        <v>-1</v>
      </c>
      <c r="O112" s="11"/>
      <c r="P112" s="6"/>
      <c r="Q112" s="2"/>
      <c r="R112" s="7">
        <f t="shared" si="84"/>
        <v>0</v>
      </c>
      <c r="S112" s="2"/>
      <c r="T112" s="6">
        <v>3260.35</v>
      </c>
      <c r="U112" s="2"/>
      <c r="V112" s="7">
        <f t="shared" si="85"/>
        <v>6.7679231079739396E-4</v>
      </c>
      <c r="W112" s="2"/>
      <c r="X112" s="6">
        <f t="shared" si="86"/>
        <v>-3260.35</v>
      </c>
      <c r="Y112" s="2"/>
      <c r="Z112" s="7">
        <f t="shared" si="87"/>
        <v>-1</v>
      </c>
    </row>
    <row r="113" spans="1:26" s="25" customFormat="1" outlineLevel="1" collapsed="1" x14ac:dyDescent="0.25">
      <c r="A113" s="27"/>
      <c r="B113" s="13" t="str">
        <f>CONCATENATE("     ","Travel                                            ")</f>
        <v xml:space="preserve">     Travel                                            </v>
      </c>
      <c r="C113" s="13"/>
      <c r="D113" s="1">
        <f>SUM(OSRRefD22_14x_0)</f>
        <v>0</v>
      </c>
      <c r="E113" s="1"/>
      <c r="F113" s="5">
        <f t="shared" si="80"/>
        <v>0</v>
      </c>
      <c r="G113" s="1"/>
      <c r="H113" s="1">
        <f>SUM(OSRRefH22_14x_0)</f>
        <v>0</v>
      </c>
      <c r="I113" s="1"/>
      <c r="J113" s="5">
        <f t="shared" si="81"/>
        <v>0</v>
      </c>
      <c r="K113" s="1"/>
      <c r="L113" s="1">
        <f t="shared" si="82"/>
        <v>0</v>
      </c>
      <c r="M113" s="1"/>
      <c r="N113" s="5">
        <f t="shared" si="83"/>
        <v>0</v>
      </c>
      <c r="O113" s="13"/>
      <c r="P113" s="1">
        <f>SUM(OSRRefP22_14x_0)</f>
        <v>0.16</v>
      </c>
      <c r="Q113" s="1"/>
      <c r="R113" s="5">
        <f t="shared" si="84"/>
        <v>6.0629245551078069E-8</v>
      </c>
      <c r="S113" s="1"/>
      <c r="T113" s="1">
        <f>SUM(OSRRefT22_14x_0)</f>
        <v>83.93</v>
      </c>
      <c r="U113" s="1"/>
      <c r="V113" s="5">
        <f t="shared" si="85"/>
        <v>1.7422417423045158E-5</v>
      </c>
      <c r="W113" s="1"/>
      <c r="X113" s="1">
        <f t="shared" si="86"/>
        <v>-83.77000000000001</v>
      </c>
      <c r="Y113" s="1"/>
      <c r="Z113" s="5">
        <f t="shared" si="87"/>
        <v>-0.99809364946979628</v>
      </c>
    </row>
    <row r="114" spans="1:26" s="24" customFormat="1" hidden="1" outlineLevel="2" x14ac:dyDescent="0.25">
      <c r="A114" s="26"/>
      <c r="B114" s="11" t="str">
        <f>CONCATENATE("          ", "6292", " - ", "TRAVEL/CONFERENCE")</f>
        <v xml:space="preserve">          6292 - TRAVEL/CONFERENCE</v>
      </c>
      <c r="C114" s="11"/>
      <c r="D114" s="6"/>
      <c r="E114" s="2"/>
      <c r="F114" s="7">
        <f t="shared" si="80"/>
        <v>0</v>
      </c>
      <c r="G114" s="2"/>
      <c r="H114" s="6"/>
      <c r="I114" s="2"/>
      <c r="J114" s="7">
        <f t="shared" si="81"/>
        <v>0</v>
      </c>
      <c r="K114" s="2"/>
      <c r="L114" s="6">
        <f t="shared" si="82"/>
        <v>0</v>
      </c>
      <c r="M114" s="2"/>
      <c r="N114" s="7">
        <f t="shared" si="83"/>
        <v>0</v>
      </c>
      <c r="O114" s="11"/>
      <c r="P114" s="6">
        <v>0.16</v>
      </c>
      <c r="Q114" s="2"/>
      <c r="R114" s="7">
        <f t="shared" si="84"/>
        <v>6.0629245551078069E-8</v>
      </c>
      <c r="S114" s="2"/>
      <c r="T114" s="6">
        <v>83.93</v>
      </c>
      <c r="U114" s="2"/>
      <c r="V114" s="7">
        <f t="shared" si="85"/>
        <v>1.7422417423045158E-5</v>
      </c>
      <c r="W114" s="2"/>
      <c r="X114" s="6">
        <f t="shared" si="86"/>
        <v>-83.77000000000001</v>
      </c>
      <c r="Y114" s="2"/>
      <c r="Z114" s="7">
        <f t="shared" si="87"/>
        <v>-0.99809364946979628</v>
      </c>
    </row>
    <row r="115" spans="1:26" s="52" customFormat="1" x14ac:dyDescent="0.25">
      <c r="A115" s="37"/>
      <c r="B115" s="37"/>
      <c r="C115" s="37"/>
      <c r="D115" s="1"/>
      <c r="E115" s="1"/>
      <c r="F115" s="5"/>
      <c r="G115" s="1"/>
      <c r="H115" s="1"/>
      <c r="I115" s="1"/>
      <c r="J115" s="5"/>
      <c r="K115" s="1"/>
      <c r="L115" s="1"/>
      <c r="M115" s="1"/>
      <c r="N115" s="5"/>
      <c r="O115" s="37"/>
      <c r="P115" s="1"/>
      <c r="Q115" s="1"/>
      <c r="R115" s="5"/>
      <c r="S115" s="1"/>
      <c r="T115" s="1"/>
      <c r="U115" s="1"/>
      <c r="V115" s="5"/>
      <c r="W115" s="1"/>
      <c r="X115" s="1"/>
      <c r="Y115" s="1"/>
      <c r="Z115" s="5"/>
    </row>
    <row r="116" spans="1:26" s="23" customFormat="1" collapsed="1" x14ac:dyDescent="0.25">
      <c r="A116" s="10"/>
      <c r="B116" s="28" t="s">
        <v>0</v>
      </c>
      <c r="C116" s="10"/>
      <c r="D116" s="4">
        <f>SUM(OSRRefD25x_0)</f>
        <v>145116.21</v>
      </c>
      <c r="E116" s="4"/>
      <c r="F116" s="12">
        <f t="shared" ref="F116:F119" si="88">IF(D$12=0,0,D116/D$12)</f>
        <v>1.8584835162217503</v>
      </c>
      <c r="G116" s="4"/>
      <c r="H116" s="4">
        <f>SUM(OSRRefH25x_0)</f>
        <v>78928.62000000001</v>
      </c>
      <c r="I116" s="4"/>
      <c r="J116" s="12">
        <f t="shared" ref="J116:J119" si="89">IF(H$12=0,0,H116/H$12)</f>
        <v>0.38683855478941276</v>
      </c>
      <c r="K116" s="4"/>
      <c r="L116" s="4">
        <f t="shared" ref="L116:L119" si="90">+D116-H116</f>
        <v>66187.589999999982</v>
      </c>
      <c r="M116" s="4"/>
      <c r="N116" s="12">
        <f t="shared" ref="N116:N119" si="91">IF(H116=0,0,L116/H116)</f>
        <v>0.83857528485864785</v>
      </c>
      <c r="O116" s="10"/>
      <c r="P116" s="4">
        <f>SUM(OSRRefP25x_0)</f>
        <v>325937.90000000002</v>
      </c>
      <c r="Q116" s="4"/>
      <c r="R116" s="12">
        <f t="shared" ref="R116:R119" si="92">IF(P$12=0,0,P116/P$12)</f>
        <v>0.12350855608439207</v>
      </c>
      <c r="S116" s="4"/>
      <c r="T116" s="4">
        <f>SUM(OSRRefT25x_0)</f>
        <v>187739.28999999998</v>
      </c>
      <c r="U116" s="4"/>
      <c r="V116" s="12">
        <f t="shared" ref="V116:V119" si="93">IF(T$12=0,0,T116/T$12)</f>
        <v>3.8971431872824099E-2</v>
      </c>
      <c r="W116" s="4"/>
      <c r="X116" s="4">
        <f t="shared" ref="X116:X119" si="94">+P116-T116</f>
        <v>138198.61000000004</v>
      </c>
      <c r="Y116" s="4"/>
      <c r="Z116" s="12">
        <f t="shared" ref="Z116:Z119" si="95">IF(T116=0,0,X116/T116)</f>
        <v>0.73611980742017324</v>
      </c>
    </row>
    <row r="117" spans="1:26" s="24" customFormat="1" hidden="1" outlineLevel="1" x14ac:dyDescent="0.25">
      <c r="A117" s="44"/>
      <c r="B117" s="11" t="str">
        <f>CONCATENATE("          ", "9150", " - ", "MISC. INCOME")</f>
        <v xml:space="preserve">          9150 - MISC. INCOME</v>
      </c>
      <c r="C117" s="11"/>
      <c r="D117" s="2">
        <f>-3618.29</f>
        <v>-3618.29</v>
      </c>
      <c r="E117" s="2"/>
      <c r="F117" s="19">
        <f t="shared" si="88"/>
        <v>-4.6338946709743846E-2</v>
      </c>
      <c r="G117" s="2"/>
      <c r="H117" s="2">
        <f>--3860.52</f>
        <v>3860.52</v>
      </c>
      <c r="I117" s="2"/>
      <c r="J117" s="19">
        <f t="shared" si="89"/>
        <v>1.892086770978162E-2</v>
      </c>
      <c r="K117" s="2"/>
      <c r="L117" s="2">
        <f t="shared" si="90"/>
        <v>-7478.8099999999995</v>
      </c>
      <c r="M117" s="2"/>
      <c r="N117" s="19">
        <f t="shared" si="91"/>
        <v>-1.937254566742304</v>
      </c>
      <c r="O117" s="11"/>
      <c r="P117" s="2">
        <f>--24713.75</f>
        <v>24713.75</v>
      </c>
      <c r="Q117" s="2"/>
      <c r="R117" s="19">
        <f t="shared" si="92"/>
        <v>9.3648501077372229E-3</v>
      </c>
      <c r="S117" s="2"/>
      <c r="T117" s="2">
        <f>--20295.13</f>
        <v>20295.13</v>
      </c>
      <c r="U117" s="2"/>
      <c r="V117" s="19">
        <f t="shared" si="93"/>
        <v>4.21291822369792E-3</v>
      </c>
      <c r="W117" s="2"/>
      <c r="X117" s="2">
        <f t="shared" si="94"/>
        <v>4418.619999999999</v>
      </c>
      <c r="Y117" s="2"/>
      <c r="Z117" s="19">
        <f t="shared" si="95"/>
        <v>0.21771824077993088</v>
      </c>
    </row>
    <row r="118" spans="1:26" s="24" customFormat="1" hidden="1" outlineLevel="1" x14ac:dyDescent="0.25">
      <c r="A118" s="44"/>
      <c r="B118" s="11" t="str">
        <f>CONCATENATE("          ", "9151", " - ", "MISC. INCOME")</f>
        <v xml:space="preserve">          9151 - MISC. INCOME</v>
      </c>
      <c r="C118" s="11"/>
      <c r="D118" s="2">
        <f>--148653.31</f>
        <v>148653.31</v>
      </c>
      <c r="E118" s="2"/>
      <c r="F118" s="19">
        <f t="shared" si="88"/>
        <v>1.9037826736709971</v>
      </c>
      <c r="G118" s="2"/>
      <c r="H118" s="2">
        <f>--75068.1</f>
        <v>75068.100000000006</v>
      </c>
      <c r="I118" s="2"/>
      <c r="J118" s="19">
        <f t="shared" si="89"/>
        <v>0.36791768707963113</v>
      </c>
      <c r="K118" s="2"/>
      <c r="L118" s="2">
        <f t="shared" si="90"/>
        <v>73585.209999999992</v>
      </c>
      <c r="M118" s="2"/>
      <c r="N118" s="19">
        <f t="shared" si="91"/>
        <v>0.98024606990186225</v>
      </c>
      <c r="O118" s="11"/>
      <c r="P118" s="2">
        <f>--297910.7</f>
        <v>297910.7</v>
      </c>
      <c r="Q118" s="2"/>
      <c r="R118" s="19">
        <f t="shared" si="92"/>
        <v>0.11288813114120971</v>
      </c>
      <c r="S118" s="2"/>
      <c r="T118" s="2">
        <f>--162744.3</f>
        <v>162744.29999999999</v>
      </c>
      <c r="U118" s="2"/>
      <c r="V118" s="19">
        <f t="shared" si="93"/>
        <v>3.3782903941633358E-2</v>
      </c>
      <c r="W118" s="2"/>
      <c r="X118" s="2">
        <f t="shared" si="94"/>
        <v>135166.40000000002</v>
      </c>
      <c r="Y118" s="2"/>
      <c r="Z118" s="19">
        <f t="shared" si="95"/>
        <v>0.83054460279100428</v>
      </c>
    </row>
    <row r="119" spans="1:26" s="24" customFormat="1" hidden="1" outlineLevel="1" x14ac:dyDescent="0.25">
      <c r="A119" s="44"/>
      <c r="B119" s="11" t="str">
        <f>CONCATENATE("          ", "9152", " - ", "MISC. INCOME")</f>
        <v xml:space="preserve">          9152 - MISC. INCOME</v>
      </c>
      <c r="C119" s="11"/>
      <c r="D119" s="2">
        <f>--81.19</f>
        <v>81.19</v>
      </c>
      <c r="E119" s="2"/>
      <c r="F119" s="19">
        <f t="shared" si="88"/>
        <v>1.0397892604971141E-3</v>
      </c>
      <c r="G119" s="2"/>
      <c r="H119" s="2">
        <f>0</f>
        <v>0</v>
      </c>
      <c r="I119" s="2"/>
      <c r="J119" s="19">
        <f t="shared" si="89"/>
        <v>0</v>
      </c>
      <c r="K119" s="2"/>
      <c r="L119" s="2">
        <f t="shared" si="90"/>
        <v>81.19</v>
      </c>
      <c r="M119" s="2"/>
      <c r="N119" s="19">
        <f t="shared" si="91"/>
        <v>0</v>
      </c>
      <c r="O119" s="11"/>
      <c r="P119" s="2">
        <f>--3313.45</f>
        <v>3313.45</v>
      </c>
      <c r="Q119" s="2"/>
      <c r="R119" s="19">
        <f t="shared" si="92"/>
        <v>1.2555748354451226E-3</v>
      </c>
      <c r="S119" s="2"/>
      <c r="T119" s="2">
        <f>--4699.86</f>
        <v>4699.8599999999997</v>
      </c>
      <c r="U119" s="2"/>
      <c r="V119" s="19">
        <f t="shared" si="93"/>
        <v>9.7560970749282735E-4</v>
      </c>
      <c r="W119" s="2"/>
      <c r="X119" s="2">
        <f t="shared" si="94"/>
        <v>-1386.4099999999999</v>
      </c>
      <c r="Y119" s="2"/>
      <c r="Z119" s="19">
        <f t="shared" si="95"/>
        <v>-0.29498963798921668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10"/>
      <c r="B121" s="29" t="s">
        <v>3</v>
      </c>
      <c r="C121" s="29"/>
      <c r="D121" s="22">
        <f>+D61-D63+D116</f>
        <v>129998.30999999998</v>
      </c>
      <c r="E121" s="14"/>
      <c r="F121" s="20">
        <f>IF(D$12=0,0,D121/D$12)</f>
        <v>1.6648706321070892</v>
      </c>
      <c r="G121" s="14"/>
      <c r="H121" s="22">
        <f>+H61-H63+H116</f>
        <v>-80514.710000000065</v>
      </c>
      <c r="I121" s="14"/>
      <c r="J121" s="20">
        <f>IF(H$12=0,0,H121/H$12)</f>
        <v>-0.39461217053698266</v>
      </c>
      <c r="K121" s="16"/>
      <c r="L121" s="22">
        <f>+D121-H121</f>
        <v>210513.02000000005</v>
      </c>
      <c r="M121" s="16"/>
      <c r="N121" s="20">
        <f>IF(H121=0,0,L121/H121)</f>
        <v>-2.6145907996190991</v>
      </c>
      <c r="O121" s="28"/>
      <c r="P121" s="22">
        <f>+P61-P63+P116</f>
        <v>739160.76</v>
      </c>
      <c r="Q121" s="14"/>
      <c r="R121" s="20">
        <f>IF(P$12=0,0,P121/P$12)</f>
        <v>0.28009224512350928</v>
      </c>
      <c r="S121" s="14"/>
      <c r="T121" s="22">
        <f>+T61-T63+T116</f>
        <v>1176373.1599999983</v>
      </c>
      <c r="U121" s="14"/>
      <c r="V121" s="20">
        <f>IF(T$12=0,0,T121/T$12)</f>
        <v>0.24419473655172949</v>
      </c>
      <c r="W121" s="16"/>
      <c r="X121" s="22">
        <f>+P121-T121</f>
        <v>-437212.39999999828</v>
      </c>
      <c r="Y121" s="16"/>
      <c r="Z121" s="20">
        <f>IF(T121=0,0,X121/T121)</f>
        <v>-0.37166131876045089</v>
      </c>
    </row>
    <row r="122" spans="1:26" x14ac:dyDescent="0.25">
      <c r="A122" s="9"/>
      <c r="B122" s="10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51"/>
      <c r="B123" s="10" t="s">
        <v>13</v>
      </c>
      <c r="C123" s="10"/>
      <c r="D123" s="4">
        <v>57742.07</v>
      </c>
      <c r="E123" s="4"/>
      <c r="F123" s="12">
        <f>IF(D$12=0,0,D123/D$12)</f>
        <v>0.73949481789472349</v>
      </c>
      <c r="G123" s="4"/>
      <c r="H123" s="4">
        <v>9879.7999999999993</v>
      </c>
      <c r="I123" s="4"/>
      <c r="J123" s="12">
        <f>IF(H$12=0,0,H123/H$12)</f>
        <v>4.8422074953400167E-2</v>
      </c>
      <c r="K123" s="4"/>
      <c r="L123" s="4">
        <f>+D123-H123</f>
        <v>47862.270000000004</v>
      </c>
      <c r="M123" s="4"/>
      <c r="N123" s="12">
        <f>IF(H123=0,0,L123/H123)</f>
        <v>4.8444573776797109</v>
      </c>
      <c r="O123" s="10"/>
      <c r="P123" s="4">
        <v>522614.49999999994</v>
      </c>
      <c r="Q123" s="4"/>
      <c r="R123" s="12">
        <f>IF(P$12=0,0,P123/P$12)</f>
        <v>0.1980357678065868</v>
      </c>
      <c r="S123" s="4"/>
      <c r="T123" s="4">
        <v>490983.91000000003</v>
      </c>
      <c r="U123" s="4"/>
      <c r="V123" s="12">
        <f>IF(T$12=0,0,T123/T$12)</f>
        <v>0.1019197739547103</v>
      </c>
      <c r="W123" s="4"/>
      <c r="X123" s="4">
        <f>+P123-T123</f>
        <v>31630.589999999909</v>
      </c>
      <c r="Y123" s="4"/>
      <c r="Z123" s="12">
        <f>IF(T123=0,0,X123/T123)</f>
        <v>6.4422864692246035E-2</v>
      </c>
    </row>
    <row r="124" spans="1:26" x14ac:dyDescent="0.25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9" t="s">
        <v>4</v>
      </c>
      <c r="C125" s="29"/>
      <c r="D125" s="35">
        <f>+D121-D123</f>
        <v>72256.239999999991</v>
      </c>
      <c r="E125" s="14"/>
      <c r="F125" s="36">
        <f>IF(D$12=0,0,D125/D$12)</f>
        <v>0.92537581421236592</v>
      </c>
      <c r="G125" s="14"/>
      <c r="H125" s="35">
        <f>+H121-H123</f>
        <v>-90394.510000000068</v>
      </c>
      <c r="I125" s="14"/>
      <c r="J125" s="36">
        <f>IF(H$12=0,0,H125/H$12)</f>
        <v>-0.44303424549038289</v>
      </c>
      <c r="K125" s="16"/>
      <c r="L125" s="35">
        <f>D125-H125</f>
        <v>162650.75000000006</v>
      </c>
      <c r="M125" s="16"/>
      <c r="N125" s="36">
        <f>IF(H125=0,0,L125/H125)</f>
        <v>-1.7993432344508526</v>
      </c>
      <c r="O125" s="28"/>
      <c r="P125" s="35">
        <f>+P121-P123</f>
        <v>216546.26000000007</v>
      </c>
      <c r="Q125" s="14"/>
      <c r="R125" s="36">
        <f>IF(P$12=0,0,P125/P$12)</f>
        <v>8.2056477316922491E-2</v>
      </c>
      <c r="S125" s="14"/>
      <c r="T125" s="35">
        <f>+T121-T123</f>
        <v>685389.24999999825</v>
      </c>
      <c r="U125" s="14"/>
      <c r="V125" s="36">
        <f>IF(T$12=0,0,T125/T$12)</f>
        <v>0.14227496259701919</v>
      </c>
      <c r="W125" s="16"/>
      <c r="X125" s="35">
        <f>P125-T125</f>
        <v>-468842.98999999819</v>
      </c>
      <c r="Y125" s="16"/>
      <c r="Z125" s="36">
        <f>IF(T125=0,0,X125/T125)</f>
        <v>-0.68405360895286782</v>
      </c>
    </row>
    <row r="126" spans="1:26" ht="15.75" thickTop="1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9" t="s">
        <v>5</v>
      </c>
      <c r="C128" s="29"/>
      <c r="D128" s="31">
        <f>SUM(D125:D127)</f>
        <v>72256.239999999991</v>
      </c>
      <c r="E128" s="14"/>
      <c r="F128" s="33">
        <f>IF(D$12=0,0,D128/D$12)</f>
        <v>0.92537581421236592</v>
      </c>
      <c r="G128" s="14"/>
      <c r="H128" s="31">
        <f>SUM(H125:H127)</f>
        <v>-90394.510000000068</v>
      </c>
      <c r="I128" s="14"/>
      <c r="J128" s="33">
        <f>IF(H$12=0,0,H128/H$12)</f>
        <v>-0.44303424549038289</v>
      </c>
      <c r="K128" s="16"/>
      <c r="L128" s="31">
        <f>+D128-H128</f>
        <v>162650.75000000006</v>
      </c>
      <c r="M128" s="16"/>
      <c r="N128" s="33">
        <f>IF(H128=0,0,L128/H128)</f>
        <v>-1.7993432344508526</v>
      </c>
      <c r="O128" s="28"/>
      <c r="P128" s="31">
        <f>SUM(P125:P127)</f>
        <v>216546.26000000007</v>
      </c>
      <c r="Q128" s="14"/>
      <c r="R128" s="33">
        <f>IF(P$12=0,0,P128/P$12)</f>
        <v>8.2056477316922491E-2</v>
      </c>
      <c r="S128" s="14"/>
      <c r="T128" s="31">
        <f>SUM(T125:T127)</f>
        <v>685389.24999999825</v>
      </c>
      <c r="U128" s="14"/>
      <c r="V128" s="33">
        <f>IF(T$12=0,0,T128/T$12)</f>
        <v>0.14227496259701919</v>
      </c>
      <c r="W128" s="16"/>
      <c r="X128" s="31">
        <f>+P128-T128</f>
        <v>-468842.98999999819</v>
      </c>
      <c r="Y128" s="16"/>
      <c r="Z128" s="33">
        <f>IF(T128=0,0,X128/T128)</f>
        <v>-0.68405360895286782</v>
      </c>
    </row>
    <row r="129" spans="1:24" ht="15.75" thickTop="1" x14ac:dyDescent="0.25">
      <c r="A129" s="9"/>
      <c r="C129" s="9"/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A130" s="9"/>
      <c r="B130" s="56">
        <v>44267.667876701387</v>
      </c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4" x14ac:dyDescent="0.25">
      <c r="A131" s="9"/>
      <c r="B131" s="54" t="s">
        <v>313</v>
      </c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4" x14ac:dyDescent="0.25">
      <c r="A132" s="9"/>
      <c r="B132" s="58"/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  <row r="133" spans="1:24" x14ac:dyDescent="0.25">
      <c r="D133" s="18"/>
      <c r="E133" s="18"/>
      <c r="G133" s="18"/>
      <c r="H133" s="18"/>
      <c r="I133" s="18"/>
      <c r="J133" s="43"/>
      <c r="K133" s="18"/>
      <c r="L133" s="18"/>
      <c r="M133" s="18"/>
      <c r="P133" s="18"/>
      <c r="Q133" s="18"/>
      <c r="R133" s="43"/>
      <c r="S133" s="18"/>
      <c r="T133" s="18"/>
      <c r="U133" s="18"/>
      <c r="V133" s="43"/>
      <c r="W133" s="18"/>
      <c r="X133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","311", " - ", "Textbooks")</f>
        <v>Department 311 - Textbooks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62437.9</v>
      </c>
      <c r="E12" s="4"/>
      <c r="F12" s="12"/>
      <c r="G12" s="4"/>
      <c r="H12" s="4">
        <f>SUM(OSRRefH13x_0)</f>
        <v>143536.79999999996</v>
      </c>
      <c r="I12" s="4"/>
      <c r="J12" s="12"/>
      <c r="K12" s="4"/>
      <c r="L12" s="4">
        <f t="shared" ref="L12:L40" si="0">+D12-H12</f>
        <v>-81098.899999999965</v>
      </c>
      <c r="M12" s="4"/>
      <c r="N12" s="12">
        <f t="shared" ref="N12:N40" si="1">IF(H12=0,0,L12/H12)</f>
        <v>-0.56500423584753168</v>
      </c>
      <c r="O12" s="10"/>
      <c r="P12" s="4">
        <f>SUM(OSRRefP13x_0)</f>
        <v>1866073.4499999997</v>
      </c>
      <c r="Q12" s="4"/>
      <c r="R12" s="12"/>
      <c r="S12" s="4"/>
      <c r="T12" s="4">
        <f>SUM(OSRRefT13x_0)</f>
        <v>3273724.6199999992</v>
      </c>
      <c r="U12" s="4"/>
      <c r="V12" s="12"/>
      <c r="W12" s="4"/>
      <c r="X12" s="4">
        <f t="shared" ref="X12:X40" si="2">+P12-T12</f>
        <v>-1407651.1699999995</v>
      </c>
      <c r="Y12" s="4"/>
      <c r="Z12" s="12">
        <f t="shared" ref="Z12:Z40" si="3">IF(T12=0,0,X12/T12)</f>
        <v>-0.42998459962096625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-296.28</f>
        <v>-296.27999999999997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-296.27999999999997</v>
      </c>
      <c r="M13" s="2"/>
      <c r="N13" s="19">
        <f t="shared" si="1"/>
        <v>0</v>
      </c>
      <c r="O13" s="11"/>
      <c r="P13" s="2">
        <f>-8057.31</f>
        <v>-8057.31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-8057.31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--28416.36</f>
        <v>28416.36</v>
      </c>
      <c r="E14" s="2"/>
      <c r="F14" s="19"/>
      <c r="G14" s="2"/>
      <c r="H14" s="2">
        <f>--85495.64</f>
        <v>85495.64</v>
      </c>
      <c r="I14" s="2"/>
      <c r="J14" s="19"/>
      <c r="K14" s="2"/>
      <c r="L14" s="2">
        <f t="shared" si="0"/>
        <v>-57079.28</v>
      </c>
      <c r="M14" s="2"/>
      <c r="N14" s="19">
        <f t="shared" si="1"/>
        <v>-0.66762796325052365</v>
      </c>
      <c r="O14" s="11"/>
      <c r="P14" s="2">
        <f>--962018.08</f>
        <v>962018.08</v>
      </c>
      <c r="Q14" s="2"/>
      <c r="R14" s="19"/>
      <c r="S14" s="2"/>
      <c r="T14" s="2">
        <f>--1983765.56</f>
        <v>1983765.56</v>
      </c>
      <c r="U14" s="2"/>
      <c r="V14" s="19"/>
      <c r="W14" s="2"/>
      <c r="X14" s="2">
        <f t="shared" si="2"/>
        <v>-1021747.4800000001</v>
      </c>
      <c r="Y14" s="2"/>
      <c r="Z14" s="19">
        <f t="shared" si="3"/>
        <v>-0.51505455110330678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--8916.76</f>
        <v>8916.76</v>
      </c>
      <c r="E15" s="2"/>
      <c r="F15" s="19"/>
      <c r="G15" s="2"/>
      <c r="H15" s="2">
        <f>--27869.82</f>
        <v>27869.82</v>
      </c>
      <c r="I15" s="2"/>
      <c r="J15" s="19"/>
      <c r="K15" s="2"/>
      <c r="L15" s="2">
        <f t="shared" si="0"/>
        <v>-18953.059999999998</v>
      </c>
      <c r="M15" s="2"/>
      <c r="N15" s="19">
        <f t="shared" si="1"/>
        <v>-0.68005677826408628</v>
      </c>
      <c r="O15" s="11"/>
      <c r="P15" s="2">
        <f>--349096.97</f>
        <v>349096.97</v>
      </c>
      <c r="Q15" s="2"/>
      <c r="R15" s="19"/>
      <c r="S15" s="2"/>
      <c r="T15" s="2">
        <f>--676077.35</f>
        <v>676077.35</v>
      </c>
      <c r="U15" s="2"/>
      <c r="V15" s="19"/>
      <c r="W15" s="2"/>
      <c r="X15" s="2">
        <f t="shared" si="2"/>
        <v>-326980.38</v>
      </c>
      <c r="Y15" s="2"/>
      <c r="Z15" s="19">
        <f t="shared" si="3"/>
        <v>-0.48364344701090789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--40</f>
        <v>40</v>
      </c>
      <c r="E16" s="2"/>
      <c r="F16" s="19"/>
      <c r="G16" s="2"/>
      <c r="H16" s="2">
        <f>--1344.88</f>
        <v>1344.88</v>
      </c>
      <c r="I16" s="2"/>
      <c r="J16" s="19"/>
      <c r="K16" s="2"/>
      <c r="L16" s="2">
        <f t="shared" si="0"/>
        <v>-1304.8800000000001</v>
      </c>
      <c r="M16" s="2"/>
      <c r="N16" s="19">
        <f t="shared" si="1"/>
        <v>-0.97025756944857533</v>
      </c>
      <c r="O16" s="11"/>
      <c r="P16" s="2">
        <f>--17927.89</f>
        <v>17927.89</v>
      </c>
      <c r="Q16" s="2"/>
      <c r="R16" s="19"/>
      <c r="S16" s="2"/>
      <c r="T16" s="2">
        <f>--33616.89</f>
        <v>33616.89</v>
      </c>
      <c r="U16" s="2"/>
      <c r="V16" s="19"/>
      <c r="W16" s="2"/>
      <c r="X16" s="2">
        <f t="shared" si="2"/>
        <v>-15689</v>
      </c>
      <c r="Y16" s="2"/>
      <c r="Z16" s="19">
        <f t="shared" si="3"/>
        <v>-0.46669992375856306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ref="D17:D18" si="4">0</f>
        <v>0</v>
      </c>
      <c r="E17" s="2"/>
      <c r="F17" s="19"/>
      <c r="G17" s="2"/>
      <c r="H17" s="2">
        <f>--993.89</f>
        <v>993.89</v>
      </c>
      <c r="I17" s="2"/>
      <c r="J17" s="19"/>
      <c r="K17" s="2"/>
      <c r="L17" s="2">
        <f t="shared" si="0"/>
        <v>-993.89</v>
      </c>
      <c r="M17" s="2"/>
      <c r="N17" s="19">
        <f t="shared" si="1"/>
        <v>-1</v>
      </c>
      <c r="O17" s="11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--785.66</f>
        <v>785.66</v>
      </c>
      <c r="I18" s="2"/>
      <c r="J18" s="19"/>
      <c r="K18" s="2"/>
      <c r="L18" s="2">
        <f t="shared" si="0"/>
        <v>-785.66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f>--798.88</f>
        <v>798.88</v>
      </c>
      <c r="U18" s="2"/>
      <c r="V18" s="19"/>
      <c r="W18" s="2"/>
      <c r="X18" s="2">
        <f t="shared" si="2"/>
        <v>-798.88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--242.29</f>
        <v>242.29</v>
      </c>
      <c r="E19" s="2"/>
      <c r="F19" s="19"/>
      <c r="G19" s="2"/>
      <c r="H19" s="2">
        <f>--772.36</f>
        <v>772.36</v>
      </c>
      <c r="I19" s="2"/>
      <c r="J19" s="19"/>
      <c r="K19" s="2"/>
      <c r="L19" s="2">
        <f t="shared" si="0"/>
        <v>-530.07000000000005</v>
      </c>
      <c r="M19" s="2"/>
      <c r="N19" s="19">
        <f t="shared" si="1"/>
        <v>-0.68629913511833862</v>
      </c>
      <c r="O19" s="11"/>
      <c r="P19" s="2">
        <f>--1172.81</f>
        <v>1172.81</v>
      </c>
      <c r="Q19" s="2"/>
      <c r="R19" s="19"/>
      <c r="S19" s="2"/>
      <c r="T19" s="2">
        <f>--2282.25</f>
        <v>2282.25</v>
      </c>
      <c r="U19" s="2"/>
      <c r="V19" s="19"/>
      <c r="W19" s="2"/>
      <c r="X19" s="2">
        <f t="shared" si="2"/>
        <v>-1109.44</v>
      </c>
      <c r="Y19" s="2"/>
      <c r="Z19" s="19">
        <f t="shared" si="3"/>
        <v>-0.48611677073063864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--31.84</f>
        <v>31.84</v>
      </c>
      <c r="E20" s="2"/>
      <c r="F20" s="19"/>
      <c r="G20" s="2"/>
      <c r="H20" s="2">
        <f>--51.77</f>
        <v>51.77</v>
      </c>
      <c r="I20" s="2"/>
      <c r="J20" s="19"/>
      <c r="K20" s="2"/>
      <c r="L20" s="2">
        <f t="shared" si="0"/>
        <v>-19.930000000000003</v>
      </c>
      <c r="M20" s="2"/>
      <c r="N20" s="19">
        <f t="shared" si="1"/>
        <v>-0.38497199150086925</v>
      </c>
      <c r="O20" s="11"/>
      <c r="P20" s="2">
        <f>--411.88</f>
        <v>411.88</v>
      </c>
      <c r="Q20" s="2"/>
      <c r="R20" s="19"/>
      <c r="S20" s="2"/>
      <c r="T20" s="2">
        <f>--1151.94</f>
        <v>1151.94</v>
      </c>
      <c r="U20" s="2"/>
      <c r="V20" s="19"/>
      <c r="W20" s="2"/>
      <c r="X20" s="2">
        <f t="shared" si="2"/>
        <v>-740.06000000000006</v>
      </c>
      <c r="Y20" s="2"/>
      <c r="Z20" s="19">
        <f t="shared" si="3"/>
        <v>-0.64244665520773658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--41.7</f>
        <v>41.7</v>
      </c>
      <c r="E21" s="2"/>
      <c r="F21" s="19"/>
      <c r="G21" s="2"/>
      <c r="H21" s="2">
        <f>--469.81</f>
        <v>469.81</v>
      </c>
      <c r="I21" s="2"/>
      <c r="J21" s="19"/>
      <c r="K21" s="2"/>
      <c r="L21" s="2">
        <f t="shared" si="0"/>
        <v>-428.11</v>
      </c>
      <c r="M21" s="2"/>
      <c r="N21" s="19">
        <f t="shared" si="1"/>
        <v>-0.91124071433132547</v>
      </c>
      <c r="O21" s="11"/>
      <c r="P21" s="2">
        <f>--332.84</f>
        <v>332.84</v>
      </c>
      <c r="Q21" s="2"/>
      <c r="R21" s="19"/>
      <c r="S21" s="2"/>
      <c r="T21" s="2">
        <f>--4097.71</f>
        <v>4097.71</v>
      </c>
      <c r="U21" s="2"/>
      <c r="V21" s="19"/>
      <c r="W21" s="2"/>
      <c r="X21" s="2">
        <f t="shared" si="2"/>
        <v>-3764.87</v>
      </c>
      <c r="Y21" s="2"/>
      <c r="Z21" s="19">
        <f t="shared" si="3"/>
        <v>-0.91877414458319395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--6785.91</f>
        <v>6785.91</v>
      </c>
      <c r="E22" s="2"/>
      <c r="F22" s="19"/>
      <c r="G22" s="2"/>
      <c r="H22" s="2">
        <f>--7332.54</f>
        <v>7332.54</v>
      </c>
      <c r="I22" s="2"/>
      <c r="J22" s="19"/>
      <c r="K22" s="2"/>
      <c r="L22" s="2">
        <f t="shared" si="0"/>
        <v>-546.63000000000011</v>
      </c>
      <c r="M22" s="2"/>
      <c r="N22" s="19">
        <f t="shared" si="1"/>
        <v>-7.45485193398195E-2</v>
      </c>
      <c r="O22" s="11"/>
      <c r="P22" s="2">
        <f>--111011.54</f>
        <v>111011.54</v>
      </c>
      <c r="Q22" s="2"/>
      <c r="R22" s="19"/>
      <c r="S22" s="2"/>
      <c r="T22" s="2">
        <f>--139737.77</f>
        <v>139737.76999999999</v>
      </c>
      <c r="U22" s="2"/>
      <c r="V22" s="19"/>
      <c r="W22" s="2"/>
      <c r="X22" s="2">
        <f t="shared" si="2"/>
        <v>-28726.229999999996</v>
      </c>
      <c r="Y22" s="2"/>
      <c r="Z22" s="19">
        <f t="shared" si="3"/>
        <v>-0.20557240894856127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--3426.05</f>
        <v>3426.05</v>
      </c>
      <c r="E23" s="2"/>
      <c r="F23" s="19"/>
      <c r="G23" s="2"/>
      <c r="H23" s="2">
        <f>--1850.06</f>
        <v>1850.06</v>
      </c>
      <c r="I23" s="2"/>
      <c r="J23" s="19"/>
      <c r="K23" s="2"/>
      <c r="L23" s="2">
        <f t="shared" si="0"/>
        <v>1575.9900000000002</v>
      </c>
      <c r="M23" s="2"/>
      <c r="N23" s="19">
        <f t="shared" si="1"/>
        <v>0.85185885863161215</v>
      </c>
      <c r="O23" s="11"/>
      <c r="P23" s="2">
        <f>--46387.37</f>
        <v>46387.37</v>
      </c>
      <c r="Q23" s="2"/>
      <c r="R23" s="19"/>
      <c r="S23" s="2"/>
      <c r="T23" s="2">
        <f>--68466.86</f>
        <v>68466.86</v>
      </c>
      <c r="U23" s="2"/>
      <c r="V23" s="19"/>
      <c r="W23" s="2"/>
      <c r="X23" s="2">
        <f t="shared" si="2"/>
        <v>-22079.489999999998</v>
      </c>
      <c r="Y23" s="2"/>
      <c r="Z23" s="19">
        <f t="shared" si="3"/>
        <v>-0.32248433767811169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--1138.95</f>
        <v>1138.95</v>
      </c>
      <c r="Q24" s="2"/>
      <c r="R24" s="19"/>
      <c r="S24" s="2"/>
      <c r="T24" s="2">
        <f>--664.97</f>
        <v>664.97</v>
      </c>
      <c r="U24" s="2"/>
      <c r="V24" s="19"/>
      <c r="W24" s="2"/>
      <c r="X24" s="2">
        <f t="shared" si="2"/>
        <v>473.98</v>
      </c>
      <c r="Y24" s="2"/>
      <c r="Z24" s="19">
        <f t="shared" si="3"/>
        <v>0.71278403537001667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--17705.92</f>
        <v>17705.919999999998</v>
      </c>
      <c r="E25" s="2"/>
      <c r="F25" s="19"/>
      <c r="G25" s="2"/>
      <c r="H25" s="2">
        <f>--21322.38</f>
        <v>21322.38</v>
      </c>
      <c r="I25" s="2"/>
      <c r="J25" s="19"/>
      <c r="K25" s="2"/>
      <c r="L25" s="2">
        <f t="shared" si="0"/>
        <v>-3616.4600000000028</v>
      </c>
      <c r="M25" s="2"/>
      <c r="N25" s="19">
        <f t="shared" si="1"/>
        <v>-0.16960864593914951</v>
      </c>
      <c r="O25" s="11"/>
      <c r="P25" s="2">
        <f>--475874.05</f>
        <v>475874.05</v>
      </c>
      <c r="Q25" s="2"/>
      <c r="R25" s="19"/>
      <c r="S25" s="2"/>
      <c r="T25" s="2">
        <f>--523390.34</f>
        <v>523390.34</v>
      </c>
      <c r="U25" s="2"/>
      <c r="V25" s="19"/>
      <c r="W25" s="2"/>
      <c r="X25" s="2">
        <f t="shared" si="2"/>
        <v>-47516.290000000037</v>
      </c>
      <c r="Y25" s="2"/>
      <c r="Z25" s="19">
        <f t="shared" si="3"/>
        <v>-9.0785569332441321E-2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0</f>
        <v>0</v>
      </c>
      <c r="E26" s="2"/>
      <c r="F26" s="19"/>
      <c r="G26" s="2"/>
      <c r="H26" s="2">
        <f>--1651.49</f>
        <v>1651.49</v>
      </c>
      <c r="I26" s="2"/>
      <c r="J26" s="19"/>
      <c r="K26" s="2"/>
      <c r="L26" s="2">
        <f t="shared" si="0"/>
        <v>-1651.49</v>
      </c>
      <c r="M26" s="2"/>
      <c r="N26" s="19">
        <f t="shared" si="1"/>
        <v>-1</v>
      </c>
      <c r="O26" s="11"/>
      <c r="P26" s="2">
        <f>0</f>
        <v>0</v>
      </c>
      <c r="Q26" s="2"/>
      <c r="R26" s="19"/>
      <c r="S26" s="2"/>
      <c r="T26" s="2">
        <f>--14359.99</f>
        <v>14359.99</v>
      </c>
      <c r="U26" s="2"/>
      <c r="V26" s="19"/>
      <c r="W26" s="2"/>
      <c r="X26" s="2">
        <f t="shared" si="2"/>
        <v>-14359.99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>--3150</f>
        <v>3150</v>
      </c>
      <c r="E27" s="2"/>
      <c r="F27" s="19"/>
      <c r="G27" s="2"/>
      <c r="H27" s="2">
        <f>--2215.2</f>
        <v>2215.1999999999998</v>
      </c>
      <c r="I27" s="2"/>
      <c r="J27" s="19"/>
      <c r="K27" s="2"/>
      <c r="L27" s="2">
        <f t="shared" si="0"/>
        <v>934.80000000000018</v>
      </c>
      <c r="M27" s="2"/>
      <c r="N27" s="19">
        <f t="shared" si="1"/>
        <v>0.42199349945828829</v>
      </c>
      <c r="O27" s="11"/>
      <c r="P27" s="2">
        <f>--10139.25</f>
        <v>10139.25</v>
      </c>
      <c r="Q27" s="2"/>
      <c r="R27" s="19"/>
      <c r="S27" s="2"/>
      <c r="T27" s="2">
        <f>--3361.92</f>
        <v>3361.92</v>
      </c>
      <c r="U27" s="2"/>
      <c r="V27" s="19"/>
      <c r="W27" s="2"/>
      <c r="X27" s="2">
        <f t="shared" si="2"/>
        <v>6777.33</v>
      </c>
      <c r="Y27" s="2"/>
      <c r="Z27" s="19">
        <f t="shared" si="3"/>
        <v>2.0159105511136493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>0</f>
        <v>0</v>
      </c>
      <c r="E28" s="2"/>
      <c r="F28" s="19"/>
      <c r="G28" s="2"/>
      <c r="H28" s="2">
        <f>--19.99</f>
        <v>19.989999999999998</v>
      </c>
      <c r="I28" s="2"/>
      <c r="J28" s="19"/>
      <c r="K28" s="2"/>
      <c r="L28" s="2">
        <f t="shared" si="0"/>
        <v>-19.989999999999998</v>
      </c>
      <c r="M28" s="2"/>
      <c r="N28" s="19">
        <f t="shared" si="1"/>
        <v>-1</v>
      </c>
      <c r="O28" s="11"/>
      <c r="P28" s="2">
        <f>--771.73</f>
        <v>771.73</v>
      </c>
      <c r="Q28" s="2"/>
      <c r="R28" s="19"/>
      <c r="S28" s="2"/>
      <c r="T28" s="2">
        <f>--61.9</f>
        <v>61.9</v>
      </c>
      <c r="U28" s="2"/>
      <c r="V28" s="19"/>
      <c r="W28" s="2"/>
      <c r="X28" s="2">
        <f t="shared" si="2"/>
        <v>709.83</v>
      </c>
      <c r="Y28" s="2"/>
      <c r="Z28" s="19">
        <f t="shared" si="3"/>
        <v>11.467366720516964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-2146.49</f>
        <v>-2146.4899999999998</v>
      </c>
      <c r="E29" s="2"/>
      <c r="F29" s="19"/>
      <c r="G29" s="2"/>
      <c r="H29" s="2">
        <f>-4114.56</f>
        <v>-4114.5600000000004</v>
      </c>
      <c r="I29" s="2"/>
      <c r="J29" s="19"/>
      <c r="K29" s="2"/>
      <c r="L29" s="2">
        <f t="shared" si="0"/>
        <v>1968.0700000000006</v>
      </c>
      <c r="M29" s="2"/>
      <c r="N29" s="19">
        <f t="shared" si="1"/>
        <v>-0.478318459324934</v>
      </c>
      <c r="O29" s="11"/>
      <c r="P29" s="2">
        <f>-50664.23</f>
        <v>-50664.23</v>
      </c>
      <c r="Q29" s="2"/>
      <c r="R29" s="19"/>
      <c r="S29" s="2"/>
      <c r="T29" s="2">
        <f>-120740.41</f>
        <v>-120740.41</v>
      </c>
      <c r="U29" s="2"/>
      <c r="V29" s="19"/>
      <c r="W29" s="2"/>
      <c r="X29" s="2">
        <f t="shared" si="2"/>
        <v>70076.179999999993</v>
      </c>
      <c r="Y29" s="2"/>
      <c r="Z29" s="19">
        <f t="shared" si="3"/>
        <v>-0.58038712971075712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-1199.21</f>
        <v>-1199.21</v>
      </c>
      <c r="E30" s="2"/>
      <c r="F30" s="19"/>
      <c r="G30" s="2"/>
      <c r="H30" s="2">
        <f>-2008.16</f>
        <v>-2008.16</v>
      </c>
      <c r="I30" s="2"/>
      <c r="J30" s="19"/>
      <c r="K30" s="2"/>
      <c r="L30" s="2">
        <f t="shared" si="0"/>
        <v>808.95</v>
      </c>
      <c r="M30" s="2"/>
      <c r="N30" s="19">
        <f t="shared" si="1"/>
        <v>-0.40283144769341089</v>
      </c>
      <c r="O30" s="11"/>
      <c r="P30" s="2">
        <f>-19735.51</f>
        <v>-19735.509999999998</v>
      </c>
      <c r="Q30" s="2"/>
      <c r="R30" s="19"/>
      <c r="S30" s="2"/>
      <c r="T30" s="2">
        <f>-45387.31</f>
        <v>-45387.31</v>
      </c>
      <c r="U30" s="2"/>
      <c r="V30" s="19"/>
      <c r="W30" s="2"/>
      <c r="X30" s="2">
        <f t="shared" si="2"/>
        <v>25651.8</v>
      </c>
      <c r="Y30" s="2"/>
      <c r="Z30" s="19">
        <f t="shared" si="3"/>
        <v>-0.56517559643874027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>0</f>
        <v>0</v>
      </c>
      <c r="E31" s="2"/>
      <c r="F31" s="19"/>
      <c r="G31" s="2"/>
      <c r="H31" s="2">
        <f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0</f>
        <v>0</v>
      </c>
      <c r="Q31" s="2"/>
      <c r="R31" s="19"/>
      <c r="S31" s="2"/>
      <c r="T31" s="2">
        <f>-144.99</f>
        <v>-144.99</v>
      </c>
      <c r="U31" s="2"/>
      <c r="V31" s="19"/>
      <c r="W31" s="2"/>
      <c r="X31" s="2">
        <f t="shared" si="2"/>
        <v>144.99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>-132.25</f>
        <v>-132.25</v>
      </c>
      <c r="E32" s="2"/>
      <c r="F32" s="19"/>
      <c r="G32" s="2"/>
      <c r="H32" s="2">
        <f>-993.89</f>
        <v>-993.89</v>
      </c>
      <c r="I32" s="2"/>
      <c r="J32" s="19"/>
      <c r="K32" s="2"/>
      <c r="L32" s="2">
        <f t="shared" si="0"/>
        <v>861.64</v>
      </c>
      <c r="M32" s="2"/>
      <c r="N32" s="19">
        <f t="shared" si="1"/>
        <v>-0.86693698497821692</v>
      </c>
      <c r="O32" s="11"/>
      <c r="P32" s="2">
        <f>-1763.1</f>
        <v>-1763.1</v>
      </c>
      <c r="Q32" s="2"/>
      <c r="R32" s="19"/>
      <c r="S32" s="2"/>
      <c r="T32" s="2">
        <f>-17255.33</f>
        <v>-17255.330000000002</v>
      </c>
      <c r="U32" s="2"/>
      <c r="V32" s="19"/>
      <c r="W32" s="2"/>
      <c r="X32" s="2">
        <f t="shared" si="2"/>
        <v>15492.230000000001</v>
      </c>
      <c r="Y32" s="2"/>
      <c r="Z32" s="19">
        <f t="shared" si="3"/>
        <v>-0.89782287559843832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>-69.93</f>
        <v>-69.930000000000007</v>
      </c>
      <c r="E33" s="2"/>
      <c r="F33" s="19"/>
      <c r="G33" s="2"/>
      <c r="H33" s="2">
        <f>-103.4</f>
        <v>-103.4</v>
      </c>
      <c r="I33" s="2"/>
      <c r="J33" s="19"/>
      <c r="K33" s="2"/>
      <c r="L33" s="2">
        <f t="shared" si="0"/>
        <v>33.47</v>
      </c>
      <c r="M33" s="2"/>
      <c r="N33" s="19">
        <f t="shared" si="1"/>
        <v>-0.3236943907156673</v>
      </c>
      <c r="O33" s="11"/>
      <c r="P33" s="2">
        <f>-69.93</f>
        <v>-69.930000000000007</v>
      </c>
      <c r="Q33" s="2"/>
      <c r="R33" s="19"/>
      <c r="S33" s="2"/>
      <c r="T33" s="2">
        <f>-220.06</f>
        <v>-220.06</v>
      </c>
      <c r="U33" s="2"/>
      <c r="V33" s="19"/>
      <c r="W33" s="2"/>
      <c r="X33" s="2">
        <f t="shared" si="2"/>
        <v>150.13</v>
      </c>
      <c r="Y33" s="2"/>
      <c r="Z33" s="19">
        <f t="shared" si="3"/>
        <v>-0.68222303008270468</v>
      </c>
    </row>
    <row r="34" spans="1:26" s="24" customFormat="1" hidden="1" outlineLevel="1" x14ac:dyDescent="0.25">
      <c r="A34" s="44"/>
      <c r="B34" s="11" t="str">
        <f>CONCATENATE("          ", "4214", " - ", "SALES RETURN TAXABLE-REMAINDER")</f>
        <v xml:space="preserve">          4214 - SALES RETURN TAXABLE-REMAINDER</v>
      </c>
      <c r="C34" s="11"/>
      <c r="D34" s="2">
        <f t="shared" ref="D34:D35" si="5">0</f>
        <v>0</v>
      </c>
      <c r="E34" s="2"/>
      <c r="F34" s="19"/>
      <c r="G34" s="2"/>
      <c r="H34" s="2">
        <f t="shared" ref="H34:H38" si="6"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 t="shared" ref="P34:P35" si="7">0</f>
        <v>0</v>
      </c>
      <c r="Q34" s="2"/>
      <c r="R34" s="19"/>
      <c r="S34" s="2"/>
      <c r="T34" s="2">
        <f>-11.94</f>
        <v>-11.94</v>
      </c>
      <c r="U34" s="2"/>
      <c r="V34" s="19"/>
      <c r="W34" s="2"/>
      <c r="X34" s="2">
        <f t="shared" si="2"/>
        <v>11.94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"4218", " - ", "SALES RETURN TAXABLE-STUDY GUI")</f>
        <v xml:space="preserve">          4218 - SALES RETURN TAXABLE-STUDY GUI</v>
      </c>
      <c r="C35" s="11"/>
      <c r="D35" s="2">
        <f t="shared" si="5"/>
        <v>0</v>
      </c>
      <c r="E35" s="2"/>
      <c r="F35" s="19"/>
      <c r="G35" s="2"/>
      <c r="H35" s="2">
        <f t="shared" si="6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 t="shared" si="7"/>
        <v>0</v>
      </c>
      <c r="Q35" s="2"/>
      <c r="R35" s="19"/>
      <c r="S35" s="2"/>
      <c r="T35" s="2">
        <f>-39.25</f>
        <v>-39.25</v>
      </c>
      <c r="U35" s="2"/>
      <c r="V35" s="19"/>
      <c r="W35" s="2"/>
      <c r="X35" s="2">
        <f t="shared" si="2"/>
        <v>39.25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"4301", " - ", "SALES RETURN NON TAXABLE-NEW T")</f>
        <v xml:space="preserve">          4301 - SALES RETURN NON TAXABLE-NEW T</v>
      </c>
      <c r="C36" s="11"/>
      <c r="D36" s="2">
        <f>-231.5</f>
        <v>-231.5</v>
      </c>
      <c r="E36" s="2"/>
      <c r="F36" s="19"/>
      <c r="G36" s="2"/>
      <c r="H36" s="2">
        <f t="shared" si="6"/>
        <v>0</v>
      </c>
      <c r="I36" s="2"/>
      <c r="J36" s="19"/>
      <c r="K36" s="2"/>
      <c r="L36" s="2">
        <f t="shared" si="0"/>
        <v>-231.5</v>
      </c>
      <c r="M36" s="2"/>
      <c r="N36" s="19">
        <f t="shared" si="1"/>
        <v>0</v>
      </c>
      <c r="O36" s="11"/>
      <c r="P36" s="2">
        <f>-3237.29</f>
        <v>-3237.29</v>
      </c>
      <c r="Q36" s="2"/>
      <c r="R36" s="19"/>
      <c r="S36" s="2"/>
      <c r="T36" s="2">
        <f>-15221.62</f>
        <v>-15221.62</v>
      </c>
      <c r="U36" s="2"/>
      <c r="V36" s="19"/>
      <c r="W36" s="2"/>
      <c r="X36" s="2">
        <f t="shared" si="2"/>
        <v>11984.330000000002</v>
      </c>
      <c r="Y36" s="2"/>
      <c r="Z36" s="19">
        <f t="shared" si="3"/>
        <v>-0.78732289992786586</v>
      </c>
    </row>
    <row r="37" spans="1:26" s="24" customFormat="1" hidden="1" outlineLevel="1" x14ac:dyDescent="0.25">
      <c r="A37" s="44"/>
      <c r="B37" s="11" t="str">
        <f>CONCATENATE("          ", "4302", " - ", "SALES RETURN NON TAXABLE-TEXT")</f>
        <v xml:space="preserve">          4302 - SALES RETURN NON TAXABLE-TEXT</v>
      </c>
      <c r="C37" s="11"/>
      <c r="D37" s="2">
        <f>-70.32</f>
        <v>-70.319999999999993</v>
      </c>
      <c r="E37" s="2"/>
      <c r="F37" s="19"/>
      <c r="G37" s="2"/>
      <c r="H37" s="2">
        <f t="shared" si="6"/>
        <v>0</v>
      </c>
      <c r="I37" s="2"/>
      <c r="J37" s="19"/>
      <c r="K37" s="2"/>
      <c r="L37" s="2">
        <f t="shared" si="0"/>
        <v>-70.319999999999993</v>
      </c>
      <c r="M37" s="2"/>
      <c r="N37" s="19">
        <f t="shared" si="1"/>
        <v>0</v>
      </c>
      <c r="O37" s="11"/>
      <c r="P37" s="2">
        <f>-2073.48</f>
        <v>-2073.48</v>
      </c>
      <c r="Q37" s="2"/>
      <c r="R37" s="19"/>
      <c r="S37" s="2"/>
      <c r="T37" s="2">
        <f>-1312.37</f>
        <v>-1312.37</v>
      </c>
      <c r="U37" s="2"/>
      <c r="V37" s="19"/>
      <c r="W37" s="2"/>
      <c r="X37" s="2">
        <f t="shared" si="2"/>
        <v>-761.11000000000013</v>
      </c>
      <c r="Y37" s="2"/>
      <c r="Z37" s="19">
        <f t="shared" si="3"/>
        <v>0.57995077607686873</v>
      </c>
    </row>
    <row r="38" spans="1:26" s="24" customFormat="1" hidden="1" outlineLevel="1" x14ac:dyDescent="0.25">
      <c r="A38" s="44"/>
      <c r="B38" s="11" t="str">
        <f>CONCATENATE("          ", "4303", " - ", "SALES RETURN NON-TAXABLE-RENTA")</f>
        <v xml:space="preserve">          4303 - SALES RETURN NON-TAXABLE-RENTA</v>
      </c>
      <c r="C38" s="11"/>
      <c r="D38" s="2">
        <f>0</f>
        <v>0</v>
      </c>
      <c r="E38" s="2"/>
      <c r="F38" s="19"/>
      <c r="G38" s="2"/>
      <c r="H38" s="2">
        <f t="shared" si="6"/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0</f>
        <v>0</v>
      </c>
      <c r="Q38" s="2"/>
      <c r="R38" s="19"/>
      <c r="S38" s="2"/>
      <c r="T38" s="2">
        <f>-184.99</f>
        <v>-184.99</v>
      </c>
      <c r="U38" s="2"/>
      <c r="V38" s="19"/>
      <c r="W38" s="2"/>
      <c r="X38" s="2">
        <f t="shared" si="2"/>
        <v>184.99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"4304", " - ", "SALES RETURN NON TAXABLE-DIGIT")</f>
        <v xml:space="preserve">          4304 - SALES RETURN NON TAXABLE-DIGIT</v>
      </c>
      <c r="C39" s="11"/>
      <c r="D39" s="2">
        <f>-2172.95</f>
        <v>-2172.9499999999998</v>
      </c>
      <c r="E39" s="2"/>
      <c r="F39" s="19"/>
      <c r="G39" s="2"/>
      <c r="H39" s="2">
        <f>-1249.23</f>
        <v>-1249.23</v>
      </c>
      <c r="I39" s="2"/>
      <c r="J39" s="19"/>
      <c r="K39" s="2"/>
      <c r="L39" s="2">
        <f t="shared" si="0"/>
        <v>-923.7199999999998</v>
      </c>
      <c r="M39" s="2"/>
      <c r="N39" s="19">
        <f t="shared" si="1"/>
        <v>0.73943148979771522</v>
      </c>
      <c r="O39" s="11"/>
      <c r="P39" s="2">
        <f>-27268.72</f>
        <v>-27268.720000000001</v>
      </c>
      <c r="Q39" s="2"/>
      <c r="R39" s="19"/>
      <c r="S39" s="2"/>
      <c r="T39" s="2">
        <f>-18991.98</f>
        <v>-18991.98</v>
      </c>
      <c r="U39" s="2"/>
      <c r="V39" s="19"/>
      <c r="W39" s="2"/>
      <c r="X39" s="2">
        <f t="shared" si="2"/>
        <v>-8276.7400000000016</v>
      </c>
      <c r="Y39" s="2"/>
      <c r="Z39" s="19">
        <f t="shared" si="3"/>
        <v>0.43580184899099522</v>
      </c>
    </row>
    <row r="40" spans="1:26" s="24" customFormat="1" hidden="1" outlineLevel="1" x14ac:dyDescent="0.25">
      <c r="A40" s="44"/>
      <c r="B40" s="11" t="str">
        <f>CONCATENATE("          ", "4311", " - ", "SALES RETURN NON TAXABLE-NO VA")</f>
        <v xml:space="preserve">          4311 - SALES RETURN NON TAXABLE-NO VA</v>
      </c>
      <c r="C40" s="11"/>
      <c r="D40" s="2">
        <f>0</f>
        <v>0</v>
      </c>
      <c r="E40" s="2"/>
      <c r="F40" s="19"/>
      <c r="G40" s="2"/>
      <c r="H40" s="2">
        <f>-169.45</f>
        <v>-169.45</v>
      </c>
      <c r="I40" s="2"/>
      <c r="J40" s="19"/>
      <c r="K40" s="2"/>
      <c r="L40" s="2">
        <f t="shared" si="0"/>
        <v>169.45</v>
      </c>
      <c r="M40" s="2"/>
      <c r="N40" s="19">
        <f t="shared" si="1"/>
        <v>-1</v>
      </c>
      <c r="O40" s="11"/>
      <c r="P40" s="2">
        <f>0</f>
        <v>0</v>
      </c>
      <c r="Q40" s="2"/>
      <c r="R40" s="19"/>
      <c r="S40" s="2"/>
      <c r="T40" s="2">
        <f>-794.76</f>
        <v>-794.76</v>
      </c>
      <c r="U40" s="2"/>
      <c r="V40" s="19"/>
      <c r="W40" s="2"/>
      <c r="X40" s="2">
        <f t="shared" si="2"/>
        <v>794.76</v>
      </c>
      <c r="Y40" s="2"/>
      <c r="Z40" s="19">
        <f t="shared" si="3"/>
        <v>-1</v>
      </c>
    </row>
    <row r="41" spans="1:26" x14ac:dyDescent="0.25">
      <c r="A41" s="9"/>
      <c r="B41" s="10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collapsed="1" x14ac:dyDescent="0.25">
      <c r="A42" s="10"/>
      <c r="B42" s="28" t="s">
        <v>8</v>
      </c>
      <c r="C42" s="10"/>
      <c r="D42" s="4">
        <f>SUM(OSRRefD16x_0)</f>
        <v>41956.999999999978</v>
      </c>
      <c r="E42" s="4"/>
      <c r="F42" s="12">
        <f t="shared" ref="F42:F58" si="8">IF(D$12=0,0,D42/D$12)</f>
        <v>0.67197967900906308</v>
      </c>
      <c r="G42" s="4"/>
      <c r="H42" s="4">
        <f>SUM(OSRRefH16x_0)</f>
        <v>247417.19</v>
      </c>
      <c r="I42" s="4"/>
      <c r="J42" s="12">
        <f t="shared" ref="J42:J58" si="9">IF(H$12=0,0,H42/H$12)</f>
        <v>1.7237195618127203</v>
      </c>
      <c r="K42" s="4"/>
      <c r="L42" s="4">
        <f t="shared" ref="L42:L58" si="10">+D42-H42</f>
        <v>-205460.19000000003</v>
      </c>
      <c r="M42" s="4"/>
      <c r="N42" s="12">
        <f t="shared" ref="N42:N58" si="11">IF(H42=0,0,L42/H42)</f>
        <v>-0.83042002861644348</v>
      </c>
      <c r="O42" s="10"/>
      <c r="P42" s="4">
        <f>SUM(OSRRefP16x_0)</f>
        <v>1321408.0000000002</v>
      </c>
      <c r="Q42" s="4"/>
      <c r="R42" s="12">
        <f t="shared" ref="R42:R58" si="12">IF(P$12=0,0,P42/P$12)</f>
        <v>0.70812218029252838</v>
      </c>
      <c r="S42" s="4"/>
      <c r="T42" s="4">
        <f>SUM(OSRRefT16x_0)</f>
        <v>2304354.3000000003</v>
      </c>
      <c r="U42" s="4"/>
      <c r="V42" s="12">
        <f t="shared" ref="V42:V58" si="13">IF(T$12=0,0,T42/T$12)</f>
        <v>0.70389375023241907</v>
      </c>
      <c r="W42" s="4"/>
      <c r="X42" s="4">
        <f t="shared" ref="X42:X58" si="14">+P42-T42</f>
        <v>-982946.3</v>
      </c>
      <c r="Y42" s="4"/>
      <c r="Z42" s="12">
        <f t="shared" ref="Z42:Z58" si="15">IF(T42=0,0,X42/T42)</f>
        <v>-0.42656040349350788</v>
      </c>
    </row>
    <row r="43" spans="1:26" s="24" customFormat="1" hidden="1" outlineLevel="1" x14ac:dyDescent="0.25">
      <c r="A43" s="44"/>
      <c r="B43" s="11" t="str">
        <f>CONCATENATE("          ", "5001", " - ", "PURCHASES @ COST-NEW TEXT")</f>
        <v xml:space="preserve">          5001 - PURCHASES @ COST-NEW TEXT</v>
      </c>
      <c r="C43" s="11"/>
      <c r="D43" s="2">
        <v>-339987.31</v>
      </c>
      <c r="E43" s="2"/>
      <c r="F43" s="19">
        <f t="shared" si="8"/>
        <v>-5.445207317991156</v>
      </c>
      <c r="G43" s="2"/>
      <c r="H43" s="2">
        <v>-133504.81</v>
      </c>
      <c r="I43" s="2"/>
      <c r="J43" s="19">
        <f t="shared" si="9"/>
        <v>-0.93010858539412911</v>
      </c>
      <c r="K43" s="2"/>
      <c r="L43" s="2">
        <f t="shared" si="10"/>
        <v>-206482.5</v>
      </c>
      <c r="M43" s="2"/>
      <c r="N43" s="19">
        <f t="shared" si="11"/>
        <v>1.5466296682494061</v>
      </c>
      <c r="O43" s="11"/>
      <c r="P43" s="2">
        <v>1026210.7400000001</v>
      </c>
      <c r="Q43" s="2"/>
      <c r="R43" s="19">
        <f t="shared" si="12"/>
        <v>0.54993051854416575</v>
      </c>
      <c r="S43" s="2"/>
      <c r="T43" s="2">
        <v>2040829.4999999998</v>
      </c>
      <c r="U43" s="2"/>
      <c r="V43" s="19">
        <f t="shared" si="13"/>
        <v>0.62339681460440011</v>
      </c>
      <c r="W43" s="2"/>
      <c r="X43" s="2">
        <f t="shared" si="14"/>
        <v>-1014618.7599999997</v>
      </c>
      <c r="Y43" s="2"/>
      <c r="Z43" s="19">
        <f t="shared" si="15"/>
        <v>-0.49715998323230814</v>
      </c>
    </row>
    <row r="44" spans="1:26" s="24" customFormat="1" hidden="1" outlineLevel="1" x14ac:dyDescent="0.25">
      <c r="A44" s="44"/>
      <c r="B44" s="11" t="str">
        <f>CONCATENATE("          ", "5002", " - ", "PURCHASES @ COST-USED TEXT")</f>
        <v xml:space="preserve">          5002 - PURCHASES @ COST-USED TEXT</v>
      </c>
      <c r="C44" s="11"/>
      <c r="D44" s="2">
        <v>117407.3</v>
      </c>
      <c r="E44" s="2"/>
      <c r="F44" s="19">
        <f t="shared" si="8"/>
        <v>1.8803851506857214</v>
      </c>
      <c r="G44" s="2"/>
      <c r="H44" s="2">
        <v>-10749.56</v>
      </c>
      <c r="I44" s="2"/>
      <c r="J44" s="19">
        <f t="shared" si="9"/>
        <v>-7.4890620384458914E-2</v>
      </c>
      <c r="K44" s="2"/>
      <c r="L44" s="2">
        <f t="shared" si="10"/>
        <v>128156.86</v>
      </c>
      <c r="M44" s="2"/>
      <c r="N44" s="19">
        <f t="shared" si="11"/>
        <v>-11.92205634463178</v>
      </c>
      <c r="O44" s="11"/>
      <c r="P44" s="2">
        <v>140429.77000000002</v>
      </c>
      <c r="Q44" s="2"/>
      <c r="R44" s="19">
        <f t="shared" si="12"/>
        <v>7.5254149294069872E-2</v>
      </c>
      <c r="S44" s="2"/>
      <c r="T44" s="2">
        <v>-146900.54999999999</v>
      </c>
      <c r="U44" s="2"/>
      <c r="V44" s="19">
        <f t="shared" si="13"/>
        <v>-4.4872604464819041E-2</v>
      </c>
      <c r="W44" s="2"/>
      <c r="X44" s="2">
        <f t="shared" si="14"/>
        <v>287330.32</v>
      </c>
      <c r="Y44" s="2"/>
      <c r="Z44" s="19">
        <f t="shared" si="15"/>
        <v>-1.9559512881333667</v>
      </c>
    </row>
    <row r="45" spans="1:26" s="24" customFormat="1" hidden="1" outlineLevel="1" x14ac:dyDescent="0.25">
      <c r="A45" s="44"/>
      <c r="B45" s="11" t="str">
        <f>CONCATENATE("          ", "5003", " - ", "PURCHASES @ COST-RENTAL TEXT")</f>
        <v xml:space="preserve">          5003 - PURCHASES @ COST-RENTAL TEXT</v>
      </c>
      <c r="C45" s="11"/>
      <c r="D45" s="2"/>
      <c r="E45" s="2"/>
      <c r="F45" s="19">
        <f t="shared" si="8"/>
        <v>0</v>
      </c>
      <c r="G45" s="2"/>
      <c r="H45" s="2"/>
      <c r="I45" s="2"/>
      <c r="J45" s="19">
        <f t="shared" si="9"/>
        <v>0</v>
      </c>
      <c r="K45" s="2"/>
      <c r="L45" s="2">
        <f t="shared" si="10"/>
        <v>0</v>
      </c>
      <c r="M45" s="2"/>
      <c r="N45" s="19">
        <f t="shared" si="11"/>
        <v>0</v>
      </c>
      <c r="O45" s="11"/>
      <c r="P45" s="2">
        <v>32.520000000000003</v>
      </c>
      <c r="Q45" s="2"/>
      <c r="R45" s="19">
        <f t="shared" si="12"/>
        <v>1.7426966768108729E-5</v>
      </c>
      <c r="S45" s="2"/>
      <c r="T45" s="2">
        <v>-78.400000000000006</v>
      </c>
      <c r="U45" s="2"/>
      <c r="V45" s="19">
        <f t="shared" si="13"/>
        <v>-2.3948257443840841E-5</v>
      </c>
      <c r="W45" s="2"/>
      <c r="X45" s="2">
        <f t="shared" si="14"/>
        <v>110.92000000000002</v>
      </c>
      <c r="Y45" s="2"/>
      <c r="Z45" s="19">
        <f t="shared" si="15"/>
        <v>-1.4147959183673471</v>
      </c>
    </row>
    <row r="46" spans="1:26" s="24" customFormat="1" hidden="1" outlineLevel="1" x14ac:dyDescent="0.25">
      <c r="A46" s="44"/>
      <c r="B46" s="11" t="str">
        <f>CONCATENATE("          ", "5004", " - ", "PURCHASES @ COST-DIGITAL TEXT")</f>
        <v xml:space="preserve">          5004 - PURCHASES @ COST-DIGITAL TEXT</v>
      </c>
      <c r="C46" s="11"/>
      <c r="D46" s="2">
        <v>3282.02</v>
      </c>
      <c r="E46" s="2"/>
      <c r="F46" s="19">
        <f t="shared" si="8"/>
        <v>5.2564548135026964E-2</v>
      </c>
      <c r="G46" s="2"/>
      <c r="H46" s="2">
        <v>61264.060000000005</v>
      </c>
      <c r="I46" s="2"/>
      <c r="J46" s="19">
        <f t="shared" si="9"/>
        <v>0.42681779167433037</v>
      </c>
      <c r="K46" s="2"/>
      <c r="L46" s="2">
        <f t="shared" si="10"/>
        <v>-57982.040000000008</v>
      </c>
      <c r="M46" s="2"/>
      <c r="N46" s="19">
        <f t="shared" si="11"/>
        <v>-0.94642829743898793</v>
      </c>
      <c r="O46" s="11"/>
      <c r="P46" s="2">
        <v>220008.58000000002</v>
      </c>
      <c r="Q46" s="2"/>
      <c r="R46" s="19">
        <f t="shared" si="12"/>
        <v>0.11789920702210305</v>
      </c>
      <c r="S46" s="2"/>
      <c r="T46" s="2">
        <v>535157.82999999996</v>
      </c>
      <c r="U46" s="2"/>
      <c r="V46" s="19">
        <f t="shared" si="13"/>
        <v>0.16347063119805114</v>
      </c>
      <c r="W46" s="2"/>
      <c r="X46" s="2">
        <f t="shared" si="14"/>
        <v>-315149.24999999994</v>
      </c>
      <c r="Y46" s="2"/>
      <c r="Z46" s="19">
        <f t="shared" si="15"/>
        <v>-0.58889029055222819</v>
      </c>
    </row>
    <row r="47" spans="1:26" s="24" customFormat="1" hidden="1" outlineLevel="1" x14ac:dyDescent="0.25">
      <c r="A47" s="44"/>
      <c r="B47" s="11" t="str">
        <f>CONCATENATE("          ", "5011", " - ", "PURCHASES @ COST-NO VALUE TEXT")</f>
        <v xml:space="preserve">          5011 - PURCHASES @ COST-NO VALUE TEXT</v>
      </c>
      <c r="C47" s="11"/>
      <c r="D47" s="2"/>
      <c r="E47" s="2"/>
      <c r="F47" s="19">
        <f t="shared" si="8"/>
        <v>0</v>
      </c>
      <c r="G47" s="2"/>
      <c r="H47" s="2">
        <v>258</v>
      </c>
      <c r="I47" s="2"/>
      <c r="J47" s="19">
        <f t="shared" si="9"/>
        <v>1.7974484592104608E-3</v>
      </c>
      <c r="K47" s="2"/>
      <c r="L47" s="2">
        <f t="shared" si="10"/>
        <v>-258</v>
      </c>
      <c r="M47" s="2"/>
      <c r="N47" s="19">
        <f t="shared" si="11"/>
        <v>-1</v>
      </c>
      <c r="O47" s="11"/>
      <c r="P47" s="2">
        <v>67.17</v>
      </c>
      <c r="Q47" s="2"/>
      <c r="R47" s="19">
        <f t="shared" si="12"/>
        <v>3.5995367706453363E-5</v>
      </c>
      <c r="S47" s="2"/>
      <c r="T47" s="2">
        <v>5733</v>
      </c>
      <c r="U47" s="2"/>
      <c r="V47" s="19">
        <f t="shared" si="13"/>
        <v>1.7512163255808612E-3</v>
      </c>
      <c r="W47" s="2"/>
      <c r="X47" s="2">
        <f t="shared" si="14"/>
        <v>-5665.83</v>
      </c>
      <c r="Y47" s="2"/>
      <c r="Z47" s="19">
        <f t="shared" si="15"/>
        <v>-0.98828362114076396</v>
      </c>
    </row>
    <row r="48" spans="1:26" s="24" customFormat="1" hidden="1" outlineLevel="1" x14ac:dyDescent="0.25">
      <c r="A48" s="44"/>
      <c r="B48" s="11" t="str">
        <f>CONCATENATE("          ", "5013", " - ", "PURCHASES @ COST-TRADE BOOKS")</f>
        <v xml:space="preserve">          5013 - PURCHASES @ COST-TRADE BOOKS</v>
      </c>
      <c r="C48" s="11"/>
      <c r="D48" s="2">
        <v>305.11</v>
      </c>
      <c r="E48" s="2"/>
      <c r="F48" s="19">
        <f t="shared" si="8"/>
        <v>4.8866153410028201E-3</v>
      </c>
      <c r="G48" s="2"/>
      <c r="H48" s="2">
        <v>2592.2600000000002</v>
      </c>
      <c r="I48" s="2"/>
      <c r="J48" s="19">
        <f t="shared" si="9"/>
        <v>1.8059898228189573E-2</v>
      </c>
      <c r="K48" s="2"/>
      <c r="L48" s="2">
        <f t="shared" si="10"/>
        <v>-2287.15</v>
      </c>
      <c r="M48" s="2"/>
      <c r="N48" s="19">
        <f t="shared" si="11"/>
        <v>-0.88229961500775378</v>
      </c>
      <c r="O48" s="11"/>
      <c r="P48" s="2">
        <v>5962.09</v>
      </c>
      <c r="Q48" s="2"/>
      <c r="R48" s="19">
        <f t="shared" si="12"/>
        <v>3.1949921370994271E-3</v>
      </c>
      <c r="S48" s="2"/>
      <c r="T48" s="2">
        <v>3050.72</v>
      </c>
      <c r="U48" s="2"/>
      <c r="V48" s="19">
        <f t="shared" si="13"/>
        <v>9.3188045853410863E-4</v>
      </c>
      <c r="W48" s="2"/>
      <c r="X48" s="2">
        <f t="shared" si="14"/>
        <v>2911.3700000000003</v>
      </c>
      <c r="Y48" s="2"/>
      <c r="Z48" s="19">
        <f t="shared" si="15"/>
        <v>0.95432225835212692</v>
      </c>
    </row>
    <row r="49" spans="1:26" s="24" customFormat="1" hidden="1" outlineLevel="1" x14ac:dyDescent="0.25">
      <c r="A49" s="44"/>
      <c r="B49" s="11" t="str">
        <f>CONCATENATE("          ", "5014", " - ", "PURCHASES @ COST-REMAINDERS")</f>
        <v xml:space="preserve">          5014 - PURCHASES @ COST-REMAINDERS</v>
      </c>
      <c r="C49" s="11"/>
      <c r="D49" s="2">
        <v>21.16</v>
      </c>
      <c r="E49" s="2"/>
      <c r="F49" s="19">
        <f t="shared" si="8"/>
        <v>3.3889672778873085E-4</v>
      </c>
      <c r="G49" s="2"/>
      <c r="H49" s="2">
        <v>17.78</v>
      </c>
      <c r="I49" s="2"/>
      <c r="J49" s="19">
        <f t="shared" si="9"/>
        <v>1.238706728866744E-4</v>
      </c>
      <c r="K49" s="2"/>
      <c r="L49" s="2">
        <f t="shared" si="10"/>
        <v>3.379999999999999</v>
      </c>
      <c r="M49" s="2"/>
      <c r="N49" s="19">
        <f t="shared" si="11"/>
        <v>0.19010123734533177</v>
      </c>
      <c r="O49" s="11"/>
      <c r="P49" s="2">
        <v>111.57</v>
      </c>
      <c r="Q49" s="2"/>
      <c r="R49" s="19">
        <f t="shared" si="12"/>
        <v>5.9788643367708817E-5</v>
      </c>
      <c r="S49" s="2"/>
      <c r="T49" s="2">
        <v>586.71</v>
      </c>
      <c r="U49" s="2"/>
      <c r="V49" s="19">
        <f t="shared" si="13"/>
        <v>1.7921788424586554E-4</v>
      </c>
      <c r="W49" s="2"/>
      <c r="X49" s="2">
        <f t="shared" si="14"/>
        <v>-475.14000000000004</v>
      </c>
      <c r="Y49" s="2"/>
      <c r="Z49" s="19">
        <f t="shared" si="15"/>
        <v>-0.8098379096998517</v>
      </c>
    </row>
    <row r="50" spans="1:26" s="24" customFormat="1" hidden="1" outlineLevel="1" x14ac:dyDescent="0.25">
      <c r="A50" s="44"/>
      <c r="B50" s="11" t="str">
        <f>CONCATENATE("          ", "5018", " - ", "PURCHASES @ COST-STUDY GUIDES")</f>
        <v xml:space="preserve">          5018 - PURCHASES @ COST-STUDY GUIDES</v>
      </c>
      <c r="C50" s="11"/>
      <c r="D50" s="2"/>
      <c r="E50" s="2"/>
      <c r="F50" s="19">
        <f t="shared" si="8"/>
        <v>0</v>
      </c>
      <c r="G50" s="2"/>
      <c r="H50" s="2">
        <v>237.28</v>
      </c>
      <c r="I50" s="2"/>
      <c r="J50" s="19">
        <f t="shared" si="9"/>
        <v>1.6530952341141788E-3</v>
      </c>
      <c r="K50" s="2"/>
      <c r="L50" s="2">
        <f t="shared" si="10"/>
        <v>-237.28</v>
      </c>
      <c r="M50" s="2"/>
      <c r="N50" s="19">
        <f t="shared" si="11"/>
        <v>-1</v>
      </c>
      <c r="O50" s="11"/>
      <c r="P50" s="2">
        <v>522.34</v>
      </c>
      <c r="Q50" s="2"/>
      <c r="R50" s="19">
        <f t="shared" si="12"/>
        <v>2.7991395515540942E-4</v>
      </c>
      <c r="S50" s="2"/>
      <c r="T50" s="2">
        <v>2268.4299999999998</v>
      </c>
      <c r="U50" s="2"/>
      <c r="V50" s="19">
        <f t="shared" si="13"/>
        <v>6.9292022491494732E-4</v>
      </c>
      <c r="W50" s="2"/>
      <c r="X50" s="2">
        <f t="shared" si="14"/>
        <v>-1746.0899999999997</v>
      </c>
      <c r="Y50" s="2"/>
      <c r="Z50" s="19">
        <f t="shared" si="15"/>
        <v>-0.76973501496629815</v>
      </c>
    </row>
    <row r="51" spans="1:26" s="24" customFormat="1" hidden="1" outlineLevel="1" x14ac:dyDescent="0.25">
      <c r="A51" s="44"/>
      <c r="B51" s="11" t="str">
        <f>CONCATENATE("          ", "5200", " - ", "PURCHASES OFFSET")</f>
        <v xml:space="preserve">          5200 - PURCHASES OFFSET</v>
      </c>
      <c r="C51" s="11"/>
      <c r="D51" s="2">
        <v>212842.2</v>
      </c>
      <c r="E51" s="2"/>
      <c r="F51" s="19">
        <f t="shared" si="8"/>
        <v>3.408862245527156</v>
      </c>
      <c r="G51" s="2"/>
      <c r="H51" s="2">
        <v>52958</v>
      </c>
      <c r="I51" s="2"/>
      <c r="J51" s="19">
        <f t="shared" si="9"/>
        <v>0.36895068024367283</v>
      </c>
      <c r="K51" s="2"/>
      <c r="L51" s="2">
        <f t="shared" si="10"/>
        <v>159884.20000000001</v>
      </c>
      <c r="M51" s="2"/>
      <c r="N51" s="19">
        <f t="shared" si="11"/>
        <v>3.0190754937875299</v>
      </c>
      <c r="O51" s="11"/>
      <c r="P51" s="2">
        <v>-1459800.9000000001</v>
      </c>
      <c r="Q51" s="2"/>
      <c r="R51" s="19">
        <f t="shared" si="12"/>
        <v>-0.7822848023479464</v>
      </c>
      <c r="S51" s="2"/>
      <c r="T51" s="2">
        <v>-2521582</v>
      </c>
      <c r="U51" s="2"/>
      <c r="V51" s="19">
        <f t="shared" si="13"/>
        <v>-0.77024865946116161</v>
      </c>
      <c r="W51" s="2"/>
      <c r="X51" s="2">
        <f t="shared" si="14"/>
        <v>1061781.0999999999</v>
      </c>
      <c r="Y51" s="2"/>
      <c r="Z51" s="19">
        <f t="shared" si="15"/>
        <v>-0.42107736333777757</v>
      </c>
    </row>
    <row r="52" spans="1:26" s="24" customFormat="1" hidden="1" outlineLevel="1" x14ac:dyDescent="0.25">
      <c r="A52" s="44"/>
      <c r="B52" s="11" t="str">
        <f>CONCATENATE("          ", "5300", " - ", "COG$ OFFSET")</f>
        <v xml:space="preserve">          5300 - COG$ OFFSET</v>
      </c>
      <c r="C52" s="11"/>
      <c r="D52" s="2">
        <v>41957</v>
      </c>
      <c r="E52" s="2"/>
      <c r="F52" s="19">
        <f t="shared" si="8"/>
        <v>0.67197967900906341</v>
      </c>
      <c r="G52" s="2"/>
      <c r="H52" s="2">
        <v>247383</v>
      </c>
      <c r="I52" s="2"/>
      <c r="J52" s="19">
        <f t="shared" si="9"/>
        <v>1.7234813650576024</v>
      </c>
      <c r="K52" s="2"/>
      <c r="L52" s="2">
        <f t="shared" si="10"/>
        <v>-205426</v>
      </c>
      <c r="M52" s="2"/>
      <c r="N52" s="19">
        <f t="shared" si="11"/>
        <v>-0.83039659152003165</v>
      </c>
      <c r="O52" s="11"/>
      <c r="P52" s="2">
        <v>1321408</v>
      </c>
      <c r="Q52" s="2"/>
      <c r="R52" s="19">
        <f t="shared" si="12"/>
        <v>0.70812218029252827</v>
      </c>
      <c r="S52" s="2"/>
      <c r="T52" s="2">
        <v>2304316.4700000002</v>
      </c>
      <c r="U52" s="2"/>
      <c r="V52" s="19">
        <f t="shared" si="13"/>
        <v>0.70388219458727741</v>
      </c>
      <c r="W52" s="2"/>
      <c r="X52" s="2">
        <f t="shared" si="14"/>
        <v>-982908.4700000002</v>
      </c>
      <c r="Y52" s="2"/>
      <c r="Z52" s="19">
        <f t="shared" si="15"/>
        <v>-0.42655098932656593</v>
      </c>
    </row>
    <row r="53" spans="1:26" s="24" customFormat="1" hidden="1" outlineLevel="1" x14ac:dyDescent="0.25">
      <c r="A53" s="44"/>
      <c r="B53" s="11" t="str">
        <f>CONCATENATE("          ", "5500", " - ", "FREIGHT-IN")</f>
        <v xml:space="preserve">          5500 - FREIGHT-IN</v>
      </c>
      <c r="C53" s="11"/>
      <c r="D53" s="2"/>
      <c r="E53" s="2"/>
      <c r="F53" s="19">
        <f t="shared" si="8"/>
        <v>0</v>
      </c>
      <c r="G53" s="2"/>
      <c r="H53" s="2">
        <v>33.950000000000003</v>
      </c>
      <c r="I53" s="2"/>
      <c r="J53" s="19">
        <f t="shared" si="9"/>
        <v>2.3652471003951609E-4</v>
      </c>
      <c r="K53" s="2"/>
      <c r="L53" s="2">
        <f t="shared" si="10"/>
        <v>-33.950000000000003</v>
      </c>
      <c r="M53" s="2"/>
      <c r="N53" s="19">
        <f t="shared" si="11"/>
        <v>-1</v>
      </c>
      <c r="O53" s="11"/>
      <c r="P53" s="2"/>
      <c r="Q53" s="2"/>
      <c r="R53" s="19">
        <f t="shared" si="12"/>
        <v>0</v>
      </c>
      <c r="S53" s="2"/>
      <c r="T53" s="2">
        <v>41.25</v>
      </c>
      <c r="U53" s="2"/>
      <c r="V53" s="19">
        <f t="shared" si="13"/>
        <v>1.2600326780082074E-5</v>
      </c>
      <c r="W53" s="2"/>
      <c r="X53" s="2">
        <f t="shared" si="14"/>
        <v>-41.25</v>
      </c>
      <c r="Y53" s="2"/>
      <c r="Z53" s="19">
        <f t="shared" si="15"/>
        <v>-1</v>
      </c>
    </row>
    <row r="54" spans="1:26" s="24" customFormat="1" hidden="1" outlineLevel="1" x14ac:dyDescent="0.25">
      <c r="A54" s="44"/>
      <c r="B54" s="11" t="str">
        <f>CONCATENATE("          ", "5501", " - ", "FREIGHT-IN-NEW TEXT")</f>
        <v xml:space="preserve">          5501 - FREIGHT-IN-NEW TEXT</v>
      </c>
      <c r="C54" s="11"/>
      <c r="D54" s="2">
        <v>4638.13</v>
      </c>
      <c r="E54" s="2"/>
      <c r="F54" s="19">
        <f t="shared" si="8"/>
        <v>7.428388847158536E-2</v>
      </c>
      <c r="G54" s="2"/>
      <c r="H54" s="2">
        <v>23947.37</v>
      </c>
      <c r="I54" s="2"/>
      <c r="J54" s="19">
        <f t="shared" si="9"/>
        <v>0.16683784228156129</v>
      </c>
      <c r="K54" s="2"/>
      <c r="L54" s="2">
        <f t="shared" si="10"/>
        <v>-19309.239999999998</v>
      </c>
      <c r="M54" s="2"/>
      <c r="N54" s="19">
        <f t="shared" si="11"/>
        <v>-0.80631985892396529</v>
      </c>
      <c r="O54" s="11"/>
      <c r="P54" s="2">
        <v>49256.92</v>
      </c>
      <c r="Q54" s="2"/>
      <c r="R54" s="19">
        <f t="shared" si="12"/>
        <v>2.6396024229378541E-2</v>
      </c>
      <c r="S54" s="2"/>
      <c r="T54" s="2">
        <v>66024.739999999991</v>
      </c>
      <c r="U54" s="2"/>
      <c r="V54" s="19">
        <f t="shared" si="13"/>
        <v>2.0168079989574692E-2</v>
      </c>
      <c r="W54" s="2"/>
      <c r="X54" s="2">
        <f t="shared" si="14"/>
        <v>-16767.819999999992</v>
      </c>
      <c r="Y54" s="2"/>
      <c r="Z54" s="19">
        <f t="shared" si="15"/>
        <v>-0.25396268126159977</v>
      </c>
    </row>
    <row r="55" spans="1:26" s="24" customFormat="1" hidden="1" outlineLevel="1" x14ac:dyDescent="0.25">
      <c r="A55" s="44"/>
      <c r="B55" s="11" t="str">
        <f>CONCATENATE("          ", "5502", " - ", "FREIGHT-IN-USED TEXT")</f>
        <v xml:space="preserve">          5502 - FREIGHT-IN-USED TEXT</v>
      </c>
      <c r="C55" s="11"/>
      <c r="D55" s="2">
        <v>1484.45</v>
      </c>
      <c r="E55" s="2"/>
      <c r="F55" s="19">
        <f t="shared" si="8"/>
        <v>2.377482266379875E-2</v>
      </c>
      <c r="G55" s="2"/>
      <c r="H55" s="2">
        <v>2979.86</v>
      </c>
      <c r="I55" s="2"/>
      <c r="J55" s="19">
        <f t="shared" si="9"/>
        <v>2.07602510297011E-2</v>
      </c>
      <c r="K55" s="2"/>
      <c r="L55" s="2">
        <f t="shared" si="10"/>
        <v>-1495.41</v>
      </c>
      <c r="M55" s="2"/>
      <c r="N55" s="19">
        <f t="shared" si="11"/>
        <v>-0.50183901257106034</v>
      </c>
      <c r="O55" s="11"/>
      <c r="P55" s="2">
        <v>17136.759999999998</v>
      </c>
      <c r="Q55" s="2"/>
      <c r="R55" s="19">
        <f t="shared" si="12"/>
        <v>9.183325554521983E-3</v>
      </c>
      <c r="S55" s="2"/>
      <c r="T55" s="2">
        <v>14758.089999999998</v>
      </c>
      <c r="U55" s="2"/>
      <c r="V55" s="19">
        <f t="shared" si="13"/>
        <v>4.5080425854511861E-3</v>
      </c>
      <c r="W55" s="2"/>
      <c r="X55" s="2">
        <f t="shared" si="14"/>
        <v>2378.67</v>
      </c>
      <c r="Y55" s="2"/>
      <c r="Z55" s="19">
        <f t="shared" si="15"/>
        <v>0.16117736102707059</v>
      </c>
    </row>
    <row r="56" spans="1:26" s="24" customFormat="1" hidden="1" outlineLevel="1" x14ac:dyDescent="0.25">
      <c r="A56" s="44"/>
      <c r="B56" s="11" t="str">
        <f>CONCATENATE("          ", "5504", " - ", "FREIGHT-IN-DIGITAL TEXT")</f>
        <v xml:space="preserve">          5504 - FREIGHT-IN-DIGITAL TEXT</v>
      </c>
      <c r="C56" s="11"/>
      <c r="D56" s="2">
        <v>6.94</v>
      </c>
      <c r="E56" s="2"/>
      <c r="F56" s="19">
        <f t="shared" si="8"/>
        <v>1.1115043907626618E-4</v>
      </c>
      <c r="G56" s="2"/>
      <c r="H56" s="2"/>
      <c r="I56" s="2"/>
      <c r="J56" s="19">
        <f t="shared" si="9"/>
        <v>0</v>
      </c>
      <c r="K56" s="2"/>
      <c r="L56" s="2">
        <f t="shared" si="10"/>
        <v>6.94</v>
      </c>
      <c r="M56" s="2"/>
      <c r="N56" s="19">
        <f t="shared" si="11"/>
        <v>0</v>
      </c>
      <c r="O56" s="11"/>
      <c r="P56" s="2">
        <v>28.92</v>
      </c>
      <c r="Q56" s="2"/>
      <c r="R56" s="19">
        <f t="shared" si="12"/>
        <v>1.5497782255033963E-5</v>
      </c>
      <c r="S56" s="2"/>
      <c r="T56" s="2">
        <v>105.97</v>
      </c>
      <c r="U56" s="2"/>
      <c r="V56" s="19">
        <f t="shared" si="13"/>
        <v>3.23698576699466E-5</v>
      </c>
      <c r="W56" s="2"/>
      <c r="X56" s="2">
        <f t="shared" si="14"/>
        <v>-77.05</v>
      </c>
      <c r="Y56" s="2"/>
      <c r="Z56" s="19">
        <f t="shared" si="15"/>
        <v>-0.72709257336982158</v>
      </c>
    </row>
    <row r="57" spans="1:26" s="24" customFormat="1" hidden="1" outlineLevel="1" x14ac:dyDescent="0.25">
      <c r="A57" s="44"/>
      <c r="B57" s="11" t="str">
        <f>CONCATENATE("          ", "5513", " - ", "FREIGHT-IN-TRADE BOOKS")</f>
        <v xml:space="preserve">          5513 - FREIGHT-IN-TRADE BOOKS</v>
      </c>
      <c r="C57" s="11"/>
      <c r="D57" s="2"/>
      <c r="E57" s="2"/>
      <c r="F57" s="19">
        <f t="shared" si="8"/>
        <v>0</v>
      </c>
      <c r="G57" s="2"/>
      <c r="H57" s="2"/>
      <c r="I57" s="2"/>
      <c r="J57" s="19">
        <f t="shared" si="9"/>
        <v>0</v>
      </c>
      <c r="K57" s="2"/>
      <c r="L57" s="2">
        <f t="shared" si="10"/>
        <v>0</v>
      </c>
      <c r="M57" s="2"/>
      <c r="N57" s="19">
        <f t="shared" si="11"/>
        <v>0</v>
      </c>
      <c r="O57" s="11"/>
      <c r="P57" s="2">
        <v>33.520000000000003</v>
      </c>
      <c r="Q57" s="2"/>
      <c r="R57" s="19">
        <f t="shared" si="12"/>
        <v>1.7962851355073945E-5</v>
      </c>
      <c r="S57" s="2"/>
      <c r="T57" s="2">
        <v>21.41</v>
      </c>
      <c r="U57" s="2"/>
      <c r="V57" s="19">
        <f t="shared" si="13"/>
        <v>6.5399514269468412E-6</v>
      </c>
      <c r="W57" s="2"/>
      <c r="X57" s="2">
        <f t="shared" si="14"/>
        <v>12.110000000000003</v>
      </c>
      <c r="Y57" s="2"/>
      <c r="Z57" s="19">
        <f t="shared" si="15"/>
        <v>0.56562354040168161</v>
      </c>
    </row>
    <row r="58" spans="1:26" s="24" customFormat="1" hidden="1" outlineLevel="1" x14ac:dyDescent="0.25">
      <c r="A58" s="44"/>
      <c r="B58" s="11" t="str">
        <f>CONCATENATE("          ", "5518", " - ", "FREIGHT-IN-STUDY GUIDES")</f>
        <v xml:space="preserve">          5518 - FREIGHT-IN-STUDY GUIDES</v>
      </c>
      <c r="C58" s="11"/>
      <c r="D58" s="2"/>
      <c r="E58" s="2"/>
      <c r="F58" s="19">
        <f t="shared" si="8"/>
        <v>0</v>
      </c>
      <c r="G58" s="2"/>
      <c r="H58" s="2"/>
      <c r="I58" s="2"/>
      <c r="J58" s="19">
        <f t="shared" si="9"/>
        <v>0</v>
      </c>
      <c r="K58" s="2"/>
      <c r="L58" s="2">
        <f t="shared" si="10"/>
        <v>0</v>
      </c>
      <c r="M58" s="2"/>
      <c r="N58" s="19">
        <f t="shared" si="11"/>
        <v>0</v>
      </c>
      <c r="O58" s="11"/>
      <c r="P58" s="2"/>
      <c r="Q58" s="2"/>
      <c r="R58" s="19">
        <f t="shared" si="12"/>
        <v>0</v>
      </c>
      <c r="S58" s="2"/>
      <c r="T58" s="2">
        <v>21.13</v>
      </c>
      <c r="U58" s="2"/>
      <c r="V58" s="19">
        <f t="shared" si="13"/>
        <v>6.4544219360759809E-6</v>
      </c>
      <c r="W58" s="2"/>
      <c r="X58" s="2">
        <f t="shared" si="14"/>
        <v>-21.13</v>
      </c>
      <c r="Y58" s="2"/>
      <c r="Z58" s="19">
        <f t="shared" si="15"/>
        <v>-1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9" t="s">
        <v>6</v>
      </c>
      <c r="C60" s="29"/>
      <c r="D60" s="22">
        <f>D12-D42</f>
        <v>20480.900000000023</v>
      </c>
      <c r="E60" s="14"/>
      <c r="F60" s="20">
        <f>IF(D$12=0,0,D60/D$12)</f>
        <v>0.32802032099093698</v>
      </c>
      <c r="G60" s="14"/>
      <c r="H60" s="22">
        <f>H12-H42</f>
        <v>-103880.39000000004</v>
      </c>
      <c r="I60" s="14"/>
      <c r="J60" s="20">
        <f>IF(H$12=0,0,H60/H$12)</f>
        <v>-0.72371956181272035</v>
      </c>
      <c r="K60" s="16"/>
      <c r="L60" s="22">
        <f>+D60-H60</f>
        <v>124361.29000000007</v>
      </c>
      <c r="M60" s="16"/>
      <c r="N60" s="20">
        <f>IF(H60=0,0,L60/H60)</f>
        <v>-1.1971584819810555</v>
      </c>
      <c r="O60" s="28"/>
      <c r="P60" s="22">
        <f>P12-P42</f>
        <v>544665.44999999949</v>
      </c>
      <c r="Q60" s="14"/>
      <c r="R60" s="20">
        <f>IF(P$12=0,0,P60/P$12)</f>
        <v>0.29187781970747162</v>
      </c>
      <c r="S60" s="14"/>
      <c r="T60" s="22">
        <f>T12-T42</f>
        <v>969370.3199999989</v>
      </c>
      <c r="U60" s="14"/>
      <c r="V60" s="20">
        <f>IF(T$12=0,0,T60/T$12)</f>
        <v>0.29610624976758099</v>
      </c>
      <c r="W60" s="16"/>
      <c r="X60" s="22">
        <f>+P60-T60</f>
        <v>-424704.86999999941</v>
      </c>
      <c r="Y60" s="16"/>
      <c r="Z60" s="20">
        <f>IF(T60=0,0,X60/T60)</f>
        <v>-0.43812448270543286</v>
      </c>
    </row>
    <row r="61" spans="1:26" x14ac:dyDescent="0.25">
      <c r="A61" s="9"/>
      <c r="B61" s="10"/>
      <c r="C61" s="9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7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x14ac:dyDescent="0.25">
      <c r="A62" s="10"/>
      <c r="B62" s="28" t="s">
        <v>9</v>
      </c>
      <c r="C62" s="10"/>
      <c r="D62" s="21">
        <f>SUM(OSRRefD22x_0)</f>
        <v>39269.65</v>
      </c>
      <c r="E62" s="21"/>
      <c r="F62" s="32">
        <f t="shared" ref="F62:F72" si="16">IF(D$12=0,0,D62/D$12)</f>
        <v>0.62893931410249226</v>
      </c>
      <c r="G62" s="21"/>
      <c r="H62" s="21">
        <f>SUM(OSRRefH22x_0)</f>
        <v>70554.160000000018</v>
      </c>
      <c r="I62" s="21"/>
      <c r="J62" s="32">
        <f t="shared" ref="J62:J72" si="17">IF(H$12=0,0,H62/H$12)</f>
        <v>0.49154056660034245</v>
      </c>
      <c r="K62" s="4"/>
      <c r="L62" s="21">
        <f t="shared" ref="L62:L72" si="18">+D62-H62</f>
        <v>-31284.510000000017</v>
      </c>
      <c r="M62" s="4"/>
      <c r="N62" s="32">
        <f t="shared" ref="N62:N72" si="19">IF(H62=0,0,L62/H62)</f>
        <v>-0.44341127440253003</v>
      </c>
      <c r="O62" s="10"/>
      <c r="P62" s="21">
        <f>SUM(OSRRefP22x_0)</f>
        <v>362260.23999999993</v>
      </c>
      <c r="Q62" s="21"/>
      <c r="R62" s="32">
        <f t="shared" ref="R62:R72" si="20">IF(P$12=0,0,P62/P$12)</f>
        <v>0.19412967908631892</v>
      </c>
      <c r="S62" s="21"/>
      <c r="T62" s="21">
        <f>SUM(OSRRefT22x_0)</f>
        <v>377142.68000000011</v>
      </c>
      <c r="U62" s="21"/>
      <c r="V62" s="32">
        <f t="shared" ref="V62:V72" si="21">IF(T$12=0,0,T62/T$12)</f>
        <v>0.11520293359311334</v>
      </c>
      <c r="W62" s="4"/>
      <c r="X62" s="21">
        <f t="shared" ref="X62:X72" si="22">+P62-T62</f>
        <v>-14882.440000000177</v>
      </c>
      <c r="Y62" s="4"/>
      <c r="Z62" s="32">
        <f t="shared" ref="Z62:Z72" si="23">IF(T62=0,0,X62/T62)</f>
        <v>-3.9461033686243555E-2</v>
      </c>
    </row>
    <row r="63" spans="1:26" s="25" customFormat="1" outlineLevel="1" collapsed="1" x14ac:dyDescent="0.25">
      <c r="A63" s="27"/>
      <c r="B63" s="13" t="str">
        <f>CONCATENATE("     ","*Benefits                                         ")</f>
        <v xml:space="preserve">     *Benefits                                         </v>
      </c>
      <c r="C63" s="13"/>
      <c r="D63" s="1">
        <f>SUM(OSRRefD22_0x_0)</f>
        <v>11929.13</v>
      </c>
      <c r="E63" s="1"/>
      <c r="F63" s="5">
        <f t="shared" si="16"/>
        <v>0.19105591315531109</v>
      </c>
      <c r="G63" s="1"/>
      <c r="H63" s="1">
        <f>SUM(OSRRefH22_0x_0)</f>
        <v>9906.17</v>
      </c>
      <c r="I63" s="1"/>
      <c r="J63" s="5">
        <f t="shared" si="17"/>
        <v>6.9014844973553841E-2</v>
      </c>
      <c r="K63" s="1"/>
      <c r="L63" s="1">
        <f t="shared" si="18"/>
        <v>2022.9599999999991</v>
      </c>
      <c r="M63" s="1"/>
      <c r="N63" s="5">
        <f t="shared" si="19"/>
        <v>0.20421212234395322</v>
      </c>
      <c r="O63" s="13"/>
      <c r="P63" s="1">
        <f>SUM(OSRRefP22_0x_0)</f>
        <v>93726.34</v>
      </c>
      <c r="Q63" s="1"/>
      <c r="R63" s="5">
        <f t="shared" si="20"/>
        <v>5.0226500998661126E-2</v>
      </c>
      <c r="S63" s="1"/>
      <c r="T63" s="1">
        <f>SUM(OSRRefT22_0x_0)</f>
        <v>81665.299999999988</v>
      </c>
      <c r="U63" s="1"/>
      <c r="V63" s="5">
        <f t="shared" si="21"/>
        <v>2.4945684038628763E-2</v>
      </c>
      <c r="W63" s="1"/>
      <c r="X63" s="1">
        <f t="shared" si="22"/>
        <v>12061.040000000008</v>
      </c>
      <c r="Y63" s="1"/>
      <c r="Z63" s="5">
        <f t="shared" si="23"/>
        <v>0.14768867560640822</v>
      </c>
    </row>
    <row r="64" spans="1:26" s="24" customFormat="1" hidden="1" outlineLevel="2" x14ac:dyDescent="0.25">
      <c r="A64" s="26"/>
      <c r="B64" s="11" t="str">
        <f>CONCATENATE("          ", "6111", " - ", "F.I.C.A.")</f>
        <v xml:space="preserve">          6111 - F.I.C.A.</v>
      </c>
      <c r="C64" s="11"/>
      <c r="D64" s="6">
        <v>1875.59</v>
      </c>
      <c r="E64" s="2"/>
      <c r="F64" s="7">
        <f t="shared" si="16"/>
        <v>3.0039287035598567E-2</v>
      </c>
      <c r="G64" s="2"/>
      <c r="H64" s="6">
        <v>1721.42</v>
      </c>
      <c r="I64" s="2"/>
      <c r="J64" s="7">
        <f t="shared" si="17"/>
        <v>1.199288266144989E-2</v>
      </c>
      <c r="K64" s="2"/>
      <c r="L64" s="6">
        <f t="shared" si="18"/>
        <v>154.16999999999985</v>
      </c>
      <c r="M64" s="2"/>
      <c r="N64" s="7">
        <f t="shared" si="19"/>
        <v>8.9559782040408403E-2</v>
      </c>
      <c r="O64" s="11"/>
      <c r="P64" s="6">
        <v>17001.2</v>
      </c>
      <c r="Q64" s="2"/>
      <c r="R64" s="7">
        <f t="shared" si="20"/>
        <v>9.1106810399129799E-3</v>
      </c>
      <c r="S64" s="2"/>
      <c r="T64" s="6">
        <v>14032.9</v>
      </c>
      <c r="U64" s="2"/>
      <c r="V64" s="7">
        <f t="shared" si="21"/>
        <v>4.2865242587203324E-3</v>
      </c>
      <c r="W64" s="2"/>
      <c r="X64" s="6">
        <f t="shared" si="22"/>
        <v>2968.3000000000011</v>
      </c>
      <c r="Y64" s="2"/>
      <c r="Z64" s="7">
        <f t="shared" si="23"/>
        <v>0.21152434635748857</v>
      </c>
    </row>
    <row r="65" spans="1:26" s="24" customFormat="1" hidden="1" outlineLevel="2" x14ac:dyDescent="0.25">
      <c r="A65" s="26"/>
      <c r="B65" s="11" t="str">
        <f>CONCATENATE("          ", "6112", " - ", "COMPENSATION INSURANCE")</f>
        <v xml:space="preserve">          6112 - COMPENSATION INSURANCE</v>
      </c>
      <c r="C65" s="11"/>
      <c r="D65" s="6">
        <v>86.99</v>
      </c>
      <c r="E65" s="2"/>
      <c r="F65" s="7">
        <f t="shared" si="16"/>
        <v>1.3932243076721028E-3</v>
      </c>
      <c r="G65" s="2"/>
      <c r="H65" s="6">
        <v>83.46</v>
      </c>
      <c r="I65" s="2"/>
      <c r="J65" s="7">
        <f t="shared" si="17"/>
        <v>5.8145367599110489E-4</v>
      </c>
      <c r="K65" s="2"/>
      <c r="L65" s="6">
        <f t="shared" si="18"/>
        <v>3.5300000000000011</v>
      </c>
      <c r="M65" s="2"/>
      <c r="N65" s="7">
        <f t="shared" si="19"/>
        <v>4.2295710520009605E-2</v>
      </c>
      <c r="O65" s="11"/>
      <c r="P65" s="6">
        <v>943.96</v>
      </c>
      <c r="Q65" s="2"/>
      <c r="R65" s="7">
        <f t="shared" si="20"/>
        <v>5.058536147116825E-4</v>
      </c>
      <c r="S65" s="2"/>
      <c r="T65" s="6">
        <v>556.78</v>
      </c>
      <c r="U65" s="2"/>
      <c r="V65" s="7">
        <f t="shared" si="21"/>
        <v>1.7007539259670536E-4</v>
      </c>
      <c r="W65" s="2"/>
      <c r="X65" s="6">
        <f t="shared" si="22"/>
        <v>387.18000000000006</v>
      </c>
      <c r="Y65" s="2"/>
      <c r="Z65" s="7">
        <f t="shared" si="23"/>
        <v>0.69539135744818437</v>
      </c>
    </row>
    <row r="66" spans="1:26" s="24" customFormat="1" hidden="1" outlineLevel="2" x14ac:dyDescent="0.25">
      <c r="A66" s="26"/>
      <c r="B66" s="11" t="str">
        <f>CONCATENATE("          ", "6113", " - ", "GROUP INSURANCE")</f>
        <v xml:space="preserve">          6113 - GROUP INSURANCE</v>
      </c>
      <c r="C66" s="11"/>
      <c r="D66" s="6">
        <v>4943.91</v>
      </c>
      <c r="E66" s="2"/>
      <c r="F66" s="7">
        <f t="shared" si="16"/>
        <v>7.9181234474573939E-2</v>
      </c>
      <c r="G66" s="2"/>
      <c r="H66" s="6">
        <v>4248.21</v>
      </c>
      <c r="I66" s="2"/>
      <c r="J66" s="7">
        <f t="shared" si="17"/>
        <v>2.9596660925978572E-2</v>
      </c>
      <c r="K66" s="2"/>
      <c r="L66" s="6">
        <f t="shared" si="18"/>
        <v>695.69999999999982</v>
      </c>
      <c r="M66" s="2"/>
      <c r="N66" s="7">
        <f t="shared" si="19"/>
        <v>0.16376309080765777</v>
      </c>
      <c r="O66" s="11"/>
      <c r="P66" s="6">
        <v>35276.04</v>
      </c>
      <c r="Q66" s="2"/>
      <c r="R66" s="7">
        <f t="shared" si="20"/>
        <v>1.8903886125168336E-2</v>
      </c>
      <c r="S66" s="2"/>
      <c r="T66" s="6">
        <v>33507.839999999997</v>
      </c>
      <c r="U66" s="2"/>
      <c r="V66" s="7">
        <f t="shared" si="21"/>
        <v>1.0235387483508007E-2</v>
      </c>
      <c r="W66" s="2"/>
      <c r="X66" s="6">
        <f t="shared" si="22"/>
        <v>1768.2000000000044</v>
      </c>
      <c r="Y66" s="2"/>
      <c r="Z66" s="7">
        <f t="shared" si="23"/>
        <v>5.2769739857896077E-2</v>
      </c>
    </row>
    <row r="67" spans="1:26" s="24" customFormat="1" hidden="1" outlineLevel="2" x14ac:dyDescent="0.25">
      <c r="A67" s="26"/>
      <c r="B67" s="11" t="str">
        <f>CONCATENATE("          ", "6114", " - ", "STATE UNEMPLOYMENT INSURANCE")</f>
        <v xml:space="preserve">          6114 - STATE UNEMPLOYMENT INSURANCE</v>
      </c>
      <c r="C67" s="11"/>
      <c r="D67" s="6">
        <v>68.540000000000006</v>
      </c>
      <c r="E67" s="2"/>
      <c r="F67" s="7">
        <f t="shared" si="16"/>
        <v>1.0977307052287154E-3</v>
      </c>
      <c r="G67" s="2"/>
      <c r="H67" s="6">
        <v>63.82</v>
      </c>
      <c r="I67" s="2"/>
      <c r="J67" s="7">
        <f t="shared" si="17"/>
        <v>4.4462465374733184E-4</v>
      </c>
      <c r="K67" s="2"/>
      <c r="L67" s="6">
        <f t="shared" si="18"/>
        <v>4.720000000000006</v>
      </c>
      <c r="M67" s="2"/>
      <c r="N67" s="7">
        <f t="shared" si="19"/>
        <v>7.3958006894390568E-2</v>
      </c>
      <c r="O67" s="11"/>
      <c r="P67" s="6">
        <v>600.69000000000005</v>
      </c>
      <c r="Q67" s="2"/>
      <c r="R67" s="7">
        <f t="shared" si="20"/>
        <v>3.2190051254413383E-4</v>
      </c>
      <c r="S67" s="2"/>
      <c r="T67" s="6">
        <v>524.22</v>
      </c>
      <c r="U67" s="2"/>
      <c r="V67" s="7">
        <f t="shared" si="21"/>
        <v>1.6012953465829394E-4</v>
      </c>
      <c r="W67" s="2"/>
      <c r="X67" s="6">
        <f t="shared" si="22"/>
        <v>76.470000000000027</v>
      </c>
      <c r="Y67" s="2"/>
      <c r="Z67" s="7">
        <f t="shared" si="23"/>
        <v>0.14587386974934191</v>
      </c>
    </row>
    <row r="68" spans="1:26" s="24" customFormat="1" hidden="1" outlineLevel="2" x14ac:dyDescent="0.25">
      <c r="A68" s="26"/>
      <c r="B68" s="11" t="str">
        <f>CONCATENATE("          ", "6115", " - ", "P.E.R.S.")</f>
        <v xml:space="preserve">          6115 - P.E.R.S.</v>
      </c>
      <c r="C68" s="11"/>
      <c r="D68" s="6">
        <v>1783.22</v>
      </c>
      <c r="E68" s="2"/>
      <c r="F68" s="7">
        <f t="shared" si="16"/>
        <v>2.8559897113772242E-2</v>
      </c>
      <c r="G68" s="2"/>
      <c r="H68" s="6">
        <v>1334.35</v>
      </c>
      <c r="I68" s="2"/>
      <c r="J68" s="7">
        <f t="shared" si="17"/>
        <v>9.2962222928196832E-3</v>
      </c>
      <c r="K68" s="2"/>
      <c r="L68" s="6">
        <f t="shared" si="18"/>
        <v>448.87000000000012</v>
      </c>
      <c r="M68" s="2"/>
      <c r="N68" s="7">
        <f t="shared" si="19"/>
        <v>0.33639599805148584</v>
      </c>
      <c r="O68" s="11"/>
      <c r="P68" s="6">
        <v>14958.510000000002</v>
      </c>
      <c r="Q68" s="2"/>
      <c r="R68" s="7">
        <f t="shared" si="20"/>
        <v>8.0160349529650107E-3</v>
      </c>
      <c r="S68" s="2"/>
      <c r="T68" s="6">
        <v>11764.02</v>
      </c>
      <c r="U68" s="2"/>
      <c r="V68" s="7">
        <f t="shared" si="21"/>
        <v>3.5934665756950576E-3</v>
      </c>
      <c r="W68" s="2"/>
      <c r="X68" s="6">
        <f t="shared" si="22"/>
        <v>3194.4900000000016</v>
      </c>
      <c r="Y68" s="2"/>
      <c r="Z68" s="7">
        <f t="shared" si="23"/>
        <v>0.27154748121815514</v>
      </c>
    </row>
    <row r="69" spans="1:26" s="24" customFormat="1" hidden="1" outlineLevel="2" x14ac:dyDescent="0.25">
      <c r="A69" s="26"/>
      <c r="B69" s="11" t="str">
        <f>CONCATENATE("          ", "6117", " - ", "RETIREMENT STAFF HOURLY")</f>
        <v xml:space="preserve">          6117 - RETIREMENT STAFF HOURLY</v>
      </c>
      <c r="C69" s="11"/>
      <c r="D69" s="6">
        <v>298.89999999999998</v>
      </c>
      <c r="E69" s="2"/>
      <c r="F69" s="7">
        <f t="shared" si="16"/>
        <v>4.7871565187169963E-3</v>
      </c>
      <c r="G69" s="2"/>
      <c r="H69" s="6">
        <v>111.34</v>
      </c>
      <c r="I69" s="2"/>
      <c r="J69" s="7">
        <f t="shared" si="17"/>
        <v>7.7568957925772369E-4</v>
      </c>
      <c r="K69" s="2"/>
      <c r="L69" s="6">
        <f t="shared" si="18"/>
        <v>187.55999999999997</v>
      </c>
      <c r="M69" s="2"/>
      <c r="N69" s="7">
        <f t="shared" si="19"/>
        <v>1.6845697862403446</v>
      </c>
      <c r="O69" s="11"/>
      <c r="P69" s="6">
        <v>2140.98</v>
      </c>
      <c r="Q69" s="2"/>
      <c r="R69" s="7">
        <f t="shared" si="20"/>
        <v>1.1473181830007819E-3</v>
      </c>
      <c r="S69" s="2"/>
      <c r="T69" s="6">
        <v>1063.57</v>
      </c>
      <c r="U69" s="2"/>
      <c r="V69" s="7">
        <f t="shared" si="21"/>
        <v>3.2488071644828828E-4</v>
      </c>
      <c r="W69" s="2"/>
      <c r="X69" s="6">
        <f t="shared" si="22"/>
        <v>1077.4100000000001</v>
      </c>
      <c r="Y69" s="2"/>
      <c r="Z69" s="7">
        <f t="shared" si="23"/>
        <v>1.0130127777203195</v>
      </c>
    </row>
    <row r="70" spans="1:26" s="24" customFormat="1" hidden="1" outlineLevel="2" x14ac:dyDescent="0.25">
      <c r="A70" s="26"/>
      <c r="B70" s="11" t="str">
        <f>CONCATENATE("          ", "6118", " - ", "VACATION")</f>
        <v xml:space="preserve">          6118 - VACATION</v>
      </c>
      <c r="C70" s="11"/>
      <c r="D70" s="6">
        <v>1386.96</v>
      </c>
      <c r="E70" s="2"/>
      <c r="F70" s="7">
        <f t="shared" si="16"/>
        <v>2.2213431265305207E-2</v>
      </c>
      <c r="G70" s="2"/>
      <c r="H70" s="6">
        <v>629.08000000000004</v>
      </c>
      <c r="I70" s="2"/>
      <c r="J70" s="7">
        <f t="shared" si="17"/>
        <v>4.3827088244965768E-3</v>
      </c>
      <c r="K70" s="2"/>
      <c r="L70" s="6">
        <f t="shared" si="18"/>
        <v>757.88</v>
      </c>
      <c r="M70" s="2"/>
      <c r="N70" s="7">
        <f t="shared" si="19"/>
        <v>1.2047434348572519</v>
      </c>
      <c r="O70" s="11"/>
      <c r="P70" s="6">
        <v>10689.66</v>
      </c>
      <c r="Q70" s="2"/>
      <c r="R70" s="7">
        <f t="shared" si="20"/>
        <v>5.7284240338985595E-3</v>
      </c>
      <c r="S70" s="2"/>
      <c r="T70" s="6">
        <v>7046.72</v>
      </c>
      <c r="U70" s="2"/>
      <c r="V70" s="7">
        <f t="shared" si="21"/>
        <v>2.1525084782482414E-3</v>
      </c>
      <c r="W70" s="2"/>
      <c r="X70" s="6">
        <f t="shared" si="22"/>
        <v>3642.9399999999996</v>
      </c>
      <c r="Y70" s="2"/>
      <c r="Z70" s="7">
        <f t="shared" si="23"/>
        <v>0.51696959720267011</v>
      </c>
    </row>
    <row r="71" spans="1:26" s="24" customFormat="1" hidden="1" outlineLevel="2" x14ac:dyDescent="0.25">
      <c r="A71" s="26"/>
      <c r="B71" s="11" t="str">
        <f>CONCATENATE("          ", "6119", " - ", "SICK LEAVE")</f>
        <v xml:space="preserve">          6119 - SICK LEAVE</v>
      </c>
      <c r="C71" s="11"/>
      <c r="D71" s="6">
        <v>1147.56</v>
      </c>
      <c r="E71" s="2"/>
      <c r="F71" s="7">
        <f t="shared" si="16"/>
        <v>1.8379221594576368E-2</v>
      </c>
      <c r="G71" s="2"/>
      <c r="H71" s="6">
        <v>925.42</v>
      </c>
      <c r="I71" s="2"/>
      <c r="J71" s="7">
        <f t="shared" si="17"/>
        <v>6.4472664849711033E-3</v>
      </c>
      <c r="K71" s="2"/>
      <c r="L71" s="6">
        <f t="shared" si="18"/>
        <v>222.14</v>
      </c>
      <c r="M71" s="2"/>
      <c r="N71" s="7">
        <f t="shared" si="19"/>
        <v>0.24004235914503685</v>
      </c>
      <c r="O71" s="11"/>
      <c r="P71" s="6">
        <v>8739.4599999999991</v>
      </c>
      <c r="Q71" s="2"/>
      <c r="R71" s="7">
        <f t="shared" si="20"/>
        <v>4.6833419123990007E-3</v>
      </c>
      <c r="S71" s="2"/>
      <c r="T71" s="6">
        <v>7970.95</v>
      </c>
      <c r="U71" s="2"/>
      <c r="V71" s="7">
        <f t="shared" si="21"/>
        <v>2.4348260544895806E-3</v>
      </c>
      <c r="W71" s="2"/>
      <c r="X71" s="6">
        <f t="shared" si="22"/>
        <v>768.50999999999931</v>
      </c>
      <c r="Y71" s="2"/>
      <c r="Z71" s="7">
        <f t="shared" si="23"/>
        <v>9.6413852802990779E-2</v>
      </c>
    </row>
    <row r="72" spans="1:26" s="24" customFormat="1" hidden="1" outlineLevel="2" x14ac:dyDescent="0.25">
      <c r="A72" s="26"/>
      <c r="B72" s="11" t="str">
        <f>CONCATENATE("          ", "6156", " - ", "EMPLOYEE MEALS")</f>
        <v xml:space="preserve">          6156 - EMPLOYEE MEALS</v>
      </c>
      <c r="C72" s="11"/>
      <c r="D72" s="6">
        <v>337.46</v>
      </c>
      <c r="E72" s="2"/>
      <c r="F72" s="7">
        <f t="shared" si="16"/>
        <v>5.4047301398669713E-3</v>
      </c>
      <c r="G72" s="2"/>
      <c r="H72" s="6">
        <v>789.07</v>
      </c>
      <c r="I72" s="2"/>
      <c r="J72" s="7">
        <f t="shared" si="17"/>
        <v>5.4973358748418542E-3</v>
      </c>
      <c r="K72" s="2"/>
      <c r="L72" s="6">
        <f t="shared" si="18"/>
        <v>-451.61000000000007</v>
      </c>
      <c r="M72" s="2"/>
      <c r="N72" s="7">
        <f t="shared" si="19"/>
        <v>-0.57233198575538302</v>
      </c>
      <c r="O72" s="11"/>
      <c r="P72" s="6">
        <v>3375.84</v>
      </c>
      <c r="Q72" s="2"/>
      <c r="R72" s="7">
        <f t="shared" si="20"/>
        <v>1.8090606240606449E-3</v>
      </c>
      <c r="S72" s="2"/>
      <c r="T72" s="6">
        <v>5198.3</v>
      </c>
      <c r="U72" s="2"/>
      <c r="V72" s="7">
        <f t="shared" si="21"/>
        <v>1.587885544264258E-3</v>
      </c>
      <c r="W72" s="2"/>
      <c r="X72" s="6">
        <f t="shared" si="22"/>
        <v>-1822.46</v>
      </c>
      <c r="Y72" s="2"/>
      <c r="Z72" s="7">
        <f t="shared" si="23"/>
        <v>-0.35058769213011948</v>
      </c>
    </row>
    <row r="73" spans="1:26" s="25" customFormat="1" outlineLevel="1" collapsed="1" x14ac:dyDescent="0.25">
      <c r="A73" s="27"/>
      <c r="B73" s="13" t="str">
        <f>CONCATENATE("     ","*Payroll                                          ")</f>
        <v xml:space="preserve">     *Payroll                                          </v>
      </c>
      <c r="C73" s="13"/>
      <c r="D73" s="1">
        <f>SUM(OSRRefD22_1x_0)</f>
        <v>23630.000000000004</v>
      </c>
      <c r="E73" s="1"/>
      <c r="F73" s="5">
        <f t="shared" ref="F73:F80" si="24">IF(D$12=0,0,D73/D$12)</f>
        <v>0.37845603391529831</v>
      </c>
      <c r="G73" s="1"/>
      <c r="H73" s="1">
        <f>SUM(OSRRefH22_1x_0)</f>
        <v>55278.33</v>
      </c>
      <c r="I73" s="1"/>
      <c r="J73" s="5">
        <f t="shared" ref="J73:J80" si="25">IF(H$12=0,0,H73/H$12)</f>
        <v>0.38511608172956358</v>
      </c>
      <c r="K73" s="1"/>
      <c r="L73" s="1">
        <f t="shared" ref="L73:L80" si="26">+D73-H73</f>
        <v>-31648.329999999998</v>
      </c>
      <c r="M73" s="1"/>
      <c r="N73" s="5">
        <f t="shared" ref="N73:N80" si="27">IF(H73=0,0,L73/H73)</f>
        <v>-0.57252688350027936</v>
      </c>
      <c r="O73" s="13"/>
      <c r="P73" s="1">
        <f>SUM(OSRRefP22_1x_0)</f>
        <v>227398.37</v>
      </c>
      <c r="Q73" s="1"/>
      <c r="R73" s="5">
        <f t="shared" ref="R73:R80" si="28">IF(P$12=0,0,P73/P$12)</f>
        <v>0.12185928158401269</v>
      </c>
      <c r="S73" s="1"/>
      <c r="T73" s="1">
        <f>SUM(OSRRefT22_1x_0)</f>
        <v>232963.76</v>
      </c>
      <c r="U73" s="1"/>
      <c r="V73" s="5">
        <f t="shared" ref="V73:V80" si="29">IF(T$12=0,0,T73/T$12)</f>
        <v>7.1161684943433043E-2</v>
      </c>
      <c r="W73" s="1"/>
      <c r="X73" s="1">
        <f t="shared" ref="X73:X80" si="30">+P73-T73</f>
        <v>-5565.390000000014</v>
      </c>
      <c r="Y73" s="1"/>
      <c r="Z73" s="5">
        <f t="shared" ref="Z73:Z80" si="31">IF(T73=0,0,X73/T73)</f>
        <v>-2.3889509681677586E-2</v>
      </c>
    </row>
    <row r="74" spans="1:26" s="24" customFormat="1" hidden="1" outlineLevel="2" x14ac:dyDescent="0.25">
      <c r="A74" s="26"/>
      <c r="B74" s="11" t="str">
        <f>CONCATENATE("          ", "6001", " - ", "ADMINISTRATIVE SALARIES")</f>
        <v xml:space="preserve">          6001 - ADMINISTRATIVE SALARIES</v>
      </c>
      <c r="C74" s="11"/>
      <c r="D74" s="6"/>
      <c r="E74" s="2"/>
      <c r="F74" s="7">
        <f t="shared" si="24"/>
        <v>0</v>
      </c>
      <c r="G74" s="2"/>
      <c r="H74" s="6"/>
      <c r="I74" s="2"/>
      <c r="J74" s="7">
        <f t="shared" si="25"/>
        <v>0</v>
      </c>
      <c r="K74" s="2"/>
      <c r="L74" s="6">
        <f t="shared" si="26"/>
        <v>0</v>
      </c>
      <c r="M74" s="2"/>
      <c r="N74" s="7">
        <f t="shared" si="27"/>
        <v>0</v>
      </c>
      <c r="O74" s="11"/>
      <c r="P74" s="6">
        <v>-311.32</v>
      </c>
      <c r="Q74" s="2"/>
      <c r="R74" s="7">
        <f t="shared" si="28"/>
        <v>-1.6683158961401011E-4</v>
      </c>
      <c r="S74" s="2"/>
      <c r="T74" s="6"/>
      <c r="U74" s="2"/>
      <c r="V74" s="7">
        <f t="shared" si="29"/>
        <v>0</v>
      </c>
      <c r="W74" s="2"/>
      <c r="X74" s="6">
        <f t="shared" si="30"/>
        <v>-311.32</v>
      </c>
      <c r="Y74" s="2"/>
      <c r="Z74" s="7">
        <f t="shared" si="31"/>
        <v>0</v>
      </c>
    </row>
    <row r="75" spans="1:26" s="24" customFormat="1" hidden="1" outlineLevel="2" x14ac:dyDescent="0.25">
      <c r="A75" s="26"/>
      <c r="B75" s="11" t="str">
        <f>CONCATENATE("          ", "6002", " - ", "STAFF SALARIES")</f>
        <v xml:space="preserve">          6002 - STAFF SALARIES</v>
      </c>
      <c r="C75" s="11"/>
      <c r="D75" s="6">
        <v>16765.57</v>
      </c>
      <c r="E75" s="2"/>
      <c r="F75" s="7">
        <f t="shared" si="24"/>
        <v>0.26851591741554409</v>
      </c>
      <c r="G75" s="2"/>
      <c r="H75" s="6">
        <v>22827.9</v>
      </c>
      <c r="I75" s="2"/>
      <c r="J75" s="7">
        <f t="shared" si="25"/>
        <v>0.15903865768221118</v>
      </c>
      <c r="K75" s="2"/>
      <c r="L75" s="6">
        <f t="shared" si="26"/>
        <v>-6062.3300000000017</v>
      </c>
      <c r="M75" s="2"/>
      <c r="N75" s="7">
        <f t="shared" si="27"/>
        <v>-0.26556669689283735</v>
      </c>
      <c r="O75" s="11"/>
      <c r="P75" s="6">
        <v>138126.24</v>
      </c>
      <c r="Q75" s="2"/>
      <c r="R75" s="7">
        <f t="shared" si="28"/>
        <v>7.4019723071457891E-2</v>
      </c>
      <c r="S75" s="2"/>
      <c r="T75" s="6">
        <v>129964.14</v>
      </c>
      <c r="U75" s="2"/>
      <c r="V75" s="7">
        <f t="shared" si="29"/>
        <v>3.969916687738996E-2</v>
      </c>
      <c r="W75" s="2"/>
      <c r="X75" s="6">
        <f t="shared" si="30"/>
        <v>8162.0999999999913</v>
      </c>
      <c r="Y75" s="2"/>
      <c r="Z75" s="7">
        <f t="shared" si="31"/>
        <v>6.2802708500975662E-2</v>
      </c>
    </row>
    <row r="76" spans="1:26" s="24" customFormat="1" hidden="1" outlineLevel="2" x14ac:dyDescent="0.25">
      <c r="A76" s="26"/>
      <c r="B76" s="11" t="str">
        <f>CONCATENATE("          ", "6004", " - ", "STAFF HOURLY")</f>
        <v xml:space="preserve">          6004 - STAFF HOURLY</v>
      </c>
      <c r="C76" s="11"/>
      <c r="D76" s="6">
        <v>6038.31</v>
      </c>
      <c r="E76" s="2"/>
      <c r="F76" s="7">
        <f t="shared" si="24"/>
        <v>9.6709050112191483E-2</v>
      </c>
      <c r="G76" s="2"/>
      <c r="H76" s="6">
        <v>4401.38</v>
      </c>
      <c r="I76" s="2"/>
      <c r="J76" s="7">
        <f t="shared" si="25"/>
        <v>3.0663774028681156E-2</v>
      </c>
      <c r="K76" s="2"/>
      <c r="L76" s="6">
        <f t="shared" si="26"/>
        <v>1636.9300000000003</v>
      </c>
      <c r="M76" s="2"/>
      <c r="N76" s="7">
        <f t="shared" si="27"/>
        <v>0.37191290004498595</v>
      </c>
      <c r="O76" s="11"/>
      <c r="P76" s="6">
        <v>53932.72</v>
      </c>
      <c r="Q76" s="2"/>
      <c r="R76" s="7">
        <f t="shared" si="28"/>
        <v>2.8901713381110486E-2</v>
      </c>
      <c r="S76" s="2"/>
      <c r="T76" s="6">
        <v>26297.27</v>
      </c>
      <c r="U76" s="2"/>
      <c r="V76" s="7">
        <f t="shared" si="29"/>
        <v>8.0328289799769439E-3</v>
      </c>
      <c r="W76" s="2"/>
      <c r="X76" s="6">
        <f t="shared" si="30"/>
        <v>27635.45</v>
      </c>
      <c r="Y76" s="2"/>
      <c r="Z76" s="7">
        <f t="shared" si="31"/>
        <v>1.0508866509717549</v>
      </c>
    </row>
    <row r="77" spans="1:26" s="24" customFormat="1" hidden="1" outlineLevel="2" x14ac:dyDescent="0.25">
      <c r="A77" s="26"/>
      <c r="B77" s="11" t="str">
        <f>CONCATENATE("          ", "6005", " - ", "TEMPORARY WAGES-HOURLY")</f>
        <v xml:space="preserve">          6005 - TEMPORARY WAGES-HOURLY</v>
      </c>
      <c r="C77" s="11"/>
      <c r="D77" s="6"/>
      <c r="E77" s="2"/>
      <c r="F77" s="7">
        <f t="shared" si="24"/>
        <v>0</v>
      </c>
      <c r="G77" s="2"/>
      <c r="H77" s="6">
        <v>2953.29</v>
      </c>
      <c r="I77" s="2"/>
      <c r="J77" s="7">
        <f t="shared" si="25"/>
        <v>2.0575141705820393E-2</v>
      </c>
      <c r="K77" s="2"/>
      <c r="L77" s="6">
        <f t="shared" si="26"/>
        <v>-2953.29</v>
      </c>
      <c r="M77" s="2"/>
      <c r="N77" s="7">
        <f t="shared" si="27"/>
        <v>-1</v>
      </c>
      <c r="O77" s="11"/>
      <c r="P77" s="6">
        <v>12838</v>
      </c>
      <c r="Q77" s="2"/>
      <c r="R77" s="7">
        <f t="shared" si="28"/>
        <v>6.8796863274594054E-3</v>
      </c>
      <c r="S77" s="2"/>
      <c r="T77" s="6">
        <v>20778.34</v>
      </c>
      <c r="U77" s="2"/>
      <c r="V77" s="7">
        <f t="shared" si="29"/>
        <v>6.3470030047915287E-3</v>
      </c>
      <c r="W77" s="2"/>
      <c r="X77" s="6">
        <f t="shared" si="30"/>
        <v>-7940.34</v>
      </c>
      <c r="Y77" s="2"/>
      <c r="Z77" s="7">
        <f t="shared" si="31"/>
        <v>-0.38214506067375931</v>
      </c>
    </row>
    <row r="78" spans="1:26" s="24" customFormat="1" hidden="1" outlineLevel="2" x14ac:dyDescent="0.25">
      <c r="A78" s="26"/>
      <c r="B78" s="11" t="str">
        <f>CONCATENATE("          ", "6006", " - ", "TEMPORARY PART TIME")</f>
        <v xml:space="preserve">          6006 - TEMPORARY PART TIME</v>
      </c>
      <c r="C78" s="11"/>
      <c r="D78" s="6"/>
      <c r="E78" s="2"/>
      <c r="F78" s="7">
        <f t="shared" si="24"/>
        <v>0</v>
      </c>
      <c r="G78" s="2"/>
      <c r="H78" s="6">
        <v>826.88</v>
      </c>
      <c r="I78" s="2"/>
      <c r="J78" s="7">
        <f t="shared" si="25"/>
        <v>5.760752643224596E-3</v>
      </c>
      <c r="K78" s="2"/>
      <c r="L78" s="6">
        <f t="shared" si="26"/>
        <v>-826.88</v>
      </c>
      <c r="M78" s="2"/>
      <c r="N78" s="7">
        <f t="shared" si="27"/>
        <v>-1</v>
      </c>
      <c r="O78" s="11"/>
      <c r="P78" s="6">
        <v>502.29</v>
      </c>
      <c r="Q78" s="2"/>
      <c r="R78" s="7">
        <f t="shared" si="28"/>
        <v>2.6916946918675687E-4</v>
      </c>
      <c r="S78" s="2"/>
      <c r="T78" s="6">
        <v>826.88</v>
      </c>
      <c r="U78" s="2"/>
      <c r="V78" s="7">
        <f t="shared" si="29"/>
        <v>2.5258080504034583E-4</v>
      </c>
      <c r="W78" s="2"/>
      <c r="X78" s="6">
        <f t="shared" si="30"/>
        <v>-324.58999999999997</v>
      </c>
      <c r="Y78" s="2"/>
      <c r="Z78" s="7">
        <f t="shared" si="31"/>
        <v>-0.39254789086687303</v>
      </c>
    </row>
    <row r="79" spans="1:26" s="24" customFormat="1" hidden="1" outlineLevel="2" x14ac:dyDescent="0.25">
      <c r="A79" s="26"/>
      <c r="B79" s="11" t="str">
        <f>CONCATENATE("          ", "6007", " - ", "STUDENT HOURLY")</f>
        <v xml:space="preserve">          6007 - STUDENT HOURLY</v>
      </c>
      <c r="C79" s="11"/>
      <c r="D79" s="6">
        <v>541.22</v>
      </c>
      <c r="E79" s="2"/>
      <c r="F79" s="7">
        <f t="shared" si="24"/>
        <v>8.6681326566076054E-3</v>
      </c>
      <c r="G79" s="2"/>
      <c r="H79" s="6">
        <v>24268.880000000001</v>
      </c>
      <c r="I79" s="2"/>
      <c r="J79" s="7">
        <f t="shared" si="25"/>
        <v>0.16907775566962624</v>
      </c>
      <c r="K79" s="2"/>
      <c r="L79" s="6">
        <f t="shared" si="26"/>
        <v>-23727.66</v>
      </c>
      <c r="M79" s="2"/>
      <c r="N79" s="7">
        <f t="shared" si="27"/>
        <v>-0.97769901206813004</v>
      </c>
      <c r="O79" s="11"/>
      <c r="P79" s="6">
        <v>21343.18</v>
      </c>
      <c r="Q79" s="2"/>
      <c r="R79" s="7">
        <f t="shared" si="28"/>
        <v>1.1437481198824196E-2</v>
      </c>
      <c r="S79" s="2"/>
      <c r="T79" s="6">
        <v>55097.13</v>
      </c>
      <c r="U79" s="2"/>
      <c r="V79" s="7">
        <f t="shared" si="29"/>
        <v>1.6830105276234263E-2</v>
      </c>
      <c r="W79" s="2"/>
      <c r="X79" s="6">
        <f t="shared" si="30"/>
        <v>-33753.949999999997</v>
      </c>
      <c r="Y79" s="2"/>
      <c r="Z79" s="7">
        <f t="shared" si="31"/>
        <v>-0.61262628380098927</v>
      </c>
    </row>
    <row r="80" spans="1:26" s="24" customFormat="1" hidden="1" outlineLevel="2" x14ac:dyDescent="0.25">
      <c r="A80" s="26"/>
      <c r="B80" s="11" t="str">
        <f>CONCATENATE("          ", "6008", " - ", "STUDENT HOURLY-FICA EXEMPT")</f>
        <v xml:space="preserve">          6008 - STUDENT HOURLY-FICA EXEMPT</v>
      </c>
      <c r="C80" s="11"/>
      <c r="D80" s="6">
        <v>284.89999999999998</v>
      </c>
      <c r="E80" s="2"/>
      <c r="F80" s="7">
        <f t="shared" si="24"/>
        <v>4.5629337309550768E-3</v>
      </c>
      <c r="G80" s="2"/>
      <c r="H80" s="6"/>
      <c r="I80" s="2"/>
      <c r="J80" s="7">
        <f t="shared" si="25"/>
        <v>0</v>
      </c>
      <c r="K80" s="2"/>
      <c r="L80" s="6">
        <f t="shared" si="26"/>
        <v>284.89999999999998</v>
      </c>
      <c r="M80" s="2"/>
      <c r="N80" s="7">
        <f t="shared" si="27"/>
        <v>0</v>
      </c>
      <c r="O80" s="11"/>
      <c r="P80" s="6">
        <v>967.26</v>
      </c>
      <c r="Q80" s="2"/>
      <c r="R80" s="7">
        <f t="shared" si="28"/>
        <v>5.1833972558797202E-4</v>
      </c>
      <c r="S80" s="2"/>
      <c r="T80" s="6"/>
      <c r="U80" s="2"/>
      <c r="V80" s="7">
        <f t="shared" si="29"/>
        <v>0</v>
      </c>
      <c r="W80" s="2"/>
      <c r="X80" s="6">
        <f t="shared" si="30"/>
        <v>967.26</v>
      </c>
      <c r="Y80" s="2"/>
      <c r="Z80" s="7">
        <f t="shared" si="31"/>
        <v>0</v>
      </c>
    </row>
    <row r="81" spans="1:26" s="25" customFormat="1" outlineLevel="1" collapsed="1" x14ac:dyDescent="0.25">
      <c r="A81" s="27"/>
      <c r="B81" s="13" t="str">
        <f>CONCATENATE("     ","Advertising/Promo                                 ")</f>
        <v xml:space="preserve">     Advertising/Promo                                 </v>
      </c>
      <c r="C81" s="13"/>
      <c r="D81" s="1">
        <f>SUM(OSRRefD22_2x_0)</f>
        <v>0</v>
      </c>
      <c r="E81" s="1"/>
      <c r="F81" s="5">
        <f t="shared" ref="F81:F85" si="32">IF(D$12=0,0,D81/D$12)</f>
        <v>0</v>
      </c>
      <c r="G81" s="1"/>
      <c r="H81" s="1">
        <f>SUM(OSRRefH22_2x_0)</f>
        <v>0.5</v>
      </c>
      <c r="I81" s="1"/>
      <c r="J81" s="5">
        <f t="shared" ref="J81:J85" si="33">IF(H$12=0,0,H81/H$12)</f>
        <v>3.483427246531901E-6</v>
      </c>
      <c r="K81" s="1"/>
      <c r="L81" s="1">
        <f t="shared" ref="L81:L85" si="34">+D81-H81</f>
        <v>-0.5</v>
      </c>
      <c r="M81" s="1"/>
      <c r="N81" s="5">
        <f t="shared" ref="N81:N85" si="35">IF(H81=0,0,L81/H81)</f>
        <v>-1</v>
      </c>
      <c r="O81" s="13"/>
      <c r="P81" s="1">
        <f>SUM(OSRRefP22_2x_0)</f>
        <v>1999.55</v>
      </c>
      <c r="Q81" s="1"/>
      <c r="R81" s="5">
        <f t="shared" ref="R81:R85" si="36">IF(P$12=0,0,P81/P$12)</f>
        <v>1.0715280258662917E-3</v>
      </c>
      <c r="S81" s="1"/>
      <c r="T81" s="1">
        <f>SUM(OSRRefT22_2x_0)</f>
        <v>3981.59</v>
      </c>
      <c r="U81" s="1"/>
      <c r="V81" s="5">
        <f t="shared" ref="V81:V85" si="37">IF(T$12=0,0,T81/T$12)</f>
        <v>1.2162263055589572E-3</v>
      </c>
      <c r="W81" s="1"/>
      <c r="X81" s="1">
        <f t="shared" ref="X81:X85" si="38">+P81-T81</f>
        <v>-1982.0400000000002</v>
      </c>
      <c r="Y81" s="1"/>
      <c r="Z81" s="5">
        <f t="shared" ref="Z81:Z85" si="39">IF(T81=0,0,X81/T81)</f>
        <v>-0.49780112969944174</v>
      </c>
    </row>
    <row r="82" spans="1:26" s="24" customFormat="1" hidden="1" outlineLevel="2" x14ac:dyDescent="0.25">
      <c r="A82" s="26"/>
      <c r="B82" s="11" t="str">
        <f>CONCATENATE("          ", "6362", " - ", "ADVERTISING EXPENSE")</f>
        <v xml:space="preserve">          6362 - ADVERTISING EXPENSE</v>
      </c>
      <c r="C82" s="11"/>
      <c r="D82" s="6"/>
      <c r="E82" s="2"/>
      <c r="F82" s="7">
        <f t="shared" si="32"/>
        <v>0</v>
      </c>
      <c r="G82" s="2"/>
      <c r="H82" s="6">
        <v>0.5</v>
      </c>
      <c r="I82" s="2"/>
      <c r="J82" s="7">
        <f t="shared" si="33"/>
        <v>3.483427246531901E-6</v>
      </c>
      <c r="K82" s="2"/>
      <c r="L82" s="6">
        <f t="shared" si="34"/>
        <v>-0.5</v>
      </c>
      <c r="M82" s="2"/>
      <c r="N82" s="7">
        <f t="shared" si="35"/>
        <v>-1</v>
      </c>
      <c r="O82" s="11"/>
      <c r="P82" s="6">
        <v>1999.55</v>
      </c>
      <c r="Q82" s="2"/>
      <c r="R82" s="7">
        <f t="shared" si="36"/>
        <v>1.0715280258662917E-3</v>
      </c>
      <c r="S82" s="2"/>
      <c r="T82" s="6">
        <v>3981.59</v>
      </c>
      <c r="U82" s="2"/>
      <c r="V82" s="7">
        <f t="shared" si="37"/>
        <v>1.2162263055589572E-3</v>
      </c>
      <c r="W82" s="2"/>
      <c r="X82" s="6">
        <f t="shared" si="38"/>
        <v>-1982.0400000000002</v>
      </c>
      <c r="Y82" s="2"/>
      <c r="Z82" s="7">
        <f t="shared" si="39"/>
        <v>-0.49780112969944174</v>
      </c>
    </row>
    <row r="83" spans="1:26" s="25" customFormat="1" outlineLevel="1" collapsed="1" x14ac:dyDescent="0.25">
      <c r="A83" s="27"/>
      <c r="B83" s="13" t="str">
        <f>CONCATENATE("     ","Discounts and Markdowns                           ")</f>
        <v xml:space="preserve">     Discounts and Markdowns                           </v>
      </c>
      <c r="C83" s="13"/>
      <c r="D83" s="1">
        <f>SUM(OSRRefD22_3x_0)</f>
        <v>42.86</v>
      </c>
      <c r="E83" s="1"/>
      <c r="F83" s="5">
        <f t="shared" si="32"/>
        <v>6.8644204881970728E-4</v>
      </c>
      <c r="G83" s="1"/>
      <c r="H83" s="1">
        <f>SUM(OSRRefH22_3x_0)</f>
        <v>-160.26</v>
      </c>
      <c r="I83" s="1"/>
      <c r="J83" s="5">
        <f t="shared" si="33"/>
        <v>-1.1165081010584047E-3</v>
      </c>
      <c r="K83" s="1"/>
      <c r="L83" s="1">
        <f t="shared" si="34"/>
        <v>203.12</v>
      </c>
      <c r="M83" s="1"/>
      <c r="N83" s="5">
        <f t="shared" si="35"/>
        <v>-1.267440409334831</v>
      </c>
      <c r="O83" s="13"/>
      <c r="P83" s="1">
        <f>SUM(OSRRefP22_3x_0)</f>
        <v>0</v>
      </c>
      <c r="Q83" s="1"/>
      <c r="R83" s="5">
        <f t="shared" si="36"/>
        <v>0</v>
      </c>
      <c r="S83" s="1"/>
      <c r="T83" s="1">
        <f>SUM(OSRRefT22_3x_0)</f>
        <v>331.68000000000006</v>
      </c>
      <c r="U83" s="1"/>
      <c r="V83" s="5">
        <f t="shared" si="37"/>
        <v>1.0131579118588177E-4</v>
      </c>
      <c r="W83" s="1"/>
      <c r="X83" s="1">
        <f t="shared" si="38"/>
        <v>-331.68000000000006</v>
      </c>
      <c r="Y83" s="1"/>
      <c r="Z83" s="5">
        <f t="shared" si="39"/>
        <v>-1</v>
      </c>
    </row>
    <row r="84" spans="1:26" s="24" customFormat="1" hidden="1" outlineLevel="2" x14ac:dyDescent="0.25">
      <c r="A84" s="26"/>
      <c r="B84" s="11" t="str">
        <f>CONCATENATE("          ", "6382", " - ", "DISCOUNTS/MARK DOWNS")</f>
        <v xml:space="preserve">          6382 - DISCOUNTS/MARK DOWNS</v>
      </c>
      <c r="C84" s="11"/>
      <c r="D84" s="6"/>
      <c r="E84" s="2"/>
      <c r="F84" s="7">
        <f t="shared" si="32"/>
        <v>0</v>
      </c>
      <c r="G84" s="2"/>
      <c r="H84" s="6">
        <v>-141.62</v>
      </c>
      <c r="I84" s="2"/>
      <c r="J84" s="7">
        <f t="shared" si="33"/>
        <v>-9.8664593330769564E-4</v>
      </c>
      <c r="K84" s="2"/>
      <c r="L84" s="6">
        <f t="shared" si="34"/>
        <v>141.62</v>
      </c>
      <c r="M84" s="2"/>
      <c r="N84" s="7">
        <f t="shared" si="35"/>
        <v>-1</v>
      </c>
      <c r="O84" s="11"/>
      <c r="P84" s="6"/>
      <c r="Q84" s="2"/>
      <c r="R84" s="7">
        <f t="shared" si="36"/>
        <v>0</v>
      </c>
      <c r="S84" s="2"/>
      <c r="T84" s="6">
        <v>783.95</v>
      </c>
      <c r="U84" s="2"/>
      <c r="V84" s="7">
        <f t="shared" si="37"/>
        <v>2.3946730131503861E-4</v>
      </c>
      <c r="W84" s="2"/>
      <c r="X84" s="6">
        <f t="shared" si="38"/>
        <v>-783.95</v>
      </c>
      <c r="Y84" s="2"/>
      <c r="Z84" s="7">
        <f t="shared" si="39"/>
        <v>-1</v>
      </c>
    </row>
    <row r="85" spans="1:26" s="24" customFormat="1" hidden="1" outlineLevel="2" x14ac:dyDescent="0.25">
      <c r="A85" s="26"/>
      <c r="B85" s="11" t="str">
        <f>CONCATENATE("          ", "9175", " - ", "EARNED DISCOUNTS")</f>
        <v xml:space="preserve">          9175 - EARNED DISCOUNTS</v>
      </c>
      <c r="C85" s="11"/>
      <c r="D85" s="6">
        <v>42.86</v>
      </c>
      <c r="E85" s="2"/>
      <c r="F85" s="7">
        <f t="shared" si="32"/>
        <v>6.8644204881970728E-4</v>
      </c>
      <c r="G85" s="2"/>
      <c r="H85" s="6">
        <v>-18.64</v>
      </c>
      <c r="I85" s="2"/>
      <c r="J85" s="7">
        <f t="shared" si="33"/>
        <v>-1.2986216775070928E-4</v>
      </c>
      <c r="K85" s="2"/>
      <c r="L85" s="6">
        <f t="shared" si="34"/>
        <v>61.5</v>
      </c>
      <c r="M85" s="2"/>
      <c r="N85" s="7">
        <f t="shared" si="35"/>
        <v>-3.2993562231759657</v>
      </c>
      <c r="O85" s="11"/>
      <c r="P85" s="6">
        <v>0</v>
      </c>
      <c r="Q85" s="2"/>
      <c r="R85" s="7">
        <f t="shared" si="36"/>
        <v>0</v>
      </c>
      <c r="S85" s="2"/>
      <c r="T85" s="6">
        <v>-452.27</v>
      </c>
      <c r="U85" s="2"/>
      <c r="V85" s="7">
        <f t="shared" si="37"/>
        <v>-1.3815151012915684E-4</v>
      </c>
      <c r="W85" s="2"/>
      <c r="X85" s="6">
        <f t="shared" si="38"/>
        <v>452.27</v>
      </c>
      <c r="Y85" s="2"/>
      <c r="Z85" s="7">
        <f t="shared" si="39"/>
        <v>-1</v>
      </c>
    </row>
    <row r="86" spans="1:26" s="25" customFormat="1" outlineLevel="1" collapsed="1" x14ac:dyDescent="0.25">
      <c r="A86" s="27"/>
      <c r="B86" s="13" t="str">
        <f>CONCATENATE("     ","Employees' Appreciation                           ")</f>
        <v xml:space="preserve">     Employees' Appreciation                           </v>
      </c>
      <c r="C86" s="13"/>
      <c r="D86" s="1">
        <f>SUM(OSRRefD22_4x_0)</f>
        <v>0</v>
      </c>
      <c r="E86" s="1"/>
      <c r="F86" s="5">
        <f t="shared" ref="F86:F92" si="40">IF(D$12=0,0,D86/D$12)</f>
        <v>0</v>
      </c>
      <c r="G86" s="1"/>
      <c r="H86" s="1">
        <f>SUM(OSRRefH22_4x_0)</f>
        <v>0</v>
      </c>
      <c r="I86" s="1"/>
      <c r="J86" s="5">
        <f t="shared" ref="J86:J92" si="41">IF(H$12=0,0,H86/H$12)</f>
        <v>0</v>
      </c>
      <c r="K86" s="1"/>
      <c r="L86" s="1">
        <f t="shared" ref="L86:L92" si="42">+D86-H86</f>
        <v>0</v>
      </c>
      <c r="M86" s="1"/>
      <c r="N86" s="5">
        <f t="shared" ref="N86:N92" si="43">IF(H86=0,0,L86/H86)</f>
        <v>0</v>
      </c>
      <c r="O86" s="13"/>
      <c r="P86" s="1">
        <f>SUM(OSRRefP22_4x_0)</f>
        <v>107.7</v>
      </c>
      <c r="Q86" s="1"/>
      <c r="R86" s="5">
        <f t="shared" ref="R86:R92" si="44">IF(P$12=0,0,P86/P$12)</f>
        <v>5.771477001615345E-5</v>
      </c>
      <c r="S86" s="1"/>
      <c r="T86" s="1">
        <f>SUM(OSRRefT22_4x_0)</f>
        <v>37.880000000000003</v>
      </c>
      <c r="U86" s="1"/>
      <c r="V86" s="5">
        <f t="shared" ref="V86:V92" si="45">IF(T$12=0,0,T86/T$12)</f>
        <v>1.1570918264957793E-5</v>
      </c>
      <c r="W86" s="1"/>
      <c r="X86" s="1">
        <f t="shared" ref="X86:X92" si="46">+P86-T86</f>
        <v>69.819999999999993</v>
      </c>
      <c r="Y86" s="1"/>
      <c r="Z86" s="5">
        <f t="shared" ref="Z86:Z92" si="47">IF(T86=0,0,X86/T86)</f>
        <v>1.8431890179514252</v>
      </c>
    </row>
    <row r="87" spans="1:26" s="24" customFormat="1" hidden="1" outlineLevel="2" x14ac:dyDescent="0.25">
      <c r="A87" s="26"/>
      <c r="B87" s="11" t="str">
        <f>CONCATENATE("          ", "6277", " - ", "EMPLOYEE APPRECIATION")</f>
        <v xml:space="preserve">          6277 - EMPLOYEE APPRECIATION</v>
      </c>
      <c r="C87" s="11"/>
      <c r="D87" s="6"/>
      <c r="E87" s="2"/>
      <c r="F87" s="7">
        <f t="shared" si="40"/>
        <v>0</v>
      </c>
      <c r="G87" s="2"/>
      <c r="H87" s="6"/>
      <c r="I87" s="2"/>
      <c r="J87" s="7">
        <f t="shared" si="41"/>
        <v>0</v>
      </c>
      <c r="K87" s="2"/>
      <c r="L87" s="6">
        <f t="shared" si="42"/>
        <v>0</v>
      </c>
      <c r="M87" s="2"/>
      <c r="N87" s="7">
        <f t="shared" si="43"/>
        <v>0</v>
      </c>
      <c r="O87" s="11"/>
      <c r="P87" s="6">
        <v>107.7</v>
      </c>
      <c r="Q87" s="2"/>
      <c r="R87" s="7">
        <f t="shared" si="44"/>
        <v>5.771477001615345E-5</v>
      </c>
      <c r="S87" s="2"/>
      <c r="T87" s="6">
        <v>37.880000000000003</v>
      </c>
      <c r="U87" s="2"/>
      <c r="V87" s="7">
        <f t="shared" si="45"/>
        <v>1.1570918264957793E-5</v>
      </c>
      <c r="W87" s="2"/>
      <c r="X87" s="6">
        <f t="shared" si="46"/>
        <v>69.819999999999993</v>
      </c>
      <c r="Y87" s="2"/>
      <c r="Z87" s="7">
        <f t="shared" si="47"/>
        <v>1.8431890179514252</v>
      </c>
    </row>
    <row r="88" spans="1:26" s="25" customFormat="1" outlineLevel="1" collapsed="1" x14ac:dyDescent="0.25">
      <c r="A88" s="27"/>
      <c r="B88" s="13" t="str">
        <f>CONCATENATE("     ","Equipment Rental                                  ")</f>
        <v xml:space="preserve">     Equipment Rental                                  </v>
      </c>
      <c r="C88" s="13"/>
      <c r="D88" s="1">
        <f>SUM(OSRRefD22_5x_0)</f>
        <v>91.26</v>
      </c>
      <c r="E88" s="1"/>
      <c r="F88" s="5">
        <f t="shared" si="40"/>
        <v>1.4616122579394887E-3</v>
      </c>
      <c r="G88" s="1"/>
      <c r="H88" s="1">
        <f>SUM(OSRRefH22_5x_0)</f>
        <v>91.26</v>
      </c>
      <c r="I88" s="1"/>
      <c r="J88" s="5">
        <f t="shared" si="41"/>
        <v>6.3579514103700259E-4</v>
      </c>
      <c r="K88" s="1"/>
      <c r="L88" s="1">
        <f t="shared" si="42"/>
        <v>0</v>
      </c>
      <c r="M88" s="1"/>
      <c r="N88" s="5">
        <f t="shared" si="43"/>
        <v>0</v>
      </c>
      <c r="O88" s="13"/>
      <c r="P88" s="1">
        <f>SUM(OSRRefP22_5x_0)</f>
        <v>730.08</v>
      </c>
      <c r="Q88" s="1"/>
      <c r="R88" s="5">
        <f t="shared" si="44"/>
        <v>3.9123861925156276E-4</v>
      </c>
      <c r="S88" s="1"/>
      <c r="T88" s="1">
        <f>SUM(OSRRefT22_5x_0)</f>
        <v>730.08</v>
      </c>
      <c r="U88" s="1"/>
      <c r="V88" s="5">
        <f t="shared" si="45"/>
        <v>2.230120381964199E-4</v>
      </c>
      <c r="W88" s="1"/>
      <c r="X88" s="1">
        <f t="shared" si="46"/>
        <v>0</v>
      </c>
      <c r="Y88" s="1"/>
      <c r="Z88" s="5">
        <f t="shared" si="47"/>
        <v>0</v>
      </c>
    </row>
    <row r="89" spans="1:26" s="24" customFormat="1" hidden="1" outlineLevel="2" x14ac:dyDescent="0.25">
      <c r="A89" s="26"/>
      <c r="B89" s="11" t="str">
        <f>CONCATENATE("          ", "6351", " - ", "EQUIPMENT RENTAL")</f>
        <v xml:space="preserve">          6351 - EQUIPMENT RENTAL</v>
      </c>
      <c r="C89" s="11"/>
      <c r="D89" s="6">
        <v>91.26</v>
      </c>
      <c r="E89" s="2"/>
      <c r="F89" s="7">
        <f t="shared" si="40"/>
        <v>1.4616122579394887E-3</v>
      </c>
      <c r="G89" s="2"/>
      <c r="H89" s="6">
        <v>91.26</v>
      </c>
      <c r="I89" s="2"/>
      <c r="J89" s="7">
        <f t="shared" si="41"/>
        <v>6.3579514103700259E-4</v>
      </c>
      <c r="K89" s="2"/>
      <c r="L89" s="6">
        <f t="shared" si="42"/>
        <v>0</v>
      </c>
      <c r="M89" s="2"/>
      <c r="N89" s="7">
        <f t="shared" si="43"/>
        <v>0</v>
      </c>
      <c r="O89" s="11"/>
      <c r="P89" s="6">
        <v>730.08</v>
      </c>
      <c r="Q89" s="2"/>
      <c r="R89" s="7">
        <f t="shared" si="44"/>
        <v>3.9123861925156276E-4</v>
      </c>
      <c r="S89" s="2"/>
      <c r="T89" s="6">
        <v>730.08</v>
      </c>
      <c r="U89" s="2"/>
      <c r="V89" s="7">
        <f t="shared" si="45"/>
        <v>2.230120381964199E-4</v>
      </c>
      <c r="W89" s="2"/>
      <c r="X89" s="6">
        <f t="shared" si="46"/>
        <v>0</v>
      </c>
      <c r="Y89" s="2"/>
      <c r="Z89" s="7">
        <f t="shared" si="47"/>
        <v>0</v>
      </c>
    </row>
    <row r="90" spans="1:26" s="25" customFormat="1" outlineLevel="1" collapsed="1" x14ac:dyDescent="0.25">
      <c r="A90" s="27"/>
      <c r="B90" s="13" t="str">
        <f>CONCATENATE("     ","Freight out/Postage                               ")</f>
        <v xml:space="preserve">     Freight out/Postage                               </v>
      </c>
      <c r="C90" s="13"/>
      <c r="D90" s="1">
        <f>SUM(OSRRefD22_6x_0)</f>
        <v>1294.28</v>
      </c>
      <c r="E90" s="1"/>
      <c r="F90" s="5">
        <f t="shared" si="40"/>
        <v>2.0729076410321293E-2</v>
      </c>
      <c r="G90" s="1"/>
      <c r="H90" s="1">
        <f>SUM(OSRRefH22_6x_0)</f>
        <v>335.51</v>
      </c>
      <c r="I90" s="1"/>
      <c r="J90" s="5">
        <f t="shared" si="41"/>
        <v>2.3374493509678361E-3</v>
      </c>
      <c r="K90" s="1"/>
      <c r="L90" s="1">
        <f t="shared" si="42"/>
        <v>958.77</v>
      </c>
      <c r="M90" s="1"/>
      <c r="N90" s="5">
        <f t="shared" si="43"/>
        <v>2.8576495484486304</v>
      </c>
      <c r="O90" s="13"/>
      <c r="P90" s="1">
        <f>SUM(OSRRefP22_6x_0)</f>
        <v>10464.33</v>
      </c>
      <c r="Q90" s="1"/>
      <c r="R90" s="5">
        <f t="shared" si="44"/>
        <v>5.6076731599176881E-3</v>
      </c>
      <c r="S90" s="1"/>
      <c r="T90" s="1">
        <f>SUM(OSRRefT22_6x_0)</f>
        <v>12288.900000000001</v>
      </c>
      <c r="U90" s="1"/>
      <c r="V90" s="5">
        <f t="shared" si="45"/>
        <v>3.7537977155818331E-3</v>
      </c>
      <c r="W90" s="1"/>
      <c r="X90" s="1">
        <f t="shared" si="46"/>
        <v>-1824.5700000000015</v>
      </c>
      <c r="Y90" s="1"/>
      <c r="Z90" s="5">
        <f t="shared" si="47"/>
        <v>-0.14847301223054962</v>
      </c>
    </row>
    <row r="91" spans="1:26" s="24" customFormat="1" hidden="1" outlineLevel="2" x14ac:dyDescent="0.25">
      <c r="A91" s="26"/>
      <c r="B91" s="11" t="str">
        <f>CONCATENATE("          ", "6305", " - ", "FREIGHT OUT")</f>
        <v xml:space="preserve">          6305 - FREIGHT OUT</v>
      </c>
      <c r="C91" s="11"/>
      <c r="D91" s="6">
        <v>1294.28</v>
      </c>
      <c r="E91" s="2"/>
      <c r="F91" s="7">
        <f t="shared" si="40"/>
        <v>2.0729076410321293E-2</v>
      </c>
      <c r="G91" s="2"/>
      <c r="H91" s="6">
        <v>335.51</v>
      </c>
      <c r="I91" s="2"/>
      <c r="J91" s="7">
        <f t="shared" si="41"/>
        <v>2.3374493509678361E-3</v>
      </c>
      <c r="K91" s="2"/>
      <c r="L91" s="6">
        <f t="shared" si="42"/>
        <v>958.77</v>
      </c>
      <c r="M91" s="2"/>
      <c r="N91" s="7">
        <f t="shared" si="43"/>
        <v>2.8576495484486304</v>
      </c>
      <c r="O91" s="11"/>
      <c r="P91" s="6">
        <v>10463.83</v>
      </c>
      <c r="Q91" s="2"/>
      <c r="R91" s="7">
        <f t="shared" si="44"/>
        <v>5.6074052176242053E-3</v>
      </c>
      <c r="S91" s="2"/>
      <c r="T91" s="6">
        <v>12287.45</v>
      </c>
      <c r="U91" s="2"/>
      <c r="V91" s="7">
        <f t="shared" si="45"/>
        <v>3.7533547950041085E-3</v>
      </c>
      <c r="W91" s="2"/>
      <c r="X91" s="6">
        <f t="shared" si="46"/>
        <v>-1823.6200000000008</v>
      </c>
      <c r="Y91" s="2"/>
      <c r="Z91" s="7">
        <f t="shared" si="47"/>
        <v>-0.14841321836507987</v>
      </c>
    </row>
    <row r="92" spans="1:26" s="24" customFormat="1" hidden="1" outlineLevel="2" x14ac:dyDescent="0.25">
      <c r="A92" s="26"/>
      <c r="B92" s="11" t="str">
        <f>CONCATENATE("          ", "6307", " - ", "POSTAGE")</f>
        <v xml:space="preserve">          6307 - POSTAGE</v>
      </c>
      <c r="C92" s="11"/>
      <c r="D92" s="6"/>
      <c r="E92" s="2"/>
      <c r="F92" s="7">
        <f t="shared" si="40"/>
        <v>0</v>
      </c>
      <c r="G92" s="2"/>
      <c r="H92" s="6"/>
      <c r="I92" s="2"/>
      <c r="J92" s="7">
        <f t="shared" si="41"/>
        <v>0</v>
      </c>
      <c r="K92" s="2"/>
      <c r="L92" s="6">
        <f t="shared" si="42"/>
        <v>0</v>
      </c>
      <c r="M92" s="2"/>
      <c r="N92" s="7">
        <f t="shared" si="43"/>
        <v>0</v>
      </c>
      <c r="O92" s="11"/>
      <c r="P92" s="6">
        <v>0.5</v>
      </c>
      <c r="Q92" s="2"/>
      <c r="R92" s="7">
        <f t="shared" si="44"/>
        <v>2.6794229348260651E-7</v>
      </c>
      <c r="S92" s="2"/>
      <c r="T92" s="6">
        <v>1.45</v>
      </c>
      <c r="U92" s="2"/>
      <c r="V92" s="7">
        <f t="shared" si="45"/>
        <v>4.429205777240971E-7</v>
      </c>
      <c r="W92" s="2"/>
      <c r="X92" s="6">
        <f t="shared" si="46"/>
        <v>-0.95</v>
      </c>
      <c r="Y92" s="2"/>
      <c r="Z92" s="7">
        <f t="shared" si="47"/>
        <v>-0.65517241379310343</v>
      </c>
    </row>
    <row r="93" spans="1:26" s="25" customFormat="1" outlineLevel="1" collapsed="1" x14ac:dyDescent="0.25">
      <c r="A93" s="27"/>
      <c r="B93" s="13" t="str">
        <f>CONCATENATE("     ","General                                           ")</f>
        <v xml:space="preserve">     General                                           </v>
      </c>
      <c r="C93" s="13"/>
      <c r="D93" s="1">
        <f>SUM(OSRRefD22_7x_0)</f>
        <v>-4.21</v>
      </c>
      <c r="E93" s="1"/>
      <c r="F93" s="5">
        <f t="shared" ref="F93:F99" si="48">IF(D$12=0,0,D93/D$12)</f>
        <v>-6.742699546269173E-5</v>
      </c>
      <c r="G93" s="1"/>
      <c r="H93" s="1">
        <f>SUM(OSRRefH22_7x_0)</f>
        <v>0</v>
      </c>
      <c r="I93" s="1"/>
      <c r="J93" s="5">
        <f t="shared" ref="J93:J99" si="49">IF(H$12=0,0,H93/H$12)</f>
        <v>0</v>
      </c>
      <c r="K93" s="1"/>
      <c r="L93" s="1">
        <f t="shared" ref="L93:L99" si="50">+D93-H93</f>
        <v>-4.21</v>
      </c>
      <c r="M93" s="1"/>
      <c r="N93" s="5">
        <f t="shared" ref="N93:N99" si="51">IF(H93=0,0,L93/H93)</f>
        <v>0</v>
      </c>
      <c r="O93" s="13"/>
      <c r="P93" s="1">
        <f>SUM(OSRRefP22_7x_0)</f>
        <v>-1042.03</v>
      </c>
      <c r="Q93" s="1"/>
      <c r="R93" s="5">
        <f t="shared" ref="R93:R99" si="52">IF(P$12=0,0,P93/P$12)</f>
        <v>-5.5840781615536098E-4</v>
      </c>
      <c r="S93" s="1"/>
      <c r="T93" s="1">
        <f>SUM(OSRRefT22_7x_0)</f>
        <v>8253.06</v>
      </c>
      <c r="U93" s="1"/>
      <c r="V93" s="5">
        <f t="shared" ref="V93:V99" si="53">IF(T$12=0,0,T93/T$12)</f>
        <v>2.5210000711666462E-3</v>
      </c>
      <c r="W93" s="1"/>
      <c r="X93" s="1">
        <f t="shared" ref="X93:X99" si="54">+P93-T93</f>
        <v>-9295.09</v>
      </c>
      <c r="Y93" s="1"/>
      <c r="Z93" s="5">
        <f t="shared" ref="Z93:Z99" si="55">IF(T93=0,0,X93/T93)</f>
        <v>-1.126259835745772</v>
      </c>
    </row>
    <row r="94" spans="1:26" s="24" customFormat="1" hidden="1" outlineLevel="2" x14ac:dyDescent="0.25">
      <c r="A94" s="26"/>
      <c r="B94" s="11" t="str">
        <f>CONCATENATE("          ", "6279", " - ", "GENERAL EXPENSE")</f>
        <v xml:space="preserve">          6279 - GENERAL EXPENSE</v>
      </c>
      <c r="C94" s="11"/>
      <c r="D94" s="6">
        <v>-4.21</v>
      </c>
      <c r="E94" s="2"/>
      <c r="F94" s="7">
        <f t="shared" si="48"/>
        <v>-6.742699546269173E-5</v>
      </c>
      <c r="G94" s="2"/>
      <c r="H94" s="6"/>
      <c r="I94" s="2"/>
      <c r="J94" s="7">
        <f t="shared" si="49"/>
        <v>0</v>
      </c>
      <c r="K94" s="2"/>
      <c r="L94" s="6">
        <f t="shared" si="50"/>
        <v>-4.21</v>
      </c>
      <c r="M94" s="2"/>
      <c r="N94" s="7">
        <f t="shared" si="51"/>
        <v>0</v>
      </c>
      <c r="O94" s="11"/>
      <c r="P94" s="6">
        <v>-1042.03</v>
      </c>
      <c r="Q94" s="2"/>
      <c r="R94" s="7">
        <f t="shared" si="52"/>
        <v>-5.5840781615536098E-4</v>
      </c>
      <c r="S94" s="2"/>
      <c r="T94" s="6">
        <v>8253.06</v>
      </c>
      <c r="U94" s="2"/>
      <c r="V94" s="7">
        <f t="shared" si="53"/>
        <v>2.5210000711666462E-3</v>
      </c>
      <c r="W94" s="2"/>
      <c r="X94" s="6">
        <f t="shared" si="54"/>
        <v>-9295.09</v>
      </c>
      <c r="Y94" s="2"/>
      <c r="Z94" s="7">
        <f t="shared" si="55"/>
        <v>-1.126259835745772</v>
      </c>
    </row>
    <row r="95" spans="1:26" s="25" customFormat="1" outlineLevel="1" collapsed="1" x14ac:dyDescent="0.25">
      <c r="A95" s="27"/>
      <c r="B95" s="13" t="str">
        <f>CONCATENATE("     ","Inventory Adjustment                              ")</f>
        <v xml:space="preserve">     Inventory Adjustment                              </v>
      </c>
      <c r="C95" s="13"/>
      <c r="D95" s="1">
        <f>SUM(OSRRefD22_8x_0)</f>
        <v>1000</v>
      </c>
      <c r="E95" s="1"/>
      <c r="F95" s="5">
        <f t="shared" si="48"/>
        <v>1.6015913411565733E-2</v>
      </c>
      <c r="G95" s="1"/>
      <c r="H95" s="1">
        <f>SUM(OSRRefH22_8x_0)</f>
        <v>1000</v>
      </c>
      <c r="I95" s="1"/>
      <c r="J95" s="5">
        <f t="shared" si="49"/>
        <v>6.9668544930638013E-3</v>
      </c>
      <c r="K95" s="1"/>
      <c r="L95" s="1">
        <f t="shared" si="50"/>
        <v>0</v>
      </c>
      <c r="M95" s="1"/>
      <c r="N95" s="5">
        <f t="shared" si="51"/>
        <v>0</v>
      </c>
      <c r="O95" s="13"/>
      <c r="P95" s="1">
        <f>SUM(OSRRefP22_8x_0)</f>
        <v>13000</v>
      </c>
      <c r="Q95" s="1"/>
      <c r="R95" s="5">
        <f t="shared" si="52"/>
        <v>6.9664996305477695E-3</v>
      </c>
      <c r="S95" s="1"/>
      <c r="T95" s="1">
        <f>SUM(OSRRefT22_8x_0)</f>
        <v>13800</v>
      </c>
      <c r="U95" s="1"/>
      <c r="V95" s="5">
        <f t="shared" si="53"/>
        <v>4.2153820500638213E-3</v>
      </c>
      <c r="W95" s="1"/>
      <c r="X95" s="1">
        <f t="shared" si="54"/>
        <v>-800</v>
      </c>
      <c r="Y95" s="1"/>
      <c r="Z95" s="5">
        <f t="shared" si="55"/>
        <v>-5.7971014492753624E-2</v>
      </c>
    </row>
    <row r="96" spans="1:26" s="24" customFormat="1" hidden="1" outlineLevel="2" x14ac:dyDescent="0.25">
      <c r="A96" s="26"/>
      <c r="B96" s="11" t="str">
        <f>CONCATENATE("          ", "6408", " - ", "INVENTORY ADJUSTMENT")</f>
        <v xml:space="preserve">          6408 - INVENTORY ADJUSTMENT</v>
      </c>
      <c r="C96" s="11"/>
      <c r="D96" s="6">
        <v>1000</v>
      </c>
      <c r="E96" s="2"/>
      <c r="F96" s="7">
        <f t="shared" si="48"/>
        <v>1.6015913411565733E-2</v>
      </c>
      <c r="G96" s="2"/>
      <c r="H96" s="6">
        <v>1000</v>
      </c>
      <c r="I96" s="2"/>
      <c r="J96" s="7">
        <f t="shared" si="49"/>
        <v>6.9668544930638013E-3</v>
      </c>
      <c r="K96" s="2"/>
      <c r="L96" s="6">
        <f t="shared" si="50"/>
        <v>0</v>
      </c>
      <c r="M96" s="2"/>
      <c r="N96" s="7">
        <f t="shared" si="51"/>
        <v>0</v>
      </c>
      <c r="O96" s="11"/>
      <c r="P96" s="6">
        <v>13000</v>
      </c>
      <c r="Q96" s="2"/>
      <c r="R96" s="7">
        <f t="shared" si="52"/>
        <v>6.9664996305477695E-3</v>
      </c>
      <c r="S96" s="2"/>
      <c r="T96" s="6">
        <v>13800</v>
      </c>
      <c r="U96" s="2"/>
      <c r="V96" s="7">
        <f t="shared" si="53"/>
        <v>4.2153820500638213E-3</v>
      </c>
      <c r="W96" s="2"/>
      <c r="X96" s="6">
        <f t="shared" si="54"/>
        <v>-800</v>
      </c>
      <c r="Y96" s="2"/>
      <c r="Z96" s="7">
        <f t="shared" si="55"/>
        <v>-5.7971014492753624E-2</v>
      </c>
    </row>
    <row r="97" spans="1:26" s="25" customFormat="1" outlineLevel="1" collapsed="1" x14ac:dyDescent="0.25">
      <c r="A97" s="27"/>
      <c r="B97" s="13" t="str">
        <f>CONCATENATE("     ","Repair and Maintenance                            ")</f>
        <v xml:space="preserve">     Repair and Maintenance                            </v>
      </c>
      <c r="C97" s="13"/>
      <c r="D97" s="1">
        <f>SUM(OSRRefD22_9x_0)</f>
        <v>15.47</v>
      </c>
      <c r="E97" s="1"/>
      <c r="F97" s="5">
        <f t="shared" si="48"/>
        <v>2.4776618047692189E-4</v>
      </c>
      <c r="G97" s="1"/>
      <c r="H97" s="1">
        <f>SUM(OSRRefH22_9x_0)</f>
        <v>43.62</v>
      </c>
      <c r="I97" s="1"/>
      <c r="J97" s="5">
        <f t="shared" si="49"/>
        <v>3.03894192987443E-4</v>
      </c>
      <c r="K97" s="1"/>
      <c r="L97" s="1">
        <f t="shared" si="50"/>
        <v>-28.15</v>
      </c>
      <c r="M97" s="1"/>
      <c r="N97" s="5">
        <f t="shared" si="51"/>
        <v>-0.64534617148097206</v>
      </c>
      <c r="O97" s="13"/>
      <c r="P97" s="1">
        <f>SUM(OSRRefP22_9x_0)</f>
        <v>182.85000000000002</v>
      </c>
      <c r="Q97" s="1"/>
      <c r="R97" s="5">
        <f t="shared" si="52"/>
        <v>9.7986496726589216E-5</v>
      </c>
      <c r="S97" s="1"/>
      <c r="T97" s="1">
        <f>SUM(OSRRefT22_9x_0)</f>
        <v>186.78</v>
      </c>
      <c r="U97" s="1"/>
      <c r="V97" s="5">
        <f t="shared" si="53"/>
        <v>5.7054279660211628E-5</v>
      </c>
      <c r="W97" s="1"/>
      <c r="X97" s="1">
        <f t="shared" si="54"/>
        <v>-3.9299999999999784</v>
      </c>
      <c r="Y97" s="1"/>
      <c r="Z97" s="5">
        <f t="shared" si="55"/>
        <v>-2.10407966591711E-2</v>
      </c>
    </row>
    <row r="98" spans="1:26" s="24" customFormat="1" hidden="1" outlineLevel="2" x14ac:dyDescent="0.25">
      <c r="A98" s="26"/>
      <c r="B98" s="11" t="str">
        <f>CONCATENATE("          ", "6373", " - ", "MAINTENANCE CONTRACTS")</f>
        <v xml:space="preserve">          6373 - MAINTENANCE CONTRACTS</v>
      </c>
      <c r="C98" s="11"/>
      <c r="D98" s="6">
        <v>15.47</v>
      </c>
      <c r="E98" s="2"/>
      <c r="F98" s="7">
        <f t="shared" si="48"/>
        <v>2.4776618047692189E-4</v>
      </c>
      <c r="G98" s="2"/>
      <c r="H98" s="6">
        <v>43.62</v>
      </c>
      <c r="I98" s="2"/>
      <c r="J98" s="7">
        <f t="shared" si="49"/>
        <v>3.03894192987443E-4</v>
      </c>
      <c r="K98" s="2"/>
      <c r="L98" s="6">
        <f t="shared" si="50"/>
        <v>-28.15</v>
      </c>
      <c r="M98" s="2"/>
      <c r="N98" s="7">
        <f t="shared" si="51"/>
        <v>-0.64534617148097206</v>
      </c>
      <c r="O98" s="11"/>
      <c r="P98" s="6">
        <v>157.74</v>
      </c>
      <c r="Q98" s="2"/>
      <c r="R98" s="7">
        <f t="shared" si="52"/>
        <v>8.4530434747892707E-5</v>
      </c>
      <c r="S98" s="2"/>
      <c r="T98" s="6">
        <v>186.78</v>
      </c>
      <c r="U98" s="2"/>
      <c r="V98" s="7">
        <f t="shared" si="53"/>
        <v>5.7054279660211628E-5</v>
      </c>
      <c r="W98" s="2"/>
      <c r="X98" s="6">
        <f t="shared" si="54"/>
        <v>-29.039999999999992</v>
      </c>
      <c r="Y98" s="2"/>
      <c r="Z98" s="7">
        <f t="shared" si="55"/>
        <v>-0.15547703180212011</v>
      </c>
    </row>
    <row r="99" spans="1:26" s="24" customFormat="1" hidden="1" outlineLevel="2" x14ac:dyDescent="0.25">
      <c r="A99" s="26"/>
      <c r="B99" s="11" t="str">
        <f>CONCATENATE("          ", "6375", " - ", "OUTSIDE REPAIRS &amp; MAINTENANCE")</f>
        <v xml:space="preserve">          6375 - OUTSIDE REPAIRS &amp; MAINTENANCE</v>
      </c>
      <c r="C99" s="11"/>
      <c r="D99" s="6"/>
      <c r="E99" s="2"/>
      <c r="F99" s="7">
        <f t="shared" si="48"/>
        <v>0</v>
      </c>
      <c r="G99" s="2"/>
      <c r="H99" s="6"/>
      <c r="I99" s="2"/>
      <c r="J99" s="7">
        <f t="shared" si="49"/>
        <v>0</v>
      </c>
      <c r="K99" s="2"/>
      <c r="L99" s="6">
        <f t="shared" si="50"/>
        <v>0</v>
      </c>
      <c r="M99" s="2"/>
      <c r="N99" s="7">
        <f t="shared" si="51"/>
        <v>0</v>
      </c>
      <c r="O99" s="11"/>
      <c r="P99" s="6">
        <v>25.11</v>
      </c>
      <c r="Q99" s="2"/>
      <c r="R99" s="7">
        <f t="shared" si="52"/>
        <v>1.3456061978696499E-5</v>
      </c>
      <c r="S99" s="2"/>
      <c r="T99" s="6"/>
      <c r="U99" s="2"/>
      <c r="V99" s="7">
        <f t="shared" si="53"/>
        <v>0</v>
      </c>
      <c r="W99" s="2"/>
      <c r="X99" s="6">
        <f t="shared" si="54"/>
        <v>25.11</v>
      </c>
      <c r="Y99" s="2"/>
      <c r="Z99" s="7">
        <f t="shared" si="55"/>
        <v>0</v>
      </c>
    </row>
    <row r="100" spans="1:26" s="25" customFormat="1" outlineLevel="1" collapsed="1" x14ac:dyDescent="0.25">
      <c r="A100" s="27"/>
      <c r="B100" s="13" t="str">
        <f>CONCATENATE("     ","Subscriptions &amp; Dues                              ")</f>
        <v xml:space="preserve">     Subscriptions &amp; Dues                              </v>
      </c>
      <c r="C100" s="13"/>
      <c r="D100" s="1">
        <f>SUM(OSRRefD22_10x_0)</f>
        <v>181.41</v>
      </c>
      <c r="E100" s="1"/>
      <c r="F100" s="5">
        <f t="shared" ref="F100:F102" si="56">IF(D$12=0,0,D100/D$12)</f>
        <v>2.9054468519921391E-3</v>
      </c>
      <c r="G100" s="1"/>
      <c r="H100" s="1">
        <f>SUM(OSRRefH22_10x_0)</f>
        <v>506.44</v>
      </c>
      <c r="I100" s="1"/>
      <c r="J100" s="5">
        <f t="shared" ref="J100:J102" si="57">IF(H$12=0,0,H100/H$12)</f>
        <v>3.5282937894672317E-3</v>
      </c>
      <c r="K100" s="1"/>
      <c r="L100" s="1">
        <f t="shared" ref="L100:L102" si="58">+D100-H100</f>
        <v>-325.02999999999997</v>
      </c>
      <c r="M100" s="1"/>
      <c r="N100" s="5">
        <f t="shared" ref="N100:N102" si="59">IF(H100=0,0,L100/H100)</f>
        <v>-0.64179369718031742</v>
      </c>
      <c r="O100" s="13"/>
      <c r="P100" s="1">
        <f>SUM(OSRRefP22_10x_0)</f>
        <v>4093.84</v>
      </c>
      <c r="Q100" s="1"/>
      <c r="R100" s="5">
        <f t="shared" ref="R100:R102" si="60">IF(P$12=0,0,P100/P$12)</f>
        <v>2.1938257575016677E-3</v>
      </c>
      <c r="S100" s="1"/>
      <c r="T100" s="1">
        <f>SUM(OSRRefT22_10x_0)</f>
        <v>2321.94</v>
      </c>
      <c r="U100" s="1"/>
      <c r="V100" s="5">
        <f t="shared" ref="V100:V102" si="61">IF(T$12=0,0,T100/T$12)</f>
        <v>7.0926552154530352E-4</v>
      </c>
      <c r="W100" s="1"/>
      <c r="X100" s="1">
        <f t="shared" ref="X100:X102" si="62">+P100-T100</f>
        <v>1771.9</v>
      </c>
      <c r="Y100" s="1"/>
      <c r="Z100" s="5">
        <f t="shared" ref="Z100:Z102" si="63">IF(T100=0,0,X100/T100)</f>
        <v>0.76311188058261625</v>
      </c>
    </row>
    <row r="101" spans="1:26" s="24" customFormat="1" hidden="1" outlineLevel="2" x14ac:dyDescent="0.25">
      <c r="A101" s="26"/>
      <c r="B101" s="11" t="str">
        <f>CONCATENATE("          ", "6258", " - ", "MEMBERSHIP DUES")</f>
        <v xml:space="preserve">          6258 - MEMBERSHIP DUES</v>
      </c>
      <c r="C101" s="11"/>
      <c r="D101" s="6">
        <v>181.41</v>
      </c>
      <c r="E101" s="2"/>
      <c r="F101" s="7">
        <f t="shared" si="56"/>
        <v>2.9054468519921391E-3</v>
      </c>
      <c r="G101" s="2"/>
      <c r="H101" s="6">
        <v>506.44</v>
      </c>
      <c r="I101" s="2"/>
      <c r="J101" s="7">
        <f t="shared" si="57"/>
        <v>3.5282937894672317E-3</v>
      </c>
      <c r="K101" s="2"/>
      <c r="L101" s="6">
        <f t="shared" si="58"/>
        <v>-325.02999999999997</v>
      </c>
      <c r="M101" s="2"/>
      <c r="N101" s="7">
        <f t="shared" si="59"/>
        <v>-0.64179369718031742</v>
      </c>
      <c r="O101" s="11"/>
      <c r="P101" s="6">
        <v>2241.7600000000002</v>
      </c>
      <c r="Q101" s="2"/>
      <c r="R101" s="7">
        <f t="shared" si="60"/>
        <v>1.2013246316751362E-3</v>
      </c>
      <c r="S101" s="2"/>
      <c r="T101" s="6">
        <v>2321.94</v>
      </c>
      <c r="U101" s="2"/>
      <c r="V101" s="7">
        <f t="shared" si="61"/>
        <v>7.0926552154530352E-4</v>
      </c>
      <c r="W101" s="2"/>
      <c r="X101" s="6">
        <f t="shared" si="62"/>
        <v>-80.179999999999836</v>
      </c>
      <c r="Y101" s="2"/>
      <c r="Z101" s="7">
        <f t="shared" si="63"/>
        <v>-3.4531469374746909E-2</v>
      </c>
    </row>
    <row r="102" spans="1:26" s="24" customFormat="1" hidden="1" outlineLevel="2" x14ac:dyDescent="0.25">
      <c r="A102" s="26"/>
      <c r="B102" s="11" t="str">
        <f>CONCATENATE("          ", "6275", " - ", "SUBSCRIPTIONS")</f>
        <v xml:space="preserve">          6275 - SUBSCRIPTIONS</v>
      </c>
      <c r="C102" s="11"/>
      <c r="D102" s="6"/>
      <c r="E102" s="2"/>
      <c r="F102" s="7">
        <f t="shared" si="56"/>
        <v>0</v>
      </c>
      <c r="G102" s="2"/>
      <c r="H102" s="6"/>
      <c r="I102" s="2"/>
      <c r="J102" s="7">
        <f t="shared" si="57"/>
        <v>0</v>
      </c>
      <c r="K102" s="2"/>
      <c r="L102" s="6">
        <f t="shared" si="58"/>
        <v>0</v>
      </c>
      <c r="M102" s="2"/>
      <c r="N102" s="7">
        <f t="shared" si="59"/>
        <v>0</v>
      </c>
      <c r="O102" s="11"/>
      <c r="P102" s="6">
        <v>1852.08</v>
      </c>
      <c r="Q102" s="2"/>
      <c r="R102" s="7">
        <f t="shared" si="60"/>
        <v>9.9250112582653172E-4</v>
      </c>
      <c r="S102" s="2"/>
      <c r="T102" s="6"/>
      <c r="U102" s="2"/>
      <c r="V102" s="7">
        <f t="shared" si="61"/>
        <v>0</v>
      </c>
      <c r="W102" s="2"/>
      <c r="X102" s="6">
        <f t="shared" si="62"/>
        <v>1852.08</v>
      </c>
      <c r="Y102" s="2"/>
      <c r="Z102" s="7">
        <f t="shared" si="63"/>
        <v>0</v>
      </c>
    </row>
    <row r="103" spans="1:26" s="25" customFormat="1" outlineLevel="1" collapsed="1" x14ac:dyDescent="0.25">
      <c r="A103" s="27"/>
      <c r="B103" s="13" t="str">
        <f>CONCATENATE("     ","Supplies                                          ")</f>
        <v xml:space="preserve">     Supplies                                          </v>
      </c>
      <c r="C103" s="13"/>
      <c r="D103" s="1">
        <f>SUM(OSRRefD22_11x_0)</f>
        <v>583.6</v>
      </c>
      <c r="E103" s="1"/>
      <c r="F103" s="5">
        <f t="shared" ref="F103:F106" si="64">IF(D$12=0,0,D103/D$12)</f>
        <v>9.3468870669897609E-3</v>
      </c>
      <c r="G103" s="1"/>
      <c r="H103" s="1">
        <f>SUM(OSRRefH22_11x_0)</f>
        <v>1393.8600000000001</v>
      </c>
      <c r="I103" s="1"/>
      <c r="J103" s="5">
        <f t="shared" ref="J103:J106" si="65">IF(H$12=0,0,H103/H$12)</f>
        <v>9.7108198037019113E-3</v>
      </c>
      <c r="K103" s="1"/>
      <c r="L103" s="1">
        <f t="shared" ref="L103:L106" si="66">+D103-H103</f>
        <v>-810.2600000000001</v>
      </c>
      <c r="M103" s="1"/>
      <c r="N103" s="5">
        <f t="shared" ref="N103:N106" si="67">IF(H103=0,0,L103/H103)</f>
        <v>-0.58130658746215547</v>
      </c>
      <c r="O103" s="13"/>
      <c r="P103" s="1">
        <f>SUM(OSRRefP22_11x_0)</f>
        <v>4835.5</v>
      </c>
      <c r="Q103" s="1"/>
      <c r="R103" s="5">
        <f t="shared" ref="R103:R106" si="68">IF(P$12=0,0,P103/P$12)</f>
        <v>2.5912699202702877E-3</v>
      </c>
      <c r="S103" s="1"/>
      <c r="T103" s="1">
        <f>SUM(OSRRefT22_11x_0)</f>
        <v>11037.189999999999</v>
      </c>
      <c r="U103" s="1"/>
      <c r="V103" s="5">
        <f t="shared" ref="V103:V106" si="69">IF(T$12=0,0,T103/T$12)</f>
        <v>3.3714472905176738E-3</v>
      </c>
      <c r="W103" s="1"/>
      <c r="X103" s="1">
        <f t="shared" ref="X103:X106" si="70">+P103-T103</f>
        <v>-6201.6899999999987</v>
      </c>
      <c r="Y103" s="1"/>
      <c r="Z103" s="5">
        <f t="shared" ref="Z103:Z106" si="71">IF(T103=0,0,X103/T103)</f>
        <v>-0.56189029997671502</v>
      </c>
    </row>
    <row r="104" spans="1:26" s="24" customFormat="1" hidden="1" outlineLevel="2" x14ac:dyDescent="0.25">
      <c r="A104" s="26"/>
      <c r="B104" s="11" t="str">
        <f>CONCATENATE("          ", "6241", " - ", "OFFICE EXPENSE")</f>
        <v xml:space="preserve">          6241 - OFFICE EXPENSE</v>
      </c>
      <c r="C104" s="11"/>
      <c r="D104" s="6">
        <v>45</v>
      </c>
      <c r="E104" s="2"/>
      <c r="F104" s="7">
        <f t="shared" si="64"/>
        <v>7.2071610352045787E-4</v>
      </c>
      <c r="G104" s="2"/>
      <c r="H104" s="6">
        <v>140.94</v>
      </c>
      <c r="I104" s="2"/>
      <c r="J104" s="7">
        <f t="shared" si="65"/>
        <v>9.8190847225241218E-4</v>
      </c>
      <c r="K104" s="2"/>
      <c r="L104" s="6">
        <f t="shared" si="66"/>
        <v>-95.94</v>
      </c>
      <c r="M104" s="2"/>
      <c r="N104" s="7">
        <f t="shared" si="67"/>
        <v>-0.68071519795657731</v>
      </c>
      <c r="O104" s="11"/>
      <c r="P104" s="6">
        <v>1254.5999999999999</v>
      </c>
      <c r="Q104" s="2"/>
      <c r="R104" s="7">
        <f t="shared" si="68"/>
        <v>6.7232080280655627E-4</v>
      </c>
      <c r="S104" s="2"/>
      <c r="T104" s="6">
        <v>3945.15</v>
      </c>
      <c r="U104" s="2"/>
      <c r="V104" s="7">
        <f t="shared" si="69"/>
        <v>1.2050952532470496E-3</v>
      </c>
      <c r="W104" s="2"/>
      <c r="X104" s="6">
        <f t="shared" si="70"/>
        <v>-2690.55</v>
      </c>
      <c r="Y104" s="2"/>
      <c r="Z104" s="7">
        <f t="shared" si="71"/>
        <v>-0.6819892779742216</v>
      </c>
    </row>
    <row r="105" spans="1:26" s="24" customFormat="1" hidden="1" outlineLevel="2" x14ac:dyDescent="0.25">
      <c r="A105" s="26"/>
      <c r="B105" s="11" t="str">
        <f>CONCATENATE("          ", "6245", " - ", "PRINTING")</f>
        <v xml:space="preserve">          6245 - PRINTING</v>
      </c>
      <c r="C105" s="11"/>
      <c r="D105" s="6"/>
      <c r="E105" s="2"/>
      <c r="F105" s="7">
        <f t="shared" si="64"/>
        <v>0</v>
      </c>
      <c r="G105" s="2"/>
      <c r="H105" s="6"/>
      <c r="I105" s="2"/>
      <c r="J105" s="7">
        <f t="shared" si="65"/>
        <v>0</v>
      </c>
      <c r="K105" s="2"/>
      <c r="L105" s="6">
        <f t="shared" si="66"/>
        <v>0</v>
      </c>
      <c r="M105" s="2"/>
      <c r="N105" s="7">
        <f t="shared" si="67"/>
        <v>0</v>
      </c>
      <c r="O105" s="11"/>
      <c r="P105" s="6"/>
      <c r="Q105" s="2"/>
      <c r="R105" s="7">
        <f t="shared" si="68"/>
        <v>0</v>
      </c>
      <c r="S105" s="2"/>
      <c r="T105" s="6">
        <v>4978.08</v>
      </c>
      <c r="U105" s="2"/>
      <c r="V105" s="7">
        <f t="shared" si="69"/>
        <v>1.5206165996943266E-3</v>
      </c>
      <c r="W105" s="2"/>
      <c r="X105" s="6">
        <f t="shared" si="70"/>
        <v>-4978.08</v>
      </c>
      <c r="Y105" s="2"/>
      <c r="Z105" s="7">
        <f t="shared" si="71"/>
        <v>-1</v>
      </c>
    </row>
    <row r="106" spans="1:26" s="24" customFormat="1" hidden="1" outlineLevel="2" x14ac:dyDescent="0.25">
      <c r="A106" s="26"/>
      <c r="B106" s="11" t="str">
        <f>CONCATENATE("          ", "6247", " - ", "STORE SUPPLIES")</f>
        <v xml:space="preserve">          6247 - STORE SUPPLIES</v>
      </c>
      <c r="C106" s="11"/>
      <c r="D106" s="6">
        <v>538.6</v>
      </c>
      <c r="E106" s="2"/>
      <c r="F106" s="7">
        <f t="shared" si="64"/>
        <v>8.6261709634693033E-3</v>
      </c>
      <c r="G106" s="2"/>
      <c r="H106" s="6">
        <v>1252.92</v>
      </c>
      <c r="I106" s="2"/>
      <c r="J106" s="7">
        <f t="shared" si="65"/>
        <v>8.7289113314494987E-3</v>
      </c>
      <c r="K106" s="2"/>
      <c r="L106" s="6">
        <f t="shared" si="66"/>
        <v>-714.32</v>
      </c>
      <c r="M106" s="2"/>
      <c r="N106" s="7">
        <f t="shared" si="67"/>
        <v>-0.57012418989241131</v>
      </c>
      <c r="O106" s="11"/>
      <c r="P106" s="6">
        <v>3580.9</v>
      </c>
      <c r="Q106" s="2"/>
      <c r="R106" s="7">
        <f t="shared" si="68"/>
        <v>1.9189491174637315E-3</v>
      </c>
      <c r="S106" s="2"/>
      <c r="T106" s="6">
        <v>2113.96</v>
      </c>
      <c r="U106" s="2"/>
      <c r="V106" s="7">
        <f t="shared" si="69"/>
        <v>6.4573543757629826E-4</v>
      </c>
      <c r="W106" s="2"/>
      <c r="X106" s="6">
        <f t="shared" si="70"/>
        <v>1466.94</v>
      </c>
      <c r="Y106" s="2"/>
      <c r="Z106" s="7">
        <f t="shared" si="71"/>
        <v>0.69392987568355124</v>
      </c>
    </row>
    <row r="107" spans="1:26" s="25" customFormat="1" outlineLevel="1" collapsed="1" x14ac:dyDescent="0.25">
      <c r="A107" s="27"/>
      <c r="B107" s="13" t="str">
        <f>CONCATENATE("     ","Telephone/Data Lines                              ")</f>
        <v xml:space="preserve">     Telephone/Data Lines                              </v>
      </c>
      <c r="C107" s="13"/>
      <c r="D107" s="1">
        <f>SUM(OSRRefD22_12x_0)</f>
        <v>505.85</v>
      </c>
      <c r="E107" s="1"/>
      <c r="F107" s="5">
        <f t="shared" ref="F107:F109" si="72">IF(D$12=0,0,D107/D$12)</f>
        <v>8.1016497992405252E-3</v>
      </c>
      <c r="G107" s="1"/>
      <c r="H107" s="1">
        <f>SUM(OSRRefH22_12x_0)</f>
        <v>289.85000000000002</v>
      </c>
      <c r="I107" s="1"/>
      <c r="J107" s="5">
        <f t="shared" ref="J107:J109" si="73">IF(H$12=0,0,H107/H$12)</f>
        <v>2.0193427748145432E-3</v>
      </c>
      <c r="K107" s="1"/>
      <c r="L107" s="1">
        <f t="shared" ref="L107:L109" si="74">+D107-H107</f>
        <v>216</v>
      </c>
      <c r="M107" s="1"/>
      <c r="N107" s="5">
        <f t="shared" ref="N107:N109" si="75">IF(H107=0,0,L107/H107)</f>
        <v>0.74521304122822141</v>
      </c>
      <c r="O107" s="13"/>
      <c r="P107" s="1">
        <f>SUM(OSRRefP22_12x_0)</f>
        <v>6763.55</v>
      </c>
      <c r="Q107" s="1"/>
      <c r="R107" s="5">
        <f t="shared" ref="R107:R109" si="76">IF(P$12=0,0,P107/P$12)</f>
        <v>3.6244821981685667E-3</v>
      </c>
      <c r="S107" s="1"/>
      <c r="T107" s="1">
        <f>SUM(OSRRefT22_12x_0)</f>
        <v>6200.24</v>
      </c>
      <c r="U107" s="1"/>
      <c r="V107" s="5">
        <f t="shared" ref="V107:V109" si="77">IF(T$12=0,0,T107/T$12)</f>
        <v>1.8939406088469351E-3</v>
      </c>
      <c r="W107" s="1"/>
      <c r="X107" s="1">
        <f t="shared" ref="X107:X109" si="78">+P107-T107</f>
        <v>563.3100000000004</v>
      </c>
      <c r="Y107" s="1"/>
      <c r="Z107" s="5">
        <f t="shared" ref="Z107:Z109" si="79">IF(T107=0,0,X107/T107)</f>
        <v>9.0852934725107484E-2</v>
      </c>
    </row>
    <row r="108" spans="1:26" s="24" customFormat="1" hidden="1" outlineLevel="2" x14ac:dyDescent="0.25">
      <c r="A108" s="26"/>
      <c r="B108" s="11" t="str">
        <f>CONCATENATE("          ", "6303", " - ", "DATA PHONE LINES")</f>
        <v xml:space="preserve">          6303 - DATA PHONE LINES</v>
      </c>
      <c r="C108" s="11"/>
      <c r="D108" s="6">
        <v>590</v>
      </c>
      <c r="E108" s="2"/>
      <c r="F108" s="7">
        <f t="shared" si="72"/>
        <v>9.4493889128237814E-3</v>
      </c>
      <c r="G108" s="2"/>
      <c r="H108" s="6">
        <v>295</v>
      </c>
      <c r="I108" s="2"/>
      <c r="J108" s="7">
        <f t="shared" si="73"/>
        <v>2.0552220754538214E-3</v>
      </c>
      <c r="K108" s="2"/>
      <c r="L108" s="6">
        <f t="shared" si="74"/>
        <v>295</v>
      </c>
      <c r="M108" s="2"/>
      <c r="N108" s="7">
        <f t="shared" si="75"/>
        <v>1</v>
      </c>
      <c r="O108" s="11"/>
      <c r="P108" s="6">
        <v>2950</v>
      </c>
      <c r="Q108" s="2"/>
      <c r="R108" s="7">
        <f t="shared" si="76"/>
        <v>1.5808595315473786E-3</v>
      </c>
      <c r="S108" s="2"/>
      <c r="T108" s="6">
        <v>2360</v>
      </c>
      <c r="U108" s="2"/>
      <c r="V108" s="7">
        <f t="shared" si="77"/>
        <v>7.208914230543926E-4</v>
      </c>
      <c r="W108" s="2"/>
      <c r="X108" s="6">
        <f t="shared" si="78"/>
        <v>590</v>
      </c>
      <c r="Y108" s="2"/>
      <c r="Z108" s="7">
        <f t="shared" si="79"/>
        <v>0.25</v>
      </c>
    </row>
    <row r="109" spans="1:26" s="24" customFormat="1" hidden="1" outlineLevel="2" x14ac:dyDescent="0.25">
      <c r="A109" s="26"/>
      <c r="B109" s="11" t="str">
        <f>CONCATENATE("          ", "6309", " - ", "TELEPHONE")</f>
        <v xml:space="preserve">          6309 - TELEPHONE</v>
      </c>
      <c r="C109" s="11"/>
      <c r="D109" s="6">
        <v>-84.15</v>
      </c>
      <c r="E109" s="2"/>
      <c r="F109" s="7">
        <f t="shared" si="72"/>
        <v>-1.3477391135832564E-3</v>
      </c>
      <c r="G109" s="2"/>
      <c r="H109" s="6">
        <v>-5.15</v>
      </c>
      <c r="I109" s="2"/>
      <c r="J109" s="7">
        <f t="shared" si="73"/>
        <v>-3.5879300639278581E-5</v>
      </c>
      <c r="K109" s="2"/>
      <c r="L109" s="6">
        <f t="shared" si="74"/>
        <v>-79</v>
      </c>
      <c r="M109" s="2"/>
      <c r="N109" s="7">
        <f t="shared" si="75"/>
        <v>15.339805825242717</v>
      </c>
      <c r="O109" s="11"/>
      <c r="P109" s="6">
        <v>3813.55</v>
      </c>
      <c r="Q109" s="2"/>
      <c r="R109" s="7">
        <f t="shared" si="76"/>
        <v>2.0436226666211885E-3</v>
      </c>
      <c r="S109" s="2"/>
      <c r="T109" s="6">
        <v>3840.24</v>
      </c>
      <c r="U109" s="2"/>
      <c r="V109" s="7">
        <f t="shared" si="77"/>
        <v>1.1730491857925426E-3</v>
      </c>
      <c r="W109" s="2"/>
      <c r="X109" s="6">
        <f t="shared" si="78"/>
        <v>-26.6899999999996</v>
      </c>
      <c r="Y109" s="2"/>
      <c r="Z109" s="7">
        <f t="shared" si="79"/>
        <v>-6.9500864529299213E-3</v>
      </c>
    </row>
    <row r="110" spans="1:26" s="25" customFormat="1" outlineLevel="1" collapsed="1" x14ac:dyDescent="0.25">
      <c r="A110" s="27"/>
      <c r="B110" s="13" t="str">
        <f>CONCATENATE("     ","Training                                          ")</f>
        <v xml:space="preserve">     Training                                          </v>
      </c>
      <c r="C110" s="13"/>
      <c r="D110" s="1">
        <f>SUM(OSRRefD22_13x_0)</f>
        <v>0</v>
      </c>
      <c r="E110" s="1"/>
      <c r="F110" s="5">
        <f t="shared" ref="F110:F113" si="80">IF(D$12=0,0,D110/D$12)</f>
        <v>0</v>
      </c>
      <c r="G110" s="1"/>
      <c r="H110" s="1">
        <f>SUM(OSRRefH22_13x_0)</f>
        <v>1868.88</v>
      </c>
      <c r="I110" s="1"/>
      <c r="J110" s="5">
        <f t="shared" ref="J110:J113" si="81">IF(H$12=0,0,H110/H$12)</f>
        <v>1.3020215024997079E-2</v>
      </c>
      <c r="K110" s="1"/>
      <c r="L110" s="1">
        <f t="shared" ref="L110:L113" si="82">+D110-H110</f>
        <v>-1868.88</v>
      </c>
      <c r="M110" s="1"/>
      <c r="N110" s="5">
        <f t="shared" ref="N110:N113" si="83">IF(H110=0,0,L110/H110)</f>
        <v>-1</v>
      </c>
      <c r="O110" s="13"/>
      <c r="P110" s="1">
        <f>SUM(OSRRefP22_13x_0)</f>
        <v>0</v>
      </c>
      <c r="Q110" s="1"/>
      <c r="R110" s="5">
        <f t="shared" ref="R110:R113" si="84">IF(P$12=0,0,P110/P$12)</f>
        <v>0</v>
      </c>
      <c r="S110" s="1"/>
      <c r="T110" s="1">
        <f>SUM(OSRRefT22_13x_0)</f>
        <v>3260.35</v>
      </c>
      <c r="U110" s="1"/>
      <c r="V110" s="5">
        <f t="shared" ref="V110:V113" si="85">IF(T$12=0,0,T110/T$12)</f>
        <v>9.9591455557431732E-4</v>
      </c>
      <c r="W110" s="1"/>
      <c r="X110" s="1">
        <f t="shared" ref="X110:X113" si="86">+P110-T110</f>
        <v>-3260.35</v>
      </c>
      <c r="Y110" s="1"/>
      <c r="Z110" s="5">
        <f t="shared" ref="Z110:Z113" si="87">IF(T110=0,0,X110/T110)</f>
        <v>-1</v>
      </c>
    </row>
    <row r="111" spans="1:26" s="24" customFormat="1" hidden="1" outlineLevel="2" x14ac:dyDescent="0.25">
      <c r="A111" s="26"/>
      <c r="B111" s="11" t="str">
        <f>CONCATENATE("          ", "6376", " - ", "TRAINING")</f>
        <v xml:space="preserve">          6376 - TRAINING</v>
      </c>
      <c r="C111" s="11"/>
      <c r="D111" s="6"/>
      <c r="E111" s="2"/>
      <c r="F111" s="7">
        <f t="shared" si="80"/>
        <v>0</v>
      </c>
      <c r="G111" s="2"/>
      <c r="H111" s="6">
        <v>1868.88</v>
      </c>
      <c r="I111" s="2"/>
      <c r="J111" s="7">
        <f t="shared" si="81"/>
        <v>1.3020215024997079E-2</v>
      </c>
      <c r="K111" s="2"/>
      <c r="L111" s="6">
        <f t="shared" si="82"/>
        <v>-1868.88</v>
      </c>
      <c r="M111" s="2"/>
      <c r="N111" s="7">
        <f t="shared" si="83"/>
        <v>-1</v>
      </c>
      <c r="O111" s="11"/>
      <c r="P111" s="6"/>
      <c r="Q111" s="2"/>
      <c r="R111" s="7">
        <f t="shared" si="84"/>
        <v>0</v>
      </c>
      <c r="S111" s="2"/>
      <c r="T111" s="6">
        <v>3260.35</v>
      </c>
      <c r="U111" s="2"/>
      <c r="V111" s="7">
        <f t="shared" si="85"/>
        <v>9.9591455557431732E-4</v>
      </c>
      <c r="W111" s="2"/>
      <c r="X111" s="6">
        <f t="shared" si="86"/>
        <v>-3260.35</v>
      </c>
      <c r="Y111" s="2"/>
      <c r="Z111" s="7">
        <f t="shared" si="87"/>
        <v>-1</v>
      </c>
    </row>
    <row r="112" spans="1:26" s="25" customFormat="1" outlineLevel="1" collapsed="1" x14ac:dyDescent="0.25">
      <c r="A112" s="27"/>
      <c r="B112" s="13" t="str">
        <f>CONCATENATE("     ","Travel                                            ")</f>
        <v xml:space="preserve">     Travel                                            </v>
      </c>
      <c r="C112" s="13"/>
      <c r="D112" s="1">
        <f>SUM(OSRRefD22_14x_0)</f>
        <v>0</v>
      </c>
      <c r="E112" s="1"/>
      <c r="F112" s="5">
        <f t="shared" si="80"/>
        <v>0</v>
      </c>
      <c r="G112" s="1"/>
      <c r="H112" s="1">
        <f>SUM(OSRRefH22_14x_0)</f>
        <v>0</v>
      </c>
      <c r="I112" s="1"/>
      <c r="J112" s="5">
        <f t="shared" si="81"/>
        <v>0</v>
      </c>
      <c r="K112" s="1"/>
      <c r="L112" s="1">
        <f t="shared" si="82"/>
        <v>0</v>
      </c>
      <c r="M112" s="1"/>
      <c r="N112" s="5">
        <f t="shared" si="83"/>
        <v>0</v>
      </c>
      <c r="O112" s="13"/>
      <c r="P112" s="1">
        <f>SUM(OSRRefP22_14x_0)</f>
        <v>0.16</v>
      </c>
      <c r="Q112" s="1"/>
      <c r="R112" s="5">
        <f t="shared" si="84"/>
        <v>8.5741533914434086E-8</v>
      </c>
      <c r="S112" s="1"/>
      <c r="T112" s="1">
        <f>SUM(OSRRefT22_14x_0)</f>
        <v>83.93</v>
      </c>
      <c r="U112" s="1"/>
      <c r="V112" s="5">
        <f t="shared" si="85"/>
        <v>2.5637464888540328E-5</v>
      </c>
      <c r="W112" s="1"/>
      <c r="X112" s="1">
        <f t="shared" si="86"/>
        <v>-83.77000000000001</v>
      </c>
      <c r="Y112" s="1"/>
      <c r="Z112" s="5">
        <f t="shared" si="87"/>
        <v>-0.99809364946979628</v>
      </c>
    </row>
    <row r="113" spans="1:26" s="24" customFormat="1" hidden="1" outlineLevel="2" x14ac:dyDescent="0.25">
      <c r="A113" s="26"/>
      <c r="B113" s="11" t="str">
        <f>CONCATENATE("          ", "6292", " - ", "TRAVEL/CONFERENCE")</f>
        <v xml:space="preserve">          6292 - TRAVEL/CONFERENCE</v>
      </c>
      <c r="C113" s="11"/>
      <c r="D113" s="6"/>
      <c r="E113" s="2"/>
      <c r="F113" s="7">
        <f t="shared" si="80"/>
        <v>0</v>
      </c>
      <c r="G113" s="2"/>
      <c r="H113" s="6"/>
      <c r="I113" s="2"/>
      <c r="J113" s="7">
        <f t="shared" si="81"/>
        <v>0</v>
      </c>
      <c r="K113" s="2"/>
      <c r="L113" s="6">
        <f t="shared" si="82"/>
        <v>0</v>
      </c>
      <c r="M113" s="2"/>
      <c r="N113" s="7">
        <f t="shared" si="83"/>
        <v>0</v>
      </c>
      <c r="O113" s="11"/>
      <c r="P113" s="6">
        <v>0.16</v>
      </c>
      <c r="Q113" s="2"/>
      <c r="R113" s="7">
        <f t="shared" si="84"/>
        <v>8.5741533914434086E-8</v>
      </c>
      <c r="S113" s="2"/>
      <c r="T113" s="6">
        <v>83.93</v>
      </c>
      <c r="U113" s="2"/>
      <c r="V113" s="7">
        <f t="shared" si="85"/>
        <v>2.5637464888540328E-5</v>
      </c>
      <c r="W113" s="2"/>
      <c r="X113" s="6">
        <f t="shared" si="86"/>
        <v>-83.77000000000001</v>
      </c>
      <c r="Y113" s="2"/>
      <c r="Z113" s="7">
        <f t="shared" si="87"/>
        <v>-0.99809364946979628</v>
      </c>
    </row>
    <row r="114" spans="1:26" s="52" customFormat="1" x14ac:dyDescent="0.25">
      <c r="A114" s="37"/>
      <c r="B114" s="37"/>
      <c r="C114" s="37"/>
      <c r="D114" s="1"/>
      <c r="E114" s="1"/>
      <c r="F114" s="5"/>
      <c r="G114" s="1"/>
      <c r="H114" s="1"/>
      <c r="I114" s="1"/>
      <c r="J114" s="5"/>
      <c r="K114" s="1"/>
      <c r="L114" s="1"/>
      <c r="M114" s="1"/>
      <c r="N114" s="5"/>
      <c r="O114" s="37"/>
      <c r="P114" s="1"/>
      <c r="Q114" s="1"/>
      <c r="R114" s="5"/>
      <c r="S114" s="1"/>
      <c r="T114" s="1"/>
      <c r="U114" s="1"/>
      <c r="V114" s="5"/>
      <c r="W114" s="1"/>
      <c r="X114" s="1"/>
      <c r="Y114" s="1"/>
      <c r="Z114" s="5"/>
    </row>
    <row r="115" spans="1:26" s="23" customFormat="1" collapsed="1" x14ac:dyDescent="0.25">
      <c r="A115" s="10"/>
      <c r="B115" s="28" t="s">
        <v>0</v>
      </c>
      <c r="C115" s="10"/>
      <c r="D115" s="4">
        <f>SUM(OSRRefD25x_0)</f>
        <v>145116.21</v>
      </c>
      <c r="E115" s="4"/>
      <c r="F115" s="12">
        <f t="shared" ref="F115:F118" si="88">IF(D$12=0,0,D115/D$12)</f>
        <v>2.3241686539745889</v>
      </c>
      <c r="G115" s="4"/>
      <c r="H115" s="4">
        <f>SUM(OSRRefH25x_0)</f>
        <v>78928.62000000001</v>
      </c>
      <c r="I115" s="4"/>
      <c r="J115" s="12">
        <f t="shared" ref="J115:J118" si="89">IF(H$12=0,0,H115/H$12)</f>
        <v>0.54988421087832551</v>
      </c>
      <c r="K115" s="4"/>
      <c r="L115" s="4">
        <f t="shared" ref="L115:L118" si="90">+D115-H115</f>
        <v>66187.589999999982</v>
      </c>
      <c r="M115" s="4"/>
      <c r="N115" s="12">
        <f t="shared" ref="N115:N118" si="91">IF(H115=0,0,L115/H115)</f>
        <v>0.83857528485864785</v>
      </c>
      <c r="O115" s="10"/>
      <c r="P115" s="4">
        <f>SUM(OSRRefP25x_0)</f>
        <v>325937.90000000002</v>
      </c>
      <c r="Q115" s="4"/>
      <c r="R115" s="12">
        <f t="shared" ref="R115:R118" si="92">IF(P$12=0,0,P115/P$12)</f>
        <v>0.17466509691780893</v>
      </c>
      <c r="S115" s="4"/>
      <c r="T115" s="4">
        <f>SUM(OSRRefT25x_0)</f>
        <v>187739.28999999998</v>
      </c>
      <c r="U115" s="4"/>
      <c r="V115" s="12">
        <f t="shared" ref="V115:V118" si="93">IF(T$12=0,0,T115/T$12)</f>
        <v>5.7347306750559865E-2</v>
      </c>
      <c r="W115" s="4"/>
      <c r="X115" s="4">
        <f t="shared" ref="X115:X118" si="94">+P115-T115</f>
        <v>138198.61000000004</v>
      </c>
      <c r="Y115" s="4"/>
      <c r="Z115" s="12">
        <f t="shared" ref="Z115:Z118" si="95">IF(T115=0,0,X115/T115)</f>
        <v>0.73611980742017324</v>
      </c>
    </row>
    <row r="116" spans="1:26" s="24" customFormat="1" hidden="1" outlineLevel="1" x14ac:dyDescent="0.25">
      <c r="A116" s="44"/>
      <c r="B116" s="11" t="str">
        <f>CONCATENATE("          ", "9150", " - ", "MISC. INCOME")</f>
        <v xml:space="preserve">          9150 - MISC. INCOME</v>
      </c>
      <c r="C116" s="11"/>
      <c r="D116" s="2">
        <f>-3618.29</f>
        <v>-3618.29</v>
      </c>
      <c r="E116" s="2"/>
      <c r="F116" s="19">
        <f t="shared" si="88"/>
        <v>-5.7950219337934171E-2</v>
      </c>
      <c r="G116" s="2"/>
      <c r="H116" s="2">
        <f>--3860.52</f>
        <v>3860.52</v>
      </c>
      <c r="I116" s="2"/>
      <c r="J116" s="19">
        <f t="shared" si="89"/>
        <v>2.6895681107562668E-2</v>
      </c>
      <c r="K116" s="2"/>
      <c r="L116" s="2">
        <f t="shared" si="90"/>
        <v>-7478.8099999999995</v>
      </c>
      <c r="M116" s="2"/>
      <c r="N116" s="19">
        <f t="shared" si="91"/>
        <v>-1.937254566742304</v>
      </c>
      <c r="O116" s="11"/>
      <c r="P116" s="2">
        <f>--24713.75</f>
        <v>24713.75</v>
      </c>
      <c r="Q116" s="2"/>
      <c r="R116" s="19">
        <f t="shared" si="92"/>
        <v>1.3243717711111535E-2</v>
      </c>
      <c r="S116" s="2"/>
      <c r="T116" s="2">
        <f>--20295.13</f>
        <v>20295.13</v>
      </c>
      <c r="U116" s="2"/>
      <c r="V116" s="19">
        <f t="shared" si="93"/>
        <v>6.1994004859211417E-3</v>
      </c>
      <c r="W116" s="2"/>
      <c r="X116" s="2">
        <f t="shared" si="94"/>
        <v>4418.619999999999</v>
      </c>
      <c r="Y116" s="2"/>
      <c r="Z116" s="19">
        <f t="shared" si="95"/>
        <v>0.21771824077993088</v>
      </c>
    </row>
    <row r="117" spans="1:26" s="24" customFormat="1" hidden="1" outlineLevel="1" x14ac:dyDescent="0.25">
      <c r="A117" s="44"/>
      <c r="B117" s="11" t="str">
        <f>CONCATENATE("          ", "9151", " - ", "MISC. INCOME")</f>
        <v xml:space="preserve">          9151 - MISC. INCOME</v>
      </c>
      <c r="C117" s="11"/>
      <c r="D117" s="2">
        <f>--148653.31</f>
        <v>148653.31</v>
      </c>
      <c r="E117" s="2"/>
      <c r="F117" s="19">
        <f t="shared" si="88"/>
        <v>2.3808185413026384</v>
      </c>
      <c r="G117" s="2"/>
      <c r="H117" s="2">
        <f>--75068.1</f>
        <v>75068.100000000006</v>
      </c>
      <c r="I117" s="2"/>
      <c r="J117" s="19">
        <f t="shared" si="89"/>
        <v>0.52298852977076282</v>
      </c>
      <c r="K117" s="2"/>
      <c r="L117" s="2">
        <f t="shared" si="90"/>
        <v>73585.209999999992</v>
      </c>
      <c r="M117" s="2"/>
      <c r="N117" s="19">
        <f t="shared" si="91"/>
        <v>0.98024606990186225</v>
      </c>
      <c r="O117" s="11"/>
      <c r="P117" s="2">
        <f>--297910.7</f>
        <v>297910.7</v>
      </c>
      <c r="Q117" s="2"/>
      <c r="R117" s="19">
        <f t="shared" si="92"/>
        <v>0.15964575242201751</v>
      </c>
      <c r="S117" s="2"/>
      <c r="T117" s="2">
        <f>--162744.3</f>
        <v>162744.29999999999</v>
      </c>
      <c r="U117" s="2"/>
      <c r="V117" s="19">
        <f t="shared" si="93"/>
        <v>4.9712275432623292E-2</v>
      </c>
      <c r="W117" s="2"/>
      <c r="X117" s="2">
        <f t="shared" si="94"/>
        <v>135166.40000000002</v>
      </c>
      <c r="Y117" s="2"/>
      <c r="Z117" s="19">
        <f t="shared" si="95"/>
        <v>0.83054460279100428</v>
      </c>
    </row>
    <row r="118" spans="1:26" s="24" customFormat="1" hidden="1" outlineLevel="1" x14ac:dyDescent="0.25">
      <c r="A118" s="44"/>
      <c r="B118" s="11" t="str">
        <f>CONCATENATE("          ", "9152", " - ", "MISC. INCOME")</f>
        <v xml:space="preserve">          9152 - MISC. INCOME</v>
      </c>
      <c r="C118" s="11"/>
      <c r="D118" s="2">
        <f>--81.19</f>
        <v>81.19</v>
      </c>
      <c r="E118" s="2"/>
      <c r="F118" s="19">
        <f t="shared" si="88"/>
        <v>1.3003320098850216E-3</v>
      </c>
      <c r="G118" s="2"/>
      <c r="H118" s="2">
        <f>0</f>
        <v>0</v>
      </c>
      <c r="I118" s="2"/>
      <c r="J118" s="19">
        <f t="shared" si="89"/>
        <v>0</v>
      </c>
      <c r="K118" s="2"/>
      <c r="L118" s="2">
        <f t="shared" si="90"/>
        <v>81.19</v>
      </c>
      <c r="M118" s="2"/>
      <c r="N118" s="19">
        <f t="shared" si="91"/>
        <v>0</v>
      </c>
      <c r="O118" s="11"/>
      <c r="P118" s="2">
        <f>--3313.45</f>
        <v>3313.45</v>
      </c>
      <c r="Q118" s="2"/>
      <c r="R118" s="19">
        <f t="shared" si="92"/>
        <v>1.7756267846798851E-3</v>
      </c>
      <c r="S118" s="2"/>
      <c r="T118" s="2">
        <f>--4699.86</f>
        <v>4699.8599999999997</v>
      </c>
      <c r="U118" s="2"/>
      <c r="V118" s="19">
        <f t="shared" si="93"/>
        <v>1.435630832015431E-3</v>
      </c>
      <c r="W118" s="2"/>
      <c r="X118" s="2">
        <f t="shared" si="94"/>
        <v>-1386.4099999999999</v>
      </c>
      <c r="Y118" s="2"/>
      <c r="Z118" s="19">
        <f t="shared" si="95"/>
        <v>-0.29498963798921668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10"/>
      <c r="B120" s="29" t="s">
        <v>3</v>
      </c>
      <c r="C120" s="29"/>
      <c r="D120" s="22">
        <f>+D60-D62+D115</f>
        <v>126327.46000000002</v>
      </c>
      <c r="E120" s="14"/>
      <c r="F120" s="20">
        <f>IF(D$12=0,0,D120/D$12)</f>
        <v>2.0232496608630339</v>
      </c>
      <c r="G120" s="14"/>
      <c r="H120" s="22">
        <f>+H60-H62+H115</f>
        <v>-95505.930000000037</v>
      </c>
      <c r="I120" s="14"/>
      <c r="J120" s="20">
        <f>IF(H$12=0,0,H120/H$12)</f>
        <v>-0.66537591753473713</v>
      </c>
      <c r="K120" s="16"/>
      <c r="L120" s="22">
        <f>+D120-H120</f>
        <v>221833.39000000007</v>
      </c>
      <c r="M120" s="16"/>
      <c r="N120" s="20">
        <f>IF(H120=0,0,L120/H120)</f>
        <v>-2.3227184950714577</v>
      </c>
      <c r="O120" s="28"/>
      <c r="P120" s="22">
        <f>+P60-P62+P115</f>
        <v>508343.10999999958</v>
      </c>
      <c r="Q120" s="14"/>
      <c r="R120" s="20">
        <f>IF(P$12=0,0,P120/P$12)</f>
        <v>0.27241323753896163</v>
      </c>
      <c r="S120" s="14"/>
      <c r="T120" s="22">
        <f>+T60-T62+T115</f>
        <v>779966.92999999877</v>
      </c>
      <c r="U120" s="14"/>
      <c r="V120" s="20">
        <f>IF(T$12=0,0,T120/T$12)</f>
        <v>0.23825062292502749</v>
      </c>
      <c r="W120" s="16"/>
      <c r="X120" s="22">
        <f>+P120-T120</f>
        <v>-271623.81999999919</v>
      </c>
      <c r="Y120" s="16"/>
      <c r="Z120" s="20">
        <f>IF(T120=0,0,X120/T120)</f>
        <v>-0.34825043159201585</v>
      </c>
    </row>
    <row r="121" spans="1:26" x14ac:dyDescent="0.25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51"/>
      <c r="B122" s="10" t="s">
        <v>13</v>
      </c>
      <c r="C122" s="10"/>
      <c r="D122" s="4">
        <v>42141.72</v>
      </c>
      <c r="E122" s="4"/>
      <c r="F122" s="12">
        <f>IF(D$12=0,0,D122/D$12)</f>
        <v>0.67493813853444784</v>
      </c>
      <c r="G122" s="4"/>
      <c r="H122" s="4">
        <v>7223.02</v>
      </c>
      <c r="I122" s="4"/>
      <c r="J122" s="12">
        <f>IF(H$12=0,0,H122/H$12)</f>
        <v>5.0321729340489701E-2</v>
      </c>
      <c r="K122" s="4"/>
      <c r="L122" s="4">
        <f>+D122-H122</f>
        <v>34918.699999999997</v>
      </c>
      <c r="M122" s="4"/>
      <c r="N122" s="12">
        <f>IF(H122=0,0,L122/H122)</f>
        <v>4.8343629119121916</v>
      </c>
      <c r="O122" s="10"/>
      <c r="P122" s="4">
        <v>369549.29000000004</v>
      </c>
      <c r="Q122" s="4"/>
      <c r="R122" s="12">
        <f>IF(P$12=0,0,P122/P$12)</f>
        <v>0.19803576863493777</v>
      </c>
      <c r="S122" s="4"/>
      <c r="T122" s="4">
        <v>333657.27</v>
      </c>
      <c r="U122" s="4"/>
      <c r="V122" s="12">
        <f>IF(T$12=0,0,T122/T$12)</f>
        <v>0.10191977295878971</v>
      </c>
      <c r="W122" s="4"/>
      <c r="X122" s="4">
        <f>+P122-T122</f>
        <v>35892.020000000019</v>
      </c>
      <c r="Y122" s="4"/>
      <c r="Z122" s="12">
        <f>IF(T122=0,0,X122/T122)</f>
        <v>0.10757152092025454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9" t="s">
        <v>4</v>
      </c>
      <c r="C124" s="29"/>
      <c r="D124" s="35">
        <f>+D120-D122</f>
        <v>84185.74000000002</v>
      </c>
      <c r="E124" s="14"/>
      <c r="F124" s="36">
        <f>IF(D$12=0,0,D124/D$12)</f>
        <v>1.348311522328586</v>
      </c>
      <c r="G124" s="14"/>
      <c r="H124" s="35">
        <f>+H120-H122</f>
        <v>-102728.95000000004</v>
      </c>
      <c r="I124" s="14"/>
      <c r="J124" s="36">
        <f>IF(H$12=0,0,H124/H$12)</f>
        <v>-0.71569764687522686</v>
      </c>
      <c r="K124" s="16"/>
      <c r="L124" s="35">
        <f>D124-H124</f>
        <v>186914.69000000006</v>
      </c>
      <c r="M124" s="16"/>
      <c r="N124" s="36">
        <f>IF(H124=0,0,L124/H124)</f>
        <v>-1.819493823308814</v>
      </c>
      <c r="O124" s="28"/>
      <c r="P124" s="35">
        <f>+P120-P122</f>
        <v>138793.81999999954</v>
      </c>
      <c r="Q124" s="14"/>
      <c r="R124" s="36">
        <f>IF(P$12=0,0,P124/P$12)</f>
        <v>7.4377468904023886E-2</v>
      </c>
      <c r="S124" s="14"/>
      <c r="T124" s="35">
        <f>+T120-T122</f>
        <v>446309.65999999875</v>
      </c>
      <c r="U124" s="14"/>
      <c r="V124" s="36">
        <f>IF(T$12=0,0,T124/T$12)</f>
        <v>0.13633084996623782</v>
      </c>
      <c r="W124" s="16"/>
      <c r="X124" s="35">
        <f>P124-T124</f>
        <v>-307515.83999999921</v>
      </c>
      <c r="Y124" s="16"/>
      <c r="Z124" s="36">
        <f>IF(T124=0,0,X124/T124)</f>
        <v>-0.68901900980588249</v>
      </c>
    </row>
    <row r="125" spans="1:26" ht="15.75" thickTop="1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9" t="s">
        <v>5</v>
      </c>
      <c r="C127" s="29"/>
      <c r="D127" s="31">
        <f>SUM(D124:D126)</f>
        <v>84185.74000000002</v>
      </c>
      <c r="E127" s="14"/>
      <c r="F127" s="33">
        <f>IF(D$12=0,0,D127/D$12)</f>
        <v>1.348311522328586</v>
      </c>
      <c r="G127" s="14"/>
      <c r="H127" s="31">
        <f>SUM(H124:H126)</f>
        <v>-102728.95000000004</v>
      </c>
      <c r="I127" s="14"/>
      <c r="J127" s="33">
        <f>IF(H$12=0,0,H127/H$12)</f>
        <v>-0.71569764687522686</v>
      </c>
      <c r="K127" s="16"/>
      <c r="L127" s="31">
        <f>+D127-H127</f>
        <v>186914.69000000006</v>
      </c>
      <c r="M127" s="16"/>
      <c r="N127" s="33">
        <f>IF(H127=0,0,L127/H127)</f>
        <v>-1.819493823308814</v>
      </c>
      <c r="O127" s="28"/>
      <c r="P127" s="31">
        <f>SUM(P124:P126)</f>
        <v>138793.81999999954</v>
      </c>
      <c r="Q127" s="14"/>
      <c r="R127" s="33">
        <f>IF(P$12=0,0,P127/P$12)</f>
        <v>7.4377468904023886E-2</v>
      </c>
      <c r="S127" s="14"/>
      <c r="T127" s="31">
        <f>SUM(T124:T126)</f>
        <v>446309.65999999875</v>
      </c>
      <c r="U127" s="14"/>
      <c r="V127" s="33">
        <f>IF(T$12=0,0,T127/T$12)</f>
        <v>0.13633084996623782</v>
      </c>
      <c r="W127" s="16"/>
      <c r="X127" s="31">
        <f>+P127-T127</f>
        <v>-307515.83999999921</v>
      </c>
      <c r="Y127" s="16"/>
      <c r="Z127" s="33">
        <f>IF(T127=0,0,X127/T127)</f>
        <v>-0.68901900980588249</v>
      </c>
    </row>
    <row r="128" spans="1:26" ht="15.75" thickTop="1" x14ac:dyDescent="0.25">
      <c r="A128" s="9"/>
      <c r="C128" s="9"/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1:24" x14ac:dyDescent="0.25">
      <c r="A129" s="9"/>
      <c r="B129" s="56">
        <v>44267.668220254629</v>
      </c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A130" s="9"/>
      <c r="B130" s="54" t="s">
        <v>313</v>
      </c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4" x14ac:dyDescent="0.25">
      <c r="A131" s="9"/>
      <c r="B131" s="58"/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4" x14ac:dyDescent="0.25"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","324", " - ", "Textbook Rental")</f>
        <v>Department 324 - Textbook Rental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15645.23</v>
      </c>
      <c r="E12" s="4"/>
      <c r="F12" s="12"/>
      <c r="G12" s="4"/>
      <c r="H12" s="4">
        <f>SUM(OSRRefH13x_0)</f>
        <v>60498.239999999998</v>
      </c>
      <c r="I12" s="4"/>
      <c r="J12" s="12"/>
      <c r="K12" s="4"/>
      <c r="L12" s="4">
        <f t="shared" ref="L12:L15" si="0">+D12-H12</f>
        <v>-44853.009999999995</v>
      </c>
      <c r="M12" s="4"/>
      <c r="N12" s="12">
        <f t="shared" ref="N12:N15" si="1">IF(H12=0,0,L12/H12)</f>
        <v>-0.74139363393050772</v>
      </c>
      <c r="O12" s="10"/>
      <c r="P12" s="4">
        <f>SUM(OSRRefP13x_0)</f>
        <v>772917</v>
      </c>
      <c r="Q12" s="4"/>
      <c r="R12" s="12"/>
      <c r="S12" s="4"/>
      <c r="T12" s="4">
        <f>SUM(OSRRefT13x_0)</f>
        <v>1543632.12</v>
      </c>
      <c r="U12" s="4"/>
      <c r="V12" s="12"/>
      <c r="W12" s="4"/>
      <c r="X12" s="4">
        <f t="shared" ref="X12:X15" si="2">+P12-T12</f>
        <v>-770715.12000000011</v>
      </c>
      <c r="Y12" s="4"/>
      <c r="Z12" s="12">
        <f t="shared" ref="Z12:Z15" si="3">IF(T12=0,0,X12/T12)</f>
        <v>-0.49928678602515736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--6211.31</f>
        <v>6211.31</v>
      </c>
      <c r="E13" s="2"/>
      <c r="F13" s="19"/>
      <c r="G13" s="2"/>
      <c r="H13" s="2">
        <f>--19289.32</f>
        <v>19289.32</v>
      </c>
      <c r="I13" s="2"/>
      <c r="J13" s="19"/>
      <c r="K13" s="2"/>
      <c r="L13" s="2">
        <f t="shared" si="0"/>
        <v>-13078.009999999998</v>
      </c>
      <c r="M13" s="2"/>
      <c r="N13" s="19">
        <f t="shared" si="1"/>
        <v>-0.67799227759195235</v>
      </c>
      <c r="O13" s="11"/>
      <c r="P13" s="2">
        <f>--262705.93</f>
        <v>262705.93</v>
      </c>
      <c r="Q13" s="2"/>
      <c r="R13" s="19"/>
      <c r="S13" s="2"/>
      <c r="T13" s="2">
        <f>--406996.16</f>
        <v>406996.16</v>
      </c>
      <c r="U13" s="2"/>
      <c r="V13" s="19"/>
      <c r="W13" s="2"/>
      <c r="X13" s="2">
        <f t="shared" si="2"/>
        <v>-144290.22999999998</v>
      </c>
      <c r="Y13" s="2"/>
      <c r="Z13" s="19">
        <f t="shared" si="3"/>
        <v>-0.35452479453368796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--3816.22</f>
        <v>3816.22</v>
      </c>
      <c r="E14" s="2"/>
      <c r="F14" s="19"/>
      <c r="G14" s="2"/>
      <c r="H14" s="2">
        <f>--18688.96</f>
        <v>18688.96</v>
      </c>
      <c r="I14" s="2"/>
      <c r="J14" s="19"/>
      <c r="K14" s="2"/>
      <c r="L14" s="2">
        <f t="shared" si="0"/>
        <v>-14872.74</v>
      </c>
      <c r="M14" s="2"/>
      <c r="N14" s="19">
        <f t="shared" si="1"/>
        <v>-0.79580351180590037</v>
      </c>
      <c r="O14" s="11"/>
      <c r="P14" s="2">
        <f>--226037.51</f>
        <v>226037.51</v>
      </c>
      <c r="Q14" s="2"/>
      <c r="R14" s="19"/>
      <c r="S14" s="2"/>
      <c r="T14" s="2">
        <f>--563895.84</f>
        <v>563895.84</v>
      </c>
      <c r="U14" s="2"/>
      <c r="V14" s="19"/>
      <c r="W14" s="2"/>
      <c r="X14" s="2">
        <f t="shared" si="2"/>
        <v>-337858.32999999996</v>
      </c>
      <c r="Y14" s="2"/>
      <c r="Z14" s="19">
        <f t="shared" si="3"/>
        <v>-0.59915024377551707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--5617.7</f>
        <v>5617.7</v>
      </c>
      <c r="E15" s="2"/>
      <c r="F15" s="19"/>
      <c r="G15" s="2"/>
      <c r="H15" s="2">
        <f>--22519.96</f>
        <v>22519.96</v>
      </c>
      <c r="I15" s="2"/>
      <c r="J15" s="19"/>
      <c r="K15" s="2"/>
      <c r="L15" s="2">
        <f t="shared" si="0"/>
        <v>-16902.259999999998</v>
      </c>
      <c r="M15" s="2"/>
      <c r="N15" s="19">
        <f t="shared" si="1"/>
        <v>-0.75054573809189706</v>
      </c>
      <c r="O15" s="11"/>
      <c r="P15" s="2">
        <f>--284173.56</f>
        <v>284173.56</v>
      </c>
      <c r="Q15" s="2"/>
      <c r="R15" s="19"/>
      <c r="S15" s="2"/>
      <c r="T15" s="2">
        <f>--572740.12</f>
        <v>572740.12</v>
      </c>
      <c r="U15" s="2"/>
      <c r="V15" s="19"/>
      <c r="W15" s="2"/>
      <c r="X15" s="2">
        <f t="shared" si="2"/>
        <v>-288566.56</v>
      </c>
      <c r="Y15" s="2"/>
      <c r="Z15" s="19">
        <f t="shared" si="3"/>
        <v>-0.50383507270278183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11974.380000000001</v>
      </c>
      <c r="E17" s="4"/>
      <c r="F17" s="12">
        <f t="shared" ref="F17:F19" si="4">IF(D$12=0,0,D17/D$12)</f>
        <v>0.76536938095508988</v>
      </c>
      <c r="G17" s="4"/>
      <c r="H17" s="4">
        <f>SUM(OSRRefH16x_0)</f>
        <v>45507.020000000004</v>
      </c>
      <c r="I17" s="4"/>
      <c r="J17" s="12">
        <f t="shared" ref="J17:J19" si="5">IF(H$12=0,0,H17/H$12)</f>
        <v>0.75220403105941602</v>
      </c>
      <c r="K17" s="4"/>
      <c r="L17" s="4">
        <f t="shared" ref="L17:L19" si="6">+D17-H17</f>
        <v>-33532.639999999999</v>
      </c>
      <c r="M17" s="4"/>
      <c r="N17" s="12">
        <f t="shared" ref="N17:N19" si="7">IF(H17=0,0,L17/H17)</f>
        <v>-0.73686741078629181</v>
      </c>
      <c r="O17" s="10"/>
      <c r="P17" s="4">
        <f>SUM(OSRRefP16x_0)</f>
        <v>542099.35</v>
      </c>
      <c r="Q17" s="4"/>
      <c r="R17" s="12">
        <f t="shared" ref="R17:R19" si="8">IF(P$12=0,0,P17/P$12)</f>
        <v>0.7013681287900253</v>
      </c>
      <c r="S17" s="4"/>
      <c r="T17" s="4">
        <f>SUM(OSRRefT16x_0)</f>
        <v>1147225.8900000001</v>
      </c>
      <c r="U17" s="4"/>
      <c r="V17" s="12">
        <f t="shared" ref="V17:V19" si="9">IF(T$12=0,0,T17/T$12)</f>
        <v>0.74319902723972864</v>
      </c>
      <c r="W17" s="4"/>
      <c r="X17" s="4">
        <f t="shared" ref="X17:X19" si="10">+P17-T17</f>
        <v>-605126.54000000015</v>
      </c>
      <c r="Y17" s="4"/>
      <c r="Z17" s="12">
        <f t="shared" ref="Z17:Z19" si="11">IF(T17=0,0,X17/T17)</f>
        <v>-0.52746938965960755</v>
      </c>
    </row>
    <row r="18" spans="1:26" s="24" customFormat="1" hidden="1" outlineLevel="1" x14ac:dyDescent="0.25">
      <c r="A18" s="44"/>
      <c r="B18" s="11" t="str">
        <f>CONCATENATE("          ", "5001", " - ", "PURCHASES @ COST-NEW TEXT")</f>
        <v xml:space="preserve">          5001 - PURCHASES @ COST-NEW TEXT</v>
      </c>
      <c r="C18" s="11"/>
      <c r="D18" s="2">
        <v>7393.74</v>
      </c>
      <c r="E18" s="2"/>
      <c r="F18" s="19">
        <f t="shared" si="4"/>
        <v>0.47258749152297536</v>
      </c>
      <c r="G18" s="2"/>
      <c r="H18" s="2">
        <v>22809.62</v>
      </c>
      <c r="I18" s="2"/>
      <c r="J18" s="19">
        <f t="shared" si="5"/>
        <v>0.37702948052703683</v>
      </c>
      <c r="K18" s="2"/>
      <c r="L18" s="2">
        <f t="shared" si="6"/>
        <v>-15415.88</v>
      </c>
      <c r="M18" s="2"/>
      <c r="N18" s="19">
        <f t="shared" si="7"/>
        <v>-0.67584992647838937</v>
      </c>
      <c r="O18" s="11"/>
      <c r="P18" s="2">
        <v>300204.90000000002</v>
      </c>
      <c r="Q18" s="2"/>
      <c r="R18" s="19">
        <f t="shared" si="8"/>
        <v>0.38840509394928568</v>
      </c>
      <c r="S18" s="2"/>
      <c r="T18" s="2">
        <v>475769.97000000003</v>
      </c>
      <c r="U18" s="2"/>
      <c r="V18" s="19">
        <f t="shared" si="9"/>
        <v>0.30821460880199875</v>
      </c>
      <c r="W18" s="2"/>
      <c r="X18" s="2">
        <f t="shared" si="10"/>
        <v>-175565.07</v>
      </c>
      <c r="Y18" s="2"/>
      <c r="Z18" s="19">
        <f t="shared" si="11"/>
        <v>-0.3690125082926104</v>
      </c>
    </row>
    <row r="19" spans="1:26" s="24" customFormat="1" hidden="1" outlineLevel="1" x14ac:dyDescent="0.25">
      <c r="A19" s="44"/>
      <c r="B19" s="11" t="str">
        <f>CONCATENATE("          ", "5002", " - ", "PURCHASES @ COST-USED TEXT")</f>
        <v xml:space="preserve">          5002 - PURCHASES @ COST-USED TEXT</v>
      </c>
      <c r="C19" s="11"/>
      <c r="D19" s="2">
        <v>4580.6400000000003</v>
      </c>
      <c r="E19" s="2"/>
      <c r="F19" s="19">
        <f t="shared" si="4"/>
        <v>0.29278188943211447</v>
      </c>
      <c r="G19" s="2"/>
      <c r="H19" s="2">
        <v>22697.4</v>
      </c>
      <c r="I19" s="2"/>
      <c r="J19" s="19">
        <f t="shared" si="5"/>
        <v>0.37517455053237914</v>
      </c>
      <c r="K19" s="2"/>
      <c r="L19" s="2">
        <f t="shared" si="6"/>
        <v>-18116.760000000002</v>
      </c>
      <c r="M19" s="2"/>
      <c r="N19" s="19">
        <f t="shared" si="7"/>
        <v>-0.79818657643606761</v>
      </c>
      <c r="O19" s="11"/>
      <c r="P19" s="2">
        <v>241894.44999999998</v>
      </c>
      <c r="Q19" s="2"/>
      <c r="R19" s="19">
        <f t="shared" si="8"/>
        <v>0.31296303484073967</v>
      </c>
      <c r="S19" s="2"/>
      <c r="T19" s="2">
        <v>671455.92</v>
      </c>
      <c r="U19" s="2"/>
      <c r="V19" s="19">
        <f t="shared" si="9"/>
        <v>0.43498441843772984</v>
      </c>
      <c r="W19" s="2"/>
      <c r="X19" s="2">
        <f t="shared" si="10"/>
        <v>-429561.47000000009</v>
      </c>
      <c r="Y19" s="2"/>
      <c r="Z19" s="19">
        <f t="shared" si="11"/>
        <v>-0.63974634403402098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9" t="s">
        <v>6</v>
      </c>
      <c r="C21" s="29"/>
      <c r="D21" s="22">
        <f>D12-D17</f>
        <v>3670.8499999999985</v>
      </c>
      <c r="E21" s="14"/>
      <c r="F21" s="20">
        <f>IF(D$12=0,0,D21/D$12)</f>
        <v>0.23463061904491009</v>
      </c>
      <c r="G21" s="14"/>
      <c r="H21" s="22">
        <f>H12-H17</f>
        <v>14991.219999999994</v>
      </c>
      <c r="I21" s="14"/>
      <c r="J21" s="20">
        <f>IF(H$12=0,0,H21/H$12)</f>
        <v>0.24779596894058398</v>
      </c>
      <c r="K21" s="16"/>
      <c r="L21" s="22">
        <f>+D21-H21</f>
        <v>-11320.369999999995</v>
      </c>
      <c r="M21" s="16"/>
      <c r="N21" s="20">
        <f>IF(H21=0,0,L21/H21)</f>
        <v>-0.75513333804720362</v>
      </c>
      <c r="O21" s="28"/>
      <c r="P21" s="22">
        <f>P12-P17</f>
        <v>230817.65000000002</v>
      </c>
      <c r="Q21" s="14"/>
      <c r="R21" s="20">
        <f>IF(P$12=0,0,P21/P$12)</f>
        <v>0.2986318712099747</v>
      </c>
      <c r="S21" s="14"/>
      <c r="T21" s="22">
        <f>T12-T17</f>
        <v>396406.23</v>
      </c>
      <c r="U21" s="14"/>
      <c r="V21" s="20">
        <f>IF(T$12=0,0,T21/T$12)</f>
        <v>0.25680097276027136</v>
      </c>
      <c r="W21" s="16"/>
      <c r="X21" s="22">
        <f>+P21-T21</f>
        <v>-165588.57999999996</v>
      </c>
      <c r="Y21" s="16"/>
      <c r="Z21" s="20">
        <f>IF(T21=0,0,X21/T21)</f>
        <v>-0.41772446411853809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8" t="s">
        <v>9</v>
      </c>
      <c r="C23" s="10"/>
      <c r="D23" s="21">
        <f>SUM(0)</f>
        <v>0</v>
      </c>
      <c r="E23" s="21"/>
      <c r="F23" s="32">
        <f>IF(D$12=0,0,D23/D$12)</f>
        <v>0</v>
      </c>
      <c r="G23" s="21"/>
      <c r="H23" s="21">
        <f>SUM(0)</f>
        <v>0</v>
      </c>
      <c r="I23" s="21"/>
      <c r="J23" s="32">
        <f>IF(H$12=0,0,H23/H$12)</f>
        <v>0</v>
      </c>
      <c r="K23" s="4"/>
      <c r="L23" s="21">
        <f>+D23-H23</f>
        <v>0</v>
      </c>
      <c r="M23" s="4"/>
      <c r="N23" s="32">
        <f>IF(H23=0,0,L23/H23)</f>
        <v>0</v>
      </c>
      <c r="O23" s="10"/>
      <c r="P23" s="21">
        <f>SUM(0)</f>
        <v>0</v>
      </c>
      <c r="Q23" s="21"/>
      <c r="R23" s="32">
        <f>IF(P$12=0,0,P23/P$12)</f>
        <v>0</v>
      </c>
      <c r="S23" s="21"/>
      <c r="T23" s="21">
        <f>SUM(0)</f>
        <v>0</v>
      </c>
      <c r="U23" s="21"/>
      <c r="V23" s="32">
        <f>IF(T$12=0,0,T23/T$12)</f>
        <v>0</v>
      </c>
      <c r="W23" s="4"/>
      <c r="X23" s="21">
        <f>+P23-T23</f>
        <v>0</v>
      </c>
      <c r="Y23" s="4"/>
      <c r="Z23" s="32">
        <f>IF(T23=0,0,X23/T23)</f>
        <v>0</v>
      </c>
    </row>
    <row r="24" spans="1:26" s="52" customFormat="1" x14ac:dyDescent="0.25">
      <c r="A24" s="37"/>
      <c r="B24" s="37"/>
      <c r="C24" s="37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0</v>
      </c>
      <c r="C25" s="10"/>
      <c r="D25" s="4">
        <f>SUM(0)</f>
        <v>0</v>
      </c>
      <c r="E25" s="4"/>
      <c r="F25" s="12">
        <f>IF(D$12=0,0,D25/D$12)</f>
        <v>0</v>
      </c>
      <c r="G25" s="4"/>
      <c r="H25" s="4">
        <f>SUM(0)</f>
        <v>0</v>
      </c>
      <c r="I25" s="4"/>
      <c r="J25" s="12">
        <f>IF(H$12=0,0,H25/H$12)</f>
        <v>0</v>
      </c>
      <c r="K25" s="4"/>
      <c r="L25" s="4">
        <f>+D25-H25</f>
        <v>0</v>
      </c>
      <c r="M25" s="4"/>
      <c r="N25" s="12">
        <f>IF(H25=0,0,L25/H25)</f>
        <v>0</v>
      </c>
      <c r="O25" s="10"/>
      <c r="P25" s="4">
        <f>SUM(0)</f>
        <v>0</v>
      </c>
      <c r="Q25" s="4"/>
      <c r="R25" s="12">
        <f>IF(P$12=0,0,P25/P$12)</f>
        <v>0</v>
      </c>
      <c r="S25" s="4"/>
      <c r="T25" s="4">
        <f>SUM(0)</f>
        <v>0</v>
      </c>
      <c r="U25" s="4"/>
      <c r="V25" s="12">
        <f>IF(T$12=0,0,T25/T$12)</f>
        <v>0</v>
      </c>
      <c r="W25" s="4"/>
      <c r="X25" s="4">
        <f>+P25-T25</f>
        <v>0</v>
      </c>
      <c r="Y25" s="4"/>
      <c r="Z25" s="12">
        <f>IF(T25=0,0,X25/T25)</f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>
        <f>+D21-D23+D25</f>
        <v>3670.8499999999985</v>
      </c>
      <c r="E27" s="14"/>
      <c r="F27" s="20">
        <f>IF(D$12=0,0,D27/D$12)</f>
        <v>0.23463061904491009</v>
      </c>
      <c r="G27" s="14"/>
      <c r="H27" s="22">
        <f>+H21-H23+H25</f>
        <v>14991.219999999994</v>
      </c>
      <c r="I27" s="14"/>
      <c r="J27" s="20">
        <f>IF(H$12=0,0,H27/H$12)</f>
        <v>0.24779596894058398</v>
      </c>
      <c r="K27" s="16"/>
      <c r="L27" s="22">
        <f>+D27-H27</f>
        <v>-11320.369999999995</v>
      </c>
      <c r="M27" s="16"/>
      <c r="N27" s="20">
        <f>IF(H27=0,0,L27/H27)</f>
        <v>-0.75513333804720362</v>
      </c>
      <c r="O27" s="28"/>
      <c r="P27" s="22">
        <f>+P21-P23+P25</f>
        <v>230817.65000000002</v>
      </c>
      <c r="Q27" s="14"/>
      <c r="R27" s="20">
        <f>IF(P$12=0,0,P27/P$12)</f>
        <v>0.2986318712099747</v>
      </c>
      <c r="S27" s="14"/>
      <c r="T27" s="22">
        <f>+T21-T23+T25</f>
        <v>396406.23</v>
      </c>
      <c r="U27" s="14"/>
      <c r="V27" s="20">
        <f>IF(T$12=0,0,T27/T$12)</f>
        <v>0.25680097276027136</v>
      </c>
      <c r="W27" s="16"/>
      <c r="X27" s="22">
        <f>+P27-T27</f>
        <v>-165588.57999999996</v>
      </c>
      <c r="Y27" s="16"/>
      <c r="Z27" s="20">
        <f>IF(T27=0,0,X27/T27)</f>
        <v>-0.41772446411853809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>
        <v>15600.350000000002</v>
      </c>
      <c r="E29" s="4"/>
      <c r="F29" s="12">
        <f>IF(D$12=0,0,D29/D$12)</f>
        <v>0.99713139404150675</v>
      </c>
      <c r="G29" s="4"/>
      <c r="H29" s="4">
        <v>2656.78</v>
      </c>
      <c r="I29" s="4"/>
      <c r="J29" s="12">
        <f>IF(H$12=0,0,H29/H$12)</f>
        <v>4.3914996535436408E-2</v>
      </c>
      <c r="K29" s="4"/>
      <c r="L29" s="4">
        <f>+D29-H29</f>
        <v>12943.570000000002</v>
      </c>
      <c r="M29" s="4"/>
      <c r="N29" s="12">
        <f>IF(H29=0,0,L29/H29)</f>
        <v>4.871901324159321</v>
      </c>
      <c r="O29" s="10"/>
      <c r="P29" s="4">
        <v>153065.21</v>
      </c>
      <c r="Q29" s="4"/>
      <c r="R29" s="12">
        <f>IF(P$12=0,0,P29/P$12)</f>
        <v>0.19803576580667781</v>
      </c>
      <c r="S29" s="4"/>
      <c r="T29" s="4">
        <v>157326.64000000001</v>
      </c>
      <c r="U29" s="4"/>
      <c r="V29" s="12">
        <f>IF(T$12=0,0,T29/T$12)</f>
        <v>0.10191977606685199</v>
      </c>
      <c r="W29" s="4"/>
      <c r="X29" s="4">
        <f>+P29-T29</f>
        <v>-4261.4300000000221</v>
      </c>
      <c r="Y29" s="4"/>
      <c r="Z29" s="12">
        <f>IF(T29=0,0,X29/T29)</f>
        <v>-2.7086512494006239E-2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>
        <f>+D27-D29</f>
        <v>-11929.500000000004</v>
      </c>
      <c r="E31" s="14"/>
      <c r="F31" s="36">
        <f>IF(D$12=0,0,D31/D$12)</f>
        <v>-0.76250077499659663</v>
      </c>
      <c r="G31" s="14"/>
      <c r="H31" s="35">
        <f>+H27-H29</f>
        <v>12334.439999999993</v>
      </c>
      <c r="I31" s="14"/>
      <c r="J31" s="36">
        <f>IF(H$12=0,0,H31/H$12)</f>
        <v>0.20388097240514755</v>
      </c>
      <c r="K31" s="16"/>
      <c r="L31" s="35">
        <f>D31-H31</f>
        <v>-24263.939999999995</v>
      </c>
      <c r="M31" s="16"/>
      <c r="N31" s="36">
        <f>IF(H31=0,0,L31/H31)</f>
        <v>-1.9671699728564902</v>
      </c>
      <c r="O31" s="28"/>
      <c r="P31" s="35">
        <f>+P27-P29</f>
        <v>77752.440000000031</v>
      </c>
      <c r="Q31" s="14"/>
      <c r="R31" s="36">
        <f>IF(P$12=0,0,P31/P$12)</f>
        <v>0.1005961054032969</v>
      </c>
      <c r="S31" s="14"/>
      <c r="T31" s="35">
        <f>+T27-T29</f>
        <v>239079.58999999997</v>
      </c>
      <c r="U31" s="14"/>
      <c r="V31" s="36">
        <f>IF(T$12=0,0,T31/T$12)</f>
        <v>0.15488119669341938</v>
      </c>
      <c r="W31" s="16"/>
      <c r="X31" s="35">
        <f>P31-T31</f>
        <v>-161327.14999999994</v>
      </c>
      <c r="Y31" s="16"/>
      <c r="Z31" s="36">
        <f>IF(T31=0,0,X31/T31)</f>
        <v>-0.67478428417917213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9" t="s">
        <v>5</v>
      </c>
      <c r="C34" s="29"/>
      <c r="D34" s="31">
        <f>SUM(D31:D33)</f>
        <v>-11929.500000000004</v>
      </c>
      <c r="E34" s="14"/>
      <c r="F34" s="33">
        <f>IF(D$12=0,0,D34/D$12)</f>
        <v>-0.76250077499659663</v>
      </c>
      <c r="G34" s="14"/>
      <c r="H34" s="31">
        <f>SUM(H31:H33)</f>
        <v>12334.439999999993</v>
      </c>
      <c r="I34" s="14"/>
      <c r="J34" s="33">
        <f>IF(H$12=0,0,H34/H$12)</f>
        <v>0.20388097240514755</v>
      </c>
      <c r="K34" s="16"/>
      <c r="L34" s="31">
        <f>+D34-H34</f>
        <v>-24263.939999999995</v>
      </c>
      <c r="M34" s="16"/>
      <c r="N34" s="33">
        <f>IF(H34=0,0,L34/H34)</f>
        <v>-1.9671699728564902</v>
      </c>
      <c r="O34" s="28"/>
      <c r="P34" s="31">
        <f>SUM(P31:P33)</f>
        <v>77752.440000000031</v>
      </c>
      <c r="Q34" s="14"/>
      <c r="R34" s="33">
        <f>IF(P$12=0,0,P34/P$12)</f>
        <v>0.1005961054032969</v>
      </c>
      <c r="S34" s="14"/>
      <c r="T34" s="31">
        <f>SUM(T31:T33)</f>
        <v>239079.58999999997</v>
      </c>
      <c r="U34" s="14"/>
      <c r="V34" s="33">
        <f>IF(T$12=0,0,T34/T$12)</f>
        <v>0.15488119669341938</v>
      </c>
      <c r="W34" s="16"/>
      <c r="X34" s="31">
        <f>+P34-T34</f>
        <v>-161327.14999999994</v>
      </c>
      <c r="Y34" s="16"/>
      <c r="Z34" s="33">
        <f>IF(T34=0,0,X34/T34)</f>
        <v>-0.67478428417917213</v>
      </c>
    </row>
    <row r="35" spans="1:26" ht="15.75" thickTop="1" x14ac:dyDescent="0.25">
      <c r="A35" s="9"/>
      <c r="C35" s="9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6" x14ac:dyDescent="0.25">
      <c r="A36" s="9"/>
      <c r="B36" s="56">
        <v>44267.668389085651</v>
      </c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25">
      <c r="A37" s="9"/>
      <c r="B37" s="54" t="s">
        <v>313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8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7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120315.20999999999</v>
      </c>
      <c r="E12" s="4"/>
      <c r="F12" s="12"/>
      <c r="G12" s="4"/>
      <c r="H12" s="4">
        <f>SUM(OSRRefH13x_0)</f>
        <v>307227.57000000007</v>
      </c>
      <c r="I12" s="4"/>
      <c r="J12" s="12"/>
      <c r="K12" s="4"/>
      <c r="L12" s="4">
        <f t="shared" ref="L12:L54" si="0">+D12-H12</f>
        <v>-186912.36000000007</v>
      </c>
      <c r="M12" s="4"/>
      <c r="N12" s="12">
        <f t="shared" ref="N12:N54" si="1">IF(H12=0,0,L12/H12)</f>
        <v>-0.60838407178105802</v>
      </c>
      <c r="O12" s="10"/>
      <c r="P12" s="4">
        <f>SUM(OSRRefP13x_0)</f>
        <v>1311128.1399999999</v>
      </c>
      <c r="Q12" s="4"/>
      <c r="R12" s="12"/>
      <c r="S12" s="4"/>
      <c r="T12" s="4">
        <f>SUM(OSRRefT13x_0)</f>
        <v>2328485.8100000015</v>
      </c>
      <c r="U12" s="4"/>
      <c r="V12" s="12"/>
      <c r="W12" s="4"/>
      <c r="X12" s="4">
        <f t="shared" ref="X12:X54" si="2">+P12-T12</f>
        <v>-1017357.6700000016</v>
      </c>
      <c r="Y12" s="4"/>
      <c r="Z12" s="12">
        <f t="shared" ref="Z12:Z54" si="3">IF(T12=0,0,X12/T12)</f>
        <v>-0.43691813178797123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-7056.82</f>
        <v>-7056.82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-7056.82</v>
      </c>
      <c r="M13" s="2"/>
      <c r="N13" s="19">
        <f t="shared" si="1"/>
        <v>0</v>
      </c>
      <c r="O13" s="11"/>
      <c r="P13" s="2">
        <f>-99198.1</f>
        <v>-99198.1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-99198.1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--13.62</f>
        <v>13.62</v>
      </c>
      <c r="U14" s="2"/>
      <c r="V14" s="19"/>
      <c r="W14" s="2"/>
      <c r="X14" s="2">
        <f t="shared" si="2"/>
        <v>-13.62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>--41.38</f>
        <v>41.38</v>
      </c>
      <c r="E15" s="2"/>
      <c r="F15" s="19"/>
      <c r="G15" s="2"/>
      <c r="H15" s="2">
        <f>--50.44</f>
        <v>50.44</v>
      </c>
      <c r="I15" s="2"/>
      <c r="J15" s="19"/>
      <c r="K15" s="2"/>
      <c r="L15" s="2">
        <f t="shared" si="0"/>
        <v>-9.0599999999999952</v>
      </c>
      <c r="M15" s="2"/>
      <c r="N15" s="19">
        <f t="shared" si="1"/>
        <v>-0.17961934972244242</v>
      </c>
      <c r="O15" s="11"/>
      <c r="P15" s="2">
        <f>--430.87</f>
        <v>430.87</v>
      </c>
      <c r="Q15" s="2"/>
      <c r="R15" s="19"/>
      <c r="S15" s="2"/>
      <c r="T15" s="2">
        <f>--225.07</f>
        <v>225.07</v>
      </c>
      <c r="U15" s="2"/>
      <c r="V15" s="19"/>
      <c r="W15" s="2"/>
      <c r="X15" s="2">
        <f t="shared" si="2"/>
        <v>205.8</v>
      </c>
      <c r="Y15" s="2"/>
      <c r="Z15" s="19">
        <f t="shared" si="3"/>
        <v>0.914382192206869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>--5808.1</f>
        <v>5808.1</v>
      </c>
      <c r="E16" s="2"/>
      <c r="F16" s="19"/>
      <c r="G16" s="2"/>
      <c r="H16" s="2">
        <f>--21.95</f>
        <v>21.95</v>
      </c>
      <c r="I16" s="2"/>
      <c r="J16" s="19"/>
      <c r="K16" s="2"/>
      <c r="L16" s="2">
        <f t="shared" si="0"/>
        <v>5786.1500000000005</v>
      </c>
      <c r="M16" s="2"/>
      <c r="N16" s="19">
        <f t="shared" si="1"/>
        <v>263.60592255125289</v>
      </c>
      <c r="O16" s="11"/>
      <c r="P16" s="2">
        <f>--46494</f>
        <v>46494</v>
      </c>
      <c r="Q16" s="2"/>
      <c r="R16" s="19"/>
      <c r="S16" s="2"/>
      <c r="T16" s="2">
        <f>--161.59</f>
        <v>161.59</v>
      </c>
      <c r="U16" s="2"/>
      <c r="V16" s="19"/>
      <c r="W16" s="2"/>
      <c r="X16" s="2">
        <f t="shared" si="2"/>
        <v>46332.41</v>
      </c>
      <c r="Y16" s="2"/>
      <c r="Z16" s="19">
        <f t="shared" si="3"/>
        <v>286.72820100253728</v>
      </c>
    </row>
    <row r="17" spans="1:26" s="24" customFormat="1" hidden="1" outlineLevel="1" x14ac:dyDescent="0.25">
      <c r="A17" s="44"/>
      <c r="B17" s="11" t="str">
        <f>CONCATENATE("          ", "4028", " - ", "TAXABLE SALES-ART/TECH")</f>
        <v xml:space="preserve">          4028 - TAXABLE SALES-ART/TECH</v>
      </c>
      <c r="C17" s="11"/>
      <c r="D17" s="2">
        <f>--1924.8</f>
        <v>1924.8</v>
      </c>
      <c r="E17" s="2"/>
      <c r="F17" s="19"/>
      <c r="G17" s="2"/>
      <c r="H17" s="2">
        <f t="shared" ref="H17:H19" si="5">0</f>
        <v>0</v>
      </c>
      <c r="I17" s="2"/>
      <c r="J17" s="19"/>
      <c r="K17" s="2"/>
      <c r="L17" s="2">
        <f t="shared" si="0"/>
        <v>1924.8</v>
      </c>
      <c r="M17" s="2"/>
      <c r="N17" s="19">
        <f t="shared" si="1"/>
        <v>0</v>
      </c>
      <c r="O17" s="11"/>
      <c r="P17" s="2">
        <f>--28397.57</f>
        <v>28397.57</v>
      </c>
      <c r="Q17" s="2"/>
      <c r="R17" s="19"/>
      <c r="S17" s="2"/>
      <c r="T17" s="2">
        <f t="shared" ref="T17:T19" si="6">0</f>
        <v>0</v>
      </c>
      <c r="U17" s="2"/>
      <c r="V17" s="19"/>
      <c r="W17" s="2"/>
      <c r="X17" s="2">
        <f t="shared" si="2"/>
        <v>28397.57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"4031", " - ", "TAXABLE SALES-FOOD")</f>
        <v xml:space="preserve">          4031 - TAXABLE SALES-FOOD</v>
      </c>
      <c r="C18" s="11"/>
      <c r="D18" s="2">
        <f>--593.6</f>
        <v>593.6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593.6</v>
      </c>
      <c r="M18" s="2"/>
      <c r="N18" s="19">
        <f t="shared" si="1"/>
        <v>0</v>
      </c>
      <c r="O18" s="11"/>
      <c r="P18" s="2">
        <f>--2806.29</f>
        <v>2806.29</v>
      </c>
      <c r="Q18" s="2"/>
      <c r="R18" s="19"/>
      <c r="S18" s="2"/>
      <c r="T18" s="2">
        <f t="shared" si="6"/>
        <v>0</v>
      </c>
      <c r="U18" s="2"/>
      <c r="V18" s="19"/>
      <c r="W18" s="2"/>
      <c r="X18" s="2">
        <f t="shared" si="2"/>
        <v>2806.29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"4034", " - ", "TAXABLE SALES-SODA")</f>
        <v xml:space="preserve">          4034 - TAXABLE SALES-SODA</v>
      </c>
      <c r="C19" s="11"/>
      <c r="D19" s="2">
        <f>0</f>
        <v>0</v>
      </c>
      <c r="E19" s="2"/>
      <c r="F19" s="19"/>
      <c r="G19" s="2"/>
      <c r="H19" s="2">
        <f t="shared" si="5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--6.78</f>
        <v>6.78</v>
      </c>
      <c r="Q19" s="2"/>
      <c r="R19" s="19"/>
      <c r="S19" s="2"/>
      <c r="T19" s="2">
        <f t="shared" si="6"/>
        <v>0</v>
      </c>
      <c r="U19" s="2"/>
      <c r="V19" s="19"/>
      <c r="W19" s="2"/>
      <c r="X19" s="2">
        <f t="shared" si="2"/>
        <v>6.78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"4040", " - ", "TAXABLE SALES-LOGO CLOTHING")</f>
        <v xml:space="preserve">          4040 - TAXABLE SALES-LOGO CLOTHING</v>
      </c>
      <c r="C20" s="11"/>
      <c r="D20" s="2">
        <f>--73245.08</f>
        <v>73245.08</v>
      </c>
      <c r="E20" s="2"/>
      <c r="F20" s="19"/>
      <c r="G20" s="2"/>
      <c r="H20" s="2">
        <f>--197676.23</f>
        <v>197676.23</v>
      </c>
      <c r="I20" s="2"/>
      <c r="J20" s="19"/>
      <c r="K20" s="2"/>
      <c r="L20" s="2">
        <f t="shared" si="0"/>
        <v>-124431.15000000001</v>
      </c>
      <c r="M20" s="2"/>
      <c r="N20" s="19">
        <f t="shared" si="1"/>
        <v>-0.62946946124984271</v>
      </c>
      <c r="O20" s="11"/>
      <c r="P20" s="2">
        <f>--671347.98</f>
        <v>671347.98</v>
      </c>
      <c r="Q20" s="2"/>
      <c r="R20" s="19"/>
      <c r="S20" s="2"/>
      <c r="T20" s="2">
        <f>--1682295.22</f>
        <v>1682295.22</v>
      </c>
      <c r="U20" s="2"/>
      <c r="V20" s="19"/>
      <c r="W20" s="2"/>
      <c r="X20" s="2">
        <f t="shared" si="2"/>
        <v>-1010947.24</v>
      </c>
      <c r="Y20" s="2"/>
      <c r="Z20" s="19">
        <f t="shared" si="3"/>
        <v>-0.60093331300079422</v>
      </c>
    </row>
    <row r="21" spans="1:26" s="24" customFormat="1" hidden="1" outlineLevel="1" x14ac:dyDescent="0.25">
      <c r="A21" s="44"/>
      <c r="B21" s="11" t="str">
        <f>CONCATENATE("          ", "4041", " - ", "TAXABLE SALES-LOGO GIFTS")</f>
        <v xml:space="preserve">          4041 - TAXABLE SALES-LOGO GIFTS</v>
      </c>
      <c r="C21" s="11"/>
      <c r="D21" s="2">
        <f>--23539.79</f>
        <v>23539.79</v>
      </c>
      <c r="E21" s="2"/>
      <c r="F21" s="19"/>
      <c r="G21" s="2"/>
      <c r="H21" s="2">
        <f>--31787.58</f>
        <v>31787.58</v>
      </c>
      <c r="I21" s="2"/>
      <c r="J21" s="19"/>
      <c r="K21" s="2"/>
      <c r="L21" s="2">
        <f t="shared" si="0"/>
        <v>-8247.7900000000009</v>
      </c>
      <c r="M21" s="2"/>
      <c r="N21" s="19">
        <f t="shared" si="1"/>
        <v>-0.25946580393977775</v>
      </c>
      <c r="O21" s="11"/>
      <c r="P21" s="2">
        <f>--184133.09</f>
        <v>184133.09</v>
      </c>
      <c r="Q21" s="2"/>
      <c r="R21" s="19"/>
      <c r="S21" s="2"/>
      <c r="T21" s="2">
        <f>--267633.53</f>
        <v>267633.53000000003</v>
      </c>
      <c r="U21" s="2"/>
      <c r="V21" s="19"/>
      <c r="W21" s="2"/>
      <c r="X21" s="2">
        <f t="shared" si="2"/>
        <v>-83500.440000000031</v>
      </c>
      <c r="Y21" s="2"/>
      <c r="Z21" s="19">
        <f t="shared" si="3"/>
        <v>-0.31199543644624805</v>
      </c>
    </row>
    <row r="22" spans="1:26" s="24" customFormat="1" hidden="1" outlineLevel="1" x14ac:dyDescent="0.25">
      <c r="A22" s="44"/>
      <c r="B22" s="11" t="str">
        <f>CONCATENATE("          ", "4042", " - ", "TAXABLE SALES-EVERYDAY GIFTS")</f>
        <v xml:space="preserve">          4042 - TAXABLE SALES-EVERYDAY GIFTS</v>
      </c>
      <c r="C22" s="11"/>
      <c r="D22" s="2">
        <f>--4190.99</f>
        <v>4190.99</v>
      </c>
      <c r="E22" s="2"/>
      <c r="F22" s="19"/>
      <c r="G22" s="2"/>
      <c r="H22" s="2">
        <f>--17935.2</f>
        <v>17935.2</v>
      </c>
      <c r="I22" s="2"/>
      <c r="J22" s="19"/>
      <c r="K22" s="2"/>
      <c r="L22" s="2">
        <f t="shared" si="0"/>
        <v>-13744.210000000001</v>
      </c>
      <c r="M22" s="2"/>
      <c r="N22" s="19">
        <f t="shared" si="1"/>
        <v>-0.7663259958071279</v>
      </c>
      <c r="O22" s="11"/>
      <c r="P22" s="2">
        <f>--63846.29</f>
        <v>63846.29</v>
      </c>
      <c r="Q22" s="2"/>
      <c r="R22" s="19"/>
      <c r="S22" s="2"/>
      <c r="T22" s="2">
        <f>--197003.96</f>
        <v>197003.96</v>
      </c>
      <c r="U22" s="2"/>
      <c r="V22" s="19"/>
      <c r="W22" s="2"/>
      <c r="X22" s="2">
        <f t="shared" si="2"/>
        <v>-133157.66999999998</v>
      </c>
      <c r="Y22" s="2"/>
      <c r="Z22" s="19">
        <f t="shared" si="3"/>
        <v>-0.67591367198913155</v>
      </c>
    </row>
    <row r="23" spans="1:26" s="24" customFormat="1" hidden="1" outlineLevel="1" x14ac:dyDescent="0.25">
      <c r="A23" s="44"/>
      <c r="B23" s="11" t="str">
        <f>CONCATENATE("          ", "4043", " - ", "TAXABLE SALES-CARDS")</f>
        <v xml:space="preserve">          4043 - TAXABLE SALES-CARDS</v>
      </c>
      <c r="C23" s="11"/>
      <c r="D23" s="2">
        <f>--6192.38</f>
        <v>6192.38</v>
      </c>
      <c r="E23" s="2"/>
      <c r="F23" s="19"/>
      <c r="G23" s="2"/>
      <c r="H23" s="2">
        <f>--53210.27</f>
        <v>53210.27</v>
      </c>
      <c r="I23" s="2"/>
      <c r="J23" s="19"/>
      <c r="K23" s="2"/>
      <c r="L23" s="2">
        <f t="shared" si="0"/>
        <v>-47017.89</v>
      </c>
      <c r="M23" s="2"/>
      <c r="N23" s="19">
        <f t="shared" si="1"/>
        <v>-0.88362434545060575</v>
      </c>
      <c r="O23" s="11"/>
      <c r="P23" s="2">
        <f>--124112.88</f>
        <v>124112.88</v>
      </c>
      <c r="Q23" s="2"/>
      <c r="R23" s="19"/>
      <c r="S23" s="2"/>
      <c r="T23" s="2">
        <f>--75651.92</f>
        <v>75651.92</v>
      </c>
      <c r="U23" s="2"/>
      <c r="V23" s="19"/>
      <c r="W23" s="2"/>
      <c r="X23" s="2">
        <f t="shared" si="2"/>
        <v>48460.960000000006</v>
      </c>
      <c r="Y23" s="2"/>
      <c r="Z23" s="19">
        <f t="shared" si="3"/>
        <v>0.64057805803210288</v>
      </c>
    </row>
    <row r="24" spans="1:26" s="24" customFormat="1" hidden="1" outlineLevel="1" x14ac:dyDescent="0.25">
      <c r="A24" s="44"/>
      <c r="B24" s="11" t="str">
        <f>CONCATENATE("          ", "4044", " - ", "TAXABLE SALES-ACCESSORIES")</f>
        <v xml:space="preserve">          4044 - TAXABLE SALES-ACCESSORIES</v>
      </c>
      <c r="C24" s="11"/>
      <c r="D24" s="2">
        <f>--2036.78</f>
        <v>2036.78</v>
      </c>
      <c r="E24" s="2"/>
      <c r="F24" s="19"/>
      <c r="G24" s="2"/>
      <c r="H24" s="2">
        <f>--9453.6</f>
        <v>9453.6</v>
      </c>
      <c r="I24" s="2"/>
      <c r="J24" s="19"/>
      <c r="K24" s="2"/>
      <c r="L24" s="2">
        <f t="shared" si="0"/>
        <v>-7416.8200000000006</v>
      </c>
      <c r="M24" s="2"/>
      <c r="N24" s="19">
        <f t="shared" si="1"/>
        <v>-0.78454980113395956</v>
      </c>
      <c r="O24" s="11"/>
      <c r="P24" s="2">
        <f>--29572.4</f>
        <v>29572.400000000001</v>
      </c>
      <c r="Q24" s="2"/>
      <c r="R24" s="19"/>
      <c r="S24" s="2"/>
      <c r="T24" s="2">
        <f>--62539.76</f>
        <v>62539.76</v>
      </c>
      <c r="U24" s="2"/>
      <c r="V24" s="19"/>
      <c r="W24" s="2"/>
      <c r="X24" s="2">
        <f t="shared" si="2"/>
        <v>-32967.360000000001</v>
      </c>
      <c r="Y24" s="2"/>
      <c r="Z24" s="19">
        <f t="shared" si="3"/>
        <v>-0.52714241308249343</v>
      </c>
    </row>
    <row r="25" spans="1:26" s="24" customFormat="1" hidden="1" outlineLevel="1" x14ac:dyDescent="0.25">
      <c r="A25" s="44"/>
      <c r="B25" s="11" t="str">
        <f>CONCATENATE("          ", "4045", " - ", "TAXABLE SALES-SPECIAL ORDERS")</f>
        <v xml:space="preserve">          4045 - TAXABLE SALES-SPECIAL ORDERS</v>
      </c>
      <c r="C25" s="11"/>
      <c r="D25" s="2">
        <f>--10039.9</f>
        <v>10039.9</v>
      </c>
      <c r="E25" s="2"/>
      <c r="F25" s="19"/>
      <c r="G25" s="2"/>
      <c r="H25" s="2">
        <f>--815.01</f>
        <v>815.01</v>
      </c>
      <c r="I25" s="2"/>
      <c r="J25" s="19"/>
      <c r="K25" s="2"/>
      <c r="L25" s="2">
        <f t="shared" si="0"/>
        <v>9224.89</v>
      </c>
      <c r="M25" s="2"/>
      <c r="N25" s="19">
        <f t="shared" si="1"/>
        <v>11.31874455528153</v>
      </c>
      <c r="O25" s="11"/>
      <c r="P25" s="2">
        <f>--135489.57</f>
        <v>135489.57</v>
      </c>
      <c r="Q25" s="2"/>
      <c r="R25" s="19"/>
      <c r="S25" s="2"/>
      <c r="T25" s="2">
        <f>--70553.04</f>
        <v>70553.039999999994</v>
      </c>
      <c r="U25" s="2"/>
      <c r="V25" s="19"/>
      <c r="W25" s="2"/>
      <c r="X25" s="2">
        <f t="shared" si="2"/>
        <v>64936.530000000013</v>
      </c>
      <c r="Y25" s="2"/>
      <c r="Z25" s="19">
        <f t="shared" si="3"/>
        <v>0.92039308299117972</v>
      </c>
    </row>
    <row r="26" spans="1:26" s="24" customFormat="1" hidden="1" outlineLevel="1" x14ac:dyDescent="0.25">
      <c r="A26" s="44"/>
      <c r="B26" s="11" t="str">
        <f>CONCATENATE("          ", "4092", " - ", "TAXABLE SALES-GRAD MERCH")</f>
        <v xml:space="preserve">          4092 - TAXABLE SALES-GRAD MERCH</v>
      </c>
      <c r="C26" s="11"/>
      <c r="D26" s="2">
        <f t="shared" ref="D26:D28" si="7">0</f>
        <v>0</v>
      </c>
      <c r="E26" s="2"/>
      <c r="F26" s="19"/>
      <c r="G26" s="2"/>
      <c r="H26" s="2">
        <f t="shared" ref="H26:H34" si="8"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ref="P26:P27" si="9">0</f>
        <v>0</v>
      </c>
      <c r="Q26" s="2"/>
      <c r="R26" s="19"/>
      <c r="S26" s="2"/>
      <c r="T26" s="2">
        <f>-39.95</f>
        <v>-39.950000000000003</v>
      </c>
      <c r="U26" s="2"/>
      <c r="V26" s="19"/>
      <c r="W26" s="2"/>
      <c r="X26" s="2">
        <f t="shared" si="2"/>
        <v>39.950000000000003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"4095", " - ", "TAXABLE SALES-CUSTOMER SERVICE")</f>
        <v xml:space="preserve">          4095 - TAXABLE SALES-CUSTOMER SERVICE</v>
      </c>
      <c r="C27" s="11"/>
      <c r="D27" s="2">
        <f t="shared" si="7"/>
        <v>0</v>
      </c>
      <c r="E27" s="2"/>
      <c r="F27" s="19"/>
      <c r="G27" s="2"/>
      <c r="H27" s="2">
        <f t="shared" si="8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 t="shared" si="9"/>
        <v>0</v>
      </c>
      <c r="Q27" s="2"/>
      <c r="R27" s="19"/>
      <c r="S27" s="2"/>
      <c r="T27" s="2">
        <f>--29.7</f>
        <v>29.7</v>
      </c>
      <c r="U27" s="2"/>
      <c r="V27" s="19"/>
      <c r="W27" s="2"/>
      <c r="X27" s="2">
        <f t="shared" si="2"/>
        <v>-29.7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"4126", " - ", "NON-TAXABLE SALES-WRITING INST")</f>
        <v xml:space="preserve">          4126 - NON-TAXABLE SALES-WRITING INST</v>
      </c>
      <c r="C28" s="11"/>
      <c r="D28" s="2">
        <f t="shared" si="7"/>
        <v>0</v>
      </c>
      <c r="E28" s="2"/>
      <c r="F28" s="19"/>
      <c r="G28" s="2"/>
      <c r="H28" s="2">
        <f t="shared" si="8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--52.68</f>
        <v>52.68</v>
      </c>
      <c r="Q28" s="2"/>
      <c r="R28" s="19"/>
      <c r="S28" s="2"/>
      <c r="T28" s="2">
        <f t="shared" ref="T28:T34" si="10">0</f>
        <v>0</v>
      </c>
      <c r="U28" s="2"/>
      <c r="V28" s="19"/>
      <c r="W28" s="2"/>
      <c r="X28" s="2">
        <f t="shared" si="2"/>
        <v>52.68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"4127", " - ", "NON-TAXABLE SALES-SCHOOL SUPPL")</f>
        <v xml:space="preserve">          4127 - NON-TAXABLE SALES-SCHOOL SUPPL</v>
      </c>
      <c r="C29" s="11"/>
      <c r="D29" s="2">
        <f>--472.19</f>
        <v>472.19</v>
      </c>
      <c r="E29" s="2"/>
      <c r="F29" s="19"/>
      <c r="G29" s="2"/>
      <c r="H29" s="2">
        <f t="shared" si="8"/>
        <v>0</v>
      </c>
      <c r="I29" s="2"/>
      <c r="J29" s="19"/>
      <c r="K29" s="2"/>
      <c r="L29" s="2">
        <f t="shared" si="0"/>
        <v>472.19</v>
      </c>
      <c r="M29" s="2"/>
      <c r="N29" s="19">
        <f t="shared" si="1"/>
        <v>0</v>
      </c>
      <c r="O29" s="11"/>
      <c r="P29" s="2">
        <f>--6217.36</f>
        <v>6217.36</v>
      </c>
      <c r="Q29" s="2"/>
      <c r="R29" s="19"/>
      <c r="S29" s="2"/>
      <c r="T29" s="2">
        <f t="shared" si="10"/>
        <v>0</v>
      </c>
      <c r="U29" s="2"/>
      <c r="V29" s="19"/>
      <c r="W29" s="2"/>
      <c r="X29" s="2">
        <f t="shared" si="2"/>
        <v>6217.36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"4128", " - ", "NON-TAXABLE SALES-ART/TECH")</f>
        <v xml:space="preserve">          4128 - NON-TAXABLE SALES-ART/TECH</v>
      </c>
      <c r="C30" s="11"/>
      <c r="D30" s="2">
        <f>--9.08</f>
        <v>9.08</v>
      </c>
      <c r="E30" s="2"/>
      <c r="F30" s="19"/>
      <c r="G30" s="2"/>
      <c r="H30" s="2">
        <f t="shared" si="8"/>
        <v>0</v>
      </c>
      <c r="I30" s="2"/>
      <c r="J30" s="19"/>
      <c r="K30" s="2"/>
      <c r="L30" s="2">
        <f t="shared" si="0"/>
        <v>9.08</v>
      </c>
      <c r="M30" s="2"/>
      <c r="N30" s="19">
        <f t="shared" si="1"/>
        <v>0</v>
      </c>
      <c r="O30" s="11"/>
      <c r="P30" s="2">
        <f>--38.58</f>
        <v>38.58</v>
      </c>
      <c r="Q30" s="2"/>
      <c r="R30" s="19"/>
      <c r="S30" s="2"/>
      <c r="T30" s="2">
        <f t="shared" si="10"/>
        <v>0</v>
      </c>
      <c r="U30" s="2"/>
      <c r="V30" s="19"/>
      <c r="W30" s="2"/>
      <c r="X30" s="2">
        <f t="shared" si="2"/>
        <v>38.58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"4131", " - ", "NON-TAXABLE SALES-FOOD")</f>
        <v xml:space="preserve">          4131 - NON-TAXABLE SALES-FOOD</v>
      </c>
      <c r="C31" s="11"/>
      <c r="D31" s="2">
        <f>--934.88</f>
        <v>934.88</v>
      </c>
      <c r="E31" s="2"/>
      <c r="F31" s="19"/>
      <c r="G31" s="2"/>
      <c r="H31" s="2">
        <f t="shared" si="8"/>
        <v>0</v>
      </c>
      <c r="I31" s="2"/>
      <c r="J31" s="19"/>
      <c r="K31" s="2"/>
      <c r="L31" s="2">
        <f t="shared" si="0"/>
        <v>934.88</v>
      </c>
      <c r="M31" s="2"/>
      <c r="N31" s="19">
        <f t="shared" si="1"/>
        <v>0</v>
      </c>
      <c r="O31" s="11"/>
      <c r="P31" s="2">
        <f>--7727.99</f>
        <v>7727.99</v>
      </c>
      <c r="Q31" s="2"/>
      <c r="R31" s="19"/>
      <c r="S31" s="2"/>
      <c r="T31" s="2">
        <f t="shared" si="10"/>
        <v>0</v>
      </c>
      <c r="U31" s="2"/>
      <c r="V31" s="19"/>
      <c r="W31" s="2"/>
      <c r="X31" s="2">
        <f t="shared" si="2"/>
        <v>7727.99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"4132", " - ", "NON-TAXABLE SALES-JUICE")</f>
        <v xml:space="preserve">          4132 - NON-TAXABLE SALES-JUICE</v>
      </c>
      <c r="C32" s="11"/>
      <c r="D32" s="2">
        <f t="shared" ref="D32:D35" si="11">0</f>
        <v>0</v>
      </c>
      <c r="E32" s="2"/>
      <c r="F32" s="19"/>
      <c r="G32" s="2"/>
      <c r="H32" s="2">
        <f t="shared" si="8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--22.49</f>
        <v>22.49</v>
      </c>
      <c r="Q32" s="2"/>
      <c r="R32" s="19"/>
      <c r="S32" s="2"/>
      <c r="T32" s="2">
        <f t="shared" si="10"/>
        <v>0</v>
      </c>
      <c r="U32" s="2"/>
      <c r="V32" s="19"/>
      <c r="W32" s="2"/>
      <c r="X32" s="2">
        <f t="shared" si="2"/>
        <v>22.49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"4133", " - ", "NON-TAXABLE SALES-CANDY")</f>
        <v xml:space="preserve">          4133 - NON-TAXABLE SALES-CANDY</v>
      </c>
      <c r="C33" s="11"/>
      <c r="D33" s="2">
        <f t="shared" si="11"/>
        <v>0</v>
      </c>
      <c r="E33" s="2"/>
      <c r="F33" s="19"/>
      <c r="G33" s="2"/>
      <c r="H33" s="2">
        <f t="shared" si="8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--80.71</f>
        <v>80.709999999999994</v>
      </c>
      <c r="Q33" s="2"/>
      <c r="R33" s="19"/>
      <c r="S33" s="2"/>
      <c r="T33" s="2">
        <f t="shared" si="10"/>
        <v>0</v>
      </c>
      <c r="U33" s="2"/>
      <c r="V33" s="19"/>
      <c r="W33" s="2"/>
      <c r="X33" s="2">
        <f t="shared" si="2"/>
        <v>80.709999999999994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"4134", " - ", "NON-TAXABLE SALES-SODA")</f>
        <v xml:space="preserve">          4134 - NON-TAXABLE SALES-SODA</v>
      </c>
      <c r="C34" s="11"/>
      <c r="D34" s="2">
        <f t="shared" si="11"/>
        <v>0</v>
      </c>
      <c r="E34" s="2"/>
      <c r="F34" s="19"/>
      <c r="G34" s="2"/>
      <c r="H34" s="2">
        <f t="shared" si="8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--45.53</f>
        <v>45.53</v>
      </c>
      <c r="Q34" s="2"/>
      <c r="R34" s="19"/>
      <c r="S34" s="2"/>
      <c r="T34" s="2">
        <f t="shared" si="10"/>
        <v>0</v>
      </c>
      <c r="U34" s="2"/>
      <c r="V34" s="19"/>
      <c r="W34" s="2"/>
      <c r="X34" s="2">
        <f t="shared" si="2"/>
        <v>45.53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"4137", " - ", "NON-TAXABLE SALES-WATER")</f>
        <v xml:space="preserve">          4137 - NON-TAXABLE SALES-WATER</v>
      </c>
      <c r="C35" s="11"/>
      <c r="D35" s="2">
        <f t="shared" si="11"/>
        <v>0</v>
      </c>
      <c r="E35" s="2"/>
      <c r="F35" s="19"/>
      <c r="G35" s="2"/>
      <c r="H35" s="2">
        <f>--12</f>
        <v>12</v>
      </c>
      <c r="I35" s="2"/>
      <c r="J35" s="19"/>
      <c r="K35" s="2"/>
      <c r="L35" s="2">
        <f t="shared" si="0"/>
        <v>-12</v>
      </c>
      <c r="M35" s="2"/>
      <c r="N35" s="19">
        <f t="shared" si="1"/>
        <v>-1</v>
      </c>
      <c r="O35" s="11"/>
      <c r="P35" s="2">
        <f>--68.25</f>
        <v>68.25</v>
      </c>
      <c r="Q35" s="2"/>
      <c r="R35" s="19"/>
      <c r="S35" s="2"/>
      <c r="T35" s="2">
        <f>--115.5</f>
        <v>115.5</v>
      </c>
      <c r="U35" s="2"/>
      <c r="V35" s="19"/>
      <c r="W35" s="2"/>
      <c r="X35" s="2">
        <f t="shared" si="2"/>
        <v>-47.25</v>
      </c>
      <c r="Y35" s="2"/>
      <c r="Z35" s="19">
        <f t="shared" si="3"/>
        <v>-0.40909090909090912</v>
      </c>
    </row>
    <row r="36" spans="1:26" s="24" customFormat="1" hidden="1" outlineLevel="1" x14ac:dyDescent="0.25">
      <c r="A36" s="44"/>
      <c r="B36" s="11" t="str">
        <f>CONCATENATE("          ", "4140", " - ", "NON-TAXABLE SALES-LOGO CLOTHIN")</f>
        <v xml:space="preserve">          4140 - NON-TAXABLE SALES-LOGO CLOTHIN</v>
      </c>
      <c r="C36" s="11"/>
      <c r="D36" s="2">
        <f>--1947.86</f>
        <v>1947.86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1947.86</v>
      </c>
      <c r="M36" s="2"/>
      <c r="N36" s="19">
        <f t="shared" si="1"/>
        <v>0</v>
      </c>
      <c r="O36" s="11"/>
      <c r="P36" s="2">
        <f>--115125.28</f>
        <v>115125.28</v>
      </c>
      <c r="Q36" s="2"/>
      <c r="R36" s="19"/>
      <c r="S36" s="2"/>
      <c r="T36" s="2">
        <f>--42582.67</f>
        <v>42582.67</v>
      </c>
      <c r="U36" s="2"/>
      <c r="V36" s="19"/>
      <c r="W36" s="2"/>
      <c r="X36" s="2">
        <f t="shared" si="2"/>
        <v>72542.61</v>
      </c>
      <c r="Y36" s="2"/>
      <c r="Z36" s="19">
        <f t="shared" si="3"/>
        <v>1.7035711945728158</v>
      </c>
    </row>
    <row r="37" spans="1:26" s="24" customFormat="1" hidden="1" outlineLevel="1" x14ac:dyDescent="0.25">
      <c r="A37" s="44"/>
      <c r="B37" s="11" t="str">
        <f>CONCATENATE("          ", "4141", " - ", "NON-TAXABLE SALES-LOGO GIFTS")</f>
        <v xml:space="preserve">          4141 - NON-TAXABLE SALES-LOGO GIFTS</v>
      </c>
      <c r="C37" s="11"/>
      <c r="D37" s="2">
        <f>--620.86</f>
        <v>620.86</v>
      </c>
      <c r="E37" s="2"/>
      <c r="F37" s="19"/>
      <c r="G37" s="2"/>
      <c r="H37" s="2">
        <f>--6416.37</f>
        <v>6416.37</v>
      </c>
      <c r="I37" s="2"/>
      <c r="J37" s="19"/>
      <c r="K37" s="2"/>
      <c r="L37" s="2">
        <f t="shared" si="0"/>
        <v>-5795.51</v>
      </c>
      <c r="M37" s="2"/>
      <c r="N37" s="19">
        <f t="shared" si="1"/>
        <v>-0.90323812373662993</v>
      </c>
      <c r="O37" s="11"/>
      <c r="P37" s="2">
        <f>--7234.38</f>
        <v>7234.38</v>
      </c>
      <c r="Q37" s="2"/>
      <c r="R37" s="19"/>
      <c r="S37" s="2"/>
      <c r="T37" s="2">
        <f>--9814.22</f>
        <v>9814.2199999999993</v>
      </c>
      <c r="U37" s="2"/>
      <c r="V37" s="19"/>
      <c r="W37" s="2"/>
      <c r="X37" s="2">
        <f t="shared" si="2"/>
        <v>-2579.8399999999992</v>
      </c>
      <c r="Y37" s="2"/>
      <c r="Z37" s="19">
        <f t="shared" si="3"/>
        <v>-0.26286755340719886</v>
      </c>
    </row>
    <row r="38" spans="1:26" s="24" customFormat="1" hidden="1" outlineLevel="1" x14ac:dyDescent="0.25">
      <c r="A38" s="44"/>
      <c r="B38" s="11" t="str">
        <f>CONCATENATE("          ", "4142", " - ", "NON-TAXABLE SALES-EVERYDAY GIF")</f>
        <v xml:space="preserve">          4142 - NON-TAXABLE SALES-EVERYDAY GIF</v>
      </c>
      <c r="C38" s="11"/>
      <c r="D38" s="2">
        <f>--4.58</f>
        <v>4.58</v>
      </c>
      <c r="E38" s="2"/>
      <c r="F38" s="19"/>
      <c r="G38" s="2"/>
      <c r="H38" s="2">
        <f>--492.76</f>
        <v>492.76</v>
      </c>
      <c r="I38" s="2"/>
      <c r="J38" s="19"/>
      <c r="K38" s="2"/>
      <c r="L38" s="2">
        <f t="shared" si="0"/>
        <v>-488.18</v>
      </c>
      <c r="M38" s="2"/>
      <c r="N38" s="19">
        <f t="shared" si="1"/>
        <v>-0.99070541440051951</v>
      </c>
      <c r="O38" s="11"/>
      <c r="P38" s="2">
        <f>--1153.88</f>
        <v>1153.8800000000001</v>
      </c>
      <c r="Q38" s="2"/>
      <c r="R38" s="19"/>
      <c r="S38" s="2"/>
      <c r="T38" s="2">
        <f>--4768.83</f>
        <v>4768.83</v>
      </c>
      <c r="U38" s="2"/>
      <c r="V38" s="19"/>
      <c r="W38" s="2"/>
      <c r="X38" s="2">
        <f t="shared" si="2"/>
        <v>-3614.95</v>
      </c>
      <c r="Y38" s="2"/>
      <c r="Z38" s="19">
        <f t="shared" si="3"/>
        <v>-0.75803708666486325</v>
      </c>
    </row>
    <row r="39" spans="1:26" s="24" customFormat="1" hidden="1" outlineLevel="1" x14ac:dyDescent="0.25">
      <c r="A39" s="44"/>
      <c r="B39" s="11" t="str">
        <f>CONCATENATE("          ", "4143", " - ", "NON-TAXABLE SALES-CARDS")</f>
        <v xml:space="preserve">          4143 - NON-TAXABLE SALES-CARDS</v>
      </c>
      <c r="C39" s="11"/>
      <c r="D39" s="2">
        <f>--149.92</f>
        <v>149.91999999999999</v>
      </c>
      <c r="E39" s="2"/>
      <c r="F39" s="19"/>
      <c r="G39" s="2"/>
      <c r="H39" s="2">
        <f>--9.99</f>
        <v>9.99</v>
      </c>
      <c r="I39" s="2"/>
      <c r="J39" s="19"/>
      <c r="K39" s="2"/>
      <c r="L39" s="2">
        <f t="shared" si="0"/>
        <v>139.92999999999998</v>
      </c>
      <c r="M39" s="2"/>
      <c r="N39" s="19">
        <f t="shared" si="1"/>
        <v>14.007007007007005</v>
      </c>
      <c r="O39" s="11"/>
      <c r="P39" s="2">
        <f>--2119.66</f>
        <v>2119.66</v>
      </c>
      <c r="Q39" s="2"/>
      <c r="R39" s="19"/>
      <c r="S39" s="2"/>
      <c r="T39" s="2">
        <f>--9.99</f>
        <v>9.99</v>
      </c>
      <c r="U39" s="2"/>
      <c r="V39" s="19"/>
      <c r="W39" s="2"/>
      <c r="X39" s="2">
        <f t="shared" si="2"/>
        <v>2109.67</v>
      </c>
      <c r="Y39" s="2"/>
      <c r="Z39" s="19">
        <f t="shared" si="3"/>
        <v>211.17817817817817</v>
      </c>
    </row>
    <row r="40" spans="1:26" s="24" customFormat="1" hidden="1" outlineLevel="1" x14ac:dyDescent="0.25">
      <c r="A40" s="44"/>
      <c r="B40" s="11" t="str">
        <f>CONCATENATE("          ", "4144", " - ", "NON-TAXABLE SALES-ACCESSORIES")</f>
        <v xml:space="preserve">          4144 - NON-TAXABLE SALES-ACCESSORIES</v>
      </c>
      <c r="C40" s="11"/>
      <c r="D40" s="2">
        <f>--39.95</f>
        <v>39.950000000000003</v>
      </c>
      <c r="E40" s="2"/>
      <c r="F40" s="19"/>
      <c r="G40" s="2"/>
      <c r="H40" s="2">
        <f>--922.94</f>
        <v>922.94</v>
      </c>
      <c r="I40" s="2"/>
      <c r="J40" s="19"/>
      <c r="K40" s="2"/>
      <c r="L40" s="2">
        <f t="shared" si="0"/>
        <v>-882.99</v>
      </c>
      <c r="M40" s="2"/>
      <c r="N40" s="19">
        <f t="shared" si="1"/>
        <v>-0.9567144126378746</v>
      </c>
      <c r="O40" s="11"/>
      <c r="P40" s="2">
        <f>--649.35</f>
        <v>649.35</v>
      </c>
      <c r="Q40" s="2"/>
      <c r="R40" s="19"/>
      <c r="S40" s="2"/>
      <c r="T40" s="2">
        <f>--1890.27</f>
        <v>1890.27</v>
      </c>
      <c r="U40" s="2"/>
      <c r="V40" s="19"/>
      <c r="W40" s="2"/>
      <c r="X40" s="2">
        <f t="shared" si="2"/>
        <v>-1240.92</v>
      </c>
      <c r="Y40" s="2"/>
      <c r="Z40" s="19">
        <f t="shared" si="3"/>
        <v>-0.65647764605056425</v>
      </c>
    </row>
    <row r="41" spans="1:26" s="24" customFormat="1" hidden="1" outlineLevel="1" x14ac:dyDescent="0.25">
      <c r="A41" s="44"/>
      <c r="B41" s="11" t="str">
        <f>CONCATENATE("          ", "4145", " - ", "NON-TAXABLE SALES-SPECIAL ORDE")</f>
        <v xml:space="preserve">          4145 - NON-TAXABLE SALES-SPECIAL ORDE</v>
      </c>
      <c r="C41" s="11"/>
      <c r="D41" s="2">
        <f t="shared" ref="D41:D42" si="12">0</f>
        <v>0</v>
      </c>
      <c r="E41" s="2"/>
      <c r="F41" s="19"/>
      <c r="G41" s="2"/>
      <c r="H41" s="2">
        <f t="shared" ref="H41:H44" si="13">0</f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--53716.09</f>
        <v>53716.09</v>
      </c>
      <c r="Q41" s="2"/>
      <c r="R41" s="19"/>
      <c r="S41" s="2"/>
      <c r="T41" s="2">
        <f>--140</f>
        <v>140</v>
      </c>
      <c r="U41" s="2"/>
      <c r="V41" s="19"/>
      <c r="W41" s="2"/>
      <c r="X41" s="2">
        <f t="shared" si="2"/>
        <v>53576.09</v>
      </c>
      <c r="Y41" s="2"/>
      <c r="Z41" s="19">
        <f t="shared" si="3"/>
        <v>382.6863571428571</v>
      </c>
    </row>
    <row r="42" spans="1:26" s="24" customFormat="1" hidden="1" outlineLevel="1" x14ac:dyDescent="0.25">
      <c r="A42" s="44"/>
      <c r="B42" s="11" t="str">
        <f>CONCATENATE("          ", "4226", " - ", "SALES RETURN TAXABLE-WRITING I")</f>
        <v xml:space="preserve">          4226 - SALES RETURN TAXABLE-WRITING I</v>
      </c>
      <c r="C42" s="11"/>
      <c r="D42" s="2">
        <f t="shared" si="12"/>
        <v>0</v>
      </c>
      <c r="E42" s="2"/>
      <c r="F42" s="19"/>
      <c r="G42" s="2"/>
      <c r="H42" s="2">
        <f t="shared" si="13"/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-34.23</f>
        <v>-34.229999999999997</v>
      </c>
      <c r="Q42" s="2"/>
      <c r="R42" s="19"/>
      <c r="S42" s="2"/>
      <c r="T42" s="2">
        <f>-134.8</f>
        <v>-134.80000000000001</v>
      </c>
      <c r="U42" s="2"/>
      <c r="V42" s="19"/>
      <c r="W42" s="2"/>
      <c r="X42" s="2">
        <f t="shared" si="2"/>
        <v>100.57000000000002</v>
      </c>
      <c r="Y42" s="2"/>
      <c r="Z42" s="19">
        <f t="shared" si="3"/>
        <v>-0.74606824925816029</v>
      </c>
    </row>
    <row r="43" spans="1:26" s="24" customFormat="1" hidden="1" outlineLevel="1" x14ac:dyDescent="0.25">
      <c r="A43" s="44"/>
      <c r="B43" s="11" t="str">
        <f>CONCATENATE("          ", "4227", " - ", "SALES RETURN TAXABLE-SCHOOL SU")</f>
        <v xml:space="preserve">          4227 - SALES RETURN TAXABLE-SCHOOL SU</v>
      </c>
      <c r="C43" s="11"/>
      <c r="D43" s="2">
        <f>-19.05</f>
        <v>-19.05</v>
      </c>
      <c r="E43" s="2"/>
      <c r="F43" s="19"/>
      <c r="G43" s="2"/>
      <c r="H43" s="2">
        <f t="shared" si="13"/>
        <v>0</v>
      </c>
      <c r="I43" s="2"/>
      <c r="J43" s="19"/>
      <c r="K43" s="2"/>
      <c r="L43" s="2">
        <f t="shared" si="0"/>
        <v>-19.05</v>
      </c>
      <c r="M43" s="2"/>
      <c r="N43" s="19">
        <f t="shared" si="1"/>
        <v>0</v>
      </c>
      <c r="O43" s="11"/>
      <c r="P43" s="2">
        <f>-621.76</f>
        <v>-621.76</v>
      </c>
      <c r="Q43" s="2"/>
      <c r="R43" s="19"/>
      <c r="S43" s="2"/>
      <c r="T43" s="2">
        <f t="shared" ref="T43:T44" si="14">0</f>
        <v>0</v>
      </c>
      <c r="U43" s="2"/>
      <c r="V43" s="19"/>
      <c r="W43" s="2"/>
      <c r="X43" s="2">
        <f t="shared" si="2"/>
        <v>-621.76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"4228", " - ", "SALES RETURN TAXABLE-ART/TECH")</f>
        <v xml:space="preserve">          4228 - SALES RETURN TAXABLE-ART/TECH</v>
      </c>
      <c r="C44" s="11"/>
      <c r="D44" s="2">
        <f>-10.71</f>
        <v>-10.71</v>
      </c>
      <c r="E44" s="2"/>
      <c r="F44" s="19"/>
      <c r="G44" s="2"/>
      <c r="H44" s="2">
        <f t="shared" si="13"/>
        <v>0</v>
      </c>
      <c r="I44" s="2"/>
      <c r="J44" s="19"/>
      <c r="K44" s="2"/>
      <c r="L44" s="2">
        <f t="shared" si="0"/>
        <v>-10.71</v>
      </c>
      <c r="M44" s="2"/>
      <c r="N44" s="19">
        <f t="shared" si="1"/>
        <v>0</v>
      </c>
      <c r="O44" s="11"/>
      <c r="P44" s="2">
        <f>-12517.04</f>
        <v>-12517.04</v>
      </c>
      <c r="Q44" s="2"/>
      <c r="R44" s="19"/>
      <c r="S44" s="2"/>
      <c r="T44" s="2">
        <f t="shared" si="14"/>
        <v>0</v>
      </c>
      <c r="U44" s="2"/>
      <c r="V44" s="19"/>
      <c r="W44" s="2"/>
      <c r="X44" s="2">
        <f t="shared" si="2"/>
        <v>-12517.04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"4240", " - ", "SALES RETURN TAXABLE-LOGO CLOT")</f>
        <v xml:space="preserve">          4240 - SALES RETURN TAXABLE-LOGO CLOT</v>
      </c>
      <c r="C45" s="11"/>
      <c r="D45" s="2">
        <f>-3542.64</f>
        <v>-3542.64</v>
      </c>
      <c r="E45" s="2"/>
      <c r="F45" s="19"/>
      <c r="G45" s="2"/>
      <c r="H45" s="2">
        <f>-8202.92</f>
        <v>-8202.92</v>
      </c>
      <c r="I45" s="2"/>
      <c r="J45" s="19"/>
      <c r="K45" s="2"/>
      <c r="L45" s="2">
        <f t="shared" si="0"/>
        <v>4660.2800000000007</v>
      </c>
      <c r="M45" s="2"/>
      <c r="N45" s="19">
        <f t="shared" si="1"/>
        <v>-0.568124521511852</v>
      </c>
      <c r="O45" s="11"/>
      <c r="P45" s="2">
        <f>-31129.51</f>
        <v>-31129.51</v>
      </c>
      <c r="Q45" s="2"/>
      <c r="R45" s="19"/>
      <c r="S45" s="2"/>
      <c r="T45" s="2">
        <f>-69811.67</f>
        <v>-69811.67</v>
      </c>
      <c r="U45" s="2"/>
      <c r="V45" s="19"/>
      <c r="W45" s="2"/>
      <c r="X45" s="2">
        <f t="shared" si="2"/>
        <v>38682.160000000003</v>
      </c>
      <c r="Y45" s="2"/>
      <c r="Z45" s="19">
        <f t="shared" si="3"/>
        <v>-0.55409303344268956</v>
      </c>
    </row>
    <row r="46" spans="1:26" s="24" customFormat="1" hidden="1" outlineLevel="1" x14ac:dyDescent="0.25">
      <c r="A46" s="44"/>
      <c r="B46" s="11" t="str">
        <f>CONCATENATE("          ", "4241", " - ", "SALES RETURN TAXABLE-LOGO GIFT")</f>
        <v xml:space="preserve">          4241 - SALES RETURN TAXABLE-LOGO GIFT</v>
      </c>
      <c r="C46" s="11"/>
      <c r="D46" s="2">
        <f>-338.05</f>
        <v>-338.05</v>
      </c>
      <c r="E46" s="2"/>
      <c r="F46" s="19"/>
      <c r="G46" s="2"/>
      <c r="H46" s="2">
        <f>-871.47</f>
        <v>-871.47</v>
      </c>
      <c r="I46" s="2"/>
      <c r="J46" s="19"/>
      <c r="K46" s="2"/>
      <c r="L46" s="2">
        <f t="shared" si="0"/>
        <v>533.42000000000007</v>
      </c>
      <c r="M46" s="2"/>
      <c r="N46" s="19">
        <f t="shared" si="1"/>
        <v>-0.61209221200959307</v>
      </c>
      <c r="O46" s="11"/>
      <c r="P46" s="2">
        <f>-4041.42</f>
        <v>-4041.42</v>
      </c>
      <c r="Q46" s="2"/>
      <c r="R46" s="19"/>
      <c r="S46" s="2"/>
      <c r="T46" s="2">
        <f>-4867.58</f>
        <v>-4867.58</v>
      </c>
      <c r="U46" s="2"/>
      <c r="V46" s="19"/>
      <c r="W46" s="2"/>
      <c r="X46" s="2">
        <f t="shared" si="2"/>
        <v>826.15999999999985</v>
      </c>
      <c r="Y46" s="2"/>
      <c r="Z46" s="19">
        <f t="shared" si="3"/>
        <v>-0.16972705122463316</v>
      </c>
    </row>
    <row r="47" spans="1:26" s="24" customFormat="1" hidden="1" outlineLevel="1" x14ac:dyDescent="0.25">
      <c r="A47" s="44"/>
      <c r="B47" s="11" t="str">
        <f>CONCATENATE("          ", "4242", " - ", "SALES RETURN TAXABLE-EVERYDAY")</f>
        <v xml:space="preserve">          4242 - SALES RETURN TAXABLE-EVERYDAY</v>
      </c>
      <c r="C47" s="11"/>
      <c r="D47" s="2">
        <f>-44.96</f>
        <v>-44.96</v>
      </c>
      <c r="E47" s="2"/>
      <c r="F47" s="19"/>
      <c r="G47" s="2"/>
      <c r="H47" s="2">
        <f>-349.75</f>
        <v>-349.75</v>
      </c>
      <c r="I47" s="2"/>
      <c r="J47" s="19"/>
      <c r="K47" s="2"/>
      <c r="L47" s="2">
        <f t="shared" si="0"/>
        <v>304.79000000000002</v>
      </c>
      <c r="M47" s="2"/>
      <c r="N47" s="19">
        <f t="shared" si="1"/>
        <v>-0.87145103645461053</v>
      </c>
      <c r="O47" s="11"/>
      <c r="P47" s="2">
        <f>-1738.74</f>
        <v>-1738.74</v>
      </c>
      <c r="Q47" s="2"/>
      <c r="R47" s="19"/>
      <c r="S47" s="2"/>
      <c r="T47" s="2">
        <f>-3823.88</f>
        <v>-3823.88</v>
      </c>
      <c r="U47" s="2"/>
      <c r="V47" s="19"/>
      <c r="W47" s="2"/>
      <c r="X47" s="2">
        <f t="shared" si="2"/>
        <v>2085.1400000000003</v>
      </c>
      <c r="Y47" s="2"/>
      <c r="Z47" s="19">
        <f t="shared" si="3"/>
        <v>-0.54529430839879922</v>
      </c>
    </row>
    <row r="48" spans="1:26" s="24" customFormat="1" hidden="1" outlineLevel="1" x14ac:dyDescent="0.25">
      <c r="A48" s="44"/>
      <c r="B48" s="11" t="str">
        <f>CONCATENATE("          ", "4243", " - ", "SALES RETURN TAXABLE-CARDS")</f>
        <v xml:space="preserve">          4243 - SALES RETURN TAXABLE-CARDS</v>
      </c>
      <c r="C48" s="11"/>
      <c r="D48" s="2">
        <f>-369.81</f>
        <v>-369.81</v>
      </c>
      <c r="E48" s="2"/>
      <c r="F48" s="19"/>
      <c r="G48" s="2"/>
      <c r="H48" s="2">
        <f>-1609.18</f>
        <v>-1609.18</v>
      </c>
      <c r="I48" s="2"/>
      <c r="J48" s="19"/>
      <c r="K48" s="2"/>
      <c r="L48" s="2">
        <f t="shared" si="0"/>
        <v>1239.3700000000001</v>
      </c>
      <c r="M48" s="2"/>
      <c r="N48" s="19">
        <f t="shared" si="1"/>
        <v>-0.77018730036416072</v>
      </c>
      <c r="O48" s="11"/>
      <c r="P48" s="2">
        <f>-5369.6</f>
        <v>-5369.6</v>
      </c>
      <c r="Q48" s="2"/>
      <c r="R48" s="19"/>
      <c r="S48" s="2"/>
      <c r="T48" s="2">
        <f>-2833.39</f>
        <v>-2833.39</v>
      </c>
      <c r="U48" s="2"/>
      <c r="V48" s="19"/>
      <c r="W48" s="2"/>
      <c r="X48" s="2">
        <f t="shared" si="2"/>
        <v>-2536.2100000000005</v>
      </c>
      <c r="Y48" s="2"/>
      <c r="Z48" s="19">
        <f t="shared" si="3"/>
        <v>0.89511503887569333</v>
      </c>
    </row>
    <row r="49" spans="1:26" s="24" customFormat="1" hidden="1" outlineLevel="1" x14ac:dyDescent="0.25">
      <c r="A49" s="44"/>
      <c r="B49" s="11" t="str">
        <f>CONCATENATE("          ", "4244", " - ", "SALES RETURN TAXABLE-ACCESSORI")</f>
        <v xml:space="preserve">          4244 - SALES RETURN TAXABLE-ACCESSORI</v>
      </c>
      <c r="C49" s="11"/>
      <c r="D49" s="2">
        <f>-9.99</f>
        <v>-9.99</v>
      </c>
      <c r="E49" s="2"/>
      <c r="F49" s="19"/>
      <c r="G49" s="2"/>
      <c r="H49" s="2">
        <f>-328.75</f>
        <v>-328.75</v>
      </c>
      <c r="I49" s="2"/>
      <c r="J49" s="19"/>
      <c r="K49" s="2"/>
      <c r="L49" s="2">
        <f t="shared" si="0"/>
        <v>318.76</v>
      </c>
      <c r="M49" s="2"/>
      <c r="N49" s="19">
        <f t="shared" si="1"/>
        <v>-0.96961216730038025</v>
      </c>
      <c r="O49" s="11"/>
      <c r="P49" s="2">
        <f>-994.84</f>
        <v>-994.84</v>
      </c>
      <c r="Q49" s="2"/>
      <c r="R49" s="19"/>
      <c r="S49" s="2"/>
      <c r="T49" s="2">
        <f>-2430.8</f>
        <v>-2430.8000000000002</v>
      </c>
      <c r="U49" s="2"/>
      <c r="V49" s="19"/>
      <c r="W49" s="2"/>
      <c r="X49" s="2">
        <f t="shared" si="2"/>
        <v>1435.96</v>
      </c>
      <c r="Y49" s="2"/>
      <c r="Z49" s="19">
        <f t="shared" si="3"/>
        <v>-0.59073556030936314</v>
      </c>
    </row>
    <row r="50" spans="1:26" s="24" customFormat="1" hidden="1" outlineLevel="1" x14ac:dyDescent="0.25">
      <c r="A50" s="44"/>
      <c r="B50" s="11" t="str">
        <f>CONCATENATE("          ", "4245", " - ", "SALES RETURN TAXABLE-SPECIAL O")</f>
        <v xml:space="preserve">          4245 - SALES RETURN TAXABLE-SPECIAL O</v>
      </c>
      <c r="C50" s="11"/>
      <c r="D50" s="2">
        <f>-7.98</f>
        <v>-7.98</v>
      </c>
      <c r="E50" s="2"/>
      <c r="F50" s="19"/>
      <c r="G50" s="2"/>
      <c r="H50" s="2">
        <f t="shared" ref="H50:H52" si="15">0</f>
        <v>0</v>
      </c>
      <c r="I50" s="2"/>
      <c r="J50" s="19"/>
      <c r="K50" s="2"/>
      <c r="L50" s="2">
        <f t="shared" si="0"/>
        <v>-7.98</v>
      </c>
      <c r="M50" s="2"/>
      <c r="N50" s="19">
        <f t="shared" si="1"/>
        <v>0</v>
      </c>
      <c r="O50" s="11"/>
      <c r="P50" s="2">
        <f>-11353.59</f>
        <v>-11353.59</v>
      </c>
      <c r="Q50" s="2"/>
      <c r="R50" s="19"/>
      <c r="S50" s="2"/>
      <c r="T50" s="2">
        <f>-1715.05</f>
        <v>-1715.05</v>
      </c>
      <c r="U50" s="2"/>
      <c r="V50" s="19"/>
      <c r="W50" s="2"/>
      <c r="X50" s="2">
        <f t="shared" si="2"/>
        <v>-9638.5400000000009</v>
      </c>
      <c r="Y50" s="2"/>
      <c r="Z50" s="19">
        <f t="shared" si="3"/>
        <v>5.6199760939914292</v>
      </c>
    </row>
    <row r="51" spans="1:26" s="24" customFormat="1" hidden="1" outlineLevel="1" x14ac:dyDescent="0.25">
      <c r="A51" s="44"/>
      <c r="B51" s="11" t="str">
        <f>CONCATENATE("          ", "4295", " - ", "SALES RETURN TAXABLE-CUSTOMER")</f>
        <v xml:space="preserve">          4295 - SALES RETURN TAXABLE-CUSTOMER</v>
      </c>
      <c r="C51" s="11"/>
      <c r="D51" s="2">
        <f>0</f>
        <v>0</v>
      </c>
      <c r="E51" s="2"/>
      <c r="F51" s="19"/>
      <c r="G51" s="2"/>
      <c r="H51" s="2">
        <f t="shared" si="15"/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0</f>
        <v>0</v>
      </c>
      <c r="Q51" s="2"/>
      <c r="R51" s="19"/>
      <c r="S51" s="2"/>
      <c r="T51" s="2">
        <f>--0.99</f>
        <v>0.99</v>
      </c>
      <c r="U51" s="2"/>
      <c r="V51" s="19"/>
      <c r="W51" s="2"/>
      <c r="X51" s="2">
        <f t="shared" si="2"/>
        <v>-0.99</v>
      </c>
      <c r="Y51" s="2"/>
      <c r="Z51" s="19">
        <f t="shared" si="3"/>
        <v>-1</v>
      </c>
    </row>
    <row r="52" spans="1:26" s="24" customFormat="1" hidden="1" outlineLevel="1" x14ac:dyDescent="0.25">
      <c r="A52" s="44"/>
      <c r="B52" s="11" t="str">
        <f>CONCATENATE("          ", "4340", " - ", "SALES RETURN NON TAXABLE-LOGO")</f>
        <v xml:space="preserve">          4340 - SALES RETURN NON TAXABLE-LOGO</v>
      </c>
      <c r="C52" s="11"/>
      <c r="D52" s="2">
        <f>-76.9</f>
        <v>-76.900000000000006</v>
      </c>
      <c r="E52" s="2"/>
      <c r="F52" s="19"/>
      <c r="G52" s="2"/>
      <c r="H52" s="2">
        <f t="shared" si="15"/>
        <v>0</v>
      </c>
      <c r="I52" s="2"/>
      <c r="J52" s="19"/>
      <c r="K52" s="2"/>
      <c r="L52" s="2">
        <f t="shared" si="0"/>
        <v>-76.900000000000006</v>
      </c>
      <c r="M52" s="2"/>
      <c r="N52" s="19">
        <f t="shared" si="1"/>
        <v>0</v>
      </c>
      <c r="O52" s="11"/>
      <c r="P52" s="2">
        <f>-2292.84</f>
        <v>-2292.84</v>
      </c>
      <c r="Q52" s="2"/>
      <c r="R52" s="19"/>
      <c r="S52" s="2"/>
      <c r="T52" s="2">
        <f>-931.65</f>
        <v>-931.65</v>
      </c>
      <c r="U52" s="2"/>
      <c r="V52" s="19"/>
      <c r="W52" s="2"/>
      <c r="X52" s="2">
        <f t="shared" si="2"/>
        <v>-1361.19</v>
      </c>
      <c r="Y52" s="2"/>
      <c r="Z52" s="19">
        <f t="shared" si="3"/>
        <v>1.4610529705361457</v>
      </c>
    </row>
    <row r="53" spans="1:26" s="24" customFormat="1" hidden="1" outlineLevel="1" x14ac:dyDescent="0.25">
      <c r="A53" s="44"/>
      <c r="B53" s="11" t="str">
        <f>CONCATENATE("          ", "4341", " - ", "SALES RETURN NON TAXABLE-LOGO")</f>
        <v xml:space="preserve">          4341 - SALES RETURN NON TAXABLE-LOGO</v>
      </c>
      <c r="C53" s="11"/>
      <c r="D53" s="2">
        <f t="shared" ref="D53:D54" si="16">0</f>
        <v>0</v>
      </c>
      <c r="E53" s="2"/>
      <c r="F53" s="19"/>
      <c r="G53" s="2"/>
      <c r="H53" s="2">
        <f>-214.7</f>
        <v>-214.7</v>
      </c>
      <c r="I53" s="2"/>
      <c r="J53" s="19"/>
      <c r="K53" s="2"/>
      <c r="L53" s="2">
        <f t="shared" si="0"/>
        <v>214.7</v>
      </c>
      <c r="M53" s="2"/>
      <c r="N53" s="19">
        <f t="shared" si="1"/>
        <v>-1</v>
      </c>
      <c r="O53" s="11"/>
      <c r="P53" s="2">
        <f>-351.44</f>
        <v>-351.44</v>
      </c>
      <c r="Q53" s="2"/>
      <c r="R53" s="19"/>
      <c r="S53" s="2"/>
      <c r="T53" s="2">
        <f>-245.5</f>
        <v>-245.5</v>
      </c>
      <c r="U53" s="2"/>
      <c r="V53" s="19"/>
      <c r="W53" s="2"/>
      <c r="X53" s="2">
        <f t="shared" si="2"/>
        <v>-105.94</v>
      </c>
      <c r="Y53" s="2"/>
      <c r="Z53" s="19">
        <f t="shared" si="3"/>
        <v>0.4315274949083503</v>
      </c>
    </row>
    <row r="54" spans="1:26" s="24" customFormat="1" hidden="1" outlineLevel="1" x14ac:dyDescent="0.25">
      <c r="A54" s="44"/>
      <c r="B54" s="11" t="str">
        <f>CONCATENATE("          ", "4342", " - ", "SALES RETURN NON TAXABLE-EVERY")</f>
        <v xml:space="preserve">          4342 - SALES RETURN NON TAXABLE-EVERY</v>
      </c>
      <c r="C54" s="11"/>
      <c r="D54" s="2">
        <f t="shared" si="16"/>
        <v>0</v>
      </c>
      <c r="E54" s="2"/>
      <c r="F54" s="19"/>
      <c r="G54" s="2"/>
      <c r="H54" s="2">
        <f>0</f>
        <v>0</v>
      </c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-118.7</f>
        <v>-118.7</v>
      </c>
      <c r="Q54" s="2"/>
      <c r="R54" s="19"/>
      <c r="S54" s="2"/>
      <c r="T54" s="2">
        <f>-109.8</f>
        <v>-109.8</v>
      </c>
      <c r="U54" s="2"/>
      <c r="V54" s="19"/>
      <c r="W54" s="2"/>
      <c r="X54" s="2">
        <f t="shared" si="2"/>
        <v>-8.9000000000000057</v>
      </c>
      <c r="Y54" s="2"/>
      <c r="Z54" s="19">
        <f t="shared" si="3"/>
        <v>8.1056466302367999E-2</v>
      </c>
    </row>
    <row r="55" spans="1:26" x14ac:dyDescent="0.25">
      <c r="A55" s="9"/>
      <c r="B55" s="10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collapsed="1" x14ac:dyDescent="0.25">
      <c r="A56" s="10"/>
      <c r="B56" s="28" t="s">
        <v>8</v>
      </c>
      <c r="C56" s="10"/>
      <c r="D56" s="4">
        <f>SUM(OSRRefD16x_0)</f>
        <v>62365.999999999993</v>
      </c>
      <c r="E56" s="4"/>
      <c r="F56" s="12">
        <f t="shared" ref="F56:F84" si="17">IF(D$12=0,0,D56/D$12)</f>
        <v>0.51835507746693044</v>
      </c>
      <c r="G56" s="4"/>
      <c r="H56" s="4">
        <f>SUM(OSRRefH16x_0)</f>
        <v>150424.62</v>
      </c>
      <c r="I56" s="4"/>
      <c r="J56" s="12">
        <f t="shared" ref="J56:J84" si="18">IF(H$12=0,0,H56/H$12)</f>
        <v>0.48961953512179901</v>
      </c>
      <c r="K56" s="4"/>
      <c r="L56" s="4">
        <f t="shared" ref="L56:L84" si="19">+D56-H56</f>
        <v>-88058.62</v>
      </c>
      <c r="M56" s="4"/>
      <c r="N56" s="12">
        <f t="shared" ref="N56:N84" si="20">IF(H56=0,0,L56/H56)</f>
        <v>-0.58540031545368032</v>
      </c>
      <c r="O56" s="10"/>
      <c r="P56" s="4">
        <f>SUM(OSRRefP16x_0)</f>
        <v>745276.54000000015</v>
      </c>
      <c r="Q56" s="4"/>
      <c r="R56" s="12">
        <f t="shared" ref="R56:R84" si="21">IF(P$12=0,0,P56/P$12)</f>
        <v>0.56842387655565096</v>
      </c>
      <c r="S56" s="4"/>
      <c r="T56" s="4">
        <f>SUM(OSRRefT16x_0)</f>
        <v>1071150.5599999996</v>
      </c>
      <c r="U56" s="4"/>
      <c r="V56" s="12">
        <f t="shared" ref="V56:V84" si="22">IF(T$12=0,0,T56/T$12)</f>
        <v>0.46002022232637052</v>
      </c>
      <c r="W56" s="4"/>
      <c r="X56" s="4">
        <f t="shared" ref="X56:X84" si="23">+P56-T56</f>
        <v>-325874.01999999944</v>
      </c>
      <c r="Y56" s="4"/>
      <c r="Z56" s="12">
        <f t="shared" ref="Z56:Z84" si="24">IF(T56=0,0,X56/T56)</f>
        <v>-0.3042280256101435</v>
      </c>
    </row>
    <row r="57" spans="1:26" s="24" customFormat="1" hidden="1" outlineLevel="1" x14ac:dyDescent="0.25">
      <c r="A57" s="44"/>
      <c r="B57" s="11" t="str">
        <f>CONCATENATE("          ", "5025", " - ", "PURCHASES @ COST-TEST FORMS")</f>
        <v xml:space="preserve">          5025 - PURCHASES @ COST-TEST FORMS</v>
      </c>
      <c r="C57" s="11"/>
      <c r="D57" s="2"/>
      <c r="E57" s="2"/>
      <c r="F57" s="19">
        <f t="shared" si="17"/>
        <v>0</v>
      </c>
      <c r="G57" s="2"/>
      <c r="H57" s="2"/>
      <c r="I57" s="2"/>
      <c r="J57" s="19">
        <f t="shared" si="18"/>
        <v>0</v>
      </c>
      <c r="K57" s="2"/>
      <c r="L57" s="2">
        <f t="shared" si="19"/>
        <v>0</v>
      </c>
      <c r="M57" s="2"/>
      <c r="N57" s="19">
        <f t="shared" si="20"/>
        <v>0</v>
      </c>
      <c r="O57" s="11"/>
      <c r="P57" s="2">
        <v>599.29</v>
      </c>
      <c r="Q57" s="2"/>
      <c r="R57" s="19">
        <f t="shared" si="21"/>
        <v>4.5707965660778208E-4</v>
      </c>
      <c r="S57" s="2"/>
      <c r="T57" s="2">
        <v>6.06</v>
      </c>
      <c r="U57" s="2"/>
      <c r="V57" s="19">
        <f t="shared" si="22"/>
        <v>2.6025496801288196E-6</v>
      </c>
      <c r="W57" s="2"/>
      <c r="X57" s="2">
        <f t="shared" si="23"/>
        <v>593.23</v>
      </c>
      <c r="Y57" s="2"/>
      <c r="Z57" s="19">
        <f t="shared" si="24"/>
        <v>97.892739273927404</v>
      </c>
    </row>
    <row r="58" spans="1:26" s="24" customFormat="1" hidden="1" outlineLevel="1" x14ac:dyDescent="0.25">
      <c r="A58" s="44"/>
      <c r="B58" s="11" t="str">
        <f>CONCATENATE("          ", "5026", " - ", "PURCHASES @ COST-WRITING INSTR")</f>
        <v xml:space="preserve">          5026 - PURCHASES @ COST-WRITING INSTR</v>
      </c>
      <c r="C58" s="11"/>
      <c r="D58" s="2"/>
      <c r="E58" s="2"/>
      <c r="F58" s="19">
        <f t="shared" si="17"/>
        <v>0</v>
      </c>
      <c r="G58" s="2"/>
      <c r="H58" s="2">
        <v>-77.069999999999993</v>
      </c>
      <c r="I58" s="2"/>
      <c r="J58" s="19">
        <f t="shared" si="18"/>
        <v>-2.5085639286864775E-4</v>
      </c>
      <c r="K58" s="2"/>
      <c r="L58" s="2">
        <f t="shared" si="19"/>
        <v>77.069999999999993</v>
      </c>
      <c r="M58" s="2"/>
      <c r="N58" s="19">
        <f t="shared" si="20"/>
        <v>-1</v>
      </c>
      <c r="O58" s="11"/>
      <c r="P58" s="2">
        <v>10</v>
      </c>
      <c r="Q58" s="2"/>
      <c r="R58" s="19">
        <f t="shared" si="21"/>
        <v>7.6270195833032772E-6</v>
      </c>
      <c r="S58" s="2"/>
      <c r="T58" s="2">
        <v>1198.07</v>
      </c>
      <c r="U58" s="2"/>
      <c r="V58" s="19">
        <f t="shared" si="22"/>
        <v>5.1452750747061639E-4</v>
      </c>
      <c r="W58" s="2"/>
      <c r="X58" s="2">
        <f t="shared" si="23"/>
        <v>-1188.07</v>
      </c>
      <c r="Y58" s="2"/>
      <c r="Z58" s="19">
        <f t="shared" si="24"/>
        <v>-0.99165324229802931</v>
      </c>
    </row>
    <row r="59" spans="1:26" s="24" customFormat="1" hidden="1" outlineLevel="1" x14ac:dyDescent="0.25">
      <c r="A59" s="44"/>
      <c r="B59" s="11" t="str">
        <f>CONCATENATE("          ", "5027", " - ", "PURCHASES @ COST-SCHOOL SUPPLI")</f>
        <v xml:space="preserve">          5027 - PURCHASES @ COST-SCHOOL SUPPLI</v>
      </c>
      <c r="C59" s="11"/>
      <c r="D59" s="2"/>
      <c r="E59" s="2"/>
      <c r="F59" s="19">
        <f t="shared" si="17"/>
        <v>0</v>
      </c>
      <c r="G59" s="2"/>
      <c r="H59" s="2">
        <v>18.899999999999999</v>
      </c>
      <c r="I59" s="2"/>
      <c r="J59" s="19">
        <f t="shared" si="18"/>
        <v>6.1517916507297817E-5</v>
      </c>
      <c r="K59" s="2"/>
      <c r="L59" s="2">
        <f t="shared" si="19"/>
        <v>-18.899999999999999</v>
      </c>
      <c r="M59" s="2"/>
      <c r="N59" s="19">
        <f t="shared" si="20"/>
        <v>-1</v>
      </c>
      <c r="O59" s="11"/>
      <c r="P59" s="2">
        <v>18175.88</v>
      </c>
      <c r="Q59" s="2"/>
      <c r="R59" s="19">
        <f t="shared" si="21"/>
        <v>1.3862779270377037E-2</v>
      </c>
      <c r="S59" s="2"/>
      <c r="T59" s="2">
        <v>325.45</v>
      </c>
      <c r="U59" s="2"/>
      <c r="V59" s="19">
        <f t="shared" si="22"/>
        <v>1.3976894280493804E-4</v>
      </c>
      <c r="W59" s="2"/>
      <c r="X59" s="2">
        <f t="shared" si="23"/>
        <v>17850.43</v>
      </c>
      <c r="Y59" s="2"/>
      <c r="Z59" s="19">
        <f t="shared" si="24"/>
        <v>54.848455984022124</v>
      </c>
    </row>
    <row r="60" spans="1:26" s="24" customFormat="1" hidden="1" outlineLevel="1" x14ac:dyDescent="0.25">
      <c r="A60" s="44"/>
      <c r="B60" s="11" t="str">
        <f>CONCATENATE("          ", "5028", " - ", "PURCHASES @ COST-ART/TECH")</f>
        <v xml:space="preserve">          5028 - PURCHASES @ COST-ART/TECH</v>
      </c>
      <c r="C60" s="11"/>
      <c r="D60" s="2">
        <v>833.13</v>
      </c>
      <c r="E60" s="2"/>
      <c r="F60" s="19">
        <f t="shared" si="17"/>
        <v>6.9245609096306284E-3</v>
      </c>
      <c r="G60" s="2"/>
      <c r="H60" s="2"/>
      <c r="I60" s="2"/>
      <c r="J60" s="19">
        <f t="shared" si="18"/>
        <v>0</v>
      </c>
      <c r="K60" s="2"/>
      <c r="L60" s="2">
        <f t="shared" si="19"/>
        <v>833.13</v>
      </c>
      <c r="M60" s="2"/>
      <c r="N60" s="19">
        <f t="shared" si="20"/>
        <v>0</v>
      </c>
      <c r="O60" s="11"/>
      <c r="P60" s="2">
        <v>749.73</v>
      </c>
      <c r="Q60" s="2"/>
      <c r="R60" s="19">
        <f t="shared" si="21"/>
        <v>5.7182053921899661E-4</v>
      </c>
      <c r="S60" s="2"/>
      <c r="T60" s="2"/>
      <c r="U60" s="2"/>
      <c r="V60" s="19">
        <f t="shared" si="22"/>
        <v>0</v>
      </c>
      <c r="W60" s="2"/>
      <c r="X60" s="2">
        <f t="shared" si="23"/>
        <v>749.73</v>
      </c>
      <c r="Y60" s="2"/>
      <c r="Z60" s="19">
        <f t="shared" si="24"/>
        <v>0</v>
      </c>
    </row>
    <row r="61" spans="1:26" s="24" customFormat="1" hidden="1" outlineLevel="1" x14ac:dyDescent="0.25">
      <c r="A61" s="44"/>
      <c r="B61" s="11" t="str">
        <f>CONCATENATE("          ", "5031", " - ", "PURCHASES @ COST-FOOD")</f>
        <v xml:space="preserve">          5031 - PURCHASES @ COST-FOOD</v>
      </c>
      <c r="C61" s="11"/>
      <c r="D61" s="2">
        <v>271.45999999999998</v>
      </c>
      <c r="E61" s="2"/>
      <c r="F61" s="19">
        <f t="shared" si="17"/>
        <v>2.2562400880154721E-3</v>
      </c>
      <c r="G61" s="2"/>
      <c r="H61" s="2"/>
      <c r="I61" s="2"/>
      <c r="J61" s="19">
        <f t="shared" si="18"/>
        <v>0</v>
      </c>
      <c r="K61" s="2"/>
      <c r="L61" s="2">
        <f t="shared" si="19"/>
        <v>271.45999999999998</v>
      </c>
      <c r="M61" s="2"/>
      <c r="N61" s="19">
        <f t="shared" si="20"/>
        <v>0</v>
      </c>
      <c r="O61" s="11"/>
      <c r="P61" s="2">
        <v>5344.15</v>
      </c>
      <c r="Q61" s="2"/>
      <c r="R61" s="19">
        <f t="shared" si="21"/>
        <v>4.0759936706110207E-3</v>
      </c>
      <c r="S61" s="2"/>
      <c r="T61" s="2"/>
      <c r="U61" s="2"/>
      <c r="V61" s="19">
        <f t="shared" si="22"/>
        <v>0</v>
      </c>
      <c r="W61" s="2"/>
      <c r="X61" s="2">
        <f t="shared" si="23"/>
        <v>5344.15</v>
      </c>
      <c r="Y61" s="2"/>
      <c r="Z61" s="19">
        <f t="shared" si="24"/>
        <v>0</v>
      </c>
    </row>
    <row r="62" spans="1:26" s="24" customFormat="1" hidden="1" outlineLevel="1" x14ac:dyDescent="0.25">
      <c r="A62" s="44"/>
      <c r="B62" s="11" t="str">
        <f>CONCATENATE("          ", "5037", " - ", "PURCHASES @ COST-WATER")</f>
        <v xml:space="preserve">          5037 - PURCHASES @ COST-WATER</v>
      </c>
      <c r="C62" s="11"/>
      <c r="D62" s="2"/>
      <c r="E62" s="2"/>
      <c r="F62" s="19">
        <f t="shared" si="17"/>
        <v>0</v>
      </c>
      <c r="G62" s="2"/>
      <c r="H62" s="2"/>
      <c r="I62" s="2"/>
      <c r="J62" s="19">
        <f t="shared" si="18"/>
        <v>0</v>
      </c>
      <c r="K62" s="2"/>
      <c r="L62" s="2">
        <f t="shared" si="19"/>
        <v>0</v>
      </c>
      <c r="M62" s="2"/>
      <c r="N62" s="19">
        <f t="shared" si="20"/>
        <v>0</v>
      </c>
      <c r="O62" s="11"/>
      <c r="P62" s="2"/>
      <c r="Q62" s="2"/>
      <c r="R62" s="19">
        <f t="shared" si="21"/>
        <v>0</v>
      </c>
      <c r="S62" s="2"/>
      <c r="T62" s="2">
        <v>29.76</v>
      </c>
      <c r="U62" s="2"/>
      <c r="V62" s="19">
        <f t="shared" si="22"/>
        <v>1.2780838033107869E-5</v>
      </c>
      <c r="W62" s="2"/>
      <c r="X62" s="2">
        <f t="shared" si="23"/>
        <v>-29.76</v>
      </c>
      <c r="Y62" s="2"/>
      <c r="Z62" s="19">
        <f t="shared" si="24"/>
        <v>-1</v>
      </c>
    </row>
    <row r="63" spans="1:26" s="24" customFormat="1" hidden="1" outlineLevel="1" x14ac:dyDescent="0.25">
      <c r="A63" s="44"/>
      <c r="B63" s="11" t="str">
        <f>CONCATENATE("          ", "5040", " - ", "PURCHASES @ COST-LOGO CLOTHING")</f>
        <v xml:space="preserve">          5040 - PURCHASES @ COST-LOGO CLOTHING</v>
      </c>
      <c r="C63" s="11"/>
      <c r="D63" s="2">
        <v>26599.9</v>
      </c>
      <c r="E63" s="2"/>
      <c r="F63" s="19">
        <f t="shared" si="17"/>
        <v>0.2210850980520252</v>
      </c>
      <c r="G63" s="2"/>
      <c r="H63" s="2">
        <v>90806.55</v>
      </c>
      <c r="I63" s="2"/>
      <c r="J63" s="19">
        <f t="shared" si="18"/>
        <v>0.29556771223363837</v>
      </c>
      <c r="K63" s="2"/>
      <c r="L63" s="2">
        <f t="shared" si="19"/>
        <v>-64206.65</v>
      </c>
      <c r="M63" s="2"/>
      <c r="N63" s="19">
        <f t="shared" si="20"/>
        <v>-0.70707069038521997</v>
      </c>
      <c r="O63" s="11"/>
      <c r="P63" s="2">
        <v>193971.09</v>
      </c>
      <c r="Q63" s="2"/>
      <c r="R63" s="19">
        <f t="shared" si="21"/>
        <v>0.14794213020246824</v>
      </c>
      <c r="S63" s="2"/>
      <c r="T63" s="2">
        <v>901545.55999999994</v>
      </c>
      <c r="U63" s="2"/>
      <c r="V63" s="19">
        <f t="shared" si="22"/>
        <v>0.38718104105603263</v>
      </c>
      <c r="W63" s="2"/>
      <c r="X63" s="2">
        <f t="shared" si="23"/>
        <v>-707574.47</v>
      </c>
      <c r="Y63" s="2"/>
      <c r="Z63" s="19">
        <f t="shared" si="24"/>
        <v>-0.7848460481575662</v>
      </c>
    </row>
    <row r="64" spans="1:26" s="24" customFormat="1" hidden="1" outlineLevel="1" x14ac:dyDescent="0.25">
      <c r="A64" s="44"/>
      <c r="B64" s="11" t="str">
        <f>CONCATENATE("          ", "5041", " - ", "PURCHASES @ COST-LOGO GIFTS")</f>
        <v xml:space="preserve">          5041 - PURCHASES @ COST-LOGO GIFTS</v>
      </c>
      <c r="C64" s="11"/>
      <c r="D64" s="2">
        <v>26592.809999999998</v>
      </c>
      <c r="E64" s="2"/>
      <c r="F64" s="19">
        <f t="shared" si="17"/>
        <v>0.22102616950924159</v>
      </c>
      <c r="G64" s="2"/>
      <c r="H64" s="2">
        <v>10366.19</v>
      </c>
      <c r="I64" s="2"/>
      <c r="J64" s="19">
        <f t="shared" si="18"/>
        <v>3.3741079942792886E-2</v>
      </c>
      <c r="K64" s="2"/>
      <c r="L64" s="2">
        <f t="shared" si="19"/>
        <v>16226.619999999997</v>
      </c>
      <c r="M64" s="2"/>
      <c r="N64" s="19">
        <f t="shared" si="20"/>
        <v>1.5653407857660333</v>
      </c>
      <c r="O64" s="11"/>
      <c r="P64" s="2">
        <v>67563.81</v>
      </c>
      <c r="Q64" s="2"/>
      <c r="R64" s="19">
        <f t="shared" si="21"/>
        <v>5.1531050199258174E-2</v>
      </c>
      <c r="S64" s="2"/>
      <c r="T64" s="2">
        <v>134382.06</v>
      </c>
      <c r="U64" s="2"/>
      <c r="V64" s="19">
        <f t="shared" si="22"/>
        <v>5.7712209120140572E-2</v>
      </c>
      <c r="W64" s="2"/>
      <c r="X64" s="2">
        <f t="shared" si="23"/>
        <v>-66818.25</v>
      </c>
      <c r="Y64" s="2"/>
      <c r="Z64" s="19">
        <f t="shared" si="24"/>
        <v>-0.49722596900211236</v>
      </c>
    </row>
    <row r="65" spans="1:26" s="24" customFormat="1" hidden="1" outlineLevel="1" x14ac:dyDescent="0.25">
      <c r="A65" s="44"/>
      <c r="B65" s="11" t="str">
        <f>CONCATENATE("          ", "5042", " - ", "PURCHASES @ COST-EVERYDAY GIFT")</f>
        <v xml:space="preserve">          5042 - PURCHASES @ COST-EVERYDAY GIFT</v>
      </c>
      <c r="C65" s="11"/>
      <c r="D65" s="2">
        <v>1196.2</v>
      </c>
      <c r="E65" s="2"/>
      <c r="F65" s="19">
        <f t="shared" si="17"/>
        <v>9.9422176132178148E-3</v>
      </c>
      <c r="G65" s="2"/>
      <c r="H65" s="2">
        <v>8647</v>
      </c>
      <c r="I65" s="2"/>
      <c r="J65" s="19">
        <f t="shared" si="18"/>
        <v>2.8145260531143083E-2</v>
      </c>
      <c r="K65" s="2"/>
      <c r="L65" s="2">
        <f t="shared" si="19"/>
        <v>-7450.8</v>
      </c>
      <c r="M65" s="2"/>
      <c r="N65" s="19">
        <f t="shared" si="20"/>
        <v>-0.86166300451023481</v>
      </c>
      <c r="O65" s="11"/>
      <c r="P65" s="2">
        <v>19018.18</v>
      </c>
      <c r="Q65" s="2"/>
      <c r="R65" s="19">
        <f t="shared" si="21"/>
        <v>1.4505203129878672E-2</v>
      </c>
      <c r="S65" s="2"/>
      <c r="T65" s="2">
        <v>100007.97</v>
      </c>
      <c r="U65" s="2"/>
      <c r="V65" s="19">
        <f t="shared" si="22"/>
        <v>4.2949787183800762E-2</v>
      </c>
      <c r="W65" s="2"/>
      <c r="X65" s="2">
        <f t="shared" si="23"/>
        <v>-80989.790000000008</v>
      </c>
      <c r="Y65" s="2"/>
      <c r="Z65" s="19">
        <f t="shared" si="24"/>
        <v>-0.80983335628150444</v>
      </c>
    </row>
    <row r="66" spans="1:26" s="24" customFormat="1" hidden="1" outlineLevel="1" x14ac:dyDescent="0.25">
      <c r="A66" s="44"/>
      <c r="B66" s="11" t="str">
        <f>CONCATENATE("          ", "5043", " - ", "PURCHASES @ COST-CARDS")</f>
        <v xml:space="preserve">          5043 - PURCHASES @ COST-CARDS</v>
      </c>
      <c r="C66" s="11"/>
      <c r="D66" s="2"/>
      <c r="E66" s="2"/>
      <c r="F66" s="19">
        <f t="shared" si="17"/>
        <v>0</v>
      </c>
      <c r="G66" s="2"/>
      <c r="H66" s="2">
        <v>18340.75</v>
      </c>
      <c r="I66" s="2"/>
      <c r="J66" s="19">
        <f t="shared" si="18"/>
        <v>5.9697604612763092E-2</v>
      </c>
      <c r="K66" s="2"/>
      <c r="L66" s="2">
        <f t="shared" si="19"/>
        <v>-18340.75</v>
      </c>
      <c r="M66" s="2"/>
      <c r="N66" s="19">
        <f t="shared" si="20"/>
        <v>-1</v>
      </c>
      <c r="O66" s="11"/>
      <c r="P66" s="2">
        <v>55364.33</v>
      </c>
      <c r="Q66" s="2"/>
      <c r="R66" s="19">
        <f t="shared" si="21"/>
        <v>4.2226482912646517E-2</v>
      </c>
      <c r="S66" s="2"/>
      <c r="T66" s="2">
        <v>29035.16</v>
      </c>
      <c r="U66" s="2"/>
      <c r="V66" s="19">
        <f t="shared" si="22"/>
        <v>1.2469545605691272E-2</v>
      </c>
      <c r="W66" s="2"/>
      <c r="X66" s="2">
        <f t="shared" si="23"/>
        <v>26329.170000000002</v>
      </c>
      <c r="Y66" s="2"/>
      <c r="Z66" s="19">
        <f t="shared" si="24"/>
        <v>0.90680299333635506</v>
      </c>
    </row>
    <row r="67" spans="1:26" s="24" customFormat="1" hidden="1" outlineLevel="1" x14ac:dyDescent="0.25">
      <c r="A67" s="44"/>
      <c r="B67" s="11" t="str">
        <f>CONCATENATE("          ", "5044", " - ", "PURCHASES @ COST-ACCESSORIES")</f>
        <v xml:space="preserve">          5044 - PURCHASES @ COST-ACCESSORIES</v>
      </c>
      <c r="C67" s="11"/>
      <c r="D67" s="2"/>
      <c r="E67" s="2"/>
      <c r="F67" s="19">
        <f t="shared" si="17"/>
        <v>0</v>
      </c>
      <c r="G67" s="2"/>
      <c r="H67" s="2">
        <v>12532.23</v>
      </c>
      <c r="I67" s="2"/>
      <c r="J67" s="19">
        <f t="shared" si="18"/>
        <v>4.0791358666150947E-2</v>
      </c>
      <c r="K67" s="2"/>
      <c r="L67" s="2">
        <f t="shared" si="19"/>
        <v>-12532.23</v>
      </c>
      <c r="M67" s="2"/>
      <c r="N67" s="19">
        <f t="shared" si="20"/>
        <v>-1</v>
      </c>
      <c r="O67" s="11"/>
      <c r="P67" s="2">
        <v>1064.83</v>
      </c>
      <c r="Q67" s="2"/>
      <c r="R67" s="19">
        <f t="shared" si="21"/>
        <v>8.1214792628888277E-4</v>
      </c>
      <c r="S67" s="2"/>
      <c r="T67" s="2">
        <v>33399.440000000002</v>
      </c>
      <c r="U67" s="2"/>
      <c r="V67" s="19">
        <f t="shared" si="22"/>
        <v>1.4343845196119096E-2</v>
      </c>
      <c r="W67" s="2"/>
      <c r="X67" s="2">
        <f t="shared" si="23"/>
        <v>-32334.61</v>
      </c>
      <c r="Y67" s="2"/>
      <c r="Z67" s="19">
        <f t="shared" si="24"/>
        <v>-0.968118327732441</v>
      </c>
    </row>
    <row r="68" spans="1:26" s="24" customFormat="1" hidden="1" outlineLevel="1" x14ac:dyDescent="0.25">
      <c r="A68" s="44"/>
      <c r="B68" s="11" t="str">
        <f>CONCATENATE("          ", "5045", " - ", "PURCHASES @ COST-SPECIAL ORDER")</f>
        <v xml:space="preserve">          5045 - PURCHASES @ COST-SPECIAL ORDER</v>
      </c>
      <c r="C68" s="11"/>
      <c r="D68" s="2">
        <v>1909.13</v>
      </c>
      <c r="E68" s="2"/>
      <c r="F68" s="19">
        <f t="shared" si="17"/>
        <v>1.5867736090889924E-2</v>
      </c>
      <c r="G68" s="2"/>
      <c r="H68" s="2">
        <v>2948.55</v>
      </c>
      <c r="I68" s="2"/>
      <c r="J68" s="19">
        <f t="shared" si="18"/>
        <v>9.5972832125710578E-3</v>
      </c>
      <c r="K68" s="2"/>
      <c r="L68" s="2">
        <f t="shared" si="19"/>
        <v>-1039.42</v>
      </c>
      <c r="M68" s="2"/>
      <c r="N68" s="19">
        <f t="shared" si="20"/>
        <v>-0.35251903477980701</v>
      </c>
      <c r="O68" s="11"/>
      <c r="P68" s="2">
        <v>95373.51</v>
      </c>
      <c r="Q68" s="2"/>
      <c r="R68" s="19">
        <f t="shared" si="21"/>
        <v>7.2741562849837085E-2</v>
      </c>
      <c r="S68" s="2"/>
      <c r="T68" s="2">
        <v>50964.780000000006</v>
      </c>
      <c r="U68" s="2"/>
      <c r="V68" s="19">
        <f t="shared" si="22"/>
        <v>2.1887520113339224E-2</v>
      </c>
      <c r="W68" s="2"/>
      <c r="X68" s="2">
        <f t="shared" si="23"/>
        <v>44408.729999999989</v>
      </c>
      <c r="Y68" s="2"/>
      <c r="Z68" s="19">
        <f t="shared" si="24"/>
        <v>0.87136116353293358</v>
      </c>
    </row>
    <row r="69" spans="1:26" s="24" customFormat="1" hidden="1" outlineLevel="1" x14ac:dyDescent="0.25">
      <c r="A69" s="44"/>
      <c r="B69" s="11" t="str">
        <f>CONCATENATE("          ", "5083", " - ", "PURCHASES @ COST-COMPUTER EQUI")</f>
        <v xml:space="preserve">          5083 - PURCHASES @ COST-COMPUTER EQUI</v>
      </c>
      <c r="C69" s="11"/>
      <c r="D69" s="2"/>
      <c r="E69" s="2"/>
      <c r="F69" s="19">
        <f t="shared" si="17"/>
        <v>0</v>
      </c>
      <c r="G69" s="2"/>
      <c r="H69" s="2"/>
      <c r="I69" s="2"/>
      <c r="J69" s="19">
        <f t="shared" si="18"/>
        <v>0</v>
      </c>
      <c r="K69" s="2"/>
      <c r="L69" s="2">
        <f t="shared" si="19"/>
        <v>0</v>
      </c>
      <c r="M69" s="2"/>
      <c r="N69" s="19">
        <f t="shared" si="20"/>
        <v>0</v>
      </c>
      <c r="O69" s="11"/>
      <c r="P69" s="2"/>
      <c r="Q69" s="2"/>
      <c r="R69" s="19">
        <f t="shared" si="21"/>
        <v>0</v>
      </c>
      <c r="S69" s="2"/>
      <c r="T69" s="2">
        <v>90.35</v>
      </c>
      <c r="U69" s="2"/>
      <c r="V69" s="19">
        <f t="shared" si="22"/>
        <v>3.8802040197960207E-5</v>
      </c>
      <c r="W69" s="2"/>
      <c r="X69" s="2">
        <f t="shared" si="23"/>
        <v>-90.35</v>
      </c>
      <c r="Y69" s="2"/>
      <c r="Z69" s="19">
        <f t="shared" si="24"/>
        <v>-1</v>
      </c>
    </row>
    <row r="70" spans="1:26" s="24" customFormat="1" hidden="1" outlineLevel="1" x14ac:dyDescent="0.25">
      <c r="A70" s="44"/>
      <c r="B70" s="11" t="str">
        <f>CONCATENATE("          ", "5086", " - ", "PURCHASES @ COST-COMPUTER SUPP")</f>
        <v xml:space="preserve">          5086 - PURCHASES @ COST-COMPUTER SUPP</v>
      </c>
      <c r="C70" s="11"/>
      <c r="D70" s="2">
        <v>13.21</v>
      </c>
      <c r="E70" s="2"/>
      <c r="F70" s="19">
        <f t="shared" si="17"/>
        <v>1.0979492950226328E-4</v>
      </c>
      <c r="G70" s="2"/>
      <c r="H70" s="2"/>
      <c r="I70" s="2"/>
      <c r="J70" s="19">
        <f t="shared" si="18"/>
        <v>0</v>
      </c>
      <c r="K70" s="2"/>
      <c r="L70" s="2">
        <f t="shared" si="19"/>
        <v>13.21</v>
      </c>
      <c r="M70" s="2"/>
      <c r="N70" s="19">
        <f t="shared" si="20"/>
        <v>0</v>
      </c>
      <c r="O70" s="11"/>
      <c r="P70" s="2">
        <v>13.21</v>
      </c>
      <c r="Q70" s="2"/>
      <c r="R70" s="19">
        <f t="shared" si="21"/>
        <v>1.007529286954363E-5</v>
      </c>
      <c r="S70" s="2"/>
      <c r="T70" s="2"/>
      <c r="U70" s="2"/>
      <c r="V70" s="19">
        <f t="shared" si="22"/>
        <v>0</v>
      </c>
      <c r="W70" s="2"/>
      <c r="X70" s="2">
        <f t="shared" si="23"/>
        <v>13.21</v>
      </c>
      <c r="Y70" s="2"/>
      <c r="Z70" s="19">
        <f t="shared" si="24"/>
        <v>0</v>
      </c>
    </row>
    <row r="71" spans="1:26" s="24" customFormat="1" hidden="1" outlineLevel="1" x14ac:dyDescent="0.25">
      <c r="A71" s="44"/>
      <c r="B71" s="11" t="str">
        <f>CONCATENATE("          ", "5092", " - ", "PURCHASES @ COST-GRAD MERCH")</f>
        <v xml:space="preserve">          5092 - PURCHASES @ COST-GRAD MERCH</v>
      </c>
      <c r="C71" s="11"/>
      <c r="D71" s="2"/>
      <c r="E71" s="2"/>
      <c r="F71" s="19">
        <f t="shared" si="17"/>
        <v>0</v>
      </c>
      <c r="G71" s="2"/>
      <c r="H71" s="2"/>
      <c r="I71" s="2"/>
      <c r="J71" s="19">
        <f t="shared" si="18"/>
        <v>0</v>
      </c>
      <c r="K71" s="2"/>
      <c r="L71" s="2">
        <f t="shared" si="19"/>
        <v>0</v>
      </c>
      <c r="M71" s="2"/>
      <c r="N71" s="19">
        <f t="shared" si="20"/>
        <v>0</v>
      </c>
      <c r="O71" s="11"/>
      <c r="P71" s="2"/>
      <c r="Q71" s="2"/>
      <c r="R71" s="19">
        <f t="shared" si="21"/>
        <v>0</v>
      </c>
      <c r="S71" s="2"/>
      <c r="T71" s="2">
        <v>-60.35</v>
      </c>
      <c r="U71" s="2"/>
      <c r="V71" s="19">
        <f t="shared" si="22"/>
        <v>-2.5918130890391795E-5</v>
      </c>
      <c r="W71" s="2"/>
      <c r="X71" s="2">
        <f t="shared" si="23"/>
        <v>60.35</v>
      </c>
      <c r="Y71" s="2"/>
      <c r="Z71" s="19">
        <f t="shared" si="24"/>
        <v>-1</v>
      </c>
    </row>
    <row r="72" spans="1:26" s="24" customFormat="1" hidden="1" outlineLevel="1" x14ac:dyDescent="0.25">
      <c r="A72" s="44"/>
      <c r="B72" s="11" t="str">
        <f>CONCATENATE("          ", "5095", " - ", "PURCHASES @ COST-CUSTOMER SERV")</f>
        <v xml:space="preserve">          5095 - PURCHASES @ COST-CUSTOMER SERV</v>
      </c>
      <c r="C72" s="11"/>
      <c r="D72" s="2"/>
      <c r="E72" s="2"/>
      <c r="F72" s="19">
        <f t="shared" si="17"/>
        <v>0</v>
      </c>
      <c r="G72" s="2"/>
      <c r="H72" s="2"/>
      <c r="I72" s="2"/>
      <c r="J72" s="19">
        <f t="shared" si="18"/>
        <v>0</v>
      </c>
      <c r="K72" s="2"/>
      <c r="L72" s="2">
        <f t="shared" si="19"/>
        <v>0</v>
      </c>
      <c r="M72" s="2"/>
      <c r="N72" s="19">
        <f t="shared" si="20"/>
        <v>0</v>
      </c>
      <c r="O72" s="11"/>
      <c r="P72" s="2"/>
      <c r="Q72" s="2"/>
      <c r="R72" s="19">
        <f t="shared" si="21"/>
        <v>0</v>
      </c>
      <c r="S72" s="2"/>
      <c r="T72" s="2">
        <v>-11.85</v>
      </c>
      <c r="U72" s="2"/>
      <c r="V72" s="19">
        <f t="shared" si="22"/>
        <v>-5.0891441764895243E-6</v>
      </c>
      <c r="W72" s="2"/>
      <c r="X72" s="2">
        <f t="shared" si="23"/>
        <v>11.85</v>
      </c>
      <c r="Y72" s="2"/>
      <c r="Z72" s="19">
        <f t="shared" si="24"/>
        <v>-1</v>
      </c>
    </row>
    <row r="73" spans="1:26" s="24" customFormat="1" hidden="1" outlineLevel="1" x14ac:dyDescent="0.25">
      <c r="A73" s="44"/>
      <c r="B73" s="11" t="str">
        <f>CONCATENATE("          ", "5200", " - ", "PURCHASES OFFSET")</f>
        <v xml:space="preserve">          5200 - PURCHASES OFFSET</v>
      </c>
      <c r="C73" s="11"/>
      <c r="D73" s="2">
        <v>-58076.24</v>
      </c>
      <c r="E73" s="2"/>
      <c r="F73" s="19">
        <f t="shared" si="17"/>
        <v>-0.48270073251752627</v>
      </c>
      <c r="G73" s="2"/>
      <c r="H73" s="2">
        <v>-173843</v>
      </c>
      <c r="I73" s="2"/>
      <c r="J73" s="19">
        <f t="shared" si="18"/>
        <v>-0.56584439996709923</v>
      </c>
      <c r="K73" s="2"/>
      <c r="L73" s="2">
        <f t="shared" si="19"/>
        <v>115766.76000000001</v>
      </c>
      <c r="M73" s="2"/>
      <c r="N73" s="19">
        <f t="shared" si="20"/>
        <v>-0.66592707212829971</v>
      </c>
      <c r="O73" s="11"/>
      <c r="P73" s="2">
        <v>-475353.21</v>
      </c>
      <c r="Q73" s="2"/>
      <c r="R73" s="19">
        <f t="shared" si="21"/>
        <v>-0.36255282416560752</v>
      </c>
      <c r="S73" s="2"/>
      <c r="T73" s="2">
        <v>-1251326</v>
      </c>
      <c r="U73" s="2"/>
      <c r="V73" s="19">
        <f t="shared" si="22"/>
        <v>-0.53739902327341182</v>
      </c>
      <c r="W73" s="2"/>
      <c r="X73" s="2">
        <f t="shared" si="23"/>
        <v>775972.79</v>
      </c>
      <c r="Y73" s="2"/>
      <c r="Z73" s="19">
        <f t="shared" si="24"/>
        <v>-0.6201204082709062</v>
      </c>
    </row>
    <row r="74" spans="1:26" s="24" customFormat="1" hidden="1" outlineLevel="1" x14ac:dyDescent="0.25">
      <c r="A74" s="44"/>
      <c r="B74" s="11" t="str">
        <f>CONCATENATE("          ", "5300", " - ", "COG$ OFFSET")</f>
        <v xml:space="preserve">          5300 - COG$ OFFSET</v>
      </c>
      <c r="C74" s="11"/>
      <c r="D74" s="2">
        <v>62366</v>
      </c>
      <c r="E74" s="2"/>
      <c r="F74" s="19">
        <f t="shared" si="17"/>
        <v>0.51835507746693044</v>
      </c>
      <c r="G74" s="2"/>
      <c r="H74" s="2">
        <v>174526</v>
      </c>
      <c r="I74" s="2"/>
      <c r="J74" s="19">
        <f t="shared" si="18"/>
        <v>0.56806750774352688</v>
      </c>
      <c r="K74" s="2"/>
      <c r="L74" s="2">
        <f t="shared" si="19"/>
        <v>-112160</v>
      </c>
      <c r="M74" s="2"/>
      <c r="N74" s="19">
        <f t="shared" si="20"/>
        <v>-0.64265496258437138</v>
      </c>
      <c r="O74" s="11"/>
      <c r="P74" s="2">
        <v>744360</v>
      </c>
      <c r="Q74" s="2"/>
      <c r="R74" s="19">
        <f t="shared" si="21"/>
        <v>0.56772482970276272</v>
      </c>
      <c r="S74" s="2"/>
      <c r="T74" s="2">
        <v>1032997</v>
      </c>
      <c r="U74" s="2"/>
      <c r="V74" s="19">
        <f t="shared" si="22"/>
        <v>0.44363465543300834</v>
      </c>
      <c r="W74" s="2"/>
      <c r="X74" s="2">
        <f t="shared" si="23"/>
        <v>-288637</v>
      </c>
      <c r="Y74" s="2"/>
      <c r="Z74" s="19">
        <f t="shared" si="24"/>
        <v>-0.27941707478337302</v>
      </c>
    </row>
    <row r="75" spans="1:26" s="24" customFormat="1" hidden="1" outlineLevel="1" x14ac:dyDescent="0.25">
      <c r="A75" s="44"/>
      <c r="B75" s="11" t="str">
        <f>CONCATENATE("          ", "5500", " - ", "FREIGHT-IN")</f>
        <v xml:space="preserve">          5500 - FREIGHT-IN</v>
      </c>
      <c r="C75" s="11"/>
      <c r="D75" s="2"/>
      <c r="E75" s="2"/>
      <c r="F75" s="19">
        <f t="shared" si="17"/>
        <v>0</v>
      </c>
      <c r="G75" s="2"/>
      <c r="H75" s="2"/>
      <c r="I75" s="2"/>
      <c r="J75" s="19">
        <f t="shared" si="18"/>
        <v>0</v>
      </c>
      <c r="K75" s="2"/>
      <c r="L75" s="2">
        <f t="shared" si="19"/>
        <v>0</v>
      </c>
      <c r="M75" s="2"/>
      <c r="N75" s="19">
        <f t="shared" si="20"/>
        <v>0</v>
      </c>
      <c r="O75" s="11"/>
      <c r="P75" s="2"/>
      <c r="Q75" s="2"/>
      <c r="R75" s="19">
        <f t="shared" si="21"/>
        <v>0</v>
      </c>
      <c r="S75" s="2"/>
      <c r="T75" s="2">
        <v>29.23</v>
      </c>
      <c r="U75" s="2"/>
      <c r="V75" s="19">
        <f t="shared" si="22"/>
        <v>1.2553222302007494E-5</v>
      </c>
      <c r="W75" s="2"/>
      <c r="X75" s="2">
        <f t="shared" si="23"/>
        <v>-29.23</v>
      </c>
      <c r="Y75" s="2"/>
      <c r="Z75" s="19">
        <f t="shared" si="24"/>
        <v>-1</v>
      </c>
    </row>
    <row r="76" spans="1:26" s="24" customFormat="1" hidden="1" outlineLevel="1" x14ac:dyDescent="0.25">
      <c r="A76" s="44"/>
      <c r="B76" s="11" t="str">
        <f>CONCATENATE("          ", "5525", " - ", "FREIGHT-IN-TEST FORMS")</f>
        <v xml:space="preserve">          5525 - FREIGHT-IN-TEST FORMS</v>
      </c>
      <c r="C76" s="11"/>
      <c r="D76" s="2"/>
      <c r="E76" s="2"/>
      <c r="F76" s="19">
        <f t="shared" si="17"/>
        <v>0</v>
      </c>
      <c r="G76" s="2"/>
      <c r="H76" s="2"/>
      <c r="I76" s="2"/>
      <c r="J76" s="19">
        <f t="shared" si="18"/>
        <v>0</v>
      </c>
      <c r="K76" s="2"/>
      <c r="L76" s="2">
        <f t="shared" si="19"/>
        <v>0</v>
      </c>
      <c r="M76" s="2"/>
      <c r="N76" s="19">
        <f t="shared" si="20"/>
        <v>0</v>
      </c>
      <c r="O76" s="11"/>
      <c r="P76" s="2">
        <v>48.14</v>
      </c>
      <c r="Q76" s="2"/>
      <c r="R76" s="19">
        <f t="shared" si="21"/>
        <v>3.6716472274021979E-5</v>
      </c>
      <c r="S76" s="2"/>
      <c r="T76" s="2"/>
      <c r="U76" s="2"/>
      <c r="V76" s="19">
        <f t="shared" si="22"/>
        <v>0</v>
      </c>
      <c r="W76" s="2"/>
      <c r="X76" s="2">
        <f t="shared" si="23"/>
        <v>48.14</v>
      </c>
      <c r="Y76" s="2"/>
      <c r="Z76" s="19">
        <f t="shared" si="24"/>
        <v>0</v>
      </c>
    </row>
    <row r="77" spans="1:26" s="24" customFormat="1" hidden="1" outlineLevel="1" x14ac:dyDescent="0.25">
      <c r="A77" s="44"/>
      <c r="B77" s="11" t="str">
        <f>CONCATENATE("          ", "5527", " - ", "FREIGHT-IN-SCHOOL SUPPLIES")</f>
        <v xml:space="preserve">          5527 - FREIGHT-IN-SCHOOL SUPPLIES</v>
      </c>
      <c r="C77" s="11"/>
      <c r="D77" s="2"/>
      <c r="E77" s="2"/>
      <c r="F77" s="19">
        <f t="shared" si="17"/>
        <v>0</v>
      </c>
      <c r="G77" s="2"/>
      <c r="H77" s="2"/>
      <c r="I77" s="2"/>
      <c r="J77" s="19">
        <f t="shared" si="18"/>
        <v>0</v>
      </c>
      <c r="K77" s="2"/>
      <c r="L77" s="2">
        <f t="shared" si="19"/>
        <v>0</v>
      </c>
      <c r="M77" s="2"/>
      <c r="N77" s="19">
        <f t="shared" si="20"/>
        <v>0</v>
      </c>
      <c r="O77" s="11"/>
      <c r="P77" s="2">
        <v>177.5</v>
      </c>
      <c r="Q77" s="2"/>
      <c r="R77" s="19">
        <f t="shared" si="21"/>
        <v>1.3537959760363317E-4</v>
      </c>
      <c r="S77" s="2"/>
      <c r="T77" s="2"/>
      <c r="U77" s="2"/>
      <c r="V77" s="19">
        <f t="shared" si="22"/>
        <v>0</v>
      </c>
      <c r="W77" s="2"/>
      <c r="X77" s="2">
        <f t="shared" si="23"/>
        <v>177.5</v>
      </c>
      <c r="Y77" s="2"/>
      <c r="Z77" s="19">
        <f t="shared" si="24"/>
        <v>0</v>
      </c>
    </row>
    <row r="78" spans="1:26" s="24" customFormat="1" hidden="1" outlineLevel="1" x14ac:dyDescent="0.25">
      <c r="A78" s="44"/>
      <c r="B78" s="11" t="str">
        <f>CONCATENATE("          ", "5528", " - ", "FREIGHT-IN-ART/TECH")</f>
        <v xml:space="preserve">          5528 - FREIGHT-IN-ART/TECH</v>
      </c>
      <c r="C78" s="11"/>
      <c r="D78" s="2"/>
      <c r="E78" s="2"/>
      <c r="F78" s="19">
        <f t="shared" si="17"/>
        <v>0</v>
      </c>
      <c r="G78" s="2"/>
      <c r="H78" s="2"/>
      <c r="I78" s="2"/>
      <c r="J78" s="19">
        <f t="shared" si="18"/>
        <v>0</v>
      </c>
      <c r="K78" s="2"/>
      <c r="L78" s="2">
        <f t="shared" si="19"/>
        <v>0</v>
      </c>
      <c r="M78" s="2"/>
      <c r="N78" s="19">
        <f t="shared" si="20"/>
        <v>0</v>
      </c>
      <c r="O78" s="11"/>
      <c r="P78" s="2">
        <v>33.950000000000003</v>
      </c>
      <c r="Q78" s="2"/>
      <c r="R78" s="19">
        <f t="shared" si="21"/>
        <v>2.5893731485314629E-5</v>
      </c>
      <c r="S78" s="2"/>
      <c r="T78" s="2"/>
      <c r="U78" s="2"/>
      <c r="V78" s="19">
        <f t="shared" si="22"/>
        <v>0</v>
      </c>
      <c r="W78" s="2"/>
      <c r="X78" s="2">
        <f t="shared" si="23"/>
        <v>33.950000000000003</v>
      </c>
      <c r="Y78" s="2"/>
      <c r="Z78" s="19">
        <f t="shared" si="24"/>
        <v>0</v>
      </c>
    </row>
    <row r="79" spans="1:26" s="24" customFormat="1" hidden="1" outlineLevel="1" x14ac:dyDescent="0.25">
      <c r="A79" s="44"/>
      <c r="B79" s="11" t="str">
        <f>CONCATENATE("          ", "5540", " - ", "FREIGHT-IN-LOGO CLOTHING")</f>
        <v xml:space="preserve">          5540 - FREIGHT-IN-LOGO CLOTHING</v>
      </c>
      <c r="C79" s="11"/>
      <c r="D79" s="2">
        <v>150.6</v>
      </c>
      <c r="E79" s="2"/>
      <c r="F79" s="19">
        <f t="shared" si="17"/>
        <v>1.2517120653323882E-3</v>
      </c>
      <c r="G79" s="2"/>
      <c r="H79" s="2">
        <v>2803.41</v>
      </c>
      <c r="I79" s="2"/>
      <c r="J79" s="19">
        <f t="shared" si="18"/>
        <v>9.1248646727896173E-3</v>
      </c>
      <c r="K79" s="2"/>
      <c r="L79" s="2">
        <f t="shared" si="19"/>
        <v>-2652.81</v>
      </c>
      <c r="M79" s="2"/>
      <c r="N79" s="19">
        <f t="shared" si="20"/>
        <v>-0.94627970935396533</v>
      </c>
      <c r="O79" s="11"/>
      <c r="P79" s="2">
        <v>5941.23</v>
      </c>
      <c r="Q79" s="2"/>
      <c r="R79" s="19">
        <f t="shared" si="21"/>
        <v>4.5313877558908928E-3</v>
      </c>
      <c r="S79" s="2"/>
      <c r="T79" s="2">
        <v>28481.3</v>
      </c>
      <c r="U79" s="2"/>
      <c r="V79" s="19">
        <f t="shared" si="22"/>
        <v>1.2231682872054943E-2</v>
      </c>
      <c r="W79" s="2"/>
      <c r="X79" s="2">
        <f t="shared" si="23"/>
        <v>-22540.07</v>
      </c>
      <c r="Y79" s="2"/>
      <c r="Z79" s="19">
        <f t="shared" si="24"/>
        <v>-0.79139891788647287</v>
      </c>
    </row>
    <row r="80" spans="1:26" s="24" customFormat="1" hidden="1" outlineLevel="1" x14ac:dyDescent="0.25">
      <c r="A80" s="44"/>
      <c r="B80" s="11" t="str">
        <f>CONCATENATE("          ", "5541", " - ", "FREIGHT-IN-LOGO GIFTS")</f>
        <v xml:space="preserve">          5541 - FREIGHT-IN-LOGO GIFTS</v>
      </c>
      <c r="C80" s="11"/>
      <c r="D80" s="2">
        <v>375.06</v>
      </c>
      <c r="E80" s="2"/>
      <c r="F80" s="19">
        <f t="shared" si="17"/>
        <v>3.1173116017501031E-3</v>
      </c>
      <c r="G80" s="2"/>
      <c r="H80" s="2">
        <v>486.35</v>
      </c>
      <c r="I80" s="2"/>
      <c r="J80" s="19">
        <f t="shared" si="18"/>
        <v>1.5830285022922907E-3</v>
      </c>
      <c r="K80" s="2"/>
      <c r="L80" s="2">
        <f t="shared" si="19"/>
        <v>-111.29000000000002</v>
      </c>
      <c r="M80" s="2"/>
      <c r="N80" s="19">
        <f t="shared" si="20"/>
        <v>-0.22882697645728389</v>
      </c>
      <c r="O80" s="11"/>
      <c r="P80" s="2">
        <v>2077.9299999999998</v>
      </c>
      <c r="Q80" s="2"/>
      <c r="R80" s="19">
        <f t="shared" si="21"/>
        <v>1.5848412802733378E-3</v>
      </c>
      <c r="S80" s="2"/>
      <c r="T80" s="2">
        <v>4073.92</v>
      </c>
      <c r="U80" s="2"/>
      <c r="V80" s="19">
        <f t="shared" si="22"/>
        <v>1.7496005268763041E-3</v>
      </c>
      <c r="W80" s="2"/>
      <c r="X80" s="2">
        <f t="shared" si="23"/>
        <v>-1995.9900000000002</v>
      </c>
      <c r="Y80" s="2"/>
      <c r="Z80" s="19">
        <f t="shared" si="24"/>
        <v>-0.48994334694839375</v>
      </c>
    </row>
    <row r="81" spans="1:26" s="24" customFormat="1" hidden="1" outlineLevel="1" x14ac:dyDescent="0.25">
      <c r="A81" s="44"/>
      <c r="B81" s="11" t="str">
        <f>CONCATENATE("          ", "5542", " - ", "FREIGHT-IN-EVERYDAY GIFTS")</f>
        <v xml:space="preserve">          5542 - FREIGHT-IN-EVERYDAY GIFTS</v>
      </c>
      <c r="C81" s="11"/>
      <c r="D81" s="2"/>
      <c r="E81" s="2"/>
      <c r="F81" s="19">
        <f t="shared" si="17"/>
        <v>0</v>
      </c>
      <c r="G81" s="2"/>
      <c r="H81" s="2">
        <v>43.37</v>
      </c>
      <c r="I81" s="2"/>
      <c r="J81" s="19">
        <f t="shared" si="18"/>
        <v>1.4116571634505324E-4</v>
      </c>
      <c r="K81" s="2"/>
      <c r="L81" s="2">
        <f t="shared" si="19"/>
        <v>-43.37</v>
      </c>
      <c r="M81" s="2"/>
      <c r="N81" s="19">
        <f t="shared" si="20"/>
        <v>-1</v>
      </c>
      <c r="O81" s="11"/>
      <c r="P81" s="2">
        <v>383.93</v>
      </c>
      <c r="Q81" s="2"/>
      <c r="R81" s="19">
        <f t="shared" si="21"/>
        <v>2.9282416286176272E-4</v>
      </c>
      <c r="S81" s="2"/>
      <c r="T81" s="2">
        <v>1751.7</v>
      </c>
      <c r="U81" s="2"/>
      <c r="V81" s="19">
        <f t="shared" si="22"/>
        <v>7.522914644689198E-4</v>
      </c>
      <c r="W81" s="2"/>
      <c r="X81" s="2">
        <f t="shared" si="23"/>
        <v>-1367.77</v>
      </c>
      <c r="Y81" s="2"/>
      <c r="Z81" s="19">
        <f t="shared" si="24"/>
        <v>-0.78082434206770568</v>
      </c>
    </row>
    <row r="82" spans="1:26" s="24" customFormat="1" hidden="1" outlineLevel="1" x14ac:dyDescent="0.25">
      <c r="A82" s="44"/>
      <c r="B82" s="11" t="str">
        <f>CONCATENATE("          ", "5543", " - ", "FREIGHT-IN-CARDS")</f>
        <v xml:space="preserve">          5543 - FREIGHT-IN-CARDS</v>
      </c>
      <c r="C82" s="11"/>
      <c r="D82" s="2"/>
      <c r="E82" s="2"/>
      <c r="F82" s="19">
        <f t="shared" si="17"/>
        <v>0</v>
      </c>
      <c r="G82" s="2"/>
      <c r="H82" s="2">
        <v>2779.77</v>
      </c>
      <c r="I82" s="2"/>
      <c r="J82" s="19">
        <f t="shared" si="18"/>
        <v>9.0479184534122351E-3</v>
      </c>
      <c r="K82" s="2"/>
      <c r="L82" s="2">
        <f t="shared" si="19"/>
        <v>-2779.77</v>
      </c>
      <c r="M82" s="2"/>
      <c r="N82" s="19">
        <f t="shared" si="20"/>
        <v>-1</v>
      </c>
      <c r="O82" s="11"/>
      <c r="P82" s="2">
        <v>9110.5300000000007</v>
      </c>
      <c r="Q82" s="2"/>
      <c r="R82" s="19">
        <f t="shared" si="21"/>
        <v>6.948619072427201E-3</v>
      </c>
      <c r="S82" s="2"/>
      <c r="T82" s="2">
        <v>2901.12</v>
      </c>
      <c r="U82" s="2"/>
      <c r="V82" s="19">
        <f t="shared" si="22"/>
        <v>1.245925565679096E-3</v>
      </c>
      <c r="W82" s="2"/>
      <c r="X82" s="2">
        <f t="shared" si="23"/>
        <v>6209.4100000000008</v>
      </c>
      <c r="Y82" s="2"/>
      <c r="Z82" s="19">
        <f t="shared" si="24"/>
        <v>2.1403492444297378</v>
      </c>
    </row>
    <row r="83" spans="1:26" s="24" customFormat="1" hidden="1" outlineLevel="1" x14ac:dyDescent="0.25">
      <c r="A83" s="44"/>
      <c r="B83" s="11" t="str">
        <f>CONCATENATE("          ", "5544", " - ", "FREIGHT-IN-ACCESSORIES")</f>
        <v xml:space="preserve">          5544 - FREIGHT-IN-ACCESSORIES</v>
      </c>
      <c r="C83" s="11"/>
      <c r="D83" s="2"/>
      <c r="E83" s="2"/>
      <c r="F83" s="19">
        <f t="shared" si="17"/>
        <v>0</v>
      </c>
      <c r="G83" s="2"/>
      <c r="H83" s="2">
        <v>41.13</v>
      </c>
      <c r="I83" s="2"/>
      <c r="J83" s="19">
        <f t="shared" si="18"/>
        <v>1.3387470401826241E-4</v>
      </c>
      <c r="K83" s="2"/>
      <c r="L83" s="2">
        <f t="shared" si="19"/>
        <v>-41.13</v>
      </c>
      <c r="M83" s="2"/>
      <c r="N83" s="19">
        <f t="shared" si="20"/>
        <v>-1</v>
      </c>
      <c r="O83" s="11"/>
      <c r="P83" s="2"/>
      <c r="Q83" s="2"/>
      <c r="R83" s="19">
        <f t="shared" si="21"/>
        <v>0</v>
      </c>
      <c r="S83" s="2"/>
      <c r="T83" s="2">
        <v>483.44</v>
      </c>
      <c r="U83" s="2"/>
      <c r="V83" s="19">
        <f t="shared" si="22"/>
        <v>2.0761990385502916E-4</v>
      </c>
      <c r="W83" s="2"/>
      <c r="X83" s="2">
        <f t="shared" si="23"/>
        <v>-483.44</v>
      </c>
      <c r="Y83" s="2"/>
      <c r="Z83" s="19">
        <f t="shared" si="24"/>
        <v>-1</v>
      </c>
    </row>
    <row r="84" spans="1:26" s="24" customFormat="1" hidden="1" outlineLevel="1" x14ac:dyDescent="0.25">
      <c r="A84" s="44"/>
      <c r="B84" s="11" t="str">
        <f>CONCATENATE("          ", "5545", " - ", "FREIGHT-IN-SPECIAL ORDERS")</f>
        <v xml:space="preserve">          5545 - FREIGHT-IN-SPECIAL ORDERS</v>
      </c>
      <c r="C84" s="11"/>
      <c r="D84" s="2">
        <v>134.74</v>
      </c>
      <c r="E84" s="2"/>
      <c r="F84" s="19">
        <f t="shared" si="17"/>
        <v>1.1198916579208899E-3</v>
      </c>
      <c r="G84" s="2"/>
      <c r="H84" s="2">
        <v>4.49</v>
      </c>
      <c r="I84" s="2"/>
      <c r="J84" s="19">
        <f t="shared" si="18"/>
        <v>1.4614573815754879E-5</v>
      </c>
      <c r="K84" s="2"/>
      <c r="L84" s="2">
        <f t="shared" si="19"/>
        <v>130.25</v>
      </c>
      <c r="M84" s="2"/>
      <c r="N84" s="19">
        <f t="shared" si="20"/>
        <v>29.008908685968819</v>
      </c>
      <c r="O84" s="11"/>
      <c r="P84" s="2">
        <v>1248.53</v>
      </c>
      <c r="Q84" s="2"/>
      <c r="R84" s="19">
        <f t="shared" si="21"/>
        <v>9.5225627603416402E-4</v>
      </c>
      <c r="S84" s="2"/>
      <c r="T84" s="2">
        <v>846.39</v>
      </c>
      <c r="U84" s="2"/>
      <c r="V84" s="19">
        <f t="shared" si="22"/>
        <v>3.6349373329442773E-4</v>
      </c>
      <c r="W84" s="2"/>
      <c r="X84" s="2">
        <f t="shared" si="23"/>
        <v>402.14</v>
      </c>
      <c r="Y84" s="2"/>
      <c r="Z84" s="19">
        <f t="shared" si="24"/>
        <v>0.47512376091399944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9" t="s">
        <v>6</v>
      </c>
      <c r="C86" s="29"/>
      <c r="D86" s="22">
        <f>D12-D56</f>
        <v>57949.21</v>
      </c>
      <c r="E86" s="14"/>
      <c r="F86" s="20">
        <f>IF(D$12=0,0,D86/D$12)</f>
        <v>0.48164492253306962</v>
      </c>
      <c r="G86" s="14"/>
      <c r="H86" s="22">
        <f>H12-H56</f>
        <v>156802.95000000007</v>
      </c>
      <c r="I86" s="14"/>
      <c r="J86" s="20">
        <f>IF(H$12=0,0,H86/H$12)</f>
        <v>0.51038046487820099</v>
      </c>
      <c r="K86" s="16"/>
      <c r="L86" s="22">
        <f>+D86-H86</f>
        <v>-98853.740000000078</v>
      </c>
      <c r="M86" s="16"/>
      <c r="N86" s="20">
        <f>IF(H86=0,0,L86/H86)</f>
        <v>-0.63043290958492826</v>
      </c>
      <c r="O86" s="28"/>
      <c r="P86" s="22">
        <f>P12-P56</f>
        <v>565851.59999999974</v>
      </c>
      <c r="Q86" s="14"/>
      <c r="R86" s="20">
        <f>IF(P$12=0,0,P86/P$12)</f>
        <v>0.43157612344434909</v>
      </c>
      <c r="S86" s="14"/>
      <c r="T86" s="22">
        <f>T12-T56</f>
        <v>1257335.2500000019</v>
      </c>
      <c r="U86" s="14"/>
      <c r="V86" s="20">
        <f>IF(T$12=0,0,T86/T$12)</f>
        <v>0.53997977767362948</v>
      </c>
      <c r="W86" s="16"/>
      <c r="X86" s="22">
        <f>+P86-T86</f>
        <v>-691483.65000000212</v>
      </c>
      <c r="Y86" s="16"/>
      <c r="Z86" s="20">
        <f>IF(T86=0,0,X86/T86)</f>
        <v>-0.54995964680064535</v>
      </c>
    </row>
    <row r="87" spans="1:26" x14ac:dyDescent="0.25">
      <c r="A87" s="9"/>
      <c r="B87" s="10"/>
      <c r="C87" s="9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7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25">
      <c r="A88" s="10"/>
      <c r="B88" s="28" t="s">
        <v>9</v>
      </c>
      <c r="C88" s="10"/>
      <c r="D88" s="21">
        <f>SUM(OSRRefD22x_0)</f>
        <v>59265.640000000007</v>
      </c>
      <c r="E88" s="21"/>
      <c r="F88" s="32">
        <f t="shared" ref="F88:F97" si="25">IF(D$12=0,0,D88/D$12)</f>
        <v>0.49258643192327894</v>
      </c>
      <c r="G88" s="21"/>
      <c r="H88" s="21">
        <f>SUM(OSRRefH22x_0)</f>
        <v>108090.71</v>
      </c>
      <c r="I88" s="21"/>
      <c r="J88" s="32">
        <f t="shared" ref="J88:J97" si="26">IF(H$12=0,0,H88/H$12)</f>
        <v>0.35182620492034611</v>
      </c>
      <c r="K88" s="4"/>
      <c r="L88" s="21">
        <f t="shared" ref="L88:L97" si="27">+D88-H88</f>
        <v>-48825.07</v>
      </c>
      <c r="M88" s="4"/>
      <c r="N88" s="32">
        <f t="shared" ref="N88:N97" si="28">IF(H88=0,0,L88/H88)</f>
        <v>-0.45170459144916336</v>
      </c>
      <c r="O88" s="10"/>
      <c r="P88" s="21">
        <f>SUM(OSRRefP22x_0)</f>
        <v>543910.10999999987</v>
      </c>
      <c r="Q88" s="21"/>
      <c r="R88" s="32">
        <f t="shared" ref="R88:R97" si="29">IF(P$12=0,0,P88/P$12)</f>
        <v>0.41484130605266384</v>
      </c>
      <c r="S88" s="21"/>
      <c r="T88" s="21">
        <f>SUM(OSRRefT22x_0)</f>
        <v>752545.41000000015</v>
      </c>
      <c r="U88" s="21"/>
      <c r="V88" s="32">
        <f t="shared" ref="V88:V97" si="30">IF(T$12=0,0,T88/T$12)</f>
        <v>0.3231908937422297</v>
      </c>
      <c r="W88" s="4"/>
      <c r="X88" s="21">
        <f t="shared" ref="X88:X97" si="31">+P88-T88</f>
        <v>-208635.30000000028</v>
      </c>
      <c r="Y88" s="4"/>
      <c r="Z88" s="32">
        <f t="shared" ref="Z88:Z97" si="32">IF(T88=0,0,X88/T88)</f>
        <v>-0.27723948246525115</v>
      </c>
    </row>
    <row r="89" spans="1:26" s="25" customFormat="1" outlineLevel="1" collapsed="1" x14ac:dyDescent="0.25">
      <c r="A89" s="27"/>
      <c r="B89" s="13" t="str">
        <f>CONCATENATE("     ","*Benefits                                         ")</f>
        <v xml:space="preserve">     *Benefits                                         </v>
      </c>
      <c r="C89" s="13"/>
      <c r="D89" s="1">
        <f>SUM(OSRRefD22_0x_0)</f>
        <v>13085.359999999999</v>
      </c>
      <c r="E89" s="1"/>
      <c r="F89" s="5">
        <f t="shared" si="25"/>
        <v>0.1087589840054304</v>
      </c>
      <c r="G89" s="1"/>
      <c r="H89" s="1">
        <f>SUM(OSRRefH22_0x_0)</f>
        <v>6806.54</v>
      </c>
      <c r="I89" s="1"/>
      <c r="J89" s="5">
        <f t="shared" si="26"/>
        <v>2.2154717429819202E-2</v>
      </c>
      <c r="K89" s="1"/>
      <c r="L89" s="1">
        <f t="shared" si="27"/>
        <v>6278.8199999999988</v>
      </c>
      <c r="M89" s="1"/>
      <c r="N89" s="5">
        <f t="shared" si="28"/>
        <v>0.9224686845298784</v>
      </c>
      <c r="O89" s="13"/>
      <c r="P89" s="1">
        <f>SUM(OSRRefP22_0x_0)</f>
        <v>120468.24</v>
      </c>
      <c r="Q89" s="1"/>
      <c r="R89" s="5">
        <f t="shared" si="29"/>
        <v>9.1881362564607924E-2</v>
      </c>
      <c r="S89" s="1"/>
      <c r="T89" s="1">
        <f>SUM(OSRRefT22_0x_0)</f>
        <v>66585</v>
      </c>
      <c r="U89" s="1"/>
      <c r="V89" s="5">
        <f t="shared" si="30"/>
        <v>2.8595836708148099E-2</v>
      </c>
      <c r="W89" s="1"/>
      <c r="X89" s="1">
        <f t="shared" si="31"/>
        <v>53883.240000000005</v>
      </c>
      <c r="Y89" s="1"/>
      <c r="Z89" s="5">
        <f t="shared" si="32"/>
        <v>0.80923991890065339</v>
      </c>
    </row>
    <row r="90" spans="1:26" s="24" customFormat="1" hidden="1" outlineLevel="2" x14ac:dyDescent="0.25">
      <c r="A90" s="26"/>
      <c r="B90" s="11" t="str">
        <f>CONCATENATE("          ", "6111", " - ", "F.I.C.A.")</f>
        <v xml:space="preserve">          6111 - F.I.C.A.</v>
      </c>
      <c r="C90" s="11"/>
      <c r="D90" s="6">
        <v>2409.65</v>
      </c>
      <c r="E90" s="2"/>
      <c r="F90" s="7">
        <f t="shared" si="25"/>
        <v>2.0027808620373105E-2</v>
      </c>
      <c r="G90" s="2"/>
      <c r="H90" s="6">
        <v>1316.99</v>
      </c>
      <c r="I90" s="2"/>
      <c r="J90" s="7">
        <f t="shared" si="26"/>
        <v>4.2866921090447697E-3</v>
      </c>
      <c r="K90" s="2"/>
      <c r="L90" s="6">
        <f t="shared" si="27"/>
        <v>1092.6600000000001</v>
      </c>
      <c r="M90" s="2"/>
      <c r="N90" s="7">
        <f t="shared" si="28"/>
        <v>0.82966461400618086</v>
      </c>
      <c r="O90" s="11"/>
      <c r="P90" s="6">
        <v>23705.609999999997</v>
      </c>
      <c r="Q90" s="2"/>
      <c r="R90" s="7">
        <f t="shared" si="29"/>
        <v>1.8080315170414998E-2</v>
      </c>
      <c r="S90" s="2"/>
      <c r="T90" s="6">
        <v>13815.5</v>
      </c>
      <c r="U90" s="2"/>
      <c r="V90" s="7">
        <f t="shared" si="30"/>
        <v>5.9332549679570485E-3</v>
      </c>
      <c r="W90" s="2"/>
      <c r="X90" s="6">
        <f t="shared" si="31"/>
        <v>9890.1099999999969</v>
      </c>
      <c r="Y90" s="2"/>
      <c r="Z90" s="7">
        <f t="shared" si="32"/>
        <v>0.71587058014548854</v>
      </c>
    </row>
    <row r="91" spans="1:26" s="24" customFormat="1" hidden="1" outlineLevel="2" x14ac:dyDescent="0.25">
      <c r="A91" s="26"/>
      <c r="B91" s="11" t="str">
        <f>CONCATENATE("          ", "6112", " - ", "COMPENSATION INSURANCE")</f>
        <v xml:space="preserve">          6112 - COMPENSATION INSURANCE</v>
      </c>
      <c r="C91" s="11"/>
      <c r="D91" s="6">
        <v>745.07</v>
      </c>
      <c r="E91" s="2"/>
      <c r="F91" s="7">
        <f t="shared" si="25"/>
        <v>6.1926501229561922E-3</v>
      </c>
      <c r="G91" s="2"/>
      <c r="H91" s="6">
        <v>571.94000000000005</v>
      </c>
      <c r="I91" s="2"/>
      <c r="J91" s="7">
        <f t="shared" si="26"/>
        <v>1.8616167813324824E-3</v>
      </c>
      <c r="K91" s="2"/>
      <c r="L91" s="6">
        <f t="shared" si="27"/>
        <v>173.13</v>
      </c>
      <c r="M91" s="2"/>
      <c r="N91" s="7">
        <f t="shared" si="28"/>
        <v>0.30270657761303632</v>
      </c>
      <c r="O91" s="11"/>
      <c r="P91" s="6">
        <v>8485.1200000000008</v>
      </c>
      <c r="Q91" s="2"/>
      <c r="R91" s="7">
        <f t="shared" si="29"/>
        <v>6.4716176406678311E-3</v>
      </c>
      <c r="S91" s="2"/>
      <c r="T91" s="6">
        <v>4779.3</v>
      </c>
      <c r="U91" s="2"/>
      <c r="V91" s="7">
        <f t="shared" si="30"/>
        <v>2.0525355917887242E-3</v>
      </c>
      <c r="W91" s="2"/>
      <c r="X91" s="6">
        <f t="shared" si="31"/>
        <v>3705.8200000000006</v>
      </c>
      <c r="Y91" s="2"/>
      <c r="Z91" s="7">
        <f t="shared" si="32"/>
        <v>0.77538970142071029</v>
      </c>
    </row>
    <row r="92" spans="1:26" s="24" customFormat="1" hidden="1" outlineLevel="2" x14ac:dyDescent="0.25">
      <c r="A92" s="26"/>
      <c r="B92" s="11" t="str">
        <f>CONCATENATE("          ", "6113", " - ", "GROUP INSURANCE")</f>
        <v xml:space="preserve">          6113 - GROUP INSURANCE</v>
      </c>
      <c r="C92" s="11"/>
      <c r="D92" s="6">
        <v>4826.13</v>
      </c>
      <c r="E92" s="2"/>
      <c r="F92" s="7">
        <f t="shared" si="25"/>
        <v>4.0112384793244346E-2</v>
      </c>
      <c r="G92" s="2"/>
      <c r="H92" s="6">
        <v>2447</v>
      </c>
      <c r="I92" s="2"/>
      <c r="J92" s="7">
        <f t="shared" si="26"/>
        <v>7.9647799837755436E-3</v>
      </c>
      <c r="K92" s="2"/>
      <c r="L92" s="6">
        <f t="shared" si="27"/>
        <v>2379.13</v>
      </c>
      <c r="M92" s="2"/>
      <c r="N92" s="7">
        <f t="shared" si="28"/>
        <v>0.97226399673069064</v>
      </c>
      <c r="O92" s="11"/>
      <c r="P92" s="6">
        <v>43771.17</v>
      </c>
      <c r="Q92" s="2"/>
      <c r="R92" s="7">
        <f t="shared" si="29"/>
        <v>3.3384357077409686E-2</v>
      </c>
      <c r="S92" s="2"/>
      <c r="T92" s="6">
        <v>23987.329999999998</v>
      </c>
      <c r="U92" s="2"/>
      <c r="V92" s="7">
        <f t="shared" si="30"/>
        <v>1.0301686141690502E-2</v>
      </c>
      <c r="W92" s="2"/>
      <c r="X92" s="6">
        <f t="shared" si="31"/>
        <v>19783.84</v>
      </c>
      <c r="Y92" s="2"/>
      <c r="Z92" s="7">
        <f t="shared" si="32"/>
        <v>0.82476207231067411</v>
      </c>
    </row>
    <row r="93" spans="1:26" s="24" customFormat="1" hidden="1" outlineLevel="2" x14ac:dyDescent="0.25">
      <c r="A93" s="26"/>
      <c r="B93" s="11" t="str">
        <f>CONCATENATE("          ", "6114", " - ", "STATE UNEMPLOYMENT INSURANCE")</f>
        <v xml:space="preserve">          6114 - STATE UNEMPLOYMENT INSURANCE</v>
      </c>
      <c r="C93" s="11"/>
      <c r="D93" s="6">
        <v>104.71</v>
      </c>
      <c r="E93" s="2"/>
      <c r="F93" s="7">
        <f t="shared" si="25"/>
        <v>8.7029727995321623E-4</v>
      </c>
      <c r="G93" s="2"/>
      <c r="H93" s="6">
        <v>83.41</v>
      </c>
      <c r="I93" s="2"/>
      <c r="J93" s="7">
        <f t="shared" si="26"/>
        <v>2.7149256168643973E-4</v>
      </c>
      <c r="K93" s="2"/>
      <c r="L93" s="6">
        <f t="shared" si="27"/>
        <v>21.299999999999997</v>
      </c>
      <c r="M93" s="2"/>
      <c r="N93" s="7">
        <f t="shared" si="28"/>
        <v>0.25536506414099025</v>
      </c>
      <c r="O93" s="11"/>
      <c r="P93" s="6">
        <v>992.39</v>
      </c>
      <c r="Q93" s="2"/>
      <c r="R93" s="7">
        <f t="shared" si="29"/>
        <v>7.5689779642743396E-4</v>
      </c>
      <c r="S93" s="2"/>
      <c r="T93" s="6">
        <v>744.45</v>
      </c>
      <c r="U93" s="2"/>
      <c r="V93" s="7">
        <f t="shared" si="30"/>
        <v>3.1971420946731027E-4</v>
      </c>
      <c r="W93" s="2"/>
      <c r="X93" s="6">
        <f t="shared" si="31"/>
        <v>247.93999999999994</v>
      </c>
      <c r="Y93" s="2"/>
      <c r="Z93" s="7">
        <f t="shared" si="32"/>
        <v>0.33305124588622464</v>
      </c>
    </row>
    <row r="94" spans="1:26" s="24" customFormat="1" hidden="1" outlineLevel="2" x14ac:dyDescent="0.25">
      <c r="A94" s="26"/>
      <c r="B94" s="11" t="str">
        <f>CONCATENATE("          ", "6115", " - ", "P.E.R.S.")</f>
        <v xml:space="preserve">          6115 - P.E.R.S.</v>
      </c>
      <c r="C94" s="11"/>
      <c r="D94" s="6">
        <v>1852.83</v>
      </c>
      <c r="E94" s="2"/>
      <c r="F94" s="7">
        <f t="shared" si="25"/>
        <v>1.5399798579082396E-2</v>
      </c>
      <c r="G94" s="2"/>
      <c r="H94" s="6">
        <v>777.67</v>
      </c>
      <c r="I94" s="2"/>
      <c r="J94" s="7">
        <f t="shared" si="26"/>
        <v>2.5312506947211795E-3</v>
      </c>
      <c r="K94" s="2"/>
      <c r="L94" s="6">
        <f t="shared" si="27"/>
        <v>1075.1599999999999</v>
      </c>
      <c r="M94" s="2"/>
      <c r="N94" s="7">
        <f t="shared" si="28"/>
        <v>1.3825401519924903</v>
      </c>
      <c r="O94" s="11"/>
      <c r="P94" s="6">
        <v>16248.030000000002</v>
      </c>
      <c r="Q94" s="2"/>
      <c r="R94" s="7">
        <f t="shared" si="29"/>
        <v>1.2392404300009917E-2</v>
      </c>
      <c r="S94" s="2"/>
      <c r="T94" s="6">
        <v>8319.07</v>
      </c>
      <c r="U94" s="2"/>
      <c r="V94" s="7">
        <f t="shared" si="30"/>
        <v>3.5727381134437724E-3</v>
      </c>
      <c r="W94" s="2"/>
      <c r="X94" s="6">
        <f t="shared" si="31"/>
        <v>7928.9600000000028</v>
      </c>
      <c r="Y94" s="2"/>
      <c r="Z94" s="7">
        <f t="shared" si="32"/>
        <v>0.95310653714898452</v>
      </c>
    </row>
    <row r="95" spans="1:26" s="24" customFormat="1" hidden="1" outlineLevel="2" x14ac:dyDescent="0.25">
      <c r="A95" s="26"/>
      <c r="B95" s="11" t="str">
        <f>CONCATENATE("          ", "6118", " - ", "VACATION")</f>
        <v xml:space="preserve">          6118 - VACATION</v>
      </c>
      <c r="C95" s="11"/>
      <c r="D95" s="6">
        <v>1633.18</v>
      </c>
      <c r="E95" s="2"/>
      <c r="F95" s="7">
        <f t="shared" si="25"/>
        <v>1.3574177362945219E-2</v>
      </c>
      <c r="G95" s="2"/>
      <c r="H95" s="6">
        <v>784.96</v>
      </c>
      <c r="I95" s="2"/>
      <c r="J95" s="7">
        <f t="shared" si="26"/>
        <v>2.5549790339454231E-3</v>
      </c>
      <c r="K95" s="2"/>
      <c r="L95" s="6">
        <f t="shared" si="27"/>
        <v>848.22</v>
      </c>
      <c r="M95" s="2"/>
      <c r="N95" s="7">
        <f t="shared" si="28"/>
        <v>1.0805900937627395</v>
      </c>
      <c r="O95" s="11"/>
      <c r="P95" s="6">
        <v>13629.41</v>
      </c>
      <c r="Q95" s="2"/>
      <c r="R95" s="7">
        <f t="shared" si="29"/>
        <v>1.0395177697886952E-2</v>
      </c>
      <c r="S95" s="2"/>
      <c r="T95" s="6">
        <v>7317.89</v>
      </c>
      <c r="U95" s="2"/>
      <c r="V95" s="7">
        <f t="shared" si="30"/>
        <v>3.1427677027587278E-3</v>
      </c>
      <c r="W95" s="2"/>
      <c r="X95" s="6">
        <f t="shared" si="31"/>
        <v>6311.5199999999995</v>
      </c>
      <c r="Y95" s="2"/>
      <c r="Z95" s="7">
        <f t="shared" si="32"/>
        <v>0.8624781186926832</v>
      </c>
    </row>
    <row r="96" spans="1:26" s="24" customFormat="1" hidden="1" outlineLevel="2" x14ac:dyDescent="0.25">
      <c r="A96" s="26"/>
      <c r="B96" s="11" t="str">
        <f>CONCATENATE("          ", "6119", " - ", "SICK LEAVE")</f>
        <v xml:space="preserve">          6119 - SICK LEAVE</v>
      </c>
      <c r="C96" s="11"/>
      <c r="D96" s="6">
        <v>1105.6199999999999</v>
      </c>
      <c r="E96" s="2"/>
      <c r="F96" s="7">
        <f t="shared" si="25"/>
        <v>9.1893618437768592E-3</v>
      </c>
      <c r="G96" s="2"/>
      <c r="H96" s="6">
        <v>560.63</v>
      </c>
      <c r="I96" s="2"/>
      <c r="J96" s="7">
        <f t="shared" si="26"/>
        <v>1.8248036789146231E-3</v>
      </c>
      <c r="K96" s="2"/>
      <c r="L96" s="6">
        <f t="shared" si="27"/>
        <v>544.9899999999999</v>
      </c>
      <c r="M96" s="2"/>
      <c r="N96" s="7">
        <f t="shared" si="28"/>
        <v>0.97210281290690814</v>
      </c>
      <c r="O96" s="11"/>
      <c r="P96" s="6">
        <v>10131.02</v>
      </c>
      <c r="Q96" s="2"/>
      <c r="R96" s="7">
        <f t="shared" si="29"/>
        <v>7.7269487938837166E-3</v>
      </c>
      <c r="S96" s="2"/>
      <c r="T96" s="6">
        <v>5615.26</v>
      </c>
      <c r="U96" s="2"/>
      <c r="V96" s="7">
        <f t="shared" si="30"/>
        <v>2.4115500192805543E-3</v>
      </c>
      <c r="W96" s="2"/>
      <c r="X96" s="6">
        <f t="shared" si="31"/>
        <v>4515.76</v>
      </c>
      <c r="Y96" s="2"/>
      <c r="Z96" s="7">
        <f t="shared" si="32"/>
        <v>0.8041942848594722</v>
      </c>
    </row>
    <row r="97" spans="1:26" s="24" customFormat="1" hidden="1" outlineLevel="2" x14ac:dyDescent="0.25">
      <c r="A97" s="26"/>
      <c r="B97" s="11" t="str">
        <f>CONCATENATE("          ", "6156", " - ", "EMPLOYEE MEALS")</f>
        <v xml:space="preserve">          6156 - EMPLOYEE MEALS</v>
      </c>
      <c r="C97" s="11"/>
      <c r="D97" s="6">
        <v>408.17</v>
      </c>
      <c r="E97" s="2"/>
      <c r="F97" s="7">
        <f t="shared" si="25"/>
        <v>3.3925054030990763E-3</v>
      </c>
      <c r="G97" s="2"/>
      <c r="H97" s="6">
        <v>263.94</v>
      </c>
      <c r="I97" s="2"/>
      <c r="J97" s="7">
        <f t="shared" si="26"/>
        <v>8.5910258639874005E-4</v>
      </c>
      <c r="K97" s="2"/>
      <c r="L97" s="6">
        <f t="shared" si="27"/>
        <v>144.23000000000002</v>
      </c>
      <c r="M97" s="2"/>
      <c r="N97" s="7">
        <f t="shared" si="28"/>
        <v>0.54644995074638181</v>
      </c>
      <c r="O97" s="11"/>
      <c r="P97" s="6">
        <v>3505.49</v>
      </c>
      <c r="Q97" s="2"/>
      <c r="R97" s="7">
        <f t="shared" si="29"/>
        <v>2.6736440879073804E-3</v>
      </c>
      <c r="S97" s="2"/>
      <c r="T97" s="6">
        <v>2006.2</v>
      </c>
      <c r="U97" s="2"/>
      <c r="V97" s="7">
        <f t="shared" si="30"/>
        <v>8.6158996176145851E-4</v>
      </c>
      <c r="W97" s="2"/>
      <c r="X97" s="6">
        <f t="shared" si="31"/>
        <v>1499.2899999999997</v>
      </c>
      <c r="Y97" s="2"/>
      <c r="Z97" s="7">
        <f t="shared" si="32"/>
        <v>0.74732828232479298</v>
      </c>
    </row>
    <row r="98" spans="1:26" s="25" customFormat="1" outlineLevel="1" collapsed="1" x14ac:dyDescent="0.25">
      <c r="A98" s="27"/>
      <c r="B98" s="13" t="str">
        <f>CONCATENATE("     ","*Payroll                                          ")</f>
        <v xml:space="preserve">     *Payroll                                          </v>
      </c>
      <c r="C98" s="13"/>
      <c r="D98" s="1">
        <f>SUM(OSRRefD22_1x_0)</f>
        <v>37229.65</v>
      </c>
      <c r="E98" s="1"/>
      <c r="F98" s="5">
        <f t="shared" ref="F98:F104" si="33">IF(D$12=0,0,D98/D$12)</f>
        <v>0.3094342768466265</v>
      </c>
      <c r="G98" s="1"/>
      <c r="H98" s="1">
        <f>SUM(OSRRefH22_1x_0)</f>
        <v>34269.72</v>
      </c>
      <c r="I98" s="1"/>
      <c r="J98" s="5">
        <f t="shared" ref="J98:J104" si="34">IF(H$12=0,0,H98/H$12)</f>
        <v>0.11154506739092457</v>
      </c>
      <c r="K98" s="1"/>
      <c r="L98" s="1">
        <f t="shared" ref="L98:L104" si="35">+D98-H98</f>
        <v>2959.9300000000003</v>
      </c>
      <c r="M98" s="1"/>
      <c r="N98" s="5">
        <f t="shared" ref="N98:N104" si="36">IF(H98=0,0,L98/H98)</f>
        <v>8.6371584010607627E-2</v>
      </c>
      <c r="O98" s="13"/>
      <c r="P98" s="1">
        <f>SUM(OSRRefP22_1x_0)</f>
        <v>303652.44</v>
      </c>
      <c r="Q98" s="1"/>
      <c r="R98" s="5">
        <f t="shared" ref="R98:R104" si="37">IF(P$12=0,0,P98/P$12)</f>
        <v>0.23159631063978234</v>
      </c>
      <c r="S98" s="1"/>
      <c r="T98" s="1">
        <f>SUM(OSRRefT22_1x_0)</f>
        <v>284554.77999999997</v>
      </c>
      <c r="U98" s="1"/>
      <c r="V98" s="5">
        <f t="shared" ref="V98:V104" si="38">IF(T$12=0,0,T98/T$12)</f>
        <v>0.12220593261850275</v>
      </c>
      <c r="W98" s="1"/>
      <c r="X98" s="1">
        <f t="shared" ref="X98:X104" si="39">+P98-T98</f>
        <v>19097.660000000033</v>
      </c>
      <c r="Y98" s="1"/>
      <c r="Z98" s="5">
        <f t="shared" ref="Z98:Z104" si="40">IF(T98=0,0,X98/T98)</f>
        <v>6.7114177452932036E-2</v>
      </c>
    </row>
    <row r="99" spans="1:26" s="24" customFormat="1" hidden="1" outlineLevel="2" x14ac:dyDescent="0.25">
      <c r="A99" s="26"/>
      <c r="B99" s="11" t="str">
        <f>CONCATENATE("          ", "6002", " - ", "STAFF SALARIES")</f>
        <v xml:space="preserve">          6002 - STAFF SALARIES</v>
      </c>
      <c r="C99" s="11"/>
      <c r="D99" s="6">
        <v>18906.510000000002</v>
      </c>
      <c r="E99" s="2"/>
      <c r="F99" s="7">
        <f t="shared" si="33"/>
        <v>0.15714147862103223</v>
      </c>
      <c r="G99" s="2"/>
      <c r="H99" s="6">
        <v>7656.02</v>
      </c>
      <c r="I99" s="2"/>
      <c r="J99" s="7">
        <f t="shared" si="34"/>
        <v>2.4919703658105939E-2</v>
      </c>
      <c r="K99" s="2"/>
      <c r="L99" s="6">
        <f t="shared" si="35"/>
        <v>11250.490000000002</v>
      </c>
      <c r="M99" s="2"/>
      <c r="N99" s="7">
        <f t="shared" si="36"/>
        <v>1.4694958999584642</v>
      </c>
      <c r="O99" s="11"/>
      <c r="P99" s="6">
        <v>145810.06</v>
      </c>
      <c r="Q99" s="2"/>
      <c r="R99" s="7">
        <f t="shared" si="37"/>
        <v>0.11120961830626258</v>
      </c>
      <c r="S99" s="2"/>
      <c r="T99" s="6">
        <v>78464.53</v>
      </c>
      <c r="U99" s="2"/>
      <c r="V99" s="7">
        <f t="shared" si="38"/>
        <v>3.3697662946032707E-2</v>
      </c>
      <c r="W99" s="2"/>
      <c r="X99" s="6">
        <f t="shared" si="39"/>
        <v>67345.53</v>
      </c>
      <c r="Y99" s="2"/>
      <c r="Z99" s="7">
        <f t="shared" si="40"/>
        <v>0.8582926578417025</v>
      </c>
    </row>
    <row r="100" spans="1:26" s="24" customFormat="1" hidden="1" outlineLevel="2" x14ac:dyDescent="0.25">
      <c r="A100" s="26"/>
      <c r="B100" s="11" t="str">
        <f>CONCATENATE("          ", "6004", " - ", "STAFF HOURLY")</f>
        <v xml:space="preserve">          6004 - STAFF HOURLY</v>
      </c>
      <c r="C100" s="11"/>
      <c r="D100" s="6">
        <v>3620.72</v>
      </c>
      <c r="E100" s="2"/>
      <c r="F100" s="7">
        <f t="shared" si="33"/>
        <v>3.0093618254915567E-2</v>
      </c>
      <c r="G100" s="2"/>
      <c r="H100" s="6">
        <v>3923.28</v>
      </c>
      <c r="I100" s="2"/>
      <c r="J100" s="7">
        <f t="shared" si="34"/>
        <v>1.2769947697076794E-2</v>
      </c>
      <c r="K100" s="2"/>
      <c r="L100" s="6">
        <f t="shared" si="35"/>
        <v>-302.5600000000004</v>
      </c>
      <c r="M100" s="2"/>
      <c r="N100" s="7">
        <f t="shared" si="36"/>
        <v>-7.7119145205032616E-2</v>
      </c>
      <c r="O100" s="11"/>
      <c r="P100" s="6">
        <v>49283.39</v>
      </c>
      <c r="Q100" s="2"/>
      <c r="R100" s="7">
        <f t="shared" si="37"/>
        <v>3.7588538066157286E-2</v>
      </c>
      <c r="S100" s="2"/>
      <c r="T100" s="6">
        <v>4567.67</v>
      </c>
      <c r="U100" s="2"/>
      <c r="V100" s="7">
        <f t="shared" si="38"/>
        <v>1.961648200896701E-3</v>
      </c>
      <c r="W100" s="2"/>
      <c r="X100" s="6">
        <f t="shared" si="39"/>
        <v>44715.72</v>
      </c>
      <c r="Y100" s="2"/>
      <c r="Z100" s="7">
        <f t="shared" si="40"/>
        <v>9.7896126471483278</v>
      </c>
    </row>
    <row r="101" spans="1:26" s="24" customFormat="1" hidden="1" outlineLevel="2" x14ac:dyDescent="0.25">
      <c r="A101" s="26"/>
      <c r="B101" s="11" t="str">
        <f>CONCATENATE("          ", "6005", " - ", "TEMPORARY WAGES-HOURLY")</f>
        <v xml:space="preserve">          6005 - TEMPORARY WAGES-HOURLY</v>
      </c>
      <c r="C101" s="11"/>
      <c r="D101" s="6">
        <v>6204.5</v>
      </c>
      <c r="E101" s="2"/>
      <c r="F101" s="7">
        <f t="shared" si="33"/>
        <v>5.1568708561452875E-2</v>
      </c>
      <c r="G101" s="2"/>
      <c r="H101" s="6">
        <v>4191.1400000000003</v>
      </c>
      <c r="I101" s="2"/>
      <c r="J101" s="7">
        <f t="shared" si="34"/>
        <v>1.3641809555047417E-2</v>
      </c>
      <c r="K101" s="2"/>
      <c r="L101" s="6">
        <f t="shared" si="35"/>
        <v>2013.3599999999997</v>
      </c>
      <c r="M101" s="2"/>
      <c r="N101" s="7">
        <f t="shared" si="36"/>
        <v>0.48038481176959003</v>
      </c>
      <c r="O101" s="11"/>
      <c r="P101" s="6">
        <v>43480.44</v>
      </c>
      <c r="Q101" s="2"/>
      <c r="R101" s="7">
        <f t="shared" si="37"/>
        <v>3.3162616737064318E-2</v>
      </c>
      <c r="S101" s="2"/>
      <c r="T101" s="6">
        <v>34800.230000000003</v>
      </c>
      <c r="U101" s="2"/>
      <c r="V101" s="7">
        <f t="shared" si="38"/>
        <v>1.4945433573417388E-2</v>
      </c>
      <c r="W101" s="2"/>
      <c r="X101" s="6">
        <f t="shared" si="39"/>
        <v>8680.2099999999991</v>
      </c>
      <c r="Y101" s="2"/>
      <c r="Z101" s="7">
        <f t="shared" si="40"/>
        <v>0.24942967330963037</v>
      </c>
    </row>
    <row r="102" spans="1:26" s="24" customFormat="1" hidden="1" outlineLevel="2" x14ac:dyDescent="0.25">
      <c r="A102" s="26"/>
      <c r="B102" s="11" t="str">
        <f>CONCATENATE("          ", "6006", " - ", "TEMPORARY PART TIME")</f>
        <v xml:space="preserve">          6006 - TEMPORARY PART TIME</v>
      </c>
      <c r="C102" s="11"/>
      <c r="D102" s="6">
        <v>1294.42</v>
      </c>
      <c r="E102" s="2"/>
      <c r="F102" s="7">
        <f t="shared" si="33"/>
        <v>1.075857325104615E-2</v>
      </c>
      <c r="G102" s="2"/>
      <c r="H102" s="6">
        <v>728.98</v>
      </c>
      <c r="I102" s="2"/>
      <c r="J102" s="7">
        <f t="shared" si="34"/>
        <v>2.3727688240999982E-3</v>
      </c>
      <c r="K102" s="2"/>
      <c r="L102" s="6">
        <f t="shared" si="35"/>
        <v>565.44000000000005</v>
      </c>
      <c r="M102" s="2"/>
      <c r="N102" s="7">
        <f t="shared" si="36"/>
        <v>0.77565914016845461</v>
      </c>
      <c r="O102" s="11"/>
      <c r="P102" s="6">
        <v>1294.42</v>
      </c>
      <c r="Q102" s="2"/>
      <c r="R102" s="7">
        <f t="shared" si="37"/>
        <v>9.8725666890194289E-4</v>
      </c>
      <c r="S102" s="2"/>
      <c r="T102" s="6">
        <v>795.48</v>
      </c>
      <c r="U102" s="2"/>
      <c r="V102" s="7">
        <f t="shared" si="38"/>
        <v>3.416297391994841E-4</v>
      </c>
      <c r="W102" s="2"/>
      <c r="X102" s="6">
        <f t="shared" si="39"/>
        <v>498.94000000000005</v>
      </c>
      <c r="Y102" s="2"/>
      <c r="Z102" s="7">
        <f t="shared" si="40"/>
        <v>0.62721878614170068</v>
      </c>
    </row>
    <row r="103" spans="1:26" s="24" customFormat="1" hidden="1" outlineLevel="2" x14ac:dyDescent="0.25">
      <c r="A103" s="26"/>
      <c r="B103" s="11" t="str">
        <f>CONCATENATE("          ", "6007", " - ", "STUDENT HOURLY")</f>
        <v xml:space="preserve">          6007 - STUDENT HOURLY</v>
      </c>
      <c r="C103" s="11"/>
      <c r="D103" s="6">
        <v>6364.48</v>
      </c>
      <c r="E103" s="2"/>
      <c r="F103" s="7">
        <f t="shared" si="33"/>
        <v>5.2898382507082856E-2</v>
      </c>
      <c r="G103" s="2"/>
      <c r="H103" s="6">
        <v>17770.3</v>
      </c>
      <c r="I103" s="2"/>
      <c r="J103" s="7">
        <f t="shared" si="34"/>
        <v>5.784083765659441E-2</v>
      </c>
      <c r="K103" s="2"/>
      <c r="L103" s="6">
        <f t="shared" si="35"/>
        <v>-11405.82</v>
      </c>
      <c r="M103" s="2"/>
      <c r="N103" s="7">
        <f t="shared" si="36"/>
        <v>-0.64184735204245291</v>
      </c>
      <c r="O103" s="11"/>
      <c r="P103" s="6">
        <v>57452.140000000007</v>
      </c>
      <c r="Q103" s="2"/>
      <c r="R103" s="7">
        <f t="shared" si="37"/>
        <v>4.3818859688268159E-2</v>
      </c>
      <c r="S103" s="2"/>
      <c r="T103" s="6">
        <v>165731.87</v>
      </c>
      <c r="U103" s="2"/>
      <c r="V103" s="7">
        <f t="shared" si="38"/>
        <v>7.1175812748457287E-2</v>
      </c>
      <c r="W103" s="2"/>
      <c r="X103" s="6">
        <f t="shared" si="39"/>
        <v>-108279.72999999998</v>
      </c>
      <c r="Y103" s="2"/>
      <c r="Z103" s="7">
        <f t="shared" si="40"/>
        <v>-0.65334283623300682</v>
      </c>
    </row>
    <row r="104" spans="1:26" s="24" customFormat="1" hidden="1" outlineLevel="2" x14ac:dyDescent="0.25">
      <c r="A104" s="26"/>
      <c r="B104" s="11" t="str">
        <f>CONCATENATE("          ", "6008", " - ", "STUDENT HOURLY-FICA EXEMPT")</f>
        <v xml:space="preserve">          6008 - STUDENT HOURLY-FICA EXEMPT</v>
      </c>
      <c r="C104" s="11"/>
      <c r="D104" s="6">
        <v>839.02</v>
      </c>
      <c r="E104" s="2"/>
      <c r="F104" s="7">
        <f t="shared" si="33"/>
        <v>6.9735156510968149E-3</v>
      </c>
      <c r="G104" s="2"/>
      <c r="H104" s="6"/>
      <c r="I104" s="2"/>
      <c r="J104" s="7">
        <f t="shared" si="34"/>
        <v>0</v>
      </c>
      <c r="K104" s="2"/>
      <c r="L104" s="6">
        <f t="shared" si="35"/>
        <v>839.02</v>
      </c>
      <c r="M104" s="2"/>
      <c r="N104" s="7">
        <f t="shared" si="36"/>
        <v>0</v>
      </c>
      <c r="O104" s="11"/>
      <c r="P104" s="6">
        <v>6331.99</v>
      </c>
      <c r="Q104" s="2"/>
      <c r="R104" s="7">
        <f t="shared" si="37"/>
        <v>4.8294211731280514E-3</v>
      </c>
      <c r="S104" s="2"/>
      <c r="T104" s="6">
        <v>195</v>
      </c>
      <c r="U104" s="2"/>
      <c r="V104" s="7">
        <f t="shared" si="38"/>
        <v>8.37454104991947E-5</v>
      </c>
      <c r="W104" s="2"/>
      <c r="X104" s="6">
        <f t="shared" si="39"/>
        <v>6136.99</v>
      </c>
      <c r="Y104" s="2"/>
      <c r="Z104" s="7">
        <f t="shared" si="40"/>
        <v>31.471743589743589</v>
      </c>
    </row>
    <row r="105" spans="1:26" s="25" customFormat="1" outlineLevel="1" collapsed="1" x14ac:dyDescent="0.25">
      <c r="A105" s="27"/>
      <c r="B105" s="13" t="str">
        <f>CONCATENATE("     ","Advertising/Promo                                 ")</f>
        <v xml:space="preserve">     Advertising/Promo                                 </v>
      </c>
      <c r="C105" s="13"/>
      <c r="D105" s="1">
        <f>SUM(OSRRefD22_2x_0)</f>
        <v>114.65</v>
      </c>
      <c r="E105" s="1"/>
      <c r="F105" s="5">
        <f t="shared" ref="F105:F113" si="41">IF(D$12=0,0,D105/D$12)</f>
        <v>9.5291360086559307E-4</v>
      </c>
      <c r="G105" s="1"/>
      <c r="H105" s="1">
        <f>SUM(OSRRefH22_2x_0)</f>
        <v>1020.41</v>
      </c>
      <c r="I105" s="1"/>
      <c r="J105" s="5">
        <f t="shared" ref="J105:J113" si="42">IF(H$12=0,0,H105/H$12)</f>
        <v>3.3213490573127916E-3</v>
      </c>
      <c r="K105" s="1"/>
      <c r="L105" s="1">
        <f t="shared" ref="L105:L113" si="43">+D105-H105</f>
        <v>-905.76</v>
      </c>
      <c r="M105" s="1"/>
      <c r="N105" s="5">
        <f t="shared" ref="N105:N113" si="44">IF(H105=0,0,L105/H105)</f>
        <v>-0.88764320224223603</v>
      </c>
      <c r="O105" s="13"/>
      <c r="P105" s="1">
        <f>SUM(OSRRefP22_2x_0)</f>
        <v>13799.52</v>
      </c>
      <c r="Q105" s="1"/>
      <c r="R105" s="5">
        <f t="shared" ref="R105:R113" si="45">IF(P$12=0,0,P105/P$12)</f>
        <v>1.0524920928018525E-2</v>
      </c>
      <c r="S105" s="1"/>
      <c r="T105" s="1">
        <f>SUM(OSRRefT22_2x_0)</f>
        <v>21003.4</v>
      </c>
      <c r="U105" s="1"/>
      <c r="V105" s="5">
        <f t="shared" ref="V105:V113" si="46">IF(T$12=0,0,T105/T$12)</f>
        <v>9.0201966916860828E-3</v>
      </c>
      <c r="W105" s="1"/>
      <c r="X105" s="1">
        <f t="shared" ref="X105:X113" si="47">+P105-T105</f>
        <v>-7203.880000000001</v>
      </c>
      <c r="Y105" s="1"/>
      <c r="Z105" s="5">
        <f t="shared" ref="Z105:Z113" si="48">IF(T105=0,0,X105/T105)</f>
        <v>-0.34298637363474488</v>
      </c>
    </row>
    <row r="106" spans="1:26" s="24" customFormat="1" hidden="1" outlineLevel="2" x14ac:dyDescent="0.25">
      <c r="A106" s="26"/>
      <c r="B106" s="11" t="str">
        <f>CONCATENATE("          ", "6362", " - ", "ADVERTISING EXPENSE")</f>
        <v xml:space="preserve">          6362 - ADVERTISING EXPENSE</v>
      </c>
      <c r="C106" s="11"/>
      <c r="D106" s="6">
        <v>114.65</v>
      </c>
      <c r="E106" s="2"/>
      <c r="F106" s="7">
        <f t="shared" si="41"/>
        <v>9.5291360086559307E-4</v>
      </c>
      <c r="G106" s="2"/>
      <c r="H106" s="6">
        <v>1020.41</v>
      </c>
      <c r="I106" s="2"/>
      <c r="J106" s="7">
        <f t="shared" si="42"/>
        <v>3.3213490573127916E-3</v>
      </c>
      <c r="K106" s="2"/>
      <c r="L106" s="6">
        <f t="shared" si="43"/>
        <v>-905.76</v>
      </c>
      <c r="M106" s="2"/>
      <c r="N106" s="7">
        <f t="shared" si="44"/>
        <v>-0.88764320224223603</v>
      </c>
      <c r="O106" s="11"/>
      <c r="P106" s="6">
        <v>13799.52</v>
      </c>
      <c r="Q106" s="2"/>
      <c r="R106" s="7">
        <f t="shared" si="45"/>
        <v>1.0524920928018525E-2</v>
      </c>
      <c r="S106" s="2"/>
      <c r="T106" s="6">
        <v>21003.4</v>
      </c>
      <c r="U106" s="2"/>
      <c r="V106" s="7">
        <f t="shared" si="46"/>
        <v>9.0201966916860828E-3</v>
      </c>
      <c r="W106" s="2"/>
      <c r="X106" s="6">
        <f t="shared" si="47"/>
        <v>-7203.880000000001</v>
      </c>
      <c r="Y106" s="2"/>
      <c r="Z106" s="7">
        <f t="shared" si="48"/>
        <v>-0.34298637363474488</v>
      </c>
    </row>
    <row r="107" spans="1:26" s="25" customFormat="1" outlineLevel="1" collapsed="1" x14ac:dyDescent="0.25">
      <c r="A107" s="27"/>
      <c r="B107" s="13" t="str">
        <f>CONCATENATE("     ","Bad Debts/Over/Short                              ")</f>
        <v xml:space="preserve">     Bad Debts/Over/Short                              </v>
      </c>
      <c r="C107" s="13"/>
      <c r="D107" s="1">
        <f>SUM(OSRRefD22_3x_0)</f>
        <v>-1.1499999999999999</v>
      </c>
      <c r="E107" s="1"/>
      <c r="F107" s="5">
        <f t="shared" si="41"/>
        <v>-9.5582262624983163E-6</v>
      </c>
      <c r="G107" s="1"/>
      <c r="H107" s="1">
        <f>SUM(OSRRefH22_3x_0)</f>
        <v>-1.33</v>
      </c>
      <c r="I107" s="1"/>
      <c r="J107" s="5">
        <f t="shared" si="42"/>
        <v>-4.3290385690320687E-6</v>
      </c>
      <c r="K107" s="1"/>
      <c r="L107" s="1">
        <f t="shared" si="43"/>
        <v>0.18000000000000016</v>
      </c>
      <c r="M107" s="1"/>
      <c r="N107" s="5">
        <f t="shared" si="44"/>
        <v>-0.13533834586466176</v>
      </c>
      <c r="O107" s="13"/>
      <c r="P107" s="1">
        <f>SUM(OSRRefP22_3x_0)</f>
        <v>-2.95</v>
      </c>
      <c r="Q107" s="1"/>
      <c r="R107" s="5">
        <f t="shared" si="45"/>
        <v>-2.2499707770744667E-6</v>
      </c>
      <c r="S107" s="1"/>
      <c r="T107" s="1">
        <f>SUM(OSRRefT22_3x_0)</f>
        <v>44.48</v>
      </c>
      <c r="U107" s="1"/>
      <c r="V107" s="5">
        <f t="shared" si="46"/>
        <v>1.9102542866688103E-5</v>
      </c>
      <c r="W107" s="1"/>
      <c r="X107" s="1">
        <f t="shared" si="47"/>
        <v>-47.43</v>
      </c>
      <c r="Y107" s="1"/>
      <c r="Z107" s="5">
        <f t="shared" si="48"/>
        <v>-1.0663219424460433</v>
      </c>
    </row>
    <row r="108" spans="1:26" s="24" customFormat="1" hidden="1" outlineLevel="2" x14ac:dyDescent="0.25">
      <c r="A108" s="26"/>
      <c r="B108" s="11" t="str">
        <f>CONCATENATE("          ", "6272", " - ", "CASH (OVER/SHORT)")</f>
        <v xml:space="preserve">          6272 - CASH (OVER/SHORT)</v>
      </c>
      <c r="C108" s="11"/>
      <c r="D108" s="6">
        <v>-1.1499999999999999</v>
      </c>
      <c r="E108" s="2"/>
      <c r="F108" s="7">
        <f t="shared" si="41"/>
        <v>-9.5582262624983163E-6</v>
      </c>
      <c r="G108" s="2"/>
      <c r="H108" s="6">
        <v>-1.33</v>
      </c>
      <c r="I108" s="2"/>
      <c r="J108" s="7">
        <f t="shared" si="42"/>
        <v>-4.3290385690320687E-6</v>
      </c>
      <c r="K108" s="2"/>
      <c r="L108" s="6">
        <f t="shared" si="43"/>
        <v>0.18000000000000016</v>
      </c>
      <c r="M108" s="2"/>
      <c r="N108" s="7">
        <f t="shared" si="44"/>
        <v>-0.13533834586466176</v>
      </c>
      <c r="O108" s="11"/>
      <c r="P108" s="6">
        <v>-2.95</v>
      </c>
      <c r="Q108" s="2"/>
      <c r="R108" s="7">
        <f t="shared" si="45"/>
        <v>-2.2499707770744667E-6</v>
      </c>
      <c r="S108" s="2"/>
      <c r="T108" s="6">
        <v>44.48</v>
      </c>
      <c r="U108" s="2"/>
      <c r="V108" s="7">
        <f t="shared" si="46"/>
        <v>1.9102542866688103E-5</v>
      </c>
      <c r="W108" s="2"/>
      <c r="X108" s="6">
        <f t="shared" si="47"/>
        <v>-47.43</v>
      </c>
      <c r="Y108" s="2"/>
      <c r="Z108" s="7">
        <f t="shared" si="48"/>
        <v>-1.0663219424460433</v>
      </c>
    </row>
    <row r="109" spans="1:26" s="25" customFormat="1" outlineLevel="1" collapsed="1" x14ac:dyDescent="0.25">
      <c r="A109" s="27"/>
      <c r="B109" s="13" t="str">
        <f>CONCATENATE("     ","Bank/card Fees                                    ")</f>
        <v xml:space="preserve">     Bank/card Fees                                    </v>
      </c>
      <c r="C109" s="13"/>
      <c r="D109" s="1">
        <f>SUM(OSRRefD22_4x_0)</f>
        <v>308.72000000000003</v>
      </c>
      <c r="E109" s="1"/>
      <c r="F109" s="5">
        <f t="shared" si="41"/>
        <v>2.565926618920418E-3</v>
      </c>
      <c r="G109" s="1"/>
      <c r="H109" s="1">
        <f>SUM(OSRRefH22_4x_0)</f>
        <v>626.4</v>
      </c>
      <c r="I109" s="1"/>
      <c r="J109" s="5">
        <f t="shared" si="42"/>
        <v>2.038879518527585E-3</v>
      </c>
      <c r="K109" s="1"/>
      <c r="L109" s="1">
        <f t="shared" si="43"/>
        <v>-317.67999999999995</v>
      </c>
      <c r="M109" s="1"/>
      <c r="N109" s="5">
        <f t="shared" si="44"/>
        <v>-0.50715197956577263</v>
      </c>
      <c r="O109" s="13"/>
      <c r="P109" s="1">
        <f>SUM(OSRRefP22_4x_0)</f>
        <v>2867.73</v>
      </c>
      <c r="Q109" s="1"/>
      <c r="R109" s="5">
        <f t="shared" si="45"/>
        <v>2.1872232869626306E-3</v>
      </c>
      <c r="S109" s="1"/>
      <c r="T109" s="1">
        <f>SUM(OSRRefT22_4x_0)</f>
        <v>5800.45</v>
      </c>
      <c r="U109" s="1"/>
      <c r="V109" s="5">
        <f t="shared" si="46"/>
        <v>2.4910823914361738E-3</v>
      </c>
      <c r="W109" s="1"/>
      <c r="X109" s="1">
        <f t="shared" si="47"/>
        <v>-2932.72</v>
      </c>
      <c r="Y109" s="1"/>
      <c r="Z109" s="5">
        <f t="shared" si="48"/>
        <v>-0.50560215155720678</v>
      </c>
    </row>
    <row r="110" spans="1:26" s="24" customFormat="1" hidden="1" outlineLevel="2" x14ac:dyDescent="0.25">
      <c r="A110" s="26"/>
      <c r="B110" s="11" t="str">
        <f>CONCATENATE("          ", "6381", " - ", "BANK/CREDIT CARD FEES")</f>
        <v xml:space="preserve">          6381 - BANK/CREDIT CARD FEES</v>
      </c>
      <c r="C110" s="11"/>
      <c r="D110" s="6">
        <v>308.72000000000003</v>
      </c>
      <c r="E110" s="2"/>
      <c r="F110" s="7">
        <f t="shared" si="41"/>
        <v>2.565926618920418E-3</v>
      </c>
      <c r="G110" s="2"/>
      <c r="H110" s="6">
        <v>626.4</v>
      </c>
      <c r="I110" s="2"/>
      <c r="J110" s="7">
        <f t="shared" si="42"/>
        <v>2.038879518527585E-3</v>
      </c>
      <c r="K110" s="2"/>
      <c r="L110" s="6">
        <f t="shared" si="43"/>
        <v>-317.67999999999995</v>
      </c>
      <c r="M110" s="2"/>
      <c r="N110" s="7">
        <f t="shared" si="44"/>
        <v>-0.50715197956577263</v>
      </c>
      <c r="O110" s="11"/>
      <c r="P110" s="6">
        <v>2867.73</v>
      </c>
      <c r="Q110" s="2"/>
      <c r="R110" s="7">
        <f t="shared" si="45"/>
        <v>2.1872232869626306E-3</v>
      </c>
      <c r="S110" s="2"/>
      <c r="T110" s="6">
        <v>5800.45</v>
      </c>
      <c r="U110" s="2"/>
      <c r="V110" s="7">
        <f t="shared" si="46"/>
        <v>2.4910823914361738E-3</v>
      </c>
      <c r="W110" s="2"/>
      <c r="X110" s="6">
        <f t="shared" si="47"/>
        <v>-2932.72</v>
      </c>
      <c r="Y110" s="2"/>
      <c r="Z110" s="7">
        <f t="shared" si="48"/>
        <v>-0.50560215155720678</v>
      </c>
    </row>
    <row r="111" spans="1:26" s="25" customFormat="1" outlineLevel="1" collapsed="1" x14ac:dyDescent="0.25">
      <c r="A111" s="27"/>
      <c r="B111" s="13" t="str">
        <f>CONCATENATE("     ","Discounts and Markdowns                           ")</f>
        <v xml:space="preserve">     Discounts and Markdowns                           </v>
      </c>
      <c r="C111" s="13"/>
      <c r="D111" s="1">
        <f>SUM(OSRRefD22_5x_0)</f>
        <v>0</v>
      </c>
      <c r="E111" s="1"/>
      <c r="F111" s="5">
        <f t="shared" si="41"/>
        <v>0</v>
      </c>
      <c r="G111" s="1"/>
      <c r="H111" s="1">
        <f>SUM(OSRRefH22_5x_0)</f>
        <v>32245.230000000003</v>
      </c>
      <c r="I111" s="1"/>
      <c r="J111" s="5">
        <f t="shared" si="42"/>
        <v>0.10495552205812778</v>
      </c>
      <c r="K111" s="1"/>
      <c r="L111" s="1">
        <f t="shared" si="43"/>
        <v>-32245.230000000003</v>
      </c>
      <c r="M111" s="1"/>
      <c r="N111" s="5">
        <f t="shared" si="44"/>
        <v>-1</v>
      </c>
      <c r="O111" s="13"/>
      <c r="P111" s="1">
        <f>SUM(OSRRefP22_5x_0)</f>
        <v>0</v>
      </c>
      <c r="Q111" s="1"/>
      <c r="R111" s="5">
        <f t="shared" si="45"/>
        <v>0</v>
      </c>
      <c r="S111" s="1"/>
      <c r="T111" s="1">
        <f>SUM(OSRRefT22_5x_0)</f>
        <v>242731.85</v>
      </c>
      <c r="U111" s="1"/>
      <c r="V111" s="5">
        <f t="shared" si="46"/>
        <v>0.10424450471527669</v>
      </c>
      <c r="W111" s="1"/>
      <c r="X111" s="1">
        <f t="shared" si="47"/>
        <v>-242731.85</v>
      </c>
      <c r="Y111" s="1"/>
      <c r="Z111" s="5">
        <f t="shared" si="48"/>
        <v>-1</v>
      </c>
    </row>
    <row r="112" spans="1:26" s="24" customFormat="1" hidden="1" outlineLevel="2" x14ac:dyDescent="0.25">
      <c r="A112" s="26"/>
      <c r="B112" s="11" t="str">
        <f>CONCATENATE("          ", "6382", " - ", "DISCOUNTS/MARK DOWNS")</f>
        <v xml:space="preserve">          6382 - DISCOUNTS/MARK DOWNS</v>
      </c>
      <c r="C112" s="11"/>
      <c r="D112" s="6"/>
      <c r="E112" s="2"/>
      <c r="F112" s="7">
        <f t="shared" si="41"/>
        <v>0</v>
      </c>
      <c r="G112" s="2"/>
      <c r="H112" s="6">
        <v>32245.230000000003</v>
      </c>
      <c r="I112" s="2"/>
      <c r="J112" s="7">
        <f t="shared" si="42"/>
        <v>0.10495552205812778</v>
      </c>
      <c r="K112" s="2"/>
      <c r="L112" s="6">
        <f t="shared" si="43"/>
        <v>-32245.230000000003</v>
      </c>
      <c r="M112" s="2"/>
      <c r="N112" s="7">
        <f t="shared" si="44"/>
        <v>-1</v>
      </c>
      <c r="O112" s="11"/>
      <c r="P112" s="6">
        <v>0</v>
      </c>
      <c r="Q112" s="2"/>
      <c r="R112" s="7">
        <f t="shared" si="45"/>
        <v>0</v>
      </c>
      <c r="S112" s="2"/>
      <c r="T112" s="6">
        <v>242751.24000000002</v>
      </c>
      <c r="U112" s="2"/>
      <c r="V112" s="7">
        <f t="shared" si="46"/>
        <v>0.10425283201532581</v>
      </c>
      <c r="W112" s="2"/>
      <c r="X112" s="6">
        <f t="shared" si="47"/>
        <v>-242751.24000000002</v>
      </c>
      <c r="Y112" s="2"/>
      <c r="Z112" s="7">
        <f t="shared" si="48"/>
        <v>-1</v>
      </c>
    </row>
    <row r="113" spans="1:26" s="24" customFormat="1" hidden="1" outlineLevel="2" x14ac:dyDescent="0.25">
      <c r="A113" s="26"/>
      <c r="B113" s="11" t="str">
        <f>CONCATENATE("          ", "9175", " - ", "EARNED DISCOUNTS")</f>
        <v xml:space="preserve">          9175 - EARNED DISCOUNTS</v>
      </c>
      <c r="C113" s="11"/>
      <c r="D113" s="6"/>
      <c r="E113" s="2"/>
      <c r="F113" s="7">
        <f t="shared" si="41"/>
        <v>0</v>
      </c>
      <c r="G113" s="2"/>
      <c r="H113" s="6"/>
      <c r="I113" s="2"/>
      <c r="J113" s="7">
        <f t="shared" si="42"/>
        <v>0</v>
      </c>
      <c r="K113" s="2"/>
      <c r="L113" s="6">
        <f t="shared" si="43"/>
        <v>0</v>
      </c>
      <c r="M113" s="2"/>
      <c r="N113" s="7">
        <f t="shared" si="44"/>
        <v>0</v>
      </c>
      <c r="O113" s="11"/>
      <c r="P113" s="6"/>
      <c r="Q113" s="2"/>
      <c r="R113" s="7">
        <f t="shared" si="45"/>
        <v>0</v>
      </c>
      <c r="S113" s="2"/>
      <c r="T113" s="6">
        <v>-19.39</v>
      </c>
      <c r="U113" s="2"/>
      <c r="V113" s="7">
        <f t="shared" si="46"/>
        <v>-8.3273000491250521E-6</v>
      </c>
      <c r="W113" s="2"/>
      <c r="X113" s="6">
        <f t="shared" si="47"/>
        <v>19.39</v>
      </c>
      <c r="Y113" s="2"/>
      <c r="Z113" s="7">
        <f t="shared" si="48"/>
        <v>-1</v>
      </c>
    </row>
    <row r="114" spans="1:26" s="25" customFormat="1" outlineLevel="1" collapsed="1" x14ac:dyDescent="0.25">
      <c r="A114" s="27"/>
      <c r="B114" s="13" t="str">
        <f>CONCATENATE("     ","Employees' Appreciation                           ")</f>
        <v xml:space="preserve">     Employees' Appreciation                           </v>
      </c>
      <c r="C114" s="13"/>
      <c r="D114" s="1">
        <f>SUM(OSRRefD22_6x_0)</f>
        <v>0</v>
      </c>
      <c r="E114" s="1"/>
      <c r="F114" s="5">
        <f t="shared" ref="F114:F118" si="49">IF(D$12=0,0,D114/D$12)</f>
        <v>0</v>
      </c>
      <c r="G114" s="1"/>
      <c r="H114" s="1">
        <f>SUM(OSRRefH22_6x_0)</f>
        <v>45.96</v>
      </c>
      <c r="I114" s="1"/>
      <c r="J114" s="5">
        <f t="shared" ref="J114:J118" si="50">IF(H$12=0,0,H114/H$12)</f>
        <v>1.4959594934790517E-4</v>
      </c>
      <c r="K114" s="1"/>
      <c r="L114" s="1">
        <f t="shared" ref="L114:L118" si="51">+D114-H114</f>
        <v>-45.96</v>
      </c>
      <c r="M114" s="1"/>
      <c r="N114" s="5">
        <f t="shared" ref="N114:N118" si="52">IF(H114=0,0,L114/H114)</f>
        <v>-1</v>
      </c>
      <c r="O114" s="13"/>
      <c r="P114" s="1">
        <f>SUM(OSRRefP22_6x_0)</f>
        <v>0</v>
      </c>
      <c r="Q114" s="1"/>
      <c r="R114" s="5">
        <f t="shared" ref="R114:R118" si="53">IF(P$12=0,0,P114/P$12)</f>
        <v>0</v>
      </c>
      <c r="S114" s="1"/>
      <c r="T114" s="1">
        <f>SUM(OSRRefT22_6x_0)</f>
        <v>376.37</v>
      </c>
      <c r="U114" s="1"/>
      <c r="V114" s="5">
        <f t="shared" ref="V114:V118" si="54">IF(T$12=0,0,T114/T$12)</f>
        <v>1.616372315363175E-4</v>
      </c>
      <c r="W114" s="1"/>
      <c r="X114" s="1">
        <f t="shared" ref="X114:X118" si="55">+P114-T114</f>
        <v>-376.37</v>
      </c>
      <c r="Y114" s="1"/>
      <c r="Z114" s="5">
        <f t="shared" ref="Z114:Z118" si="56">IF(T114=0,0,X114/T114)</f>
        <v>-1</v>
      </c>
    </row>
    <row r="115" spans="1:26" s="24" customFormat="1" hidden="1" outlineLevel="2" x14ac:dyDescent="0.25">
      <c r="A115" s="26"/>
      <c r="B115" s="11" t="str">
        <f>CONCATENATE("          ", "6277", " - ", "EMPLOYEE APPRECIATION")</f>
        <v xml:space="preserve">          6277 - EMPLOYEE APPRECIATION</v>
      </c>
      <c r="C115" s="11"/>
      <c r="D115" s="6"/>
      <c r="E115" s="2"/>
      <c r="F115" s="7">
        <f t="shared" si="49"/>
        <v>0</v>
      </c>
      <c r="G115" s="2"/>
      <c r="H115" s="6">
        <v>45.96</v>
      </c>
      <c r="I115" s="2"/>
      <c r="J115" s="7">
        <f t="shared" si="50"/>
        <v>1.4959594934790517E-4</v>
      </c>
      <c r="K115" s="2"/>
      <c r="L115" s="6">
        <f t="shared" si="51"/>
        <v>-45.96</v>
      </c>
      <c r="M115" s="2"/>
      <c r="N115" s="7">
        <f t="shared" si="52"/>
        <v>-1</v>
      </c>
      <c r="O115" s="11"/>
      <c r="P115" s="6"/>
      <c r="Q115" s="2"/>
      <c r="R115" s="7">
        <f t="shared" si="53"/>
        <v>0</v>
      </c>
      <c r="S115" s="2"/>
      <c r="T115" s="6">
        <v>376.37</v>
      </c>
      <c r="U115" s="2"/>
      <c r="V115" s="7">
        <f t="shared" si="54"/>
        <v>1.616372315363175E-4</v>
      </c>
      <c r="W115" s="2"/>
      <c r="X115" s="6">
        <f t="shared" si="55"/>
        <v>-376.37</v>
      </c>
      <c r="Y115" s="2"/>
      <c r="Z115" s="7">
        <f t="shared" si="56"/>
        <v>-1</v>
      </c>
    </row>
    <row r="116" spans="1:26" s="25" customFormat="1" outlineLevel="1" collapsed="1" x14ac:dyDescent="0.25">
      <c r="A116" s="27"/>
      <c r="B116" s="13" t="str">
        <f>CONCATENATE("     ","Freight out/Postage                               ")</f>
        <v xml:space="preserve">     Freight out/Postage                               </v>
      </c>
      <c r="C116" s="13"/>
      <c r="D116" s="1">
        <f>SUM(OSRRefD22_7x_0)</f>
        <v>52.110000000000007</v>
      </c>
      <c r="E116" s="1"/>
      <c r="F116" s="5">
        <f t="shared" si="49"/>
        <v>4.3311232220764114E-4</v>
      </c>
      <c r="G116" s="1"/>
      <c r="H116" s="1">
        <f>SUM(OSRRefH22_7x_0)</f>
        <v>0</v>
      </c>
      <c r="I116" s="1"/>
      <c r="J116" s="5">
        <f t="shared" si="50"/>
        <v>0</v>
      </c>
      <c r="K116" s="1"/>
      <c r="L116" s="1">
        <f t="shared" si="51"/>
        <v>52.110000000000007</v>
      </c>
      <c r="M116" s="1"/>
      <c r="N116" s="5">
        <f t="shared" si="52"/>
        <v>0</v>
      </c>
      <c r="O116" s="13"/>
      <c r="P116" s="1">
        <f>SUM(OSRRefP22_7x_0)</f>
        <v>286.53000000000003</v>
      </c>
      <c r="Q116" s="1"/>
      <c r="R116" s="5">
        <f t="shared" si="53"/>
        <v>2.1853699212038882E-4</v>
      </c>
      <c r="S116" s="1"/>
      <c r="T116" s="1">
        <f>SUM(OSRRefT22_7x_0)</f>
        <v>81.180000000000007</v>
      </c>
      <c r="U116" s="1"/>
      <c r="V116" s="5">
        <f t="shared" si="54"/>
        <v>3.4863858586280138E-5</v>
      </c>
      <c r="W116" s="1"/>
      <c r="X116" s="1">
        <f t="shared" si="55"/>
        <v>205.35000000000002</v>
      </c>
      <c r="Y116" s="1"/>
      <c r="Z116" s="5">
        <f t="shared" si="56"/>
        <v>2.5295639320029566</v>
      </c>
    </row>
    <row r="117" spans="1:26" s="24" customFormat="1" hidden="1" outlineLevel="2" x14ac:dyDescent="0.25">
      <c r="A117" s="26"/>
      <c r="B117" s="11" t="str">
        <f>CONCATENATE("          ", "6305", " - ", "FREIGHT OUT")</f>
        <v xml:space="preserve">          6305 - FREIGHT OUT</v>
      </c>
      <c r="C117" s="11"/>
      <c r="D117" s="6">
        <v>66.260000000000005</v>
      </c>
      <c r="E117" s="2"/>
      <c r="F117" s="7">
        <f t="shared" si="49"/>
        <v>5.5072006274185954E-4</v>
      </c>
      <c r="G117" s="2"/>
      <c r="H117" s="6"/>
      <c r="I117" s="2"/>
      <c r="J117" s="7">
        <f t="shared" si="50"/>
        <v>0</v>
      </c>
      <c r="K117" s="2"/>
      <c r="L117" s="6">
        <f t="shared" si="51"/>
        <v>66.260000000000005</v>
      </c>
      <c r="M117" s="2"/>
      <c r="N117" s="7">
        <f t="shared" si="52"/>
        <v>0</v>
      </c>
      <c r="O117" s="11"/>
      <c r="P117" s="6">
        <v>306.68</v>
      </c>
      <c r="Q117" s="2"/>
      <c r="R117" s="7">
        <f t="shared" si="53"/>
        <v>2.3390543658074491E-4</v>
      </c>
      <c r="S117" s="2"/>
      <c r="T117" s="6">
        <v>80.680000000000007</v>
      </c>
      <c r="U117" s="2"/>
      <c r="V117" s="7">
        <f t="shared" si="54"/>
        <v>3.4649126764487328E-5</v>
      </c>
      <c r="W117" s="2"/>
      <c r="X117" s="6">
        <f t="shared" si="55"/>
        <v>226</v>
      </c>
      <c r="Y117" s="2"/>
      <c r="Z117" s="7">
        <f t="shared" si="56"/>
        <v>2.801189885969261</v>
      </c>
    </row>
    <row r="118" spans="1:26" s="24" customFormat="1" hidden="1" outlineLevel="2" x14ac:dyDescent="0.25">
      <c r="A118" s="26"/>
      <c r="B118" s="11" t="str">
        <f>CONCATENATE("          ", "6307", " - ", "POSTAGE")</f>
        <v xml:space="preserve">          6307 - POSTAGE</v>
      </c>
      <c r="C118" s="11"/>
      <c r="D118" s="6">
        <v>-14.15</v>
      </c>
      <c r="E118" s="2"/>
      <c r="F118" s="7">
        <f t="shared" si="49"/>
        <v>-1.1760774053421842E-4</v>
      </c>
      <c r="G118" s="2"/>
      <c r="H118" s="6"/>
      <c r="I118" s="2"/>
      <c r="J118" s="7">
        <f t="shared" si="50"/>
        <v>0</v>
      </c>
      <c r="K118" s="2"/>
      <c r="L118" s="6">
        <f t="shared" si="51"/>
        <v>-14.15</v>
      </c>
      <c r="M118" s="2"/>
      <c r="N118" s="7">
        <f t="shared" si="52"/>
        <v>0</v>
      </c>
      <c r="O118" s="11"/>
      <c r="P118" s="6">
        <v>-20.149999999999999</v>
      </c>
      <c r="Q118" s="2"/>
      <c r="R118" s="7">
        <f t="shared" si="53"/>
        <v>-1.5368444460356102E-5</v>
      </c>
      <c r="S118" s="2"/>
      <c r="T118" s="6">
        <v>0.5</v>
      </c>
      <c r="U118" s="2"/>
      <c r="V118" s="7">
        <f t="shared" si="54"/>
        <v>2.1473182179280694E-7</v>
      </c>
      <c r="W118" s="2"/>
      <c r="X118" s="6">
        <f t="shared" si="55"/>
        <v>-20.65</v>
      </c>
      <c r="Y118" s="2"/>
      <c r="Z118" s="7">
        <f t="shared" si="56"/>
        <v>-41.3</v>
      </c>
    </row>
    <row r="119" spans="1:26" s="25" customFormat="1" outlineLevel="1" collapsed="1" x14ac:dyDescent="0.25">
      <c r="A119" s="27"/>
      <c r="B119" s="13" t="str">
        <f>CONCATENATE("     ","General                                           ")</f>
        <v xml:space="preserve">     General                                           </v>
      </c>
      <c r="C119" s="13"/>
      <c r="D119" s="1">
        <f>SUM(OSRRefD22_8x_0)</f>
        <v>0</v>
      </c>
      <c r="E119" s="1"/>
      <c r="F119" s="5">
        <f t="shared" ref="F119:F132" si="57">IF(D$12=0,0,D119/D$12)</f>
        <v>0</v>
      </c>
      <c r="G119" s="1"/>
      <c r="H119" s="1">
        <f>SUM(OSRRefH22_8x_0)</f>
        <v>0</v>
      </c>
      <c r="I119" s="1"/>
      <c r="J119" s="5">
        <f t="shared" ref="J119:J132" si="58">IF(H$12=0,0,H119/H$12)</f>
        <v>0</v>
      </c>
      <c r="K119" s="1"/>
      <c r="L119" s="1">
        <f t="shared" ref="L119:L132" si="59">+D119-H119</f>
        <v>0</v>
      </c>
      <c r="M119" s="1"/>
      <c r="N119" s="5">
        <f t="shared" ref="N119:N132" si="60">IF(H119=0,0,L119/H119)</f>
        <v>0</v>
      </c>
      <c r="O119" s="13"/>
      <c r="P119" s="1">
        <f>SUM(OSRRefP22_8x_0)</f>
        <v>1285.46</v>
      </c>
      <c r="Q119" s="1"/>
      <c r="R119" s="5">
        <f t="shared" ref="R119:R132" si="61">IF(P$12=0,0,P119/P$12)</f>
        <v>9.8042285935530317E-4</v>
      </c>
      <c r="S119" s="1"/>
      <c r="T119" s="1">
        <f>SUM(OSRRefT22_8x_0)</f>
        <v>1271.44</v>
      </c>
      <c r="U119" s="1"/>
      <c r="V119" s="5">
        <f t="shared" ref="V119:V132" si="62">IF(T$12=0,0,T119/T$12)</f>
        <v>5.4603725500049292E-4</v>
      </c>
      <c r="W119" s="1"/>
      <c r="X119" s="1">
        <f t="shared" ref="X119:X132" si="63">+P119-T119</f>
        <v>14.019999999999982</v>
      </c>
      <c r="Y119" s="1"/>
      <c r="Z119" s="5">
        <f t="shared" ref="Z119:Z132" si="64">IF(T119=0,0,X119/T119)</f>
        <v>1.1026867174227633E-2</v>
      </c>
    </row>
    <row r="120" spans="1:26" s="24" customFormat="1" hidden="1" outlineLevel="2" x14ac:dyDescent="0.25">
      <c r="A120" s="26"/>
      <c r="B120" s="11" t="str">
        <f>CONCATENATE("          ", "6279", " - ", "GENERAL EXPENSE")</f>
        <v xml:space="preserve">          6279 - GENERAL EXPENSE</v>
      </c>
      <c r="C120" s="11"/>
      <c r="D120" s="6"/>
      <c r="E120" s="2"/>
      <c r="F120" s="7">
        <f t="shared" si="57"/>
        <v>0</v>
      </c>
      <c r="G120" s="2"/>
      <c r="H120" s="6"/>
      <c r="I120" s="2"/>
      <c r="J120" s="7">
        <f t="shared" si="58"/>
        <v>0</v>
      </c>
      <c r="K120" s="2"/>
      <c r="L120" s="6">
        <f t="shared" si="59"/>
        <v>0</v>
      </c>
      <c r="M120" s="2"/>
      <c r="N120" s="7">
        <f t="shared" si="60"/>
        <v>0</v>
      </c>
      <c r="O120" s="11"/>
      <c r="P120" s="6">
        <v>1285.46</v>
      </c>
      <c r="Q120" s="2"/>
      <c r="R120" s="7">
        <f t="shared" si="61"/>
        <v>9.8042285935530317E-4</v>
      </c>
      <c r="S120" s="2"/>
      <c r="T120" s="6">
        <v>1271.44</v>
      </c>
      <c r="U120" s="2"/>
      <c r="V120" s="7">
        <f t="shared" si="62"/>
        <v>5.4603725500049292E-4</v>
      </c>
      <c r="W120" s="2"/>
      <c r="X120" s="6">
        <f t="shared" si="63"/>
        <v>14.019999999999982</v>
      </c>
      <c r="Y120" s="2"/>
      <c r="Z120" s="7">
        <f t="shared" si="64"/>
        <v>1.1026867174227633E-2</v>
      </c>
    </row>
    <row r="121" spans="1:26" s="25" customFormat="1" outlineLevel="1" collapsed="1" x14ac:dyDescent="0.25">
      <c r="A121" s="27"/>
      <c r="B121" s="13" t="str">
        <f>CONCATENATE("     ","Insurance                                         ")</f>
        <v xml:space="preserve">     Insurance                                         </v>
      </c>
      <c r="C121" s="13"/>
      <c r="D121" s="1">
        <f>SUM(OSRRefD22_9x_0)</f>
        <v>161.18</v>
      </c>
      <c r="E121" s="1"/>
      <c r="F121" s="5">
        <f t="shared" si="57"/>
        <v>1.3396477469473729E-3</v>
      </c>
      <c r="G121" s="1"/>
      <c r="H121" s="1">
        <f>SUM(OSRRefH22_9x_0)</f>
        <v>161.18</v>
      </c>
      <c r="I121" s="1"/>
      <c r="J121" s="5">
        <f t="shared" si="58"/>
        <v>5.2462739590720963E-4</v>
      </c>
      <c r="K121" s="1"/>
      <c r="L121" s="1">
        <f t="shared" si="59"/>
        <v>0</v>
      </c>
      <c r="M121" s="1"/>
      <c r="N121" s="5">
        <f t="shared" si="60"/>
        <v>0</v>
      </c>
      <c r="O121" s="13"/>
      <c r="P121" s="1">
        <f>SUM(OSRRefP22_9x_0)</f>
        <v>1289.44</v>
      </c>
      <c r="Q121" s="1"/>
      <c r="R121" s="5">
        <f t="shared" si="61"/>
        <v>9.8345841314945778E-4</v>
      </c>
      <c r="S121" s="1"/>
      <c r="T121" s="1">
        <f>SUM(OSRRefT22_9x_0)</f>
        <v>1289.44</v>
      </c>
      <c r="U121" s="1"/>
      <c r="V121" s="5">
        <f t="shared" si="62"/>
        <v>5.53767600585034E-4</v>
      </c>
      <c r="W121" s="1"/>
      <c r="X121" s="1">
        <f t="shared" si="63"/>
        <v>0</v>
      </c>
      <c r="Y121" s="1"/>
      <c r="Z121" s="5">
        <f t="shared" si="64"/>
        <v>0</v>
      </c>
    </row>
    <row r="122" spans="1:26" s="24" customFormat="1" hidden="1" outlineLevel="2" x14ac:dyDescent="0.25">
      <c r="A122" s="26"/>
      <c r="B122" s="11" t="str">
        <f>CONCATENATE("          ", "6314", " - ", "LIABILITY INSURANCE")</f>
        <v xml:space="preserve">          6314 - LIABILITY INSURANCE</v>
      </c>
      <c r="C122" s="11"/>
      <c r="D122" s="6">
        <v>161.18</v>
      </c>
      <c r="E122" s="2"/>
      <c r="F122" s="7">
        <f t="shared" si="57"/>
        <v>1.3396477469473729E-3</v>
      </c>
      <c r="G122" s="2"/>
      <c r="H122" s="6">
        <v>161.18</v>
      </c>
      <c r="I122" s="2"/>
      <c r="J122" s="7">
        <f t="shared" si="58"/>
        <v>5.2462739590720963E-4</v>
      </c>
      <c r="K122" s="2"/>
      <c r="L122" s="6">
        <f t="shared" si="59"/>
        <v>0</v>
      </c>
      <c r="M122" s="2"/>
      <c r="N122" s="7">
        <f t="shared" si="60"/>
        <v>0</v>
      </c>
      <c r="O122" s="11"/>
      <c r="P122" s="6">
        <v>1289.44</v>
      </c>
      <c r="Q122" s="2"/>
      <c r="R122" s="7">
        <f t="shared" si="61"/>
        <v>9.8345841314945778E-4</v>
      </c>
      <c r="S122" s="2"/>
      <c r="T122" s="6">
        <v>1289.44</v>
      </c>
      <c r="U122" s="2"/>
      <c r="V122" s="7">
        <f t="shared" si="62"/>
        <v>5.53767600585034E-4</v>
      </c>
      <c r="W122" s="2"/>
      <c r="X122" s="6">
        <f t="shared" si="63"/>
        <v>0</v>
      </c>
      <c r="Y122" s="2"/>
      <c r="Z122" s="7">
        <f t="shared" si="64"/>
        <v>0</v>
      </c>
    </row>
    <row r="123" spans="1:26" s="25" customFormat="1" outlineLevel="1" collapsed="1" x14ac:dyDescent="0.25">
      <c r="A123" s="27"/>
      <c r="B123" s="13" t="str">
        <f>CONCATENATE("     ","Inventory Adjustment                              ")</f>
        <v xml:space="preserve">     Inventory Adjustment                              </v>
      </c>
      <c r="C123" s="13"/>
      <c r="D123" s="1">
        <f>SUM(OSRRefD22_10x_0)</f>
        <v>1100</v>
      </c>
      <c r="E123" s="1"/>
      <c r="F123" s="5">
        <f t="shared" si="57"/>
        <v>9.1426512076070859E-3</v>
      </c>
      <c r="G123" s="1"/>
      <c r="H123" s="1">
        <f>SUM(OSRRefH22_10x_0)</f>
        <v>3150</v>
      </c>
      <c r="I123" s="1"/>
      <c r="J123" s="5">
        <f t="shared" si="58"/>
        <v>1.0252986084549637E-2</v>
      </c>
      <c r="K123" s="1"/>
      <c r="L123" s="1">
        <f t="shared" si="59"/>
        <v>-2050</v>
      </c>
      <c r="M123" s="1"/>
      <c r="N123" s="5">
        <f t="shared" si="60"/>
        <v>-0.65079365079365081</v>
      </c>
      <c r="O123" s="13"/>
      <c r="P123" s="1">
        <f>SUM(OSRRefP22_10x_0)</f>
        <v>8800</v>
      </c>
      <c r="Q123" s="1"/>
      <c r="R123" s="5">
        <f t="shared" si="61"/>
        <v>6.7117772333068837E-3</v>
      </c>
      <c r="S123" s="1"/>
      <c r="T123" s="1">
        <f>SUM(OSRRefT22_10x_0)</f>
        <v>25200</v>
      </c>
      <c r="U123" s="1"/>
      <c r="V123" s="5">
        <f t="shared" si="62"/>
        <v>1.0822483818357469E-2</v>
      </c>
      <c r="W123" s="1"/>
      <c r="X123" s="1">
        <f t="shared" si="63"/>
        <v>-16400</v>
      </c>
      <c r="Y123" s="1"/>
      <c r="Z123" s="5">
        <f t="shared" si="64"/>
        <v>-0.65079365079365081</v>
      </c>
    </row>
    <row r="124" spans="1:26" s="24" customFormat="1" hidden="1" outlineLevel="2" x14ac:dyDescent="0.25">
      <c r="A124" s="26"/>
      <c r="B124" s="11" t="str">
        <f>CONCATENATE("          ", "6408", " - ", "INVENTORY ADJUSTMENT")</f>
        <v xml:space="preserve">          6408 - INVENTORY ADJUSTMENT</v>
      </c>
      <c r="C124" s="11"/>
      <c r="D124" s="6">
        <v>1100</v>
      </c>
      <c r="E124" s="2"/>
      <c r="F124" s="7">
        <f t="shared" si="57"/>
        <v>9.1426512076070859E-3</v>
      </c>
      <c r="G124" s="2"/>
      <c r="H124" s="6">
        <v>3150</v>
      </c>
      <c r="I124" s="2"/>
      <c r="J124" s="7">
        <f t="shared" si="58"/>
        <v>1.0252986084549637E-2</v>
      </c>
      <c r="K124" s="2"/>
      <c r="L124" s="6">
        <f t="shared" si="59"/>
        <v>-2050</v>
      </c>
      <c r="M124" s="2"/>
      <c r="N124" s="7">
        <f t="shared" si="60"/>
        <v>-0.65079365079365081</v>
      </c>
      <c r="O124" s="11"/>
      <c r="P124" s="6">
        <v>8800</v>
      </c>
      <c r="Q124" s="2"/>
      <c r="R124" s="7">
        <f t="shared" si="61"/>
        <v>6.7117772333068837E-3</v>
      </c>
      <c r="S124" s="2"/>
      <c r="T124" s="6">
        <v>25200</v>
      </c>
      <c r="U124" s="2"/>
      <c r="V124" s="7">
        <f t="shared" si="62"/>
        <v>1.0822483818357469E-2</v>
      </c>
      <c r="W124" s="2"/>
      <c r="X124" s="6">
        <f t="shared" si="63"/>
        <v>-16400</v>
      </c>
      <c r="Y124" s="2"/>
      <c r="Z124" s="7">
        <f t="shared" si="64"/>
        <v>-0.65079365079365081</v>
      </c>
    </row>
    <row r="125" spans="1:26" s="25" customFormat="1" outlineLevel="1" collapsed="1" x14ac:dyDescent="0.25">
      <c r="A125" s="27"/>
      <c r="B125" s="13" t="str">
        <f>CONCATENATE("     ","Professional Services                             ")</f>
        <v xml:space="preserve">     Professional Services                             </v>
      </c>
      <c r="C125" s="13"/>
      <c r="D125" s="1">
        <f>SUM(OSRRefD22_11x_0)</f>
        <v>0</v>
      </c>
      <c r="E125" s="1"/>
      <c r="F125" s="5">
        <f t="shared" si="57"/>
        <v>0</v>
      </c>
      <c r="G125" s="1"/>
      <c r="H125" s="1">
        <f>SUM(OSRRefH22_11x_0)</f>
        <v>0</v>
      </c>
      <c r="I125" s="1"/>
      <c r="J125" s="5">
        <f t="shared" si="58"/>
        <v>0</v>
      </c>
      <c r="K125" s="1"/>
      <c r="L125" s="1">
        <f t="shared" si="59"/>
        <v>0</v>
      </c>
      <c r="M125" s="1"/>
      <c r="N125" s="5">
        <f t="shared" si="60"/>
        <v>0</v>
      </c>
      <c r="O125" s="13"/>
      <c r="P125" s="1">
        <f>SUM(OSRRefP22_11x_0)</f>
        <v>0</v>
      </c>
      <c r="Q125" s="1"/>
      <c r="R125" s="5">
        <f t="shared" si="61"/>
        <v>0</v>
      </c>
      <c r="S125" s="1"/>
      <c r="T125" s="1">
        <f>SUM(OSRRefT22_11x_0)</f>
        <v>750</v>
      </c>
      <c r="U125" s="1"/>
      <c r="V125" s="5">
        <f t="shared" si="62"/>
        <v>3.2209773268921039E-4</v>
      </c>
      <c r="W125" s="1"/>
      <c r="X125" s="1">
        <f t="shared" si="63"/>
        <v>-750</v>
      </c>
      <c r="Y125" s="1"/>
      <c r="Z125" s="5">
        <f t="shared" si="64"/>
        <v>-1</v>
      </c>
    </row>
    <row r="126" spans="1:26" s="24" customFormat="1" hidden="1" outlineLevel="2" x14ac:dyDescent="0.25">
      <c r="A126" s="26"/>
      <c r="B126" s="11" t="str">
        <f>CONCATENATE("          ", "6336", " - ", "PROFESSIONAL SERVICES")</f>
        <v xml:space="preserve">          6336 - PROFESSIONAL SERVICES</v>
      </c>
      <c r="C126" s="11"/>
      <c r="D126" s="6"/>
      <c r="E126" s="2"/>
      <c r="F126" s="7">
        <f t="shared" si="57"/>
        <v>0</v>
      </c>
      <c r="G126" s="2"/>
      <c r="H126" s="6"/>
      <c r="I126" s="2"/>
      <c r="J126" s="7">
        <f t="shared" si="58"/>
        <v>0</v>
      </c>
      <c r="K126" s="2"/>
      <c r="L126" s="6">
        <f t="shared" si="59"/>
        <v>0</v>
      </c>
      <c r="M126" s="2"/>
      <c r="N126" s="7">
        <f t="shared" si="60"/>
        <v>0</v>
      </c>
      <c r="O126" s="11"/>
      <c r="P126" s="6"/>
      <c r="Q126" s="2"/>
      <c r="R126" s="7">
        <f t="shared" si="61"/>
        <v>0</v>
      </c>
      <c r="S126" s="2"/>
      <c r="T126" s="6">
        <v>750</v>
      </c>
      <c r="U126" s="2"/>
      <c r="V126" s="7">
        <f t="shared" si="62"/>
        <v>3.2209773268921039E-4</v>
      </c>
      <c r="W126" s="2"/>
      <c r="X126" s="6">
        <f t="shared" si="63"/>
        <v>-750</v>
      </c>
      <c r="Y126" s="2"/>
      <c r="Z126" s="7">
        <f t="shared" si="64"/>
        <v>-1</v>
      </c>
    </row>
    <row r="127" spans="1:26" s="25" customFormat="1" outlineLevel="1" collapsed="1" x14ac:dyDescent="0.25">
      <c r="A127" s="27"/>
      <c r="B127" s="13" t="str">
        <f>CONCATENATE("     ","Rent                                              ")</f>
        <v xml:space="preserve">     Rent                                              </v>
      </c>
      <c r="C127" s="13"/>
      <c r="D127" s="1">
        <f>SUM(OSRRefD22_12x_0)</f>
        <v>6900</v>
      </c>
      <c r="E127" s="1"/>
      <c r="F127" s="5">
        <f t="shared" si="57"/>
        <v>5.73493575749899E-2</v>
      </c>
      <c r="G127" s="1"/>
      <c r="H127" s="1">
        <f>SUM(OSRRefH22_12x_0)</f>
        <v>6900</v>
      </c>
      <c r="I127" s="1"/>
      <c r="J127" s="5">
        <f t="shared" si="58"/>
        <v>2.245892189948968E-2</v>
      </c>
      <c r="K127" s="1"/>
      <c r="L127" s="1">
        <f t="shared" si="59"/>
        <v>0</v>
      </c>
      <c r="M127" s="1"/>
      <c r="N127" s="5">
        <f t="shared" si="60"/>
        <v>0</v>
      </c>
      <c r="O127" s="13"/>
      <c r="P127" s="1">
        <f>SUM(OSRRefP22_12x_0)</f>
        <v>55200</v>
      </c>
      <c r="Q127" s="1"/>
      <c r="R127" s="5">
        <f t="shared" si="61"/>
        <v>4.210114809983409E-2</v>
      </c>
      <c r="S127" s="1"/>
      <c r="T127" s="1">
        <f>SUM(OSRRefT22_12x_0)</f>
        <v>55200</v>
      </c>
      <c r="U127" s="1"/>
      <c r="V127" s="5">
        <f t="shared" si="62"/>
        <v>2.3706393125925884E-2</v>
      </c>
      <c r="W127" s="1"/>
      <c r="X127" s="1">
        <f t="shared" si="63"/>
        <v>0</v>
      </c>
      <c r="Y127" s="1"/>
      <c r="Z127" s="5">
        <f t="shared" si="64"/>
        <v>0</v>
      </c>
    </row>
    <row r="128" spans="1:26" s="24" customFormat="1" hidden="1" outlineLevel="2" x14ac:dyDescent="0.25">
      <c r="A128" s="26"/>
      <c r="B128" s="11" t="str">
        <f>CONCATENATE("          ", "6273", " - ", "RENT")</f>
        <v xml:space="preserve">          6273 - RENT</v>
      </c>
      <c r="C128" s="11"/>
      <c r="D128" s="6">
        <v>6900</v>
      </c>
      <c r="E128" s="2"/>
      <c r="F128" s="7">
        <f t="shared" si="57"/>
        <v>5.73493575749899E-2</v>
      </c>
      <c r="G128" s="2"/>
      <c r="H128" s="6">
        <v>6900</v>
      </c>
      <c r="I128" s="2"/>
      <c r="J128" s="7">
        <f t="shared" si="58"/>
        <v>2.245892189948968E-2</v>
      </c>
      <c r="K128" s="2"/>
      <c r="L128" s="6">
        <f t="shared" si="59"/>
        <v>0</v>
      </c>
      <c r="M128" s="2"/>
      <c r="N128" s="7">
        <f t="shared" si="60"/>
        <v>0</v>
      </c>
      <c r="O128" s="11"/>
      <c r="P128" s="6">
        <v>55200</v>
      </c>
      <c r="Q128" s="2"/>
      <c r="R128" s="7">
        <f t="shared" si="61"/>
        <v>4.210114809983409E-2</v>
      </c>
      <c r="S128" s="2"/>
      <c r="T128" s="6">
        <v>55200</v>
      </c>
      <c r="U128" s="2"/>
      <c r="V128" s="7">
        <f t="shared" si="62"/>
        <v>2.3706393125925884E-2</v>
      </c>
      <c r="W128" s="2"/>
      <c r="X128" s="6">
        <f t="shared" si="63"/>
        <v>0</v>
      </c>
      <c r="Y128" s="2"/>
      <c r="Z128" s="7">
        <f t="shared" si="64"/>
        <v>0</v>
      </c>
    </row>
    <row r="129" spans="1:26" s="25" customFormat="1" outlineLevel="1" collapsed="1" x14ac:dyDescent="0.25">
      <c r="A129" s="27"/>
      <c r="B129" s="13" t="str">
        <f>CONCATENATE("     ","Repair and Maintenance                            ")</f>
        <v xml:space="preserve">     Repair and Maintenance                            </v>
      </c>
      <c r="C129" s="13"/>
      <c r="D129" s="1">
        <f>SUM(OSRRefD22_13x_0)</f>
        <v>-0.52</v>
      </c>
      <c r="E129" s="1"/>
      <c r="F129" s="5">
        <f t="shared" si="57"/>
        <v>-4.3219805708688041E-6</v>
      </c>
      <c r="G129" s="1"/>
      <c r="H129" s="1">
        <f>SUM(OSRRefH22_13x_0)</f>
        <v>0</v>
      </c>
      <c r="I129" s="1"/>
      <c r="J129" s="5">
        <f t="shared" si="58"/>
        <v>0</v>
      </c>
      <c r="K129" s="1"/>
      <c r="L129" s="1">
        <f t="shared" si="59"/>
        <v>-0.52</v>
      </c>
      <c r="M129" s="1"/>
      <c r="N129" s="5">
        <f t="shared" si="60"/>
        <v>0</v>
      </c>
      <c r="O129" s="13"/>
      <c r="P129" s="1">
        <f>SUM(OSRRefP22_13x_0)</f>
        <v>95.92</v>
      </c>
      <c r="Q129" s="1"/>
      <c r="R129" s="5">
        <f t="shared" si="61"/>
        <v>7.3158371843045036E-5</v>
      </c>
      <c r="S129" s="1"/>
      <c r="T129" s="1">
        <f>SUM(OSRRefT22_13x_0)</f>
        <v>275.75</v>
      </c>
      <c r="U129" s="1"/>
      <c r="V129" s="5">
        <f t="shared" si="62"/>
        <v>1.1842459971873302E-4</v>
      </c>
      <c r="W129" s="1"/>
      <c r="X129" s="1">
        <f t="shared" si="63"/>
        <v>-179.82999999999998</v>
      </c>
      <c r="Y129" s="1"/>
      <c r="Z129" s="5">
        <f t="shared" si="64"/>
        <v>-0.65214868540344506</v>
      </c>
    </row>
    <row r="130" spans="1:26" s="24" customFormat="1" hidden="1" outlineLevel="2" x14ac:dyDescent="0.25">
      <c r="A130" s="26"/>
      <c r="B130" s="11" t="str">
        <f>CONCATENATE("          ", "6372", " - ", "COMPUTER HARDWARE MAINTENANCE")</f>
        <v xml:space="preserve">          6372 - COMPUTER HARDWARE MAINTENANCE</v>
      </c>
      <c r="C130" s="11"/>
      <c r="D130" s="6">
        <v>-0.52</v>
      </c>
      <c r="E130" s="2"/>
      <c r="F130" s="7">
        <f t="shared" si="57"/>
        <v>-4.3219805708688041E-6</v>
      </c>
      <c r="G130" s="2"/>
      <c r="H130" s="6"/>
      <c r="I130" s="2"/>
      <c r="J130" s="7">
        <f t="shared" si="58"/>
        <v>0</v>
      </c>
      <c r="K130" s="2"/>
      <c r="L130" s="6">
        <f t="shared" si="59"/>
        <v>-0.52</v>
      </c>
      <c r="M130" s="2"/>
      <c r="N130" s="7">
        <f t="shared" si="60"/>
        <v>0</v>
      </c>
      <c r="O130" s="11"/>
      <c r="P130" s="6">
        <v>-0.52</v>
      </c>
      <c r="Q130" s="2"/>
      <c r="R130" s="7">
        <f t="shared" si="61"/>
        <v>-3.966050183317704E-7</v>
      </c>
      <c r="S130" s="2"/>
      <c r="T130" s="6"/>
      <c r="U130" s="2"/>
      <c r="V130" s="7">
        <f t="shared" si="62"/>
        <v>0</v>
      </c>
      <c r="W130" s="2"/>
      <c r="X130" s="6">
        <f t="shared" si="63"/>
        <v>-0.52</v>
      </c>
      <c r="Y130" s="2"/>
      <c r="Z130" s="7">
        <f t="shared" si="64"/>
        <v>0</v>
      </c>
    </row>
    <row r="131" spans="1:26" s="24" customFormat="1" hidden="1" outlineLevel="2" x14ac:dyDescent="0.25">
      <c r="A131" s="26"/>
      <c r="B131" s="11" t="str">
        <f>CONCATENATE("          ", "6373", " - ", "MAINTENANCE CONTRACTS")</f>
        <v xml:space="preserve">          6373 - MAINTENANCE CONTRACTS</v>
      </c>
      <c r="C131" s="11"/>
      <c r="D131" s="6"/>
      <c r="E131" s="2"/>
      <c r="F131" s="7">
        <f t="shared" si="57"/>
        <v>0</v>
      </c>
      <c r="G131" s="2"/>
      <c r="H131" s="6"/>
      <c r="I131" s="2"/>
      <c r="J131" s="7">
        <f t="shared" si="58"/>
        <v>0</v>
      </c>
      <c r="K131" s="2"/>
      <c r="L131" s="6">
        <f t="shared" si="59"/>
        <v>0</v>
      </c>
      <c r="M131" s="2"/>
      <c r="N131" s="7">
        <f t="shared" si="60"/>
        <v>0</v>
      </c>
      <c r="O131" s="11"/>
      <c r="P131" s="6">
        <v>96.44</v>
      </c>
      <c r="Q131" s="2"/>
      <c r="R131" s="7">
        <f t="shared" si="61"/>
        <v>7.3554976861376804E-5</v>
      </c>
      <c r="S131" s="2"/>
      <c r="T131" s="6">
        <v>93.22</v>
      </c>
      <c r="U131" s="2"/>
      <c r="V131" s="7">
        <f t="shared" si="62"/>
        <v>4.0034600855050925E-5</v>
      </c>
      <c r="W131" s="2"/>
      <c r="X131" s="6">
        <f t="shared" si="63"/>
        <v>3.2199999999999989</v>
      </c>
      <c r="Y131" s="2"/>
      <c r="Z131" s="7">
        <f t="shared" si="64"/>
        <v>3.4541943788886496E-2</v>
      </c>
    </row>
    <row r="132" spans="1:26" s="24" customFormat="1" hidden="1" outlineLevel="2" x14ac:dyDescent="0.25">
      <c r="A132" s="26"/>
      <c r="B132" s="11" t="str">
        <f>CONCATENATE("          ", "6375", " - ", "OUTSIDE REPAIRS &amp; MAINTENANCE")</f>
        <v xml:space="preserve">          6375 - OUTSIDE REPAIRS &amp; MAINTENANCE</v>
      </c>
      <c r="C132" s="11"/>
      <c r="D132" s="6"/>
      <c r="E132" s="2"/>
      <c r="F132" s="7">
        <f t="shared" si="57"/>
        <v>0</v>
      </c>
      <c r="G132" s="2"/>
      <c r="H132" s="6"/>
      <c r="I132" s="2"/>
      <c r="J132" s="7">
        <f t="shared" si="58"/>
        <v>0</v>
      </c>
      <c r="K132" s="2"/>
      <c r="L132" s="6">
        <f t="shared" si="59"/>
        <v>0</v>
      </c>
      <c r="M132" s="2"/>
      <c r="N132" s="7">
        <f t="shared" si="60"/>
        <v>0</v>
      </c>
      <c r="O132" s="11"/>
      <c r="P132" s="6"/>
      <c r="Q132" s="2"/>
      <c r="R132" s="7">
        <f t="shared" si="61"/>
        <v>0</v>
      </c>
      <c r="S132" s="2"/>
      <c r="T132" s="6">
        <v>182.53</v>
      </c>
      <c r="U132" s="2"/>
      <c r="V132" s="7">
        <f t="shared" si="62"/>
        <v>7.8389998863682099E-5</v>
      </c>
      <c r="W132" s="2"/>
      <c r="X132" s="6">
        <f t="shared" si="63"/>
        <v>-182.53</v>
      </c>
      <c r="Y132" s="2"/>
      <c r="Z132" s="7">
        <f t="shared" si="64"/>
        <v>-1</v>
      </c>
    </row>
    <row r="133" spans="1:26" s="25" customFormat="1" outlineLevel="1" collapsed="1" x14ac:dyDescent="0.25">
      <c r="A133" s="27"/>
      <c r="B133" s="13" t="str">
        <f>CONCATENATE("     ","Royalty &amp; Commissions                             ")</f>
        <v xml:space="preserve">     Royalty &amp; Commissions                             </v>
      </c>
      <c r="C133" s="13"/>
      <c r="D133" s="1">
        <f>SUM(OSRRefD22_14x_0)</f>
        <v>0</v>
      </c>
      <c r="E133" s="1"/>
      <c r="F133" s="5">
        <f t="shared" ref="F133:F135" si="65">IF(D$12=0,0,D133/D$12)</f>
        <v>0</v>
      </c>
      <c r="G133" s="1"/>
      <c r="H133" s="1">
        <f>SUM(OSRRefH22_14x_0)</f>
        <v>15749.59</v>
      </c>
      <c r="I133" s="1"/>
      <c r="J133" s="5">
        <f t="shared" ref="J133:J135" si="66">IF(H$12=0,0,H133/H$12)</f>
        <v>5.1263595907099085E-2</v>
      </c>
      <c r="K133" s="1"/>
      <c r="L133" s="1">
        <f t="shared" ref="L133:L135" si="67">+D133-H133</f>
        <v>-15749.59</v>
      </c>
      <c r="M133" s="1"/>
      <c r="N133" s="5">
        <f t="shared" ref="N133:N135" si="68">IF(H133=0,0,L133/H133)</f>
        <v>-1</v>
      </c>
      <c r="O133" s="13"/>
      <c r="P133" s="1">
        <f>SUM(OSRRefP22_14x_0)</f>
        <v>26197.58</v>
      </c>
      <c r="Q133" s="1"/>
      <c r="R133" s="5">
        <f t="shared" ref="R133:R135" si="69">IF(P$12=0,0,P133/P$12)</f>
        <v>1.9980945569515428E-2</v>
      </c>
      <c r="S133" s="1"/>
      <c r="T133" s="1">
        <f>SUM(OSRRefT22_14x_0)</f>
        <v>23441.19</v>
      </c>
      <c r="U133" s="1"/>
      <c r="V133" s="5">
        <f t="shared" ref="V133:V135" si="70">IF(T$12=0,0,T133/T$12)</f>
        <v>1.0067138867382655E-2</v>
      </c>
      <c r="W133" s="1"/>
      <c r="X133" s="1">
        <f t="shared" ref="X133:X135" si="71">+P133-T133</f>
        <v>2756.3900000000031</v>
      </c>
      <c r="Y133" s="1"/>
      <c r="Z133" s="5">
        <f t="shared" ref="Z133:Z135" si="72">IF(T133=0,0,X133/T133)</f>
        <v>0.11758746036357383</v>
      </c>
    </row>
    <row r="134" spans="1:26" s="24" customFormat="1" hidden="1" outlineLevel="2" x14ac:dyDescent="0.25">
      <c r="A134" s="26"/>
      <c r="B134" s="11" t="str">
        <f>CONCATENATE("          ", "6253", " - ", "ROYALTY DUE ATHLETICS-LRG")</f>
        <v xml:space="preserve">          6253 - ROYALTY DUE ATHLETICS-LRG</v>
      </c>
      <c r="C134" s="11"/>
      <c r="D134" s="6"/>
      <c r="E134" s="2"/>
      <c r="F134" s="7">
        <f t="shared" si="65"/>
        <v>0</v>
      </c>
      <c r="G134" s="2"/>
      <c r="H134" s="6">
        <v>12278.49</v>
      </c>
      <c r="I134" s="2"/>
      <c r="J134" s="7">
        <f t="shared" si="66"/>
        <v>3.9965456225168845E-2</v>
      </c>
      <c r="K134" s="2"/>
      <c r="L134" s="6">
        <f t="shared" si="67"/>
        <v>-12278.49</v>
      </c>
      <c r="M134" s="2"/>
      <c r="N134" s="7">
        <f t="shared" si="68"/>
        <v>-1</v>
      </c>
      <c r="O134" s="11"/>
      <c r="P134" s="6">
        <v>26197.58</v>
      </c>
      <c r="Q134" s="2"/>
      <c r="R134" s="7">
        <f t="shared" si="69"/>
        <v>1.9980945569515428E-2</v>
      </c>
      <c r="S134" s="2"/>
      <c r="T134" s="6">
        <v>16645.439999999999</v>
      </c>
      <c r="U134" s="2"/>
      <c r="V134" s="7">
        <f t="shared" si="70"/>
        <v>7.1486113114857201E-3</v>
      </c>
      <c r="W134" s="2"/>
      <c r="X134" s="6">
        <f t="shared" si="71"/>
        <v>9552.1400000000031</v>
      </c>
      <c r="Y134" s="2"/>
      <c r="Z134" s="7">
        <f t="shared" si="72"/>
        <v>0.57385926716265856</v>
      </c>
    </row>
    <row r="135" spans="1:26" s="24" customFormat="1" hidden="1" outlineLevel="2" x14ac:dyDescent="0.25">
      <c r="A135" s="26"/>
      <c r="B135" s="11" t="str">
        <f>CONCATENATE("          ", "6254", " - ", "ROYALTY &amp; COMMISSIONS")</f>
        <v xml:space="preserve">          6254 - ROYALTY &amp; COMMISSIONS</v>
      </c>
      <c r="C135" s="11"/>
      <c r="D135" s="6"/>
      <c r="E135" s="2"/>
      <c r="F135" s="7">
        <f t="shared" si="65"/>
        <v>0</v>
      </c>
      <c r="G135" s="2"/>
      <c r="H135" s="6">
        <v>3471.1</v>
      </c>
      <c r="I135" s="2"/>
      <c r="J135" s="7">
        <f t="shared" si="66"/>
        <v>1.1298139681930235E-2</v>
      </c>
      <c r="K135" s="2"/>
      <c r="L135" s="6">
        <f t="shared" si="67"/>
        <v>-3471.1</v>
      </c>
      <c r="M135" s="2"/>
      <c r="N135" s="7">
        <f t="shared" si="68"/>
        <v>-1</v>
      </c>
      <c r="O135" s="11"/>
      <c r="P135" s="6"/>
      <c r="Q135" s="2"/>
      <c r="R135" s="7">
        <f t="shared" si="69"/>
        <v>0</v>
      </c>
      <c r="S135" s="2"/>
      <c r="T135" s="6">
        <v>6795.75</v>
      </c>
      <c r="U135" s="2"/>
      <c r="V135" s="7">
        <f t="shared" si="70"/>
        <v>2.9185275558969354E-3</v>
      </c>
      <c r="W135" s="2"/>
      <c r="X135" s="6">
        <f t="shared" si="71"/>
        <v>-6795.75</v>
      </c>
      <c r="Y135" s="2"/>
      <c r="Z135" s="7">
        <f t="shared" si="72"/>
        <v>-1</v>
      </c>
    </row>
    <row r="136" spans="1:26" s="25" customFormat="1" outlineLevel="1" collapsed="1" x14ac:dyDescent="0.25">
      <c r="A136" s="27"/>
      <c r="B136" s="13" t="str">
        <f>CONCATENATE("     ","Services                                          ")</f>
        <v xml:space="preserve">     Services                                          </v>
      </c>
      <c r="C136" s="13"/>
      <c r="D136" s="1">
        <f>SUM(OSRRefD22_15x_0)</f>
        <v>81.84</v>
      </c>
      <c r="E136" s="1"/>
      <c r="F136" s="5">
        <f t="shared" ref="F136:F139" si="73">IF(D$12=0,0,D136/D$12)</f>
        <v>6.802132498459672E-4</v>
      </c>
      <c r="G136" s="1"/>
      <c r="H136" s="1">
        <f>SUM(OSRRefH22_15x_0)</f>
        <v>189.45</v>
      </c>
      <c r="I136" s="1"/>
      <c r="J136" s="5">
        <f t="shared" ref="J136:J139" si="74">IF(H$12=0,0,H136/H$12)</f>
        <v>6.1664387737077092E-4</v>
      </c>
      <c r="K136" s="1"/>
      <c r="L136" s="1">
        <f t="shared" ref="L136:L139" si="75">+D136-H136</f>
        <v>-107.60999999999999</v>
      </c>
      <c r="M136" s="1"/>
      <c r="N136" s="5">
        <f t="shared" ref="N136:N139" si="76">IF(H136=0,0,L136/H136)</f>
        <v>-0.56801266825019792</v>
      </c>
      <c r="O136" s="13"/>
      <c r="P136" s="1">
        <f>SUM(OSRRefP22_15x_0)</f>
        <v>356.49999999999989</v>
      </c>
      <c r="Q136" s="1"/>
      <c r="R136" s="5">
        <f t="shared" ref="R136:R139" si="77">IF(P$12=0,0,P136/P$12)</f>
        <v>2.7190324814476173E-4</v>
      </c>
      <c r="S136" s="1"/>
      <c r="T136" s="1">
        <f>SUM(OSRRefT22_15x_0)</f>
        <v>2381.1800000000003</v>
      </c>
      <c r="U136" s="1"/>
      <c r="V136" s="5">
        <f t="shared" ref="V136:V139" si="78">IF(T$12=0,0,T136/T$12)</f>
        <v>1.0226302388331922E-3</v>
      </c>
      <c r="W136" s="1"/>
      <c r="X136" s="1">
        <f t="shared" ref="X136:X139" si="79">+P136-T136</f>
        <v>-2024.6800000000003</v>
      </c>
      <c r="Y136" s="1"/>
      <c r="Z136" s="5">
        <f t="shared" ref="Z136:Z139" si="80">IF(T136=0,0,X136/T136)</f>
        <v>-0.85028431281969441</v>
      </c>
    </row>
    <row r="137" spans="1:26" s="24" customFormat="1" hidden="1" outlineLevel="2" x14ac:dyDescent="0.25">
      <c r="A137" s="26"/>
      <c r="B137" s="11" t="str">
        <f>CONCATENATE("          ", "6283", " - ", "PLANT SERVICE")</f>
        <v xml:space="preserve">          6283 - PLANT SERVICE</v>
      </c>
      <c r="C137" s="11"/>
      <c r="D137" s="6"/>
      <c r="E137" s="2"/>
      <c r="F137" s="7">
        <f t="shared" si="73"/>
        <v>0</v>
      </c>
      <c r="G137" s="2"/>
      <c r="H137" s="6"/>
      <c r="I137" s="2"/>
      <c r="J137" s="7">
        <f t="shared" si="74"/>
        <v>0</v>
      </c>
      <c r="K137" s="2"/>
      <c r="L137" s="6">
        <f t="shared" si="75"/>
        <v>0</v>
      </c>
      <c r="M137" s="2"/>
      <c r="N137" s="7">
        <f t="shared" si="76"/>
        <v>0</v>
      </c>
      <c r="O137" s="11"/>
      <c r="P137" s="6">
        <v>41.31</v>
      </c>
      <c r="Q137" s="2"/>
      <c r="R137" s="7">
        <f t="shared" si="77"/>
        <v>3.1507217898625841E-5</v>
      </c>
      <c r="S137" s="2"/>
      <c r="T137" s="6">
        <v>178.65</v>
      </c>
      <c r="U137" s="2"/>
      <c r="V137" s="7">
        <f t="shared" si="78"/>
        <v>7.6723679926569911E-5</v>
      </c>
      <c r="W137" s="2"/>
      <c r="X137" s="6">
        <f t="shared" si="79"/>
        <v>-137.34</v>
      </c>
      <c r="Y137" s="2"/>
      <c r="Z137" s="7">
        <f t="shared" si="80"/>
        <v>-0.7687657430730479</v>
      </c>
    </row>
    <row r="138" spans="1:26" s="24" customFormat="1" hidden="1" outlineLevel="2" x14ac:dyDescent="0.25">
      <c r="A138" s="26"/>
      <c r="B138" s="11" t="str">
        <f>CONCATENATE("          ", "6284", " - ", "TRASH REMOVAL EXPENSE")</f>
        <v xml:space="preserve">          6284 - TRASH REMOVAL EXPENSE</v>
      </c>
      <c r="C138" s="11"/>
      <c r="D138" s="6">
        <v>142.57</v>
      </c>
      <c r="E138" s="2"/>
      <c r="F138" s="7">
        <f t="shared" si="73"/>
        <v>1.1849707115168565E-3</v>
      </c>
      <c r="G138" s="2"/>
      <c r="H138" s="6">
        <v>134.82</v>
      </c>
      <c r="I138" s="2"/>
      <c r="J138" s="7">
        <f t="shared" si="74"/>
        <v>4.3882780441872443E-4</v>
      </c>
      <c r="K138" s="2"/>
      <c r="L138" s="6">
        <f t="shared" si="75"/>
        <v>7.75</v>
      </c>
      <c r="M138" s="2"/>
      <c r="N138" s="7">
        <f t="shared" si="76"/>
        <v>5.7484052811155616E-2</v>
      </c>
      <c r="O138" s="11"/>
      <c r="P138" s="6">
        <v>1155.58</v>
      </c>
      <c r="Q138" s="2"/>
      <c r="R138" s="7">
        <f t="shared" si="77"/>
        <v>8.8136312900736005E-4</v>
      </c>
      <c r="S138" s="2"/>
      <c r="T138" s="6">
        <v>1078.56</v>
      </c>
      <c r="U138" s="2"/>
      <c r="V138" s="7">
        <f t="shared" si="78"/>
        <v>4.6320230742569966E-4</v>
      </c>
      <c r="W138" s="2"/>
      <c r="X138" s="6">
        <f t="shared" si="79"/>
        <v>77.019999999999982</v>
      </c>
      <c r="Y138" s="2"/>
      <c r="Z138" s="7">
        <f t="shared" si="80"/>
        <v>7.1410028185729113E-2</v>
      </c>
    </row>
    <row r="139" spans="1:26" s="24" customFormat="1" hidden="1" outlineLevel="2" x14ac:dyDescent="0.25">
      <c r="A139" s="26"/>
      <c r="B139" s="11" t="str">
        <f>CONCATENATE("          ", "6285", " - ", "JANITORIAL SERVICES")</f>
        <v xml:space="preserve">          6285 - JANITORIAL SERVICES</v>
      </c>
      <c r="C139" s="11"/>
      <c r="D139" s="6">
        <v>-60.73</v>
      </c>
      <c r="E139" s="2"/>
      <c r="F139" s="7">
        <f t="shared" si="73"/>
        <v>-5.0475746167088934E-4</v>
      </c>
      <c r="G139" s="2"/>
      <c r="H139" s="6">
        <v>54.63</v>
      </c>
      <c r="I139" s="2"/>
      <c r="J139" s="7">
        <f t="shared" si="74"/>
        <v>1.7781607295204655E-4</v>
      </c>
      <c r="K139" s="2"/>
      <c r="L139" s="6">
        <f t="shared" si="75"/>
        <v>-115.36</v>
      </c>
      <c r="M139" s="2"/>
      <c r="N139" s="7">
        <f t="shared" si="76"/>
        <v>-2.1116602599304408</v>
      </c>
      <c r="O139" s="11"/>
      <c r="P139" s="6">
        <v>-840.39</v>
      </c>
      <c r="Q139" s="2"/>
      <c r="R139" s="7">
        <f t="shared" si="77"/>
        <v>-6.4096709876122412E-4</v>
      </c>
      <c r="S139" s="2"/>
      <c r="T139" s="6">
        <v>1123.97</v>
      </c>
      <c r="U139" s="2"/>
      <c r="V139" s="7">
        <f t="shared" si="78"/>
        <v>4.8270425148092244E-4</v>
      </c>
      <c r="W139" s="2"/>
      <c r="X139" s="6">
        <f t="shared" si="79"/>
        <v>-1964.3600000000001</v>
      </c>
      <c r="Y139" s="2"/>
      <c r="Z139" s="7">
        <f t="shared" si="80"/>
        <v>-1.7476978922924991</v>
      </c>
    </row>
    <row r="140" spans="1:26" s="25" customFormat="1" outlineLevel="1" collapsed="1" x14ac:dyDescent="0.25">
      <c r="A140" s="27"/>
      <c r="B140" s="13" t="str">
        <f>CONCATENATE("     ","Subscriptions &amp; Dues                              ")</f>
        <v xml:space="preserve">     Subscriptions &amp; Dues                              </v>
      </c>
      <c r="C140" s="13"/>
      <c r="D140" s="1">
        <f>SUM(OSRRefD22_16x_0)</f>
        <v>0</v>
      </c>
      <c r="E140" s="1"/>
      <c r="F140" s="5">
        <f t="shared" ref="F140:F142" si="81">IF(D$12=0,0,D140/D$12)</f>
        <v>0</v>
      </c>
      <c r="G140" s="1"/>
      <c r="H140" s="1">
        <f>SUM(OSRRefH22_16x_0)</f>
        <v>122.93</v>
      </c>
      <c r="I140" s="1"/>
      <c r="J140" s="5">
        <f t="shared" ref="J140:J142" si="82">IF(H$12=0,0,H140/H$12)</f>
        <v>4.0012685059482125E-4</v>
      </c>
      <c r="K140" s="1"/>
      <c r="L140" s="1">
        <f t="shared" ref="L140:L142" si="83">+D140-H140</f>
        <v>-122.93</v>
      </c>
      <c r="M140" s="1"/>
      <c r="N140" s="5">
        <f t="shared" ref="N140:N142" si="84">IF(H140=0,0,L140/H140)</f>
        <v>-1</v>
      </c>
      <c r="O140" s="13"/>
      <c r="P140" s="1">
        <f>SUM(OSRRefP22_16x_0)</f>
        <v>-67.299999999999955</v>
      </c>
      <c r="Q140" s="1"/>
      <c r="R140" s="5">
        <f t="shared" ref="R140:R142" si="85">IF(P$12=0,0,P140/P$12)</f>
        <v>-5.132984179563102E-5</v>
      </c>
      <c r="S140" s="1"/>
      <c r="T140" s="1">
        <f>SUM(OSRRefT22_16x_0)</f>
        <v>582.99</v>
      </c>
      <c r="U140" s="1"/>
      <c r="V140" s="5">
        <f t="shared" ref="V140:V142" si="86">IF(T$12=0,0,T140/T$12)</f>
        <v>2.50373009573977E-4</v>
      </c>
      <c r="W140" s="1"/>
      <c r="X140" s="1">
        <f t="shared" ref="X140:X142" si="87">+P140-T140</f>
        <v>-650.29</v>
      </c>
      <c r="Y140" s="1"/>
      <c r="Z140" s="5">
        <f t="shared" ref="Z140:Z142" si="88">IF(T140=0,0,X140/T140)</f>
        <v>-1.1154393728880425</v>
      </c>
    </row>
    <row r="141" spans="1:26" s="24" customFormat="1" hidden="1" outlineLevel="2" x14ac:dyDescent="0.25">
      <c r="A141" s="26"/>
      <c r="B141" s="11" t="str">
        <f>CONCATENATE("          ", "6258", " - ", "MEMBERSHIP DUES")</f>
        <v xml:space="preserve">          6258 - MEMBERSHIP DUES</v>
      </c>
      <c r="C141" s="11"/>
      <c r="D141" s="6"/>
      <c r="E141" s="2"/>
      <c r="F141" s="7">
        <f t="shared" si="81"/>
        <v>0</v>
      </c>
      <c r="G141" s="2"/>
      <c r="H141" s="6">
        <v>122.93</v>
      </c>
      <c r="I141" s="2"/>
      <c r="J141" s="7">
        <f t="shared" si="82"/>
        <v>4.0012685059482125E-4</v>
      </c>
      <c r="K141" s="2"/>
      <c r="L141" s="6">
        <f t="shared" si="83"/>
        <v>-122.93</v>
      </c>
      <c r="M141" s="2"/>
      <c r="N141" s="7">
        <f t="shared" si="84"/>
        <v>-1</v>
      </c>
      <c r="O141" s="11"/>
      <c r="P141" s="6">
        <v>-368.03</v>
      </c>
      <c r="Q141" s="2"/>
      <c r="R141" s="7">
        <f t="shared" si="85"/>
        <v>-2.8069720172431049E-4</v>
      </c>
      <c r="S141" s="2"/>
      <c r="T141" s="6">
        <v>122.93</v>
      </c>
      <c r="U141" s="2"/>
      <c r="V141" s="7">
        <f t="shared" si="86"/>
        <v>5.2793965705979512E-5</v>
      </c>
      <c r="W141" s="2"/>
      <c r="X141" s="6">
        <f t="shared" si="87"/>
        <v>-490.96</v>
      </c>
      <c r="Y141" s="2"/>
      <c r="Z141" s="7">
        <f t="shared" si="88"/>
        <v>-3.9938176197836164</v>
      </c>
    </row>
    <row r="142" spans="1:26" s="24" customFormat="1" hidden="1" outlineLevel="2" x14ac:dyDescent="0.25">
      <c r="A142" s="26"/>
      <c r="B142" s="11" t="str">
        <f>CONCATENATE("          ", "6275", " - ", "SUBSCRIPTIONS")</f>
        <v xml:space="preserve">          6275 - SUBSCRIPTIONS</v>
      </c>
      <c r="C142" s="11"/>
      <c r="D142" s="6"/>
      <c r="E142" s="2"/>
      <c r="F142" s="7">
        <f t="shared" si="81"/>
        <v>0</v>
      </c>
      <c r="G142" s="2"/>
      <c r="H142" s="6"/>
      <c r="I142" s="2"/>
      <c r="J142" s="7">
        <f t="shared" si="82"/>
        <v>0</v>
      </c>
      <c r="K142" s="2"/>
      <c r="L142" s="6">
        <f t="shared" si="83"/>
        <v>0</v>
      </c>
      <c r="M142" s="2"/>
      <c r="N142" s="7">
        <f t="shared" si="84"/>
        <v>0</v>
      </c>
      <c r="O142" s="11"/>
      <c r="P142" s="6">
        <v>300.73</v>
      </c>
      <c r="Q142" s="2"/>
      <c r="R142" s="7">
        <f t="shared" si="85"/>
        <v>2.2936735992867946E-4</v>
      </c>
      <c r="S142" s="2"/>
      <c r="T142" s="6">
        <v>460.06</v>
      </c>
      <c r="U142" s="2"/>
      <c r="V142" s="7">
        <f t="shared" si="86"/>
        <v>1.9757904386799751E-4</v>
      </c>
      <c r="W142" s="2"/>
      <c r="X142" s="6">
        <f t="shared" si="87"/>
        <v>-159.32999999999998</v>
      </c>
      <c r="Y142" s="2"/>
      <c r="Z142" s="7">
        <f t="shared" si="88"/>
        <v>-0.3463243924705473</v>
      </c>
    </row>
    <row r="143" spans="1:26" s="25" customFormat="1" outlineLevel="1" collapsed="1" x14ac:dyDescent="0.25">
      <c r="A143" s="27"/>
      <c r="B143" s="13" t="str">
        <f>CONCATENATE("     ","Supplies                                          ")</f>
        <v xml:space="preserve">     Supplies                                          </v>
      </c>
      <c r="C143" s="13"/>
      <c r="D143" s="1">
        <f>SUM(OSRRefD22_17x_0)</f>
        <v>71.62</v>
      </c>
      <c r="E143" s="1"/>
      <c r="F143" s="5">
        <f t="shared" ref="F143:F149" si="89">IF(D$12=0,0,D143/D$12)</f>
        <v>5.9526970862619954E-4</v>
      </c>
      <c r="G143" s="1"/>
      <c r="H143" s="1">
        <f>SUM(OSRRefH22_17x_0)</f>
        <v>572.91</v>
      </c>
      <c r="I143" s="1"/>
      <c r="J143" s="5">
        <f t="shared" ref="J143:J149" si="90">IF(H$12=0,0,H143/H$12)</f>
        <v>1.8647740500632799E-3</v>
      </c>
      <c r="K143" s="1"/>
      <c r="L143" s="1">
        <f t="shared" ref="L143:L149" si="91">+D143-H143</f>
        <v>-501.28999999999996</v>
      </c>
      <c r="M143" s="1"/>
      <c r="N143" s="5">
        <f t="shared" ref="N143:N149" si="92">IF(H143=0,0,L143/H143)</f>
        <v>-0.87498909078214726</v>
      </c>
      <c r="O143" s="13"/>
      <c r="P143" s="1">
        <f>SUM(OSRRefP22_17x_0)</f>
        <v>3922.76</v>
      </c>
      <c r="Q143" s="1"/>
      <c r="R143" s="5">
        <f t="shared" ref="R143:R149" si="93">IF(P$12=0,0,P143/P$12)</f>
        <v>2.9918967340598767E-3</v>
      </c>
      <c r="S143" s="1"/>
      <c r="T143" s="1">
        <f>SUM(OSRRefT22_17x_0)</f>
        <v>6481.4899999999989</v>
      </c>
      <c r="U143" s="1"/>
      <c r="V143" s="5">
        <f t="shared" ref="V143:V149" si="94">IF(T$12=0,0,T143/T$12)</f>
        <v>2.7835643112637198E-3</v>
      </c>
      <c r="W143" s="1"/>
      <c r="X143" s="1">
        <f t="shared" ref="X143:X149" si="95">+P143-T143</f>
        <v>-2558.7299999999987</v>
      </c>
      <c r="Y143" s="1"/>
      <c r="Z143" s="5">
        <f t="shared" ref="Z143:Z149" si="96">IF(T143=0,0,X143/T143)</f>
        <v>-0.39477496686718627</v>
      </c>
    </row>
    <row r="144" spans="1:26" s="24" customFormat="1" hidden="1" outlineLevel="2" x14ac:dyDescent="0.25">
      <c r="A144" s="26"/>
      <c r="B144" s="11" t="str">
        <f>CONCATENATE("          ", "6234", " - ", "EXPENDABLE SUPPLIES &amp; EQUIPMEN")</f>
        <v xml:space="preserve">          6234 - EXPENDABLE SUPPLIES &amp; EQUIPMEN</v>
      </c>
      <c r="C144" s="11"/>
      <c r="D144" s="6"/>
      <c r="E144" s="2"/>
      <c r="F144" s="7">
        <f t="shared" si="89"/>
        <v>0</v>
      </c>
      <c r="G144" s="2"/>
      <c r="H144" s="6"/>
      <c r="I144" s="2"/>
      <c r="J144" s="7">
        <f t="shared" si="90"/>
        <v>0</v>
      </c>
      <c r="K144" s="2"/>
      <c r="L144" s="6">
        <f t="shared" si="91"/>
        <v>0</v>
      </c>
      <c r="M144" s="2"/>
      <c r="N144" s="7">
        <f t="shared" si="92"/>
        <v>0</v>
      </c>
      <c r="O144" s="11"/>
      <c r="P144" s="6">
        <v>396.5</v>
      </c>
      <c r="Q144" s="2"/>
      <c r="R144" s="7">
        <f t="shared" si="93"/>
        <v>3.0241132647797496E-4</v>
      </c>
      <c r="S144" s="2"/>
      <c r="T144" s="6">
        <v>836.14</v>
      </c>
      <c r="U144" s="2"/>
      <c r="V144" s="7">
        <f t="shared" si="94"/>
        <v>3.5909173094767518E-4</v>
      </c>
      <c r="W144" s="2"/>
      <c r="X144" s="6">
        <f t="shared" si="95"/>
        <v>-439.64</v>
      </c>
      <c r="Y144" s="2"/>
      <c r="Z144" s="7">
        <f t="shared" si="96"/>
        <v>-0.52579711531561701</v>
      </c>
    </row>
    <row r="145" spans="1:26" s="24" customFormat="1" hidden="1" outlineLevel="2" x14ac:dyDescent="0.25">
      <c r="A145" s="26"/>
      <c r="B145" s="11" t="str">
        <f>CONCATENATE("          ", "6235", " - ", "COVID-19 EXPENSES")</f>
        <v xml:space="preserve">          6235 - COVID-19 EXPENSES</v>
      </c>
      <c r="C145" s="11"/>
      <c r="D145" s="6"/>
      <c r="E145" s="2"/>
      <c r="F145" s="7">
        <f t="shared" si="89"/>
        <v>0</v>
      </c>
      <c r="G145" s="2"/>
      <c r="H145" s="6"/>
      <c r="I145" s="2"/>
      <c r="J145" s="7">
        <f t="shared" si="90"/>
        <v>0</v>
      </c>
      <c r="K145" s="2"/>
      <c r="L145" s="6">
        <f t="shared" si="91"/>
        <v>0</v>
      </c>
      <c r="M145" s="2"/>
      <c r="N145" s="7">
        <f t="shared" si="92"/>
        <v>0</v>
      </c>
      <c r="O145" s="11"/>
      <c r="P145" s="6">
        <v>1292.1300000000001</v>
      </c>
      <c r="Q145" s="2"/>
      <c r="R145" s="7">
        <f t="shared" si="93"/>
        <v>9.8551008141736633E-4</v>
      </c>
      <c r="S145" s="2"/>
      <c r="T145" s="6"/>
      <c r="U145" s="2"/>
      <c r="V145" s="7">
        <f t="shared" si="94"/>
        <v>0</v>
      </c>
      <c r="W145" s="2"/>
      <c r="X145" s="6">
        <f t="shared" si="95"/>
        <v>1292.1300000000001</v>
      </c>
      <c r="Y145" s="2"/>
      <c r="Z145" s="7">
        <f t="shared" si="96"/>
        <v>0</v>
      </c>
    </row>
    <row r="146" spans="1:26" s="24" customFormat="1" hidden="1" outlineLevel="2" x14ac:dyDescent="0.25">
      <c r="A146" s="26"/>
      <c r="B146" s="11" t="str">
        <f>CONCATENATE("          ", "6237", " - ", "JANITORIAL SUPPLIES")</f>
        <v xml:space="preserve">          6237 - JANITORIAL SUPPLIES</v>
      </c>
      <c r="C146" s="11"/>
      <c r="D146" s="6"/>
      <c r="E146" s="2"/>
      <c r="F146" s="7">
        <f t="shared" si="89"/>
        <v>0</v>
      </c>
      <c r="G146" s="2"/>
      <c r="H146" s="6"/>
      <c r="I146" s="2"/>
      <c r="J146" s="7">
        <f t="shared" si="90"/>
        <v>0</v>
      </c>
      <c r="K146" s="2"/>
      <c r="L146" s="6">
        <f t="shared" si="91"/>
        <v>0</v>
      </c>
      <c r="M146" s="2"/>
      <c r="N146" s="7">
        <f t="shared" si="92"/>
        <v>0</v>
      </c>
      <c r="O146" s="11"/>
      <c r="P146" s="6">
        <v>191.74</v>
      </c>
      <c r="Q146" s="2"/>
      <c r="R146" s="7">
        <f t="shared" si="93"/>
        <v>1.4624047349025705E-4</v>
      </c>
      <c r="S146" s="2"/>
      <c r="T146" s="6">
        <v>287.72000000000003</v>
      </c>
      <c r="U146" s="2"/>
      <c r="V146" s="7">
        <f t="shared" si="94"/>
        <v>1.2356527953245284E-4</v>
      </c>
      <c r="W146" s="2"/>
      <c r="X146" s="6">
        <f t="shared" si="95"/>
        <v>-95.980000000000018</v>
      </c>
      <c r="Y146" s="2"/>
      <c r="Z146" s="7">
        <f t="shared" si="96"/>
        <v>-0.33358821076046158</v>
      </c>
    </row>
    <row r="147" spans="1:26" s="24" customFormat="1" hidden="1" outlineLevel="2" x14ac:dyDescent="0.25">
      <c r="A147" s="26"/>
      <c r="B147" s="11" t="str">
        <f>CONCATENATE("          ", "6241", " - ", "OFFICE EXPENSE")</f>
        <v xml:space="preserve">          6241 - OFFICE EXPENSE</v>
      </c>
      <c r="C147" s="11"/>
      <c r="D147" s="6">
        <v>27.96</v>
      </c>
      <c r="E147" s="2"/>
      <c r="F147" s="7">
        <f t="shared" si="89"/>
        <v>2.3238957069517647E-4</v>
      </c>
      <c r="G147" s="2"/>
      <c r="H147" s="6">
        <v>112.71</v>
      </c>
      <c r="I147" s="2"/>
      <c r="J147" s="7">
        <f t="shared" si="90"/>
        <v>3.6686160685383792E-4</v>
      </c>
      <c r="K147" s="2"/>
      <c r="L147" s="6">
        <f t="shared" si="91"/>
        <v>-84.75</v>
      </c>
      <c r="M147" s="2"/>
      <c r="N147" s="7">
        <f t="shared" si="92"/>
        <v>-0.75192973116848549</v>
      </c>
      <c r="O147" s="11"/>
      <c r="P147" s="6">
        <v>932.16</v>
      </c>
      <c r="Q147" s="2"/>
      <c r="R147" s="7">
        <f t="shared" si="93"/>
        <v>7.1096025747719826E-4</v>
      </c>
      <c r="S147" s="2"/>
      <c r="T147" s="6">
        <v>4621.2</v>
      </c>
      <c r="U147" s="2"/>
      <c r="V147" s="7">
        <f t="shared" si="94"/>
        <v>1.9846373897378388E-3</v>
      </c>
      <c r="W147" s="2"/>
      <c r="X147" s="6">
        <f t="shared" si="95"/>
        <v>-3689.04</v>
      </c>
      <c r="Y147" s="2"/>
      <c r="Z147" s="7">
        <f t="shared" si="96"/>
        <v>-0.79828615943910675</v>
      </c>
    </row>
    <row r="148" spans="1:26" s="24" customFormat="1" hidden="1" outlineLevel="2" x14ac:dyDescent="0.25">
      <c r="A148" s="26"/>
      <c r="B148" s="11" t="str">
        <f>CONCATENATE("          ", "6245", " - ", "PRINTING")</f>
        <v xml:space="preserve">          6245 - PRINTING</v>
      </c>
      <c r="C148" s="11"/>
      <c r="D148" s="6"/>
      <c r="E148" s="2"/>
      <c r="F148" s="7">
        <f t="shared" si="89"/>
        <v>0</v>
      </c>
      <c r="G148" s="2"/>
      <c r="H148" s="6"/>
      <c r="I148" s="2"/>
      <c r="J148" s="7">
        <f t="shared" si="90"/>
        <v>0</v>
      </c>
      <c r="K148" s="2"/>
      <c r="L148" s="6">
        <f t="shared" si="91"/>
        <v>0</v>
      </c>
      <c r="M148" s="2"/>
      <c r="N148" s="7">
        <f t="shared" si="92"/>
        <v>0</v>
      </c>
      <c r="O148" s="11"/>
      <c r="P148" s="6"/>
      <c r="Q148" s="2"/>
      <c r="R148" s="7">
        <f t="shared" si="93"/>
        <v>0</v>
      </c>
      <c r="S148" s="2"/>
      <c r="T148" s="6">
        <v>-506.93</v>
      </c>
      <c r="U148" s="2"/>
      <c r="V148" s="7">
        <f t="shared" si="94"/>
        <v>-2.1770800484285523E-4</v>
      </c>
      <c r="W148" s="2"/>
      <c r="X148" s="6">
        <f t="shared" si="95"/>
        <v>506.93</v>
      </c>
      <c r="Y148" s="2"/>
      <c r="Z148" s="7">
        <f t="shared" si="96"/>
        <v>-1</v>
      </c>
    </row>
    <row r="149" spans="1:26" s="24" customFormat="1" hidden="1" outlineLevel="2" x14ac:dyDescent="0.25">
      <c r="A149" s="26"/>
      <c r="B149" s="11" t="str">
        <f>CONCATENATE("          ", "6247", " - ", "STORE SUPPLIES")</f>
        <v xml:space="preserve">          6247 - STORE SUPPLIES</v>
      </c>
      <c r="C149" s="11"/>
      <c r="D149" s="6">
        <v>43.66</v>
      </c>
      <c r="E149" s="2"/>
      <c r="F149" s="7">
        <f t="shared" si="89"/>
        <v>3.6288013793102299E-4</v>
      </c>
      <c r="G149" s="2"/>
      <c r="H149" s="6">
        <v>460.2</v>
      </c>
      <c r="I149" s="2"/>
      <c r="J149" s="7">
        <f t="shared" si="90"/>
        <v>1.4979124432094421E-3</v>
      </c>
      <c r="K149" s="2"/>
      <c r="L149" s="6">
        <f t="shared" si="91"/>
        <v>-416.53999999999996</v>
      </c>
      <c r="M149" s="2"/>
      <c r="N149" s="7">
        <f t="shared" si="92"/>
        <v>-0.90512820512820502</v>
      </c>
      <c r="O149" s="11"/>
      <c r="P149" s="6">
        <v>1110.23</v>
      </c>
      <c r="Q149" s="2"/>
      <c r="R149" s="7">
        <f t="shared" si="93"/>
        <v>8.4677459519707978E-4</v>
      </c>
      <c r="S149" s="2"/>
      <c r="T149" s="6">
        <v>1243.3599999999999</v>
      </c>
      <c r="U149" s="2"/>
      <c r="V149" s="7">
        <f t="shared" si="94"/>
        <v>5.3397791588860881E-4</v>
      </c>
      <c r="W149" s="2"/>
      <c r="X149" s="6">
        <f t="shared" si="95"/>
        <v>-133.12999999999988</v>
      </c>
      <c r="Y149" s="2"/>
      <c r="Z149" s="7">
        <f t="shared" si="96"/>
        <v>-0.10707277055719976</v>
      </c>
    </row>
    <row r="150" spans="1:26" s="25" customFormat="1" outlineLevel="1" collapsed="1" x14ac:dyDescent="0.25">
      <c r="A150" s="27"/>
      <c r="B150" s="13" t="str">
        <f>CONCATENATE("     ","Telephone/Data Lines                              ")</f>
        <v xml:space="preserve">     Telephone/Data Lines                              </v>
      </c>
      <c r="C150" s="13"/>
      <c r="D150" s="1">
        <f>SUM(OSRRefD22_18x_0)</f>
        <v>134.04</v>
      </c>
      <c r="E150" s="1"/>
      <c r="F150" s="5">
        <f t="shared" ref="F150:F156" si="97">IF(D$12=0,0,D150/D$12)</f>
        <v>1.1140736071524125E-3</v>
      </c>
      <c r="G150" s="1"/>
      <c r="H150" s="1">
        <f>SUM(OSRRefH22_18x_0)</f>
        <v>1476.65</v>
      </c>
      <c r="I150" s="1"/>
      <c r="J150" s="5">
        <f t="shared" ref="J150:J156" si="98">IF(H$12=0,0,H150/H$12)</f>
        <v>4.8063720323016576E-3</v>
      </c>
      <c r="K150" s="1"/>
      <c r="L150" s="1">
        <f t="shared" ref="L150:L156" si="99">+D150-H150</f>
        <v>-1342.6100000000001</v>
      </c>
      <c r="M150" s="1"/>
      <c r="N150" s="5">
        <f t="shared" ref="N150:N156" si="100">IF(H150=0,0,L150/H150)</f>
        <v>-0.90922696644431655</v>
      </c>
      <c r="O150" s="13"/>
      <c r="P150" s="1">
        <f>SUM(OSRRefP22_18x_0)</f>
        <v>5101.83</v>
      </c>
      <c r="Q150" s="1"/>
      <c r="R150" s="5">
        <f t="shared" ref="R150:R156" si="101">IF(P$12=0,0,P150/P$12)</f>
        <v>3.8911757320684156E-3</v>
      </c>
      <c r="S150" s="1"/>
      <c r="T150" s="1">
        <f>SUM(OSRRefT22_18x_0)</f>
        <v>7335.79</v>
      </c>
      <c r="U150" s="1"/>
      <c r="V150" s="5">
        <f t="shared" ref="V150:V156" si="102">IF(T$12=0,0,T150/T$12)</f>
        <v>3.15045510197891E-3</v>
      </c>
      <c r="W150" s="1"/>
      <c r="X150" s="1">
        <f t="shared" ref="X150:X156" si="103">+P150-T150</f>
        <v>-2233.96</v>
      </c>
      <c r="Y150" s="1"/>
      <c r="Z150" s="5">
        <f t="shared" ref="Z150:Z156" si="104">IF(T150=0,0,X150/T150)</f>
        <v>-0.30452889191211852</v>
      </c>
    </row>
    <row r="151" spans="1:26" s="24" customFormat="1" hidden="1" outlineLevel="2" x14ac:dyDescent="0.25">
      <c r="A151" s="26"/>
      <c r="B151" s="11" t="str">
        <f>CONCATENATE("          ", "6309", " - ", "TELEPHONE")</f>
        <v xml:space="preserve">          6309 - TELEPHONE</v>
      </c>
      <c r="C151" s="11"/>
      <c r="D151" s="6">
        <v>134.04</v>
      </c>
      <c r="E151" s="2"/>
      <c r="F151" s="7">
        <f t="shared" si="97"/>
        <v>1.1140736071524125E-3</v>
      </c>
      <c r="G151" s="2"/>
      <c r="H151" s="6">
        <v>1476.65</v>
      </c>
      <c r="I151" s="2"/>
      <c r="J151" s="7">
        <f t="shared" si="98"/>
        <v>4.8063720323016576E-3</v>
      </c>
      <c r="K151" s="2"/>
      <c r="L151" s="6">
        <f t="shared" si="99"/>
        <v>-1342.6100000000001</v>
      </c>
      <c r="M151" s="2"/>
      <c r="N151" s="7">
        <f t="shared" si="100"/>
        <v>-0.90922696644431655</v>
      </c>
      <c r="O151" s="11"/>
      <c r="P151" s="6">
        <v>5101.83</v>
      </c>
      <c r="Q151" s="2"/>
      <c r="R151" s="7">
        <f t="shared" si="101"/>
        <v>3.8911757320684156E-3</v>
      </c>
      <c r="S151" s="2"/>
      <c r="T151" s="6">
        <v>7335.79</v>
      </c>
      <c r="U151" s="2"/>
      <c r="V151" s="7">
        <f t="shared" si="102"/>
        <v>3.15045510197891E-3</v>
      </c>
      <c r="W151" s="2"/>
      <c r="X151" s="6">
        <f t="shared" si="103"/>
        <v>-2233.96</v>
      </c>
      <c r="Y151" s="2"/>
      <c r="Z151" s="7">
        <f t="shared" si="104"/>
        <v>-0.30452889191211852</v>
      </c>
    </row>
    <row r="152" spans="1:26" s="25" customFormat="1" outlineLevel="1" collapsed="1" x14ac:dyDescent="0.25">
      <c r="A152" s="27"/>
      <c r="B152" s="13" t="str">
        <f>CONCATENATE("     ","Training                                          ")</f>
        <v xml:space="preserve">     Training                                          </v>
      </c>
      <c r="C152" s="13"/>
      <c r="D152" s="1">
        <f>SUM(OSRRefD22_19x_0)</f>
        <v>0</v>
      </c>
      <c r="E152" s="1"/>
      <c r="F152" s="5">
        <f t="shared" si="97"/>
        <v>0</v>
      </c>
      <c r="G152" s="1"/>
      <c r="H152" s="1">
        <f>SUM(OSRRefH22_19x_0)</f>
        <v>2326.81</v>
      </c>
      <c r="I152" s="1"/>
      <c r="J152" s="5">
        <f t="shared" si="98"/>
        <v>7.5735716036161712E-3</v>
      </c>
      <c r="K152" s="1"/>
      <c r="L152" s="1">
        <f t="shared" si="99"/>
        <v>-2326.81</v>
      </c>
      <c r="M152" s="1"/>
      <c r="N152" s="5">
        <f t="shared" si="100"/>
        <v>-1</v>
      </c>
      <c r="O152" s="13"/>
      <c r="P152" s="1">
        <f>SUM(OSRRefP22_19x_0)</f>
        <v>0</v>
      </c>
      <c r="Q152" s="1"/>
      <c r="R152" s="5">
        <f t="shared" si="101"/>
        <v>0</v>
      </c>
      <c r="S152" s="1"/>
      <c r="T152" s="1">
        <f>SUM(OSRRefT22_19x_0)</f>
        <v>3705.99</v>
      </c>
      <c r="U152" s="1"/>
      <c r="V152" s="5">
        <f t="shared" si="102"/>
        <v>1.591587968491849E-3</v>
      </c>
      <c r="W152" s="1"/>
      <c r="X152" s="1">
        <f t="shared" si="103"/>
        <v>-3705.99</v>
      </c>
      <c r="Y152" s="1"/>
      <c r="Z152" s="5">
        <f t="shared" si="104"/>
        <v>-1</v>
      </c>
    </row>
    <row r="153" spans="1:26" s="24" customFormat="1" hidden="1" outlineLevel="2" x14ac:dyDescent="0.25">
      <c r="A153" s="26"/>
      <c r="B153" s="11" t="str">
        <f>CONCATENATE("          ", "6376", " - ", "TRAINING")</f>
        <v xml:space="preserve">          6376 - TRAINING</v>
      </c>
      <c r="C153" s="11"/>
      <c r="D153" s="6"/>
      <c r="E153" s="2"/>
      <c r="F153" s="7">
        <f t="shared" si="97"/>
        <v>0</v>
      </c>
      <c r="G153" s="2"/>
      <c r="H153" s="6">
        <v>2326.81</v>
      </c>
      <c r="I153" s="2"/>
      <c r="J153" s="7">
        <f t="shared" si="98"/>
        <v>7.5735716036161712E-3</v>
      </c>
      <c r="K153" s="2"/>
      <c r="L153" s="6">
        <f t="shared" si="99"/>
        <v>-2326.81</v>
      </c>
      <c r="M153" s="2"/>
      <c r="N153" s="7">
        <f t="shared" si="100"/>
        <v>-1</v>
      </c>
      <c r="O153" s="11"/>
      <c r="P153" s="6"/>
      <c r="Q153" s="2"/>
      <c r="R153" s="7">
        <f t="shared" si="101"/>
        <v>0</v>
      </c>
      <c r="S153" s="2"/>
      <c r="T153" s="6">
        <v>3705.99</v>
      </c>
      <c r="U153" s="2"/>
      <c r="V153" s="7">
        <f t="shared" si="102"/>
        <v>1.591587968491849E-3</v>
      </c>
      <c r="W153" s="2"/>
      <c r="X153" s="6">
        <f t="shared" si="103"/>
        <v>-3705.99</v>
      </c>
      <c r="Y153" s="2"/>
      <c r="Z153" s="7">
        <f t="shared" si="104"/>
        <v>-1</v>
      </c>
    </row>
    <row r="154" spans="1:26" s="25" customFormat="1" outlineLevel="1" collapsed="1" x14ac:dyDescent="0.25">
      <c r="A154" s="27"/>
      <c r="B154" s="13" t="str">
        <f>CONCATENATE("     ","Travel                                            ")</f>
        <v xml:space="preserve">     Travel                                            </v>
      </c>
      <c r="C154" s="13"/>
      <c r="D154" s="1">
        <f>SUM(OSRRefD22_20x_0)</f>
        <v>0</v>
      </c>
      <c r="E154" s="1"/>
      <c r="F154" s="5">
        <f t="shared" si="97"/>
        <v>0</v>
      </c>
      <c r="G154" s="1"/>
      <c r="H154" s="1">
        <f>SUM(OSRRefH22_20x_0)</f>
        <v>35.29</v>
      </c>
      <c r="I154" s="1"/>
      <c r="J154" s="5">
        <f t="shared" si="98"/>
        <v>1.148659933091291E-4</v>
      </c>
      <c r="K154" s="1"/>
      <c r="L154" s="1">
        <f t="shared" si="99"/>
        <v>-35.29</v>
      </c>
      <c r="M154" s="1"/>
      <c r="N154" s="5">
        <f t="shared" si="100"/>
        <v>-1</v>
      </c>
      <c r="O154" s="13"/>
      <c r="P154" s="1">
        <f>SUM(OSRRefP22_20x_0)</f>
        <v>451.26</v>
      </c>
      <c r="Q154" s="1"/>
      <c r="R154" s="5">
        <f t="shared" si="101"/>
        <v>3.4417688571614368E-4</v>
      </c>
      <c r="S154" s="1"/>
      <c r="T154" s="1">
        <f>SUM(OSRRefT22_20x_0)</f>
        <v>598.85</v>
      </c>
      <c r="U154" s="1"/>
      <c r="V154" s="5">
        <f t="shared" si="102"/>
        <v>2.5718430296124489E-4</v>
      </c>
      <c r="W154" s="1"/>
      <c r="X154" s="1">
        <f t="shared" si="103"/>
        <v>-147.59000000000003</v>
      </c>
      <c r="Y154" s="1"/>
      <c r="Z154" s="5">
        <f t="shared" si="104"/>
        <v>-0.24645570677131173</v>
      </c>
    </row>
    <row r="155" spans="1:26" s="24" customFormat="1" hidden="1" outlineLevel="2" x14ac:dyDescent="0.25">
      <c r="A155" s="26"/>
      <c r="B155" s="11" t="str">
        <f>CONCATENATE("          ", "6292", " - ", "TRAVEL/CONFERENCE")</f>
        <v xml:space="preserve">          6292 - TRAVEL/CONFERENCE</v>
      </c>
      <c r="C155" s="11"/>
      <c r="D155" s="6"/>
      <c r="E155" s="2"/>
      <c r="F155" s="7">
        <f t="shared" si="97"/>
        <v>0</v>
      </c>
      <c r="G155" s="2"/>
      <c r="H155" s="6"/>
      <c r="I155" s="2"/>
      <c r="J155" s="7">
        <f t="shared" si="98"/>
        <v>0</v>
      </c>
      <c r="K155" s="2"/>
      <c r="L155" s="6">
        <f t="shared" si="99"/>
        <v>0</v>
      </c>
      <c r="M155" s="2"/>
      <c r="N155" s="7">
        <f t="shared" si="100"/>
        <v>0</v>
      </c>
      <c r="O155" s="11"/>
      <c r="P155" s="6"/>
      <c r="Q155" s="2"/>
      <c r="R155" s="7">
        <f t="shared" si="101"/>
        <v>0</v>
      </c>
      <c r="S155" s="2"/>
      <c r="T155" s="6">
        <v>107.04</v>
      </c>
      <c r="U155" s="2"/>
      <c r="V155" s="7">
        <f t="shared" si="102"/>
        <v>4.5969788409404107E-5</v>
      </c>
      <c r="W155" s="2"/>
      <c r="X155" s="6">
        <f t="shared" si="103"/>
        <v>-107.04</v>
      </c>
      <c r="Y155" s="2"/>
      <c r="Z155" s="7">
        <f t="shared" si="104"/>
        <v>-1</v>
      </c>
    </row>
    <row r="156" spans="1:26" s="24" customFormat="1" hidden="1" outlineLevel="2" x14ac:dyDescent="0.25">
      <c r="A156" s="26"/>
      <c r="B156" s="11" t="str">
        <f>CONCATENATE("          ", "6294", " - ", "TRAVEL OPERATIONAL")</f>
        <v xml:space="preserve">          6294 - TRAVEL OPERATIONAL</v>
      </c>
      <c r="C156" s="11"/>
      <c r="D156" s="6"/>
      <c r="E156" s="2"/>
      <c r="F156" s="7">
        <f t="shared" si="97"/>
        <v>0</v>
      </c>
      <c r="G156" s="2"/>
      <c r="H156" s="6">
        <v>35.29</v>
      </c>
      <c r="I156" s="2"/>
      <c r="J156" s="7">
        <f t="shared" si="98"/>
        <v>1.148659933091291E-4</v>
      </c>
      <c r="K156" s="2"/>
      <c r="L156" s="6">
        <f t="shared" si="99"/>
        <v>-35.29</v>
      </c>
      <c r="M156" s="2"/>
      <c r="N156" s="7">
        <f t="shared" si="100"/>
        <v>-1</v>
      </c>
      <c r="O156" s="11"/>
      <c r="P156" s="6">
        <v>451.26</v>
      </c>
      <c r="Q156" s="2"/>
      <c r="R156" s="7">
        <f t="shared" si="101"/>
        <v>3.4417688571614368E-4</v>
      </c>
      <c r="S156" s="2"/>
      <c r="T156" s="6">
        <v>491.81</v>
      </c>
      <c r="U156" s="2"/>
      <c r="V156" s="7">
        <f t="shared" si="102"/>
        <v>2.1121451455184074E-4</v>
      </c>
      <c r="W156" s="2"/>
      <c r="X156" s="6">
        <f t="shared" si="103"/>
        <v>-40.550000000000011</v>
      </c>
      <c r="Y156" s="2"/>
      <c r="Z156" s="7">
        <f t="shared" si="104"/>
        <v>-8.245053984262217E-2</v>
      </c>
    </row>
    <row r="157" spans="1:26" s="25" customFormat="1" outlineLevel="1" collapsed="1" x14ac:dyDescent="0.25">
      <c r="A157" s="27"/>
      <c r="B157" s="13" t="str">
        <f>CONCATENATE("     ","Utilities                                         ")</f>
        <v xml:space="preserve">     Utilities                                         </v>
      </c>
      <c r="C157" s="13"/>
      <c r="D157" s="1">
        <f>SUM(OSRRefD22_21x_0)</f>
        <v>28.14</v>
      </c>
      <c r="E157" s="1"/>
      <c r="F157" s="5">
        <f t="shared" ref="F157:F158" si="105">IF(D$12=0,0,D157/D$12)</f>
        <v>2.3388564089278489E-4</v>
      </c>
      <c r="G157" s="1"/>
      <c r="H157" s="1">
        <f>SUM(OSRRefH22_21x_0)</f>
        <v>2392.9699999999998</v>
      </c>
      <c r="I157" s="1"/>
      <c r="J157" s="5">
        <f t="shared" ref="J157:J158" si="106">IF(H$12=0,0,H157/H$12)</f>
        <v>7.7889168605538859E-3</v>
      </c>
      <c r="K157" s="1"/>
      <c r="L157" s="1">
        <f t="shared" ref="L157:L158" si="107">+D157-H157</f>
        <v>-2364.83</v>
      </c>
      <c r="M157" s="1"/>
      <c r="N157" s="5">
        <f t="shared" ref="N157:N158" si="108">IF(H157=0,0,L157/H157)</f>
        <v>-0.98824055462458793</v>
      </c>
      <c r="O157" s="13"/>
      <c r="P157" s="1">
        <f>SUM(OSRRefP22_21x_0)</f>
        <v>205.15</v>
      </c>
      <c r="Q157" s="1"/>
      <c r="R157" s="5">
        <f t="shared" ref="R157:R158" si="109">IF(P$12=0,0,P157/P$12)</f>
        <v>1.5646830675146672E-4</v>
      </c>
      <c r="S157" s="1"/>
      <c r="T157" s="1">
        <f>SUM(OSRRefT22_21x_0)</f>
        <v>2853.79</v>
      </c>
      <c r="U157" s="1"/>
      <c r="V157" s="5">
        <f t="shared" ref="V157:V158" si="110">IF(T$12=0,0,T157/T$12)</f>
        <v>1.2255990514281889E-3</v>
      </c>
      <c r="W157" s="1"/>
      <c r="X157" s="1">
        <f t="shared" ref="X157:X158" si="111">+P157-T157</f>
        <v>-2648.64</v>
      </c>
      <c r="Y157" s="1"/>
      <c r="Z157" s="5">
        <f t="shared" ref="Z157:Z158" si="112">IF(T157=0,0,X157/T157)</f>
        <v>-0.9281131407706944</v>
      </c>
    </row>
    <row r="158" spans="1:26" s="24" customFormat="1" hidden="1" outlineLevel="2" x14ac:dyDescent="0.25">
      <c r="A158" s="26"/>
      <c r="B158" s="11" t="str">
        <f>CONCATENATE("          ", "6274", " - ", "UTILITIES")</f>
        <v xml:space="preserve">          6274 - UTILITIES</v>
      </c>
      <c r="C158" s="11"/>
      <c r="D158" s="6">
        <v>28.14</v>
      </c>
      <c r="E158" s="2"/>
      <c r="F158" s="7">
        <f t="shared" si="105"/>
        <v>2.3388564089278489E-4</v>
      </c>
      <c r="G158" s="2"/>
      <c r="H158" s="6">
        <v>2392.9699999999998</v>
      </c>
      <c r="I158" s="2"/>
      <c r="J158" s="7">
        <f t="shared" si="106"/>
        <v>7.7889168605538859E-3</v>
      </c>
      <c r="K158" s="2"/>
      <c r="L158" s="6">
        <f t="shared" si="107"/>
        <v>-2364.83</v>
      </c>
      <c r="M158" s="2"/>
      <c r="N158" s="7">
        <f t="shared" si="108"/>
        <v>-0.98824055462458793</v>
      </c>
      <c r="O158" s="11"/>
      <c r="P158" s="6">
        <v>205.15</v>
      </c>
      <c r="Q158" s="2"/>
      <c r="R158" s="7">
        <f t="shared" si="109"/>
        <v>1.5646830675146672E-4</v>
      </c>
      <c r="S158" s="2"/>
      <c r="T158" s="6">
        <v>2853.79</v>
      </c>
      <c r="U158" s="2"/>
      <c r="V158" s="7">
        <f t="shared" si="110"/>
        <v>1.2255990514281889E-3</v>
      </c>
      <c r="W158" s="2"/>
      <c r="X158" s="6">
        <f t="shared" si="111"/>
        <v>-2648.64</v>
      </c>
      <c r="Y158" s="2"/>
      <c r="Z158" s="7">
        <f t="shared" si="112"/>
        <v>-0.9281131407706944</v>
      </c>
    </row>
    <row r="159" spans="1:26" s="52" customFormat="1" x14ac:dyDescent="0.25">
      <c r="A159" s="37"/>
      <c r="B159" s="37"/>
      <c r="C159" s="37"/>
      <c r="D159" s="1"/>
      <c r="E159" s="1"/>
      <c r="F159" s="5"/>
      <c r="G159" s="1"/>
      <c r="H159" s="1"/>
      <c r="I159" s="1"/>
      <c r="J159" s="5"/>
      <c r="K159" s="1"/>
      <c r="L159" s="1"/>
      <c r="M159" s="1"/>
      <c r="N159" s="5"/>
      <c r="O159" s="37"/>
      <c r="P159" s="1"/>
      <c r="Q159" s="1"/>
      <c r="R159" s="5"/>
      <c r="S159" s="1"/>
      <c r="T159" s="1"/>
      <c r="U159" s="1"/>
      <c r="V159" s="5"/>
      <c r="W159" s="1"/>
      <c r="X159" s="1"/>
      <c r="Y159" s="1"/>
      <c r="Z159" s="5"/>
    </row>
    <row r="160" spans="1:26" s="23" customFormat="1" collapsed="1" x14ac:dyDescent="0.25">
      <c r="A160" s="10"/>
      <c r="B160" s="28" t="s">
        <v>0</v>
      </c>
      <c r="C160" s="10"/>
      <c r="D160" s="4">
        <f>SUM(OSRRefD25x_0)</f>
        <v>-3986.08</v>
      </c>
      <c r="E160" s="4"/>
      <c r="F160" s="12">
        <f t="shared" ref="F160:F162" si="113">IF(D$12=0,0,D160/D$12)</f>
        <v>-3.3130308296016771E-2</v>
      </c>
      <c r="G160" s="4"/>
      <c r="H160" s="4">
        <f>SUM(OSRRefH25x_0)</f>
        <v>24624.73</v>
      </c>
      <c r="I160" s="4"/>
      <c r="J160" s="12">
        <f t="shared" ref="J160:J162" si="114">IF(H$12=0,0,H160/H$12)</f>
        <v>8.0151433024060942E-2</v>
      </c>
      <c r="K160" s="4"/>
      <c r="L160" s="4">
        <f t="shared" ref="L160:L162" si="115">+D160-H160</f>
        <v>-28610.809999999998</v>
      </c>
      <c r="M160" s="4"/>
      <c r="N160" s="12">
        <f t="shared" ref="N160:N162" si="116">IF(H160=0,0,L160/H160)</f>
        <v>-1.1618730438871816</v>
      </c>
      <c r="O160" s="10"/>
      <c r="P160" s="4">
        <f>SUM(OSRRefP25x_0)</f>
        <v>217793.07</v>
      </c>
      <c r="Q160" s="4"/>
      <c r="R160" s="12">
        <f t="shared" ref="R160:R162" si="117">IF(P$12=0,0,P160/P$12)</f>
        <v>0.16611120099977414</v>
      </c>
      <c r="S160" s="4"/>
      <c r="T160" s="4">
        <f>SUM(OSRRefT25x_0)</f>
        <v>39454.89</v>
      </c>
      <c r="U160" s="4"/>
      <c r="V160" s="12">
        <f t="shared" ref="V160:V162" si="118">IF(T$12=0,0,T160/T$12)</f>
        <v>1.6944440816669602E-2</v>
      </c>
      <c r="W160" s="4"/>
      <c r="X160" s="4">
        <f t="shared" ref="X160:X162" si="119">+P160-T160</f>
        <v>178338.18</v>
      </c>
      <c r="Y160" s="4"/>
      <c r="Z160" s="12">
        <f t="shared" ref="Z160:Z162" si="120">IF(T160=0,0,X160/T160)</f>
        <v>4.5200526474665113</v>
      </c>
    </row>
    <row r="161" spans="1:26" s="24" customFormat="1" hidden="1" outlineLevel="1" x14ac:dyDescent="0.25">
      <c r="A161" s="44"/>
      <c r="B161" s="11" t="str">
        <f>CONCATENATE("          ", "9150", " - ", "MISC. INCOME")</f>
        <v xml:space="preserve">          9150 - MISC. INCOME</v>
      </c>
      <c r="C161" s="11"/>
      <c r="D161" s="2">
        <f>0</f>
        <v>0</v>
      </c>
      <c r="E161" s="2"/>
      <c r="F161" s="19">
        <f t="shared" si="113"/>
        <v>0</v>
      </c>
      <c r="G161" s="2"/>
      <c r="H161" s="2">
        <f>--24624.73</f>
        <v>24624.73</v>
      </c>
      <c r="I161" s="2"/>
      <c r="J161" s="19">
        <f t="shared" si="114"/>
        <v>8.0151433024060942E-2</v>
      </c>
      <c r="K161" s="2"/>
      <c r="L161" s="2">
        <f t="shared" si="115"/>
        <v>-24624.73</v>
      </c>
      <c r="M161" s="2"/>
      <c r="N161" s="19">
        <f t="shared" si="116"/>
        <v>-1</v>
      </c>
      <c r="O161" s="11"/>
      <c r="P161" s="2">
        <f>--46373.31</f>
        <v>46373.31</v>
      </c>
      <c r="Q161" s="2"/>
      <c r="R161" s="19">
        <f t="shared" si="117"/>
        <v>3.5369014351259366E-2</v>
      </c>
      <c r="S161" s="2"/>
      <c r="T161" s="2">
        <f>--39454.89</f>
        <v>39454.89</v>
      </c>
      <c r="U161" s="2"/>
      <c r="V161" s="19">
        <f t="shared" si="118"/>
        <v>1.6944440816669602E-2</v>
      </c>
      <c r="W161" s="2"/>
      <c r="X161" s="2">
        <f t="shared" si="119"/>
        <v>6918.4199999999983</v>
      </c>
      <c r="Y161" s="2"/>
      <c r="Z161" s="19">
        <f t="shared" si="120"/>
        <v>0.17535012770280181</v>
      </c>
    </row>
    <row r="162" spans="1:26" s="24" customFormat="1" hidden="1" outlineLevel="1" x14ac:dyDescent="0.25">
      <c r="A162" s="44"/>
      <c r="B162" s="11" t="str">
        <f>CONCATENATE("          ", "9163", " - ", "MISC. INCOME")</f>
        <v xml:space="preserve">          9163 - MISC. INCOME</v>
      </c>
      <c r="C162" s="11"/>
      <c r="D162" s="2">
        <f>-3986.08</f>
        <v>-3986.08</v>
      </c>
      <c r="E162" s="2"/>
      <c r="F162" s="19">
        <f t="shared" si="113"/>
        <v>-3.3130308296016771E-2</v>
      </c>
      <c r="G162" s="2"/>
      <c r="H162" s="2">
        <f>0</f>
        <v>0</v>
      </c>
      <c r="I162" s="2"/>
      <c r="J162" s="19">
        <f t="shared" si="114"/>
        <v>0</v>
      </c>
      <c r="K162" s="2"/>
      <c r="L162" s="2">
        <f t="shared" si="115"/>
        <v>-3986.08</v>
      </c>
      <c r="M162" s="2"/>
      <c r="N162" s="19">
        <f t="shared" si="116"/>
        <v>0</v>
      </c>
      <c r="O162" s="11"/>
      <c r="P162" s="2">
        <f>--171419.76</f>
        <v>171419.76</v>
      </c>
      <c r="Q162" s="2"/>
      <c r="R162" s="19">
        <f t="shared" si="117"/>
        <v>0.13074218664851478</v>
      </c>
      <c r="S162" s="2"/>
      <c r="T162" s="2">
        <f>0</f>
        <v>0</v>
      </c>
      <c r="U162" s="2"/>
      <c r="V162" s="19">
        <f t="shared" si="118"/>
        <v>0</v>
      </c>
      <c r="W162" s="2"/>
      <c r="X162" s="2">
        <f t="shared" si="119"/>
        <v>171419.76</v>
      </c>
      <c r="Y162" s="2"/>
      <c r="Z162" s="19">
        <f t="shared" si="120"/>
        <v>0</v>
      </c>
    </row>
    <row r="163" spans="1:26" x14ac:dyDescent="0.25">
      <c r="A163" s="9"/>
      <c r="B163" s="10"/>
      <c r="C163" s="10"/>
      <c r="D163" s="3"/>
      <c r="E163" s="3"/>
      <c r="F163" s="8"/>
      <c r="G163" s="3"/>
      <c r="H163" s="3"/>
      <c r="I163" s="3"/>
      <c r="J163" s="8"/>
      <c r="K163" s="3"/>
      <c r="L163" s="3"/>
      <c r="M163" s="3"/>
      <c r="N163" s="8"/>
      <c r="O163" s="10"/>
      <c r="P163" s="3"/>
      <c r="Q163" s="3"/>
      <c r="R163" s="8"/>
      <c r="S163" s="3"/>
      <c r="T163" s="3"/>
      <c r="U163" s="3"/>
      <c r="V163" s="8"/>
      <c r="W163" s="3"/>
      <c r="X163" s="3"/>
      <c r="Y163" s="3"/>
      <c r="Z163" s="8"/>
    </row>
    <row r="164" spans="1:26" s="23" customFormat="1" x14ac:dyDescent="0.25">
      <c r="A164" s="10"/>
      <c r="B164" s="29" t="s">
        <v>3</v>
      </c>
      <c r="C164" s="29"/>
      <c r="D164" s="22">
        <f>+D86-D88+D160</f>
        <v>-5302.5100000000075</v>
      </c>
      <c r="E164" s="14"/>
      <c r="F164" s="20">
        <f>IF(D$12=0,0,D164/D$12)</f>
        <v>-4.4071817686226103E-2</v>
      </c>
      <c r="G164" s="14"/>
      <c r="H164" s="22">
        <f>+H86-H88+H160</f>
        <v>73336.970000000059</v>
      </c>
      <c r="I164" s="14"/>
      <c r="J164" s="20">
        <f>IF(H$12=0,0,H164/H$12)</f>
        <v>0.2387056929819158</v>
      </c>
      <c r="K164" s="16"/>
      <c r="L164" s="22">
        <f>+D164-H164</f>
        <v>-78639.480000000069</v>
      </c>
      <c r="M164" s="16"/>
      <c r="N164" s="20">
        <f>IF(H164=0,0,L164/H164)</f>
        <v>-1.0723033689556578</v>
      </c>
      <c r="O164" s="28"/>
      <c r="P164" s="22">
        <f>+P86-P88+P160</f>
        <v>239734.55999999988</v>
      </c>
      <c r="Q164" s="14"/>
      <c r="R164" s="20">
        <f>IF(P$12=0,0,P164/P$12)</f>
        <v>0.18284601839145936</v>
      </c>
      <c r="S164" s="14"/>
      <c r="T164" s="22">
        <f>+T86-T88+T160</f>
        <v>544244.73000000173</v>
      </c>
      <c r="U164" s="14"/>
      <c r="V164" s="20">
        <f>IF(T$12=0,0,T164/T$12)</f>
        <v>0.23373332474806938</v>
      </c>
      <c r="W164" s="16"/>
      <c r="X164" s="22">
        <f>+P164-T164</f>
        <v>-304510.17000000185</v>
      </c>
      <c r="Y164" s="16"/>
      <c r="Z164" s="20">
        <f>IF(T164=0,0,X164/T164)</f>
        <v>-0.55950963457193403</v>
      </c>
    </row>
    <row r="165" spans="1:26" x14ac:dyDescent="0.25">
      <c r="A165" s="9"/>
      <c r="B165" s="10"/>
      <c r="C165" s="9"/>
      <c r="D165" s="3"/>
      <c r="E165" s="3"/>
      <c r="F165" s="8"/>
      <c r="G165" s="3"/>
      <c r="H165" s="3"/>
      <c r="I165" s="3"/>
      <c r="J165" s="8"/>
      <c r="K165" s="3"/>
      <c r="L165" s="3"/>
      <c r="M165" s="3"/>
      <c r="N165" s="8"/>
      <c r="P165" s="3"/>
      <c r="Q165" s="3"/>
      <c r="R165" s="8"/>
      <c r="S165" s="3"/>
      <c r="T165" s="3"/>
      <c r="U165" s="3"/>
      <c r="V165" s="8"/>
      <c r="W165" s="3"/>
      <c r="X165" s="3"/>
      <c r="Y165" s="3"/>
      <c r="Z165" s="8"/>
    </row>
    <row r="166" spans="1:26" s="23" customFormat="1" x14ac:dyDescent="0.25">
      <c r="A166" s="51"/>
      <c r="B166" s="10" t="s">
        <v>13</v>
      </c>
      <c r="C166" s="10"/>
      <c r="D166" s="4">
        <v>43486.22</v>
      </c>
      <c r="E166" s="4"/>
      <c r="F166" s="12">
        <f>IF(D$12=0,0,D166/D$12)</f>
        <v>0.36143576527024307</v>
      </c>
      <c r="G166" s="4"/>
      <c r="H166" s="4">
        <v>26530.14</v>
      </c>
      <c r="I166" s="4"/>
      <c r="J166" s="12">
        <f>IF(H$12=0,0,H166/H$12)</f>
        <v>8.6353382933699582E-2</v>
      </c>
      <c r="K166" s="4"/>
      <c r="L166" s="4">
        <f>+D166-H166</f>
        <v>16956.080000000002</v>
      </c>
      <c r="M166" s="4"/>
      <c r="N166" s="12">
        <f>IF(H166=0,0,L166/H166)</f>
        <v>0.63912516104325123</v>
      </c>
      <c r="O166" s="10"/>
      <c r="P166" s="4">
        <v>259650.27000000002</v>
      </c>
      <c r="Q166" s="4"/>
      <c r="R166" s="12">
        <f>IF(P$12=0,0,P166/P$12)</f>
        <v>0.19803576940999834</v>
      </c>
      <c r="S166" s="4"/>
      <c r="T166" s="4">
        <v>237318.75</v>
      </c>
      <c r="U166" s="4"/>
      <c r="V166" s="12">
        <f>IF(T$12=0,0,T166/T$12)</f>
        <v>0.1019197750661834</v>
      </c>
      <c r="W166" s="4"/>
      <c r="X166" s="4">
        <f>+P166-T166</f>
        <v>22331.520000000019</v>
      </c>
      <c r="Y166" s="4"/>
      <c r="Z166" s="12">
        <f>IF(T166=0,0,X166/T166)</f>
        <v>9.4099265228727261E-2</v>
      </c>
    </row>
    <row r="167" spans="1:26" x14ac:dyDescent="0.25">
      <c r="A167" s="9"/>
      <c r="B167" s="10"/>
      <c r="C167" s="10"/>
      <c r="D167" s="3"/>
      <c r="E167" s="3"/>
      <c r="F167" s="8"/>
      <c r="G167" s="3"/>
      <c r="H167" s="3"/>
      <c r="I167" s="3"/>
      <c r="J167" s="8"/>
      <c r="K167" s="3"/>
      <c r="L167" s="3"/>
      <c r="M167" s="3"/>
      <c r="N167" s="8"/>
      <c r="O167" s="10"/>
      <c r="P167" s="3"/>
      <c r="Q167" s="3"/>
      <c r="R167" s="8"/>
      <c r="S167" s="3"/>
      <c r="T167" s="3"/>
      <c r="U167" s="3"/>
      <c r="V167" s="8"/>
      <c r="W167" s="3"/>
      <c r="X167" s="3"/>
      <c r="Y167" s="3"/>
      <c r="Z167" s="8"/>
    </row>
    <row r="168" spans="1:26" s="23" customFormat="1" ht="15.75" thickBot="1" x14ac:dyDescent="0.3">
      <c r="A168" s="10"/>
      <c r="B168" s="29" t="s">
        <v>4</v>
      </c>
      <c r="C168" s="29"/>
      <c r="D168" s="35">
        <f>+D164-D166</f>
        <v>-48788.73000000001</v>
      </c>
      <c r="E168" s="14"/>
      <c r="F168" s="36">
        <f>IF(D$12=0,0,D168/D$12)</f>
        <v>-0.40550758295646921</v>
      </c>
      <c r="G168" s="14"/>
      <c r="H168" s="35">
        <f>+H164-H166</f>
        <v>46806.83000000006</v>
      </c>
      <c r="I168" s="14"/>
      <c r="J168" s="36">
        <f>IF(H$12=0,0,H168/H$12)</f>
        <v>0.1523523100482162</v>
      </c>
      <c r="K168" s="16"/>
      <c r="L168" s="35">
        <f>D168-H168</f>
        <v>-95595.56000000007</v>
      </c>
      <c r="M168" s="16"/>
      <c r="N168" s="36">
        <f>IF(H168=0,0,L168/H168)</f>
        <v>-2.0423421111833453</v>
      </c>
      <c r="O168" s="28"/>
      <c r="P168" s="35">
        <f>+P164-P166</f>
        <v>-19915.710000000137</v>
      </c>
      <c r="Q168" s="14"/>
      <c r="R168" s="36">
        <f>IF(P$12=0,0,P168/P$12)</f>
        <v>-1.5189751018538996E-2</v>
      </c>
      <c r="S168" s="14"/>
      <c r="T168" s="35">
        <f>+T164-T166</f>
        <v>306925.98000000173</v>
      </c>
      <c r="U168" s="14"/>
      <c r="V168" s="36">
        <f>IF(T$12=0,0,T168/T$12)</f>
        <v>0.13181354968188599</v>
      </c>
      <c r="W168" s="16"/>
      <c r="X168" s="35">
        <f>P168-T168</f>
        <v>-326841.69000000186</v>
      </c>
      <c r="Y168" s="16"/>
      <c r="Z168" s="36">
        <f>IF(T168=0,0,X168/T168)</f>
        <v>-1.064887664446001</v>
      </c>
    </row>
    <row r="169" spans="1:26" ht="15.75" thickTop="1" x14ac:dyDescent="0.25">
      <c r="A169" s="9"/>
      <c r="B169" s="9"/>
      <c r="C169" s="9"/>
      <c r="D169" s="3"/>
      <c r="E169" s="3"/>
      <c r="F169" s="8"/>
      <c r="G169" s="3"/>
      <c r="H169" s="3"/>
      <c r="I169" s="3"/>
      <c r="J169" s="8"/>
      <c r="K169" s="3"/>
      <c r="L169" s="3"/>
      <c r="M169" s="3"/>
      <c r="N169" s="8"/>
      <c r="P169" s="3"/>
      <c r="Q169" s="3"/>
      <c r="R169" s="8"/>
      <c r="S169" s="3"/>
      <c r="T169" s="3"/>
      <c r="U169" s="3"/>
      <c r="V169" s="8"/>
      <c r="W169" s="3"/>
      <c r="X169" s="3"/>
      <c r="Y169" s="3"/>
      <c r="Z169" s="8"/>
    </row>
    <row r="170" spans="1:26" x14ac:dyDescent="0.25">
      <c r="A170" s="9"/>
      <c r="B170" s="9"/>
      <c r="C170" s="9"/>
      <c r="D170" s="3"/>
      <c r="E170" s="3"/>
      <c r="F170" s="8"/>
      <c r="G170" s="3"/>
      <c r="H170" s="3"/>
      <c r="I170" s="3"/>
      <c r="J170" s="8"/>
      <c r="K170" s="3"/>
      <c r="L170" s="3"/>
      <c r="M170" s="3"/>
      <c r="N170" s="8"/>
      <c r="P170" s="3"/>
      <c r="Q170" s="3"/>
      <c r="R170" s="8"/>
      <c r="S170" s="3"/>
      <c r="T170" s="3"/>
      <c r="U170" s="3"/>
      <c r="V170" s="8"/>
      <c r="W170" s="3"/>
      <c r="X170" s="3"/>
      <c r="Y170" s="3"/>
      <c r="Z170" s="8"/>
    </row>
    <row r="171" spans="1:26" s="23" customFormat="1" ht="15.75" thickBot="1" x14ac:dyDescent="0.3">
      <c r="A171" s="10"/>
      <c r="B171" s="29" t="s">
        <v>5</v>
      </c>
      <c r="C171" s="29"/>
      <c r="D171" s="31">
        <f>SUM(D168:D170)</f>
        <v>-48788.73000000001</v>
      </c>
      <c r="E171" s="14"/>
      <c r="F171" s="33">
        <f>IF(D$12=0,0,D171/D$12)</f>
        <v>-0.40550758295646921</v>
      </c>
      <c r="G171" s="14"/>
      <c r="H171" s="31">
        <f>SUM(H168:H170)</f>
        <v>46806.83000000006</v>
      </c>
      <c r="I171" s="14"/>
      <c r="J171" s="33">
        <f>IF(H$12=0,0,H171/H$12)</f>
        <v>0.1523523100482162</v>
      </c>
      <c r="K171" s="16"/>
      <c r="L171" s="31">
        <f>+D171-H171</f>
        <v>-95595.56000000007</v>
      </c>
      <c r="M171" s="16"/>
      <c r="N171" s="33">
        <f>IF(H171=0,0,L171/H171)</f>
        <v>-2.0423421111833453</v>
      </c>
      <c r="O171" s="28"/>
      <c r="P171" s="31">
        <f>SUM(P168:P170)</f>
        <v>-19915.710000000137</v>
      </c>
      <c r="Q171" s="14"/>
      <c r="R171" s="33">
        <f>IF(P$12=0,0,P171/P$12)</f>
        <v>-1.5189751018538996E-2</v>
      </c>
      <c r="S171" s="14"/>
      <c r="T171" s="31">
        <f>SUM(T168:T170)</f>
        <v>306925.98000000173</v>
      </c>
      <c r="U171" s="14"/>
      <c r="V171" s="33">
        <f>IF(T$12=0,0,T171/T$12)</f>
        <v>0.13181354968188599</v>
      </c>
      <c r="W171" s="16"/>
      <c r="X171" s="31">
        <f>+P171-T171</f>
        <v>-326841.69000000186</v>
      </c>
      <c r="Y171" s="16"/>
      <c r="Z171" s="33">
        <f>IF(T171=0,0,X171/T171)</f>
        <v>-1.064887664446001</v>
      </c>
    </row>
    <row r="172" spans="1:26" ht="15.75" thickTop="1" x14ac:dyDescent="0.25">
      <c r="A172" s="9"/>
      <c r="C172" s="9"/>
      <c r="D172" s="18"/>
      <c r="E172" s="18"/>
      <c r="G172" s="18"/>
      <c r="H172" s="18"/>
      <c r="I172" s="18"/>
      <c r="J172" s="43"/>
      <c r="K172" s="18"/>
      <c r="L172" s="18"/>
      <c r="M172" s="18"/>
      <c r="P172" s="18"/>
      <c r="Q172" s="18"/>
      <c r="R172" s="43"/>
      <c r="S172" s="18"/>
      <c r="T172" s="18"/>
      <c r="U172" s="18"/>
      <c r="V172" s="43"/>
      <c r="W172" s="18"/>
      <c r="X172" s="18"/>
    </row>
    <row r="173" spans="1:26" x14ac:dyDescent="0.25">
      <c r="A173" s="9"/>
      <c r="B173" s="56">
        <v>44267.667890358796</v>
      </c>
      <c r="D173" s="18"/>
      <c r="E173" s="18"/>
      <c r="G173" s="18"/>
      <c r="H173" s="18"/>
      <c r="I173" s="18"/>
      <c r="J173" s="43"/>
      <c r="K173" s="18"/>
      <c r="L173" s="18"/>
      <c r="M173" s="18"/>
      <c r="P173" s="18"/>
      <c r="Q173" s="18"/>
      <c r="R173" s="43"/>
      <c r="S173" s="18"/>
      <c r="T173" s="18"/>
      <c r="U173" s="18"/>
      <c r="V173" s="43"/>
      <c r="W173" s="18"/>
      <c r="X173" s="18"/>
    </row>
    <row r="174" spans="1:26" x14ac:dyDescent="0.25">
      <c r="A174" s="9"/>
      <c r="B174" s="54" t="s">
        <v>313</v>
      </c>
      <c r="D174" s="18"/>
      <c r="E174" s="18"/>
      <c r="G174" s="18"/>
      <c r="H174" s="18"/>
      <c r="I174" s="18"/>
      <c r="J174" s="43"/>
      <c r="K174" s="18"/>
      <c r="L174" s="18"/>
      <c r="M174" s="18"/>
      <c r="P174" s="18"/>
      <c r="Q174" s="18"/>
      <c r="R174" s="43"/>
      <c r="S174" s="18"/>
      <c r="T174" s="18"/>
      <c r="U174" s="18"/>
      <c r="V174" s="43"/>
      <c r="W174" s="18"/>
      <c r="X174" s="18"/>
    </row>
    <row r="175" spans="1:26" x14ac:dyDescent="0.25">
      <c r="A175" s="9"/>
      <c r="B175" s="58"/>
      <c r="D175" s="18"/>
      <c r="E175" s="18"/>
      <c r="G175" s="18"/>
      <c r="H175" s="18"/>
      <c r="I175" s="18"/>
      <c r="J175" s="43"/>
      <c r="K175" s="18"/>
      <c r="L175" s="18"/>
      <c r="M175" s="18"/>
      <c r="P175" s="18"/>
      <c r="Q175" s="18"/>
      <c r="R175" s="43"/>
      <c r="S175" s="18"/>
      <c r="T175" s="18"/>
      <c r="U175" s="18"/>
      <c r="V175" s="43"/>
      <c r="W175" s="18"/>
      <c r="X175" s="18"/>
    </row>
    <row r="176" spans="1:26" x14ac:dyDescent="0.25">
      <c r="D176" s="18"/>
      <c r="E176" s="18"/>
      <c r="G176" s="18"/>
      <c r="H176" s="18"/>
      <c r="I176" s="18"/>
      <c r="J176" s="43"/>
      <c r="K176" s="18"/>
      <c r="L176" s="18"/>
      <c r="M176" s="18"/>
      <c r="P176" s="18"/>
      <c r="Q176" s="18"/>
      <c r="R176" s="43"/>
      <c r="S176" s="18"/>
      <c r="T176" s="18"/>
      <c r="U176" s="18"/>
      <c r="V176" s="43"/>
      <c r="W176" s="18"/>
      <c r="X176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297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","315", " - ", "Beach Shop")</f>
        <v>Department 315 - Beach Shop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99746.989999999991</v>
      </c>
      <c r="E12" s="4"/>
      <c r="F12" s="12"/>
      <c r="G12" s="4"/>
      <c r="H12" s="4">
        <f>SUM(OSRRefH13x_0)</f>
        <v>263703.87999999995</v>
      </c>
      <c r="I12" s="4"/>
      <c r="J12" s="12"/>
      <c r="K12" s="4"/>
      <c r="L12" s="4">
        <f t="shared" ref="L12:L50" si="0">+D12-H12</f>
        <v>-163956.88999999996</v>
      </c>
      <c r="M12" s="4"/>
      <c r="N12" s="12">
        <f t="shared" ref="N12:N50" si="1">IF(H12=0,0,L12/H12)</f>
        <v>-0.62174621776516903</v>
      </c>
      <c r="O12" s="10"/>
      <c r="P12" s="4">
        <f>SUM(OSRRefP13x_0)</f>
        <v>1126889.72</v>
      </c>
      <c r="Q12" s="4"/>
      <c r="R12" s="12"/>
      <c r="S12" s="4"/>
      <c r="T12" s="4">
        <f>SUM(OSRRefT13x_0)</f>
        <v>1925578.3199999998</v>
      </c>
      <c r="U12" s="4"/>
      <c r="V12" s="12"/>
      <c r="W12" s="4"/>
      <c r="X12" s="4">
        <f t="shared" ref="X12:X50" si="2">+P12-T12</f>
        <v>-798688.59999999986</v>
      </c>
      <c r="Y12" s="4"/>
      <c r="Z12" s="12">
        <f t="shared" ref="Z12:Z50" si="3">IF(T12=0,0,X12/T12)</f>
        <v>-0.41477855857870272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-6379.2</f>
        <v>-6379.2</v>
      </c>
      <c r="E13" s="2"/>
      <c r="F13" s="19"/>
      <c r="G13" s="2"/>
      <c r="H13" s="2">
        <f t="shared" ref="H13:H18" si="4">0</f>
        <v>0</v>
      </c>
      <c r="I13" s="2"/>
      <c r="J13" s="19"/>
      <c r="K13" s="2"/>
      <c r="L13" s="2">
        <f t="shared" si="0"/>
        <v>-6379.2</v>
      </c>
      <c r="M13" s="2"/>
      <c r="N13" s="19">
        <f t="shared" si="1"/>
        <v>0</v>
      </c>
      <c r="O13" s="11"/>
      <c r="P13" s="2">
        <f>-94154.36</f>
        <v>-94154.36</v>
      </c>
      <c r="Q13" s="2"/>
      <c r="R13" s="19"/>
      <c r="S13" s="2"/>
      <c r="T13" s="2">
        <f t="shared" ref="T13:T18" si="5">0</f>
        <v>0</v>
      </c>
      <c r="U13" s="2"/>
      <c r="V13" s="19"/>
      <c r="W13" s="2"/>
      <c r="X13" s="2">
        <f t="shared" si="2"/>
        <v>-94154.36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--221.99</f>
        <v>221.99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221.99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--5765.33</f>
        <v>5765.33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5765.33</v>
      </c>
      <c r="M15" s="2"/>
      <c r="N15" s="19">
        <f t="shared" si="1"/>
        <v>0</v>
      </c>
      <c r="O15" s="11"/>
      <c r="P15" s="2">
        <f>--46160.12</f>
        <v>46160.12</v>
      </c>
      <c r="Q15" s="2"/>
      <c r="R15" s="19"/>
      <c r="S15" s="2"/>
      <c r="T15" s="2">
        <f t="shared" si="5"/>
        <v>0</v>
      </c>
      <c r="U15" s="2"/>
      <c r="V15" s="19"/>
      <c r="W15" s="2"/>
      <c r="X15" s="2">
        <f t="shared" si="2"/>
        <v>46160.12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>--1924.8</f>
        <v>1924.8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1924.8</v>
      </c>
      <c r="M16" s="2"/>
      <c r="N16" s="19">
        <f t="shared" si="1"/>
        <v>0</v>
      </c>
      <c r="O16" s="11"/>
      <c r="P16" s="2">
        <f>--28368.33</f>
        <v>28368.33</v>
      </c>
      <c r="Q16" s="2"/>
      <c r="R16" s="19"/>
      <c r="S16" s="2"/>
      <c r="T16" s="2">
        <f t="shared" si="5"/>
        <v>0</v>
      </c>
      <c r="U16" s="2"/>
      <c r="V16" s="19"/>
      <c r="W16" s="2"/>
      <c r="X16" s="2">
        <f t="shared" si="2"/>
        <v>28368.33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>--593.6</f>
        <v>593.6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593.6</v>
      </c>
      <c r="M17" s="2"/>
      <c r="N17" s="19">
        <f t="shared" si="1"/>
        <v>0</v>
      </c>
      <c r="O17" s="11"/>
      <c r="P17" s="2">
        <f>--2806.29</f>
        <v>2806.29</v>
      </c>
      <c r="Q17" s="2"/>
      <c r="R17" s="19"/>
      <c r="S17" s="2"/>
      <c r="T17" s="2">
        <f t="shared" si="5"/>
        <v>0</v>
      </c>
      <c r="U17" s="2"/>
      <c r="V17" s="19"/>
      <c r="W17" s="2"/>
      <c r="X17" s="2">
        <f t="shared" si="2"/>
        <v>2806.29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--6.78</f>
        <v>6.78</v>
      </c>
      <c r="Q18" s="2"/>
      <c r="R18" s="19"/>
      <c r="S18" s="2"/>
      <c r="T18" s="2">
        <f t="shared" si="5"/>
        <v>0</v>
      </c>
      <c r="U18" s="2"/>
      <c r="V18" s="19"/>
      <c r="W18" s="2"/>
      <c r="X18" s="2">
        <f t="shared" si="2"/>
        <v>6.78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>--55485.96</f>
        <v>55485.96</v>
      </c>
      <c r="E19" s="2"/>
      <c r="F19" s="19"/>
      <c r="G19" s="2"/>
      <c r="H19" s="2">
        <f>--160116.52</f>
        <v>160116.51999999999</v>
      </c>
      <c r="I19" s="2"/>
      <c r="J19" s="19"/>
      <c r="K19" s="2"/>
      <c r="L19" s="2">
        <f t="shared" si="0"/>
        <v>-104630.56</v>
      </c>
      <c r="M19" s="2"/>
      <c r="N19" s="19">
        <f t="shared" si="1"/>
        <v>-0.65346511403070717</v>
      </c>
      <c r="O19" s="11"/>
      <c r="P19" s="2">
        <f>--517607.94</f>
        <v>517607.94</v>
      </c>
      <c r="Q19" s="2"/>
      <c r="R19" s="19"/>
      <c r="S19" s="2"/>
      <c r="T19" s="2">
        <f>--1343331.13</f>
        <v>1343331.13</v>
      </c>
      <c r="U19" s="2"/>
      <c r="V19" s="19"/>
      <c r="W19" s="2"/>
      <c r="X19" s="2">
        <f t="shared" si="2"/>
        <v>-825723.19</v>
      </c>
      <c r="Y19" s="2"/>
      <c r="Z19" s="19">
        <f t="shared" si="3"/>
        <v>-0.61468328363684988</v>
      </c>
    </row>
    <row r="20" spans="1:26" s="24" customFormat="1" hidden="1" outlineLevel="1" x14ac:dyDescent="0.25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>--20923.68</f>
        <v>20923.68</v>
      </c>
      <c r="E20" s="2"/>
      <c r="F20" s="19"/>
      <c r="G20" s="2"/>
      <c r="H20" s="2">
        <f>--27250.96</f>
        <v>27250.959999999999</v>
      </c>
      <c r="I20" s="2"/>
      <c r="J20" s="19"/>
      <c r="K20" s="2"/>
      <c r="L20" s="2">
        <f t="shared" si="0"/>
        <v>-6327.2799999999988</v>
      </c>
      <c r="M20" s="2"/>
      <c r="N20" s="19">
        <f t="shared" si="1"/>
        <v>-0.23218558171895592</v>
      </c>
      <c r="O20" s="11"/>
      <c r="P20" s="2">
        <f>--160219</f>
        <v>160219</v>
      </c>
      <c r="Q20" s="2"/>
      <c r="R20" s="19"/>
      <c r="S20" s="2"/>
      <c r="T20" s="2">
        <f>--222707.4</f>
        <v>222707.4</v>
      </c>
      <c r="U20" s="2"/>
      <c r="V20" s="19"/>
      <c r="W20" s="2"/>
      <c r="X20" s="2">
        <f t="shared" si="2"/>
        <v>-62488.399999999994</v>
      </c>
      <c r="Y20" s="2"/>
      <c r="Z20" s="19">
        <f t="shared" si="3"/>
        <v>-0.28058519833647194</v>
      </c>
    </row>
    <row r="21" spans="1:26" s="24" customFormat="1" hidden="1" outlineLevel="1" x14ac:dyDescent="0.25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--3907.64</f>
        <v>3907.64</v>
      </c>
      <c r="E21" s="2"/>
      <c r="F21" s="19"/>
      <c r="G21" s="2"/>
      <c r="H21" s="2">
        <f>--15207.86</f>
        <v>15207.86</v>
      </c>
      <c r="I21" s="2"/>
      <c r="J21" s="19"/>
      <c r="K21" s="2"/>
      <c r="L21" s="2">
        <f t="shared" si="0"/>
        <v>-11300.220000000001</v>
      </c>
      <c r="M21" s="2"/>
      <c r="N21" s="19">
        <f t="shared" si="1"/>
        <v>-0.74305129058263297</v>
      </c>
      <c r="O21" s="11"/>
      <c r="P21" s="2">
        <f>--56936.61</f>
        <v>56936.61</v>
      </c>
      <c r="Q21" s="2"/>
      <c r="R21" s="19"/>
      <c r="S21" s="2"/>
      <c r="T21" s="2">
        <f>--167275.81</f>
        <v>167275.81</v>
      </c>
      <c r="U21" s="2"/>
      <c r="V21" s="19"/>
      <c r="W21" s="2"/>
      <c r="X21" s="2">
        <f t="shared" si="2"/>
        <v>-110339.2</v>
      </c>
      <c r="Y21" s="2"/>
      <c r="Z21" s="19">
        <f t="shared" si="3"/>
        <v>-0.65962436529226787</v>
      </c>
    </row>
    <row r="22" spans="1:26" s="24" customFormat="1" hidden="1" outlineLevel="1" x14ac:dyDescent="0.25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>--4840.69</f>
        <v>4840.6899999999996</v>
      </c>
      <c r="E22" s="2"/>
      <c r="F22" s="19"/>
      <c r="G22" s="2"/>
      <c r="H22" s="2">
        <f>--53080.36</f>
        <v>53080.36</v>
      </c>
      <c r="I22" s="2"/>
      <c r="J22" s="19"/>
      <c r="K22" s="2"/>
      <c r="L22" s="2">
        <f t="shared" si="0"/>
        <v>-48239.67</v>
      </c>
      <c r="M22" s="2"/>
      <c r="N22" s="19">
        <f t="shared" si="1"/>
        <v>-0.90880449944197816</v>
      </c>
      <c r="O22" s="11"/>
      <c r="P22" s="2">
        <f>--114555.94</f>
        <v>114555.94</v>
      </c>
      <c r="Q22" s="2"/>
      <c r="R22" s="19"/>
      <c r="S22" s="2"/>
      <c r="T22" s="2">
        <f>--74137.87</f>
        <v>74137.87</v>
      </c>
      <c r="U22" s="2"/>
      <c r="V22" s="19"/>
      <c r="W22" s="2"/>
      <c r="X22" s="2">
        <f t="shared" si="2"/>
        <v>40418.070000000007</v>
      </c>
      <c r="Y22" s="2"/>
      <c r="Z22" s="19">
        <f t="shared" si="3"/>
        <v>0.5451744162598684</v>
      </c>
    </row>
    <row r="23" spans="1:26" s="24" customFormat="1" hidden="1" outlineLevel="1" x14ac:dyDescent="0.25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>--1799.2</f>
        <v>1799.2</v>
      </c>
      <c r="E23" s="2"/>
      <c r="F23" s="19"/>
      <c r="G23" s="2"/>
      <c r="H23" s="2">
        <f>--8621.95</f>
        <v>8621.9500000000007</v>
      </c>
      <c r="I23" s="2"/>
      <c r="J23" s="19"/>
      <c r="K23" s="2"/>
      <c r="L23" s="2">
        <f t="shared" si="0"/>
        <v>-6822.7500000000009</v>
      </c>
      <c r="M23" s="2"/>
      <c r="N23" s="19">
        <f t="shared" si="1"/>
        <v>-0.7913233085322926</v>
      </c>
      <c r="O23" s="11"/>
      <c r="P23" s="2">
        <f>--27401.65</f>
        <v>27401.65</v>
      </c>
      <c r="Q23" s="2"/>
      <c r="R23" s="19"/>
      <c r="S23" s="2"/>
      <c r="T23" s="2">
        <f>--58678.66</f>
        <v>58678.66</v>
      </c>
      <c r="U23" s="2"/>
      <c r="V23" s="19"/>
      <c r="W23" s="2"/>
      <c r="X23" s="2">
        <f t="shared" si="2"/>
        <v>-31277.010000000002</v>
      </c>
      <c r="Y23" s="2"/>
      <c r="Z23" s="19">
        <f t="shared" si="3"/>
        <v>-0.53302188563951525</v>
      </c>
    </row>
    <row r="24" spans="1:26" s="24" customFormat="1" hidden="1" outlineLevel="1" x14ac:dyDescent="0.25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--10039.9</f>
        <v>10039.9</v>
      </c>
      <c r="E24" s="2"/>
      <c r="F24" s="19"/>
      <c r="G24" s="2"/>
      <c r="H24" s="2">
        <f>--815.01</f>
        <v>815.01</v>
      </c>
      <c r="I24" s="2"/>
      <c r="J24" s="19"/>
      <c r="K24" s="2"/>
      <c r="L24" s="2">
        <f t="shared" si="0"/>
        <v>9224.89</v>
      </c>
      <c r="M24" s="2"/>
      <c r="N24" s="19">
        <f t="shared" si="1"/>
        <v>11.31874455528153</v>
      </c>
      <c r="O24" s="11"/>
      <c r="P24" s="2">
        <f>--135163.2</f>
        <v>135163.20000000001</v>
      </c>
      <c r="Q24" s="2"/>
      <c r="R24" s="19"/>
      <c r="S24" s="2"/>
      <c r="T24" s="2">
        <f>--70085.44</f>
        <v>70085.440000000002</v>
      </c>
      <c r="U24" s="2"/>
      <c r="V24" s="19"/>
      <c r="W24" s="2"/>
      <c r="X24" s="2">
        <f t="shared" si="2"/>
        <v>65077.760000000009</v>
      </c>
      <c r="Y24" s="2"/>
      <c r="Z24" s="19">
        <f t="shared" si="3"/>
        <v>0.9285489254258803</v>
      </c>
    </row>
    <row r="25" spans="1:26" s="24" customFormat="1" hidden="1" outlineLevel="1" x14ac:dyDescent="0.25">
      <c r="A25" s="44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19"/>
      <c r="G25" s="2"/>
      <c r="H25" s="2">
        <f t="shared" ref="H25:H33" si="6"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--52.68</f>
        <v>52.68</v>
      </c>
      <c r="Q25" s="2"/>
      <c r="R25" s="19"/>
      <c r="S25" s="2"/>
      <c r="T25" s="2">
        <f t="shared" ref="T25:T32" si="7">0</f>
        <v>0</v>
      </c>
      <c r="U25" s="2"/>
      <c r="V25" s="19"/>
      <c r="W25" s="2"/>
      <c r="X25" s="2">
        <f t="shared" si="2"/>
        <v>52.68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--472.19</f>
        <v>472.19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472.19</v>
      </c>
      <c r="M26" s="2"/>
      <c r="N26" s="19">
        <f t="shared" si="1"/>
        <v>0</v>
      </c>
      <c r="O26" s="11"/>
      <c r="P26" s="2">
        <f>--6217.36</f>
        <v>6217.36</v>
      </c>
      <c r="Q26" s="2"/>
      <c r="R26" s="19"/>
      <c r="S26" s="2"/>
      <c r="T26" s="2">
        <f t="shared" si="7"/>
        <v>0</v>
      </c>
      <c r="U26" s="2"/>
      <c r="V26" s="19"/>
      <c r="W26" s="2"/>
      <c r="X26" s="2">
        <f t="shared" si="2"/>
        <v>6217.36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"4128", " - ", "NON-TAXABLE SALES-ART/TECH")</f>
        <v xml:space="preserve">          4128 - NON-TAXABLE SALES-ART/TECH</v>
      </c>
      <c r="C27" s="11"/>
      <c r="D27" s="2">
        <f>--9.08</f>
        <v>9.08</v>
      </c>
      <c r="E27" s="2"/>
      <c r="F27" s="19"/>
      <c r="G27" s="2"/>
      <c r="H27" s="2">
        <f t="shared" si="6"/>
        <v>0</v>
      </c>
      <c r="I27" s="2"/>
      <c r="J27" s="19"/>
      <c r="K27" s="2"/>
      <c r="L27" s="2">
        <f t="shared" si="0"/>
        <v>9.08</v>
      </c>
      <c r="M27" s="2"/>
      <c r="N27" s="19">
        <f t="shared" si="1"/>
        <v>0</v>
      </c>
      <c r="O27" s="11"/>
      <c r="P27" s="2">
        <f>--38.58</f>
        <v>38.58</v>
      </c>
      <c r="Q27" s="2"/>
      <c r="R27" s="19"/>
      <c r="S27" s="2"/>
      <c r="T27" s="2">
        <f t="shared" si="7"/>
        <v>0</v>
      </c>
      <c r="U27" s="2"/>
      <c r="V27" s="19"/>
      <c r="W27" s="2"/>
      <c r="X27" s="2">
        <f t="shared" si="2"/>
        <v>38.58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"4131", " - ", "NON-TAXABLE SALES-FOOD")</f>
        <v xml:space="preserve">          4131 - NON-TAXABLE SALES-FOOD</v>
      </c>
      <c r="C28" s="11"/>
      <c r="D28" s="2">
        <f>--930.38</f>
        <v>930.38</v>
      </c>
      <c r="E28" s="2"/>
      <c r="F28" s="19"/>
      <c r="G28" s="2"/>
      <c r="H28" s="2">
        <f t="shared" si="6"/>
        <v>0</v>
      </c>
      <c r="I28" s="2"/>
      <c r="J28" s="19"/>
      <c r="K28" s="2"/>
      <c r="L28" s="2">
        <f t="shared" si="0"/>
        <v>930.38</v>
      </c>
      <c r="M28" s="2"/>
      <c r="N28" s="19">
        <f t="shared" si="1"/>
        <v>0</v>
      </c>
      <c r="O28" s="11"/>
      <c r="P28" s="2">
        <f>--7685.99</f>
        <v>7685.99</v>
      </c>
      <c r="Q28" s="2"/>
      <c r="R28" s="19"/>
      <c r="S28" s="2"/>
      <c r="T28" s="2">
        <f t="shared" si="7"/>
        <v>0</v>
      </c>
      <c r="U28" s="2"/>
      <c r="V28" s="19"/>
      <c r="W28" s="2"/>
      <c r="X28" s="2">
        <f t="shared" si="2"/>
        <v>7685.99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"4132", " - ", "NON-TAXABLE SALES-JUICE")</f>
        <v xml:space="preserve">          4132 - NON-TAXABLE SALES-JUICE</v>
      </c>
      <c r="C29" s="11"/>
      <c r="D29" s="2">
        <f t="shared" ref="D29:D32" si="8">0</f>
        <v>0</v>
      </c>
      <c r="E29" s="2"/>
      <c r="F29" s="19"/>
      <c r="G29" s="2"/>
      <c r="H29" s="2">
        <f t="shared" si="6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--22.49</f>
        <v>22.49</v>
      </c>
      <c r="Q29" s="2"/>
      <c r="R29" s="19"/>
      <c r="S29" s="2"/>
      <c r="T29" s="2">
        <f t="shared" si="7"/>
        <v>0</v>
      </c>
      <c r="U29" s="2"/>
      <c r="V29" s="19"/>
      <c r="W29" s="2"/>
      <c r="X29" s="2">
        <f t="shared" si="2"/>
        <v>22.49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"4133", " - ", "NON-TAXABLE SALES-CANDY")</f>
        <v xml:space="preserve">          4133 - NON-TAXABLE SALES-CANDY</v>
      </c>
      <c r="C30" s="11"/>
      <c r="D30" s="2">
        <f t="shared" si="8"/>
        <v>0</v>
      </c>
      <c r="E30" s="2"/>
      <c r="F30" s="19"/>
      <c r="G30" s="2"/>
      <c r="H30" s="2">
        <f t="shared" si="6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--80.71</f>
        <v>80.709999999999994</v>
      </c>
      <c r="Q30" s="2"/>
      <c r="R30" s="19"/>
      <c r="S30" s="2"/>
      <c r="T30" s="2">
        <f t="shared" si="7"/>
        <v>0</v>
      </c>
      <c r="U30" s="2"/>
      <c r="V30" s="19"/>
      <c r="W30" s="2"/>
      <c r="X30" s="2">
        <f t="shared" si="2"/>
        <v>80.709999999999994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"4134", " - ", "NON-TAXABLE SALES-SODA")</f>
        <v xml:space="preserve">          4134 - NON-TAXABLE SALES-SODA</v>
      </c>
      <c r="C31" s="11"/>
      <c r="D31" s="2">
        <f t="shared" si="8"/>
        <v>0</v>
      </c>
      <c r="E31" s="2"/>
      <c r="F31" s="19"/>
      <c r="G31" s="2"/>
      <c r="H31" s="2">
        <f t="shared" si="6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--45.53</f>
        <v>45.53</v>
      </c>
      <c r="Q31" s="2"/>
      <c r="R31" s="19"/>
      <c r="S31" s="2"/>
      <c r="T31" s="2">
        <f t="shared" si="7"/>
        <v>0</v>
      </c>
      <c r="U31" s="2"/>
      <c r="V31" s="19"/>
      <c r="W31" s="2"/>
      <c r="X31" s="2">
        <f t="shared" si="2"/>
        <v>45.53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"4137", " - ", "NON-TAXABLE SALES-WATER")</f>
        <v xml:space="preserve">          4137 - NON-TAXABLE SALES-WATER</v>
      </c>
      <c r="C32" s="11"/>
      <c r="D32" s="2">
        <f t="shared" si="8"/>
        <v>0</v>
      </c>
      <c r="E32" s="2"/>
      <c r="F32" s="19"/>
      <c r="G32" s="2"/>
      <c r="H32" s="2">
        <f t="shared" si="6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--59.25</f>
        <v>59.25</v>
      </c>
      <c r="Q32" s="2"/>
      <c r="R32" s="19"/>
      <c r="S32" s="2"/>
      <c r="T32" s="2">
        <f t="shared" si="7"/>
        <v>0</v>
      </c>
      <c r="U32" s="2"/>
      <c r="V32" s="19"/>
      <c r="W32" s="2"/>
      <c r="X32" s="2">
        <f t="shared" si="2"/>
        <v>59.25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"4140", " - ", "NON-TAXABLE SALES-LOGO CLOTHIN")</f>
        <v xml:space="preserve">          4140 - NON-TAXABLE SALES-LOGO CLOTHIN</v>
      </c>
      <c r="C33" s="11"/>
      <c r="D33" s="2">
        <f>--1947.86</f>
        <v>1947.86</v>
      </c>
      <c r="E33" s="2"/>
      <c r="F33" s="19"/>
      <c r="G33" s="2"/>
      <c r="H33" s="2">
        <f t="shared" si="6"/>
        <v>0</v>
      </c>
      <c r="I33" s="2"/>
      <c r="J33" s="19"/>
      <c r="K33" s="2"/>
      <c r="L33" s="2">
        <f t="shared" si="0"/>
        <v>1947.86</v>
      </c>
      <c r="M33" s="2"/>
      <c r="N33" s="19">
        <f t="shared" si="1"/>
        <v>0</v>
      </c>
      <c r="O33" s="11"/>
      <c r="P33" s="2">
        <f>--114959.5</f>
        <v>114959.5</v>
      </c>
      <c r="Q33" s="2"/>
      <c r="R33" s="19"/>
      <c r="S33" s="2"/>
      <c r="T33" s="2">
        <f>--42582.67</f>
        <v>42582.67</v>
      </c>
      <c r="U33" s="2"/>
      <c r="V33" s="19"/>
      <c r="W33" s="2"/>
      <c r="X33" s="2">
        <f t="shared" si="2"/>
        <v>72376.83</v>
      </c>
      <c r="Y33" s="2"/>
      <c r="Z33" s="19">
        <f t="shared" si="3"/>
        <v>1.6996780615212717</v>
      </c>
    </row>
    <row r="34" spans="1:26" s="24" customFormat="1" hidden="1" outlineLevel="1" x14ac:dyDescent="0.25">
      <c r="A34" s="44"/>
      <c r="B34" s="11" t="str">
        <f>CONCATENATE("          ", "4141", " - ", "NON-TAXABLE SALES-LOGO GIFTS")</f>
        <v xml:space="preserve">          4141 - NON-TAXABLE SALES-LOGO GIFTS</v>
      </c>
      <c r="C34" s="11"/>
      <c r="D34" s="2">
        <f>--620.86</f>
        <v>620.86</v>
      </c>
      <c r="E34" s="2"/>
      <c r="F34" s="19"/>
      <c r="G34" s="2"/>
      <c r="H34" s="2">
        <f>--6416.37</f>
        <v>6416.37</v>
      </c>
      <c r="I34" s="2"/>
      <c r="J34" s="19"/>
      <c r="K34" s="2"/>
      <c r="L34" s="2">
        <f t="shared" si="0"/>
        <v>-5795.51</v>
      </c>
      <c r="M34" s="2"/>
      <c r="N34" s="19">
        <f t="shared" si="1"/>
        <v>-0.90323812373662993</v>
      </c>
      <c r="O34" s="11"/>
      <c r="P34" s="2">
        <f>--7234.38</f>
        <v>7234.38</v>
      </c>
      <c r="Q34" s="2"/>
      <c r="R34" s="19"/>
      <c r="S34" s="2"/>
      <c r="T34" s="2">
        <f>--9814.22</f>
        <v>9814.2199999999993</v>
      </c>
      <c r="U34" s="2"/>
      <c r="V34" s="19"/>
      <c r="W34" s="2"/>
      <c r="X34" s="2">
        <f t="shared" si="2"/>
        <v>-2579.8399999999992</v>
      </c>
      <c r="Y34" s="2"/>
      <c r="Z34" s="19">
        <f t="shared" si="3"/>
        <v>-0.26286755340719886</v>
      </c>
    </row>
    <row r="35" spans="1:26" s="24" customFormat="1" hidden="1" outlineLevel="1" x14ac:dyDescent="0.25">
      <c r="A35" s="44"/>
      <c r="B35" s="11" t="str">
        <f>CONCATENATE("          ", "4142", " - ", "NON-TAXABLE SALES-EVERYDAY GIF")</f>
        <v xml:space="preserve">          4142 - NON-TAXABLE SALES-EVERYDAY GIF</v>
      </c>
      <c r="C35" s="11"/>
      <c r="D35" s="2">
        <f>--4.58</f>
        <v>4.58</v>
      </c>
      <c r="E35" s="2"/>
      <c r="F35" s="19"/>
      <c r="G35" s="2"/>
      <c r="H35" s="2">
        <f>--479.23</f>
        <v>479.23</v>
      </c>
      <c r="I35" s="2"/>
      <c r="J35" s="19"/>
      <c r="K35" s="2"/>
      <c r="L35" s="2">
        <f t="shared" si="0"/>
        <v>-474.65000000000003</v>
      </c>
      <c r="M35" s="2"/>
      <c r="N35" s="19">
        <f t="shared" si="1"/>
        <v>-0.99044300231621563</v>
      </c>
      <c r="O35" s="11"/>
      <c r="P35" s="2">
        <f>--1153.88</f>
        <v>1153.8800000000001</v>
      </c>
      <c r="Q35" s="2"/>
      <c r="R35" s="19"/>
      <c r="S35" s="2"/>
      <c r="T35" s="2">
        <f>--4191.51</f>
        <v>4191.51</v>
      </c>
      <c r="U35" s="2"/>
      <c r="V35" s="19"/>
      <c r="W35" s="2"/>
      <c r="X35" s="2">
        <f t="shared" si="2"/>
        <v>-3037.63</v>
      </c>
      <c r="Y35" s="2"/>
      <c r="Z35" s="19">
        <f t="shared" si="3"/>
        <v>-0.72471018797521658</v>
      </c>
    </row>
    <row r="36" spans="1:26" s="24" customFormat="1" hidden="1" outlineLevel="1" x14ac:dyDescent="0.25">
      <c r="A36" s="44"/>
      <c r="B36" s="11" t="str">
        <f>CONCATENATE("          ", "4143", " - ", "NON-TAXABLE SALES-CARDS")</f>
        <v xml:space="preserve">          4143 - NON-TAXABLE SALES-CARDS</v>
      </c>
      <c r="C36" s="11"/>
      <c r="D36" s="2">
        <f>--149.92</f>
        <v>149.91999999999999</v>
      </c>
      <c r="E36" s="2"/>
      <c r="F36" s="19"/>
      <c r="G36" s="2"/>
      <c r="H36" s="2">
        <f>--9.99</f>
        <v>9.99</v>
      </c>
      <c r="I36" s="2"/>
      <c r="J36" s="19"/>
      <c r="K36" s="2"/>
      <c r="L36" s="2">
        <f t="shared" si="0"/>
        <v>139.92999999999998</v>
      </c>
      <c r="M36" s="2"/>
      <c r="N36" s="19">
        <f t="shared" si="1"/>
        <v>14.007007007007005</v>
      </c>
      <c r="O36" s="11"/>
      <c r="P36" s="2">
        <f>--2119.66</f>
        <v>2119.66</v>
      </c>
      <c r="Q36" s="2"/>
      <c r="R36" s="19"/>
      <c r="S36" s="2"/>
      <c r="T36" s="2">
        <f>--9.99</f>
        <v>9.99</v>
      </c>
      <c r="U36" s="2"/>
      <c r="V36" s="19"/>
      <c r="W36" s="2"/>
      <c r="X36" s="2">
        <f t="shared" si="2"/>
        <v>2109.67</v>
      </c>
      <c r="Y36" s="2"/>
      <c r="Z36" s="19">
        <f t="shared" si="3"/>
        <v>211.17817817817817</v>
      </c>
    </row>
    <row r="37" spans="1:26" s="24" customFormat="1" hidden="1" outlineLevel="1" x14ac:dyDescent="0.25">
      <c r="A37" s="44"/>
      <c r="B37" s="11" t="str">
        <f>CONCATENATE("          ", "4144", " - ", "NON-TAXABLE SALES-ACCESSORIES")</f>
        <v xml:space="preserve">          4144 - NON-TAXABLE SALES-ACCESSORIES</v>
      </c>
      <c r="C37" s="11"/>
      <c r="D37" s="2">
        <f>--39.95</f>
        <v>39.950000000000003</v>
      </c>
      <c r="E37" s="2"/>
      <c r="F37" s="19"/>
      <c r="G37" s="2"/>
      <c r="H37" s="2">
        <f>--922.94</f>
        <v>922.94</v>
      </c>
      <c r="I37" s="2"/>
      <c r="J37" s="19"/>
      <c r="K37" s="2"/>
      <c r="L37" s="2">
        <f t="shared" si="0"/>
        <v>-882.99</v>
      </c>
      <c r="M37" s="2"/>
      <c r="N37" s="19">
        <f t="shared" si="1"/>
        <v>-0.9567144126378746</v>
      </c>
      <c r="O37" s="11"/>
      <c r="P37" s="2">
        <f>--649.35</f>
        <v>649.35</v>
      </c>
      <c r="Q37" s="2"/>
      <c r="R37" s="19"/>
      <c r="S37" s="2"/>
      <c r="T37" s="2">
        <f>--1890.27</f>
        <v>1890.27</v>
      </c>
      <c r="U37" s="2"/>
      <c r="V37" s="19"/>
      <c r="W37" s="2"/>
      <c r="X37" s="2">
        <f t="shared" si="2"/>
        <v>-1240.92</v>
      </c>
      <c r="Y37" s="2"/>
      <c r="Z37" s="19">
        <f t="shared" si="3"/>
        <v>-0.65647764605056425</v>
      </c>
    </row>
    <row r="38" spans="1:26" s="24" customFormat="1" hidden="1" outlineLevel="1" x14ac:dyDescent="0.25">
      <c r="A38" s="44"/>
      <c r="B38" s="11" t="str">
        <f>CONCATENATE("          ", "4145", " - ", "NON-TAXABLE SALES-SPECIAL ORDE")</f>
        <v xml:space="preserve">          4145 - NON-TAXABLE SALES-SPECIAL ORDE</v>
      </c>
      <c r="C38" s="11"/>
      <c r="D38" s="2">
        <f t="shared" ref="D38:D39" si="9">0</f>
        <v>0</v>
      </c>
      <c r="E38" s="2"/>
      <c r="F38" s="19"/>
      <c r="G38" s="2"/>
      <c r="H38" s="2">
        <f t="shared" ref="H38:H41" si="10"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--53709.09</f>
        <v>53709.09</v>
      </c>
      <c r="Q38" s="2"/>
      <c r="R38" s="19"/>
      <c r="S38" s="2"/>
      <c r="T38" s="2">
        <f>--140</f>
        <v>140</v>
      </c>
      <c r="U38" s="2"/>
      <c r="V38" s="19"/>
      <c r="W38" s="2"/>
      <c r="X38" s="2">
        <f t="shared" si="2"/>
        <v>53569.09</v>
      </c>
      <c r="Y38" s="2"/>
      <c r="Z38" s="19">
        <f t="shared" si="3"/>
        <v>382.63635714285709</v>
      </c>
    </row>
    <row r="39" spans="1:26" s="24" customFormat="1" hidden="1" outlineLevel="1" x14ac:dyDescent="0.25">
      <c r="A39" s="44"/>
      <c r="B39" s="11" t="str">
        <f>CONCATENATE("          ", "4226", " - ", "SALES RETURN TAXABLE-WRITING I")</f>
        <v xml:space="preserve">          4226 - SALES RETURN TAXABLE-WRITING I</v>
      </c>
      <c r="C39" s="11"/>
      <c r="D39" s="2">
        <f t="shared" si="9"/>
        <v>0</v>
      </c>
      <c r="E39" s="2"/>
      <c r="F39" s="19"/>
      <c r="G39" s="2"/>
      <c r="H39" s="2">
        <f t="shared" si="10"/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-6.38</f>
        <v>-6.38</v>
      </c>
      <c r="Q39" s="2"/>
      <c r="R39" s="19"/>
      <c r="S39" s="2"/>
      <c r="T39" s="2">
        <f t="shared" ref="T39:T41" si="11">0</f>
        <v>0</v>
      </c>
      <c r="U39" s="2"/>
      <c r="V39" s="19"/>
      <c r="W39" s="2"/>
      <c r="X39" s="2">
        <f t="shared" si="2"/>
        <v>-6.38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"4227", " - ", "SALES RETURN TAXABLE-SCHOOL SU")</f>
        <v xml:space="preserve">          4227 - SALES RETURN TAXABLE-SCHOOL SU</v>
      </c>
      <c r="C40" s="11"/>
      <c r="D40" s="2">
        <f>-19.05</f>
        <v>-19.05</v>
      </c>
      <c r="E40" s="2"/>
      <c r="F40" s="19"/>
      <c r="G40" s="2"/>
      <c r="H40" s="2">
        <f t="shared" si="10"/>
        <v>0</v>
      </c>
      <c r="I40" s="2"/>
      <c r="J40" s="19"/>
      <c r="K40" s="2"/>
      <c r="L40" s="2">
        <f t="shared" si="0"/>
        <v>-19.05</v>
      </c>
      <c r="M40" s="2"/>
      <c r="N40" s="19">
        <f t="shared" si="1"/>
        <v>0</v>
      </c>
      <c r="O40" s="11"/>
      <c r="P40" s="2">
        <f>-578.55</f>
        <v>-578.54999999999995</v>
      </c>
      <c r="Q40" s="2"/>
      <c r="R40" s="19"/>
      <c r="S40" s="2"/>
      <c r="T40" s="2">
        <f t="shared" si="11"/>
        <v>0</v>
      </c>
      <c r="U40" s="2"/>
      <c r="V40" s="19"/>
      <c r="W40" s="2"/>
      <c r="X40" s="2">
        <f t="shared" si="2"/>
        <v>-578.54999999999995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"4228", " - ", "SALES RETURN TAXABLE-ART/TECH")</f>
        <v xml:space="preserve">          4228 - SALES RETURN TAXABLE-ART/TECH</v>
      </c>
      <c r="C41" s="11"/>
      <c r="D41" s="2">
        <f>-10.71</f>
        <v>-10.71</v>
      </c>
      <c r="E41" s="2"/>
      <c r="F41" s="19"/>
      <c r="G41" s="2"/>
      <c r="H41" s="2">
        <f t="shared" si="10"/>
        <v>0</v>
      </c>
      <c r="I41" s="2"/>
      <c r="J41" s="19"/>
      <c r="K41" s="2"/>
      <c r="L41" s="2">
        <f t="shared" si="0"/>
        <v>-10.71</v>
      </c>
      <c r="M41" s="2"/>
      <c r="N41" s="19">
        <f t="shared" si="1"/>
        <v>0</v>
      </c>
      <c r="O41" s="11"/>
      <c r="P41" s="2">
        <f>-12517.04</f>
        <v>-12517.04</v>
      </c>
      <c r="Q41" s="2"/>
      <c r="R41" s="19"/>
      <c r="S41" s="2"/>
      <c r="T41" s="2">
        <f t="shared" si="11"/>
        <v>0</v>
      </c>
      <c r="U41" s="2"/>
      <c r="V41" s="19"/>
      <c r="W41" s="2"/>
      <c r="X41" s="2">
        <f t="shared" si="2"/>
        <v>-12517.04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>-2608.69</f>
        <v>-2608.69</v>
      </c>
      <c r="E42" s="2"/>
      <c r="F42" s="19"/>
      <c r="G42" s="2"/>
      <c r="H42" s="2">
        <f>-6144.57</f>
        <v>-6144.57</v>
      </c>
      <c r="I42" s="2"/>
      <c r="J42" s="19"/>
      <c r="K42" s="2"/>
      <c r="L42" s="2">
        <f t="shared" si="0"/>
        <v>3535.8799999999997</v>
      </c>
      <c r="M42" s="2"/>
      <c r="N42" s="19">
        <f t="shared" si="1"/>
        <v>-0.5754479158020821</v>
      </c>
      <c r="O42" s="11"/>
      <c r="P42" s="2">
        <f>-23793.23</f>
        <v>-23793.23</v>
      </c>
      <c r="Q42" s="2"/>
      <c r="R42" s="19"/>
      <c r="S42" s="2"/>
      <c r="T42" s="2">
        <f>-54552.21</f>
        <v>-54552.21</v>
      </c>
      <c r="U42" s="2"/>
      <c r="V42" s="19"/>
      <c r="W42" s="2"/>
      <c r="X42" s="2">
        <f t="shared" si="2"/>
        <v>30758.98</v>
      </c>
      <c r="Y42" s="2"/>
      <c r="Z42" s="19">
        <f t="shared" si="3"/>
        <v>-0.56384480115471036</v>
      </c>
    </row>
    <row r="43" spans="1:26" s="24" customFormat="1" hidden="1" outlineLevel="1" x14ac:dyDescent="0.25">
      <c r="A43" s="44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>-226.3</f>
        <v>-226.3</v>
      </c>
      <c r="E43" s="2"/>
      <c r="F43" s="19"/>
      <c r="G43" s="2"/>
      <c r="H43" s="2">
        <f>-610.31</f>
        <v>-610.30999999999995</v>
      </c>
      <c r="I43" s="2"/>
      <c r="J43" s="19"/>
      <c r="K43" s="2"/>
      <c r="L43" s="2">
        <f t="shared" si="0"/>
        <v>384.00999999999993</v>
      </c>
      <c r="M43" s="2"/>
      <c r="N43" s="19">
        <f t="shared" si="1"/>
        <v>-0.62920483033212626</v>
      </c>
      <c r="O43" s="11"/>
      <c r="P43" s="2">
        <f>-3650.31</f>
        <v>-3650.31</v>
      </c>
      <c r="Q43" s="2"/>
      <c r="R43" s="19"/>
      <c r="S43" s="2"/>
      <c r="T43" s="2">
        <f>-3614.42</f>
        <v>-3614.42</v>
      </c>
      <c r="U43" s="2"/>
      <c r="V43" s="19"/>
      <c r="W43" s="2"/>
      <c r="X43" s="2">
        <f t="shared" si="2"/>
        <v>-35.889999999999873</v>
      </c>
      <c r="Y43" s="2"/>
      <c r="Z43" s="19">
        <f t="shared" si="3"/>
        <v>9.9296705972188818E-3</v>
      </c>
    </row>
    <row r="44" spans="1:26" s="24" customFormat="1" hidden="1" outlineLevel="1" x14ac:dyDescent="0.25">
      <c r="A44" s="44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>0</f>
        <v>0</v>
      </c>
      <c r="E44" s="2"/>
      <c r="F44" s="19"/>
      <c r="G44" s="2"/>
      <c r="H44" s="2">
        <f>-309.8</f>
        <v>-309.8</v>
      </c>
      <c r="I44" s="2"/>
      <c r="J44" s="19"/>
      <c r="K44" s="2"/>
      <c r="L44" s="2">
        <f t="shared" si="0"/>
        <v>309.8</v>
      </c>
      <c r="M44" s="2"/>
      <c r="N44" s="19">
        <f t="shared" si="1"/>
        <v>-1</v>
      </c>
      <c r="O44" s="11"/>
      <c r="P44" s="2">
        <f>-1442.63</f>
        <v>-1442.63</v>
      </c>
      <c r="Q44" s="2"/>
      <c r="R44" s="19"/>
      <c r="S44" s="2"/>
      <c r="T44" s="2">
        <f>-2974.62</f>
        <v>-2974.62</v>
      </c>
      <c r="U44" s="2"/>
      <c r="V44" s="19"/>
      <c r="W44" s="2"/>
      <c r="X44" s="2">
        <f t="shared" si="2"/>
        <v>1531.9899999999998</v>
      </c>
      <c r="Y44" s="2"/>
      <c r="Z44" s="19">
        <f t="shared" si="3"/>
        <v>-0.51502040596782106</v>
      </c>
    </row>
    <row r="45" spans="1:26" s="24" customFormat="1" hidden="1" outlineLevel="1" x14ac:dyDescent="0.25">
      <c r="A45" s="44"/>
      <c r="B45" s="11" t="str">
        <f>CONCATENATE("          ", "4243", " - ", "SALES RETURN TAXABLE-CARDS")</f>
        <v xml:space="preserve">          4243 - SALES RETURN TAXABLE-CARDS</v>
      </c>
      <c r="C45" s="11"/>
      <c r="D45" s="2">
        <f>-369.81</f>
        <v>-369.81</v>
      </c>
      <c r="E45" s="2"/>
      <c r="F45" s="19"/>
      <c r="G45" s="2"/>
      <c r="H45" s="2">
        <f>-1609.18</f>
        <v>-1609.18</v>
      </c>
      <c r="I45" s="2"/>
      <c r="J45" s="19"/>
      <c r="K45" s="2"/>
      <c r="L45" s="2">
        <f t="shared" si="0"/>
        <v>1239.3700000000001</v>
      </c>
      <c r="M45" s="2"/>
      <c r="N45" s="19">
        <f t="shared" si="1"/>
        <v>-0.77018730036416072</v>
      </c>
      <c r="O45" s="11"/>
      <c r="P45" s="2">
        <f>-5369.6</f>
        <v>-5369.6</v>
      </c>
      <c r="Q45" s="2"/>
      <c r="R45" s="19"/>
      <c r="S45" s="2"/>
      <c r="T45" s="2">
        <f>-2833.39</f>
        <v>-2833.39</v>
      </c>
      <c r="U45" s="2"/>
      <c r="V45" s="19"/>
      <c r="W45" s="2"/>
      <c r="X45" s="2">
        <f t="shared" si="2"/>
        <v>-2536.2100000000005</v>
      </c>
      <c r="Y45" s="2"/>
      <c r="Z45" s="19">
        <f t="shared" si="3"/>
        <v>0.89511503887569333</v>
      </c>
    </row>
    <row r="46" spans="1:26" s="24" customFormat="1" hidden="1" outlineLevel="1" x14ac:dyDescent="0.25">
      <c r="A46" s="44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>-9.99</f>
        <v>-9.99</v>
      </c>
      <c r="E46" s="2"/>
      <c r="F46" s="19"/>
      <c r="G46" s="2"/>
      <c r="H46" s="2">
        <f>-328.75</f>
        <v>-328.75</v>
      </c>
      <c r="I46" s="2"/>
      <c r="J46" s="19"/>
      <c r="K46" s="2"/>
      <c r="L46" s="2">
        <f t="shared" si="0"/>
        <v>318.76</v>
      </c>
      <c r="M46" s="2"/>
      <c r="N46" s="19">
        <f t="shared" si="1"/>
        <v>-0.96961216730038025</v>
      </c>
      <c r="O46" s="11"/>
      <c r="P46" s="2">
        <f>-964.91</f>
        <v>-964.91</v>
      </c>
      <c r="Q46" s="2"/>
      <c r="R46" s="19"/>
      <c r="S46" s="2"/>
      <c r="T46" s="2">
        <f>-2300</f>
        <v>-2300</v>
      </c>
      <c r="U46" s="2"/>
      <c r="V46" s="19"/>
      <c r="W46" s="2"/>
      <c r="X46" s="2">
        <f t="shared" si="2"/>
        <v>1335.0900000000001</v>
      </c>
      <c r="Y46" s="2"/>
      <c r="Z46" s="19">
        <f t="shared" si="3"/>
        <v>-0.58047391304347828</v>
      </c>
    </row>
    <row r="47" spans="1:26" s="24" customFormat="1" hidden="1" outlineLevel="1" x14ac:dyDescent="0.25">
      <c r="A47" s="44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>-7.98</f>
        <v>-7.98</v>
      </c>
      <c r="E47" s="2"/>
      <c r="F47" s="19"/>
      <c r="G47" s="2"/>
      <c r="H47" s="2">
        <f t="shared" ref="H47:H48" si="12">0</f>
        <v>0</v>
      </c>
      <c r="I47" s="2"/>
      <c r="J47" s="19"/>
      <c r="K47" s="2"/>
      <c r="L47" s="2">
        <f t="shared" si="0"/>
        <v>-7.98</v>
      </c>
      <c r="M47" s="2"/>
      <c r="N47" s="19">
        <f t="shared" si="1"/>
        <v>0</v>
      </c>
      <c r="O47" s="11"/>
      <c r="P47" s="2">
        <f>-11346.59</f>
        <v>-11346.59</v>
      </c>
      <c r="Q47" s="2"/>
      <c r="R47" s="19"/>
      <c r="S47" s="2"/>
      <c r="T47" s="2">
        <f>-1705.06</f>
        <v>-1705.06</v>
      </c>
      <c r="U47" s="2"/>
      <c r="V47" s="19"/>
      <c r="W47" s="2"/>
      <c r="X47" s="2">
        <f t="shared" si="2"/>
        <v>-9641.5300000000007</v>
      </c>
      <c r="Y47" s="2"/>
      <c r="Z47" s="19">
        <f t="shared" si="3"/>
        <v>5.6546573141121144</v>
      </c>
    </row>
    <row r="48" spans="1:26" s="24" customFormat="1" hidden="1" outlineLevel="1" x14ac:dyDescent="0.25">
      <c r="A48" s="44"/>
      <c r="B48" s="11" t="str">
        <f>CONCATENATE("          ", "4340", " - ", "SALES RETURN NON TAXABLE-LOGO")</f>
        <v xml:space="preserve">          4340 - SALES RETURN NON TAXABLE-LOGO</v>
      </c>
      <c r="C48" s="11"/>
      <c r="D48" s="2">
        <f>-76.9</f>
        <v>-76.900000000000006</v>
      </c>
      <c r="E48" s="2"/>
      <c r="F48" s="19"/>
      <c r="G48" s="2"/>
      <c r="H48" s="2">
        <f t="shared" si="12"/>
        <v>0</v>
      </c>
      <c r="I48" s="2"/>
      <c r="J48" s="19"/>
      <c r="K48" s="2"/>
      <c r="L48" s="2">
        <f t="shared" si="0"/>
        <v>-76.900000000000006</v>
      </c>
      <c r="M48" s="2"/>
      <c r="N48" s="19">
        <f t="shared" si="1"/>
        <v>0</v>
      </c>
      <c r="O48" s="11"/>
      <c r="P48" s="2">
        <f>-2292.84</f>
        <v>-2292.84</v>
      </c>
      <c r="Q48" s="2"/>
      <c r="R48" s="19"/>
      <c r="S48" s="2"/>
      <c r="T48" s="2">
        <f>-931.65</f>
        <v>-931.65</v>
      </c>
      <c r="U48" s="2"/>
      <c r="V48" s="19"/>
      <c r="W48" s="2"/>
      <c r="X48" s="2">
        <f t="shared" si="2"/>
        <v>-1361.19</v>
      </c>
      <c r="Y48" s="2"/>
      <c r="Z48" s="19">
        <f t="shared" si="3"/>
        <v>1.4610529705361457</v>
      </c>
    </row>
    <row r="49" spans="1:26" s="24" customFormat="1" hidden="1" outlineLevel="1" x14ac:dyDescent="0.25">
      <c r="A49" s="44"/>
      <c r="B49" s="11" t="str">
        <f>CONCATENATE("          ", "4341", " - ", "SALES RETURN NON TAXABLE-LOGO")</f>
        <v xml:space="preserve">          4341 - SALES RETURN NON TAXABLE-LOGO</v>
      </c>
      <c r="C49" s="11"/>
      <c r="D49" s="2">
        <f t="shared" ref="D49:D50" si="13">0</f>
        <v>0</v>
      </c>
      <c r="E49" s="2"/>
      <c r="F49" s="19"/>
      <c r="G49" s="2"/>
      <c r="H49" s="2">
        <f>-214.7</f>
        <v>-214.7</v>
      </c>
      <c r="I49" s="2"/>
      <c r="J49" s="19"/>
      <c r="K49" s="2"/>
      <c r="L49" s="2">
        <f t="shared" si="0"/>
        <v>214.7</v>
      </c>
      <c r="M49" s="2"/>
      <c r="N49" s="19">
        <f t="shared" si="1"/>
        <v>-1</v>
      </c>
      <c r="O49" s="11"/>
      <c r="P49" s="2">
        <f>-351.44</f>
        <v>-351.44</v>
      </c>
      <c r="Q49" s="2"/>
      <c r="R49" s="19"/>
      <c r="S49" s="2"/>
      <c r="T49" s="2">
        <f>-245.5</f>
        <v>-245.5</v>
      </c>
      <c r="U49" s="2"/>
      <c r="V49" s="19"/>
      <c r="W49" s="2"/>
      <c r="X49" s="2">
        <f t="shared" si="2"/>
        <v>-105.94</v>
      </c>
      <c r="Y49" s="2"/>
      <c r="Z49" s="19">
        <f t="shared" si="3"/>
        <v>0.4315274949083503</v>
      </c>
    </row>
    <row r="50" spans="1:26" s="24" customFormat="1" hidden="1" outlineLevel="1" x14ac:dyDescent="0.25">
      <c r="A50" s="44"/>
      <c r="B50" s="11" t="str">
        <f>CONCATENATE("          ", "4342", " - ", "SALES RETURN NON TAXABLE-EVERY")</f>
        <v xml:space="preserve">          4342 - SALES RETURN NON TAXABLE-EVERY</v>
      </c>
      <c r="C50" s="11"/>
      <c r="D50" s="2">
        <f t="shared" si="13"/>
        <v>0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-118.7</f>
        <v>-118.7</v>
      </c>
      <c r="Q50" s="2"/>
      <c r="R50" s="19"/>
      <c r="S50" s="2"/>
      <c r="T50" s="2">
        <f>-109.8</f>
        <v>-109.8</v>
      </c>
      <c r="U50" s="2"/>
      <c r="V50" s="19"/>
      <c r="W50" s="2"/>
      <c r="X50" s="2">
        <f t="shared" si="2"/>
        <v>-8.9000000000000057</v>
      </c>
      <c r="Y50" s="2"/>
      <c r="Z50" s="19">
        <f t="shared" si="3"/>
        <v>8.1056466302367999E-2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collapsed="1" x14ac:dyDescent="0.25">
      <c r="A52" s="10"/>
      <c r="B52" s="28" t="s">
        <v>8</v>
      </c>
      <c r="C52" s="10"/>
      <c r="D52" s="4">
        <f>SUM(OSRRefD16x_0)</f>
        <v>52970.999999999993</v>
      </c>
      <c r="E52" s="4"/>
      <c r="F52" s="12">
        <f t="shared" ref="F52:F75" si="14">IF(D$12=0,0,D52/D$12)</f>
        <v>0.5310536187608268</v>
      </c>
      <c r="G52" s="4"/>
      <c r="H52" s="4">
        <f>SUM(OSRRefH16x_0)</f>
        <v>123762.62000000004</v>
      </c>
      <c r="I52" s="4"/>
      <c r="J52" s="12">
        <f t="shared" ref="J52:J75" si="15">IF(H$12=0,0,H52/H$12)</f>
        <v>0.46932422837312848</v>
      </c>
      <c r="K52" s="4"/>
      <c r="L52" s="4">
        <f t="shared" ref="L52:L75" si="16">+D52-H52</f>
        <v>-70791.620000000054</v>
      </c>
      <c r="M52" s="4"/>
      <c r="N52" s="12">
        <f t="shared" ref="N52:N75" si="17">IF(H52=0,0,L52/H52)</f>
        <v>-0.5719951629983272</v>
      </c>
      <c r="O52" s="10"/>
      <c r="P52" s="4">
        <f>SUM(OSRRefP16x_0)</f>
        <v>663002.54000000015</v>
      </c>
      <c r="Q52" s="4"/>
      <c r="R52" s="12">
        <f t="shared" ref="R52:R75" si="18">IF(P$12=0,0,P52/P$12)</f>
        <v>0.58834731405660545</v>
      </c>
      <c r="S52" s="4"/>
      <c r="T52" s="4">
        <f>SUM(OSRRefT16x_0)</f>
        <v>899356.75</v>
      </c>
      <c r="U52" s="4"/>
      <c r="V52" s="12">
        <f t="shared" ref="V52:V75" si="19">IF(T$12=0,0,T52/T$12)</f>
        <v>0.46705799533513653</v>
      </c>
      <c r="W52" s="4"/>
      <c r="X52" s="4">
        <f t="shared" ref="X52:X75" si="20">+P52-T52</f>
        <v>-236354.20999999985</v>
      </c>
      <c r="Y52" s="4"/>
      <c r="Z52" s="12">
        <f t="shared" ref="Z52:Z75" si="21">IF(T52=0,0,X52/T52)</f>
        <v>-0.26280362047652372</v>
      </c>
    </row>
    <row r="53" spans="1:26" s="24" customFormat="1" hidden="1" outlineLevel="1" x14ac:dyDescent="0.25">
      <c r="A53" s="44"/>
      <c r="B53" s="11" t="str">
        <f>CONCATENATE("          ", "5025", " - ", "PURCHASES @ COST-TEST FORMS")</f>
        <v xml:space="preserve">          5025 - PURCHASES @ COST-TEST FORMS</v>
      </c>
      <c r="C53" s="11"/>
      <c r="D53" s="2"/>
      <c r="E53" s="2"/>
      <c r="F53" s="19">
        <f t="shared" si="14"/>
        <v>0</v>
      </c>
      <c r="G53" s="2"/>
      <c r="H53" s="2"/>
      <c r="I53" s="2"/>
      <c r="J53" s="19">
        <f t="shared" si="15"/>
        <v>0</v>
      </c>
      <c r="K53" s="2"/>
      <c r="L53" s="2">
        <f t="shared" si="16"/>
        <v>0</v>
      </c>
      <c r="M53" s="2"/>
      <c r="N53" s="19">
        <f t="shared" si="17"/>
        <v>0</v>
      </c>
      <c r="O53" s="11"/>
      <c r="P53" s="2">
        <v>599.29</v>
      </c>
      <c r="Q53" s="2"/>
      <c r="R53" s="19">
        <f t="shared" si="18"/>
        <v>5.318089156053353E-4</v>
      </c>
      <c r="S53" s="2"/>
      <c r="T53" s="2"/>
      <c r="U53" s="2"/>
      <c r="V53" s="19">
        <f t="shared" si="19"/>
        <v>0</v>
      </c>
      <c r="W53" s="2"/>
      <c r="X53" s="2">
        <f t="shared" si="20"/>
        <v>599.29</v>
      </c>
      <c r="Y53" s="2"/>
      <c r="Z53" s="19">
        <f t="shared" si="21"/>
        <v>0</v>
      </c>
    </row>
    <row r="54" spans="1:26" s="24" customFormat="1" hidden="1" outlineLevel="1" x14ac:dyDescent="0.25">
      <c r="A54" s="44"/>
      <c r="B54" s="11" t="str">
        <f>CONCATENATE("          ", "5026", " - ", "PURCHASES @ COST-WRITING INSTR")</f>
        <v xml:space="preserve">          5026 - PURCHASES @ COST-WRITING INSTR</v>
      </c>
      <c r="C54" s="11"/>
      <c r="D54" s="2"/>
      <c r="E54" s="2"/>
      <c r="F54" s="19">
        <f t="shared" si="14"/>
        <v>0</v>
      </c>
      <c r="G54" s="2"/>
      <c r="H54" s="2"/>
      <c r="I54" s="2"/>
      <c r="J54" s="19">
        <f t="shared" si="15"/>
        <v>0</v>
      </c>
      <c r="K54" s="2"/>
      <c r="L54" s="2">
        <f t="shared" si="16"/>
        <v>0</v>
      </c>
      <c r="M54" s="2"/>
      <c r="N54" s="19">
        <f t="shared" si="17"/>
        <v>0</v>
      </c>
      <c r="O54" s="11"/>
      <c r="P54" s="2">
        <v>10</v>
      </c>
      <c r="Q54" s="2"/>
      <c r="R54" s="19">
        <f t="shared" si="18"/>
        <v>8.8739828064098409E-6</v>
      </c>
      <c r="S54" s="2"/>
      <c r="T54" s="2"/>
      <c r="U54" s="2"/>
      <c r="V54" s="19">
        <f t="shared" si="19"/>
        <v>0</v>
      </c>
      <c r="W54" s="2"/>
      <c r="X54" s="2">
        <f t="shared" si="20"/>
        <v>10</v>
      </c>
      <c r="Y54" s="2"/>
      <c r="Z54" s="19">
        <f t="shared" si="21"/>
        <v>0</v>
      </c>
    </row>
    <row r="55" spans="1:26" s="24" customFormat="1" hidden="1" outlineLevel="1" x14ac:dyDescent="0.25">
      <c r="A55" s="44"/>
      <c r="B55" s="11" t="str">
        <f>CONCATENATE("          ", "5027", " - ", "PURCHASES @ COST-SCHOOL SUPPLI")</f>
        <v xml:space="preserve">          5027 - PURCHASES @ COST-SCHOOL SUPPLI</v>
      </c>
      <c r="C55" s="11"/>
      <c r="D55" s="2"/>
      <c r="E55" s="2"/>
      <c r="F55" s="19">
        <f t="shared" si="14"/>
        <v>0</v>
      </c>
      <c r="G55" s="2"/>
      <c r="H55" s="2"/>
      <c r="I55" s="2"/>
      <c r="J55" s="19">
        <f t="shared" si="15"/>
        <v>0</v>
      </c>
      <c r="K55" s="2"/>
      <c r="L55" s="2">
        <f t="shared" si="16"/>
        <v>0</v>
      </c>
      <c r="M55" s="2"/>
      <c r="N55" s="19">
        <f t="shared" si="17"/>
        <v>0</v>
      </c>
      <c r="O55" s="11"/>
      <c r="P55" s="2">
        <v>18175.88</v>
      </c>
      <c r="Q55" s="2"/>
      <c r="R55" s="19">
        <f t="shared" si="18"/>
        <v>1.6129244661136851E-2</v>
      </c>
      <c r="S55" s="2"/>
      <c r="T55" s="2"/>
      <c r="U55" s="2"/>
      <c r="V55" s="19">
        <f t="shared" si="19"/>
        <v>0</v>
      </c>
      <c r="W55" s="2"/>
      <c r="X55" s="2">
        <f t="shared" si="20"/>
        <v>18175.88</v>
      </c>
      <c r="Y55" s="2"/>
      <c r="Z55" s="19">
        <f t="shared" si="21"/>
        <v>0</v>
      </c>
    </row>
    <row r="56" spans="1:26" s="24" customFormat="1" hidden="1" outlineLevel="1" x14ac:dyDescent="0.25">
      <c r="A56" s="44"/>
      <c r="B56" s="11" t="str">
        <f>CONCATENATE("          ", "5028", " - ", "PURCHASES @ COST-ART/TECH")</f>
        <v xml:space="preserve">          5028 - PURCHASES @ COST-ART/TECH</v>
      </c>
      <c r="C56" s="11"/>
      <c r="D56" s="2">
        <v>833.13</v>
      </c>
      <c r="E56" s="2"/>
      <c r="F56" s="19">
        <f t="shared" si="14"/>
        <v>8.3524324894415376E-3</v>
      </c>
      <c r="G56" s="2"/>
      <c r="H56" s="2"/>
      <c r="I56" s="2"/>
      <c r="J56" s="19">
        <f t="shared" si="15"/>
        <v>0</v>
      </c>
      <c r="K56" s="2"/>
      <c r="L56" s="2">
        <f t="shared" si="16"/>
        <v>833.13</v>
      </c>
      <c r="M56" s="2"/>
      <c r="N56" s="19">
        <f t="shared" si="17"/>
        <v>0</v>
      </c>
      <c r="O56" s="11"/>
      <c r="P56" s="2">
        <v>749.73</v>
      </c>
      <c r="Q56" s="2"/>
      <c r="R56" s="19">
        <f t="shared" si="18"/>
        <v>6.6530911294496501E-4</v>
      </c>
      <c r="S56" s="2"/>
      <c r="T56" s="2"/>
      <c r="U56" s="2"/>
      <c r="V56" s="19">
        <f t="shared" si="19"/>
        <v>0</v>
      </c>
      <c r="W56" s="2"/>
      <c r="X56" s="2">
        <f t="shared" si="20"/>
        <v>749.73</v>
      </c>
      <c r="Y56" s="2"/>
      <c r="Z56" s="19">
        <f t="shared" si="21"/>
        <v>0</v>
      </c>
    </row>
    <row r="57" spans="1:26" s="24" customFormat="1" hidden="1" outlineLevel="1" x14ac:dyDescent="0.25">
      <c r="A57" s="44"/>
      <c r="B57" s="11" t="str">
        <f>CONCATENATE("          ", "5031", " - ", "PURCHASES @ COST-FOOD")</f>
        <v xml:space="preserve">          5031 - PURCHASES @ COST-FOOD</v>
      </c>
      <c r="C57" s="11"/>
      <c r="D57" s="2">
        <v>271.45999999999998</v>
      </c>
      <c r="E57" s="2"/>
      <c r="F57" s="19">
        <f t="shared" si="14"/>
        <v>2.7214856307944731E-3</v>
      </c>
      <c r="G57" s="2"/>
      <c r="H57" s="2"/>
      <c r="I57" s="2"/>
      <c r="J57" s="19">
        <f t="shared" si="15"/>
        <v>0</v>
      </c>
      <c r="K57" s="2"/>
      <c r="L57" s="2">
        <f t="shared" si="16"/>
        <v>271.45999999999998</v>
      </c>
      <c r="M57" s="2"/>
      <c r="N57" s="19">
        <f t="shared" si="17"/>
        <v>0</v>
      </c>
      <c r="O57" s="11"/>
      <c r="P57" s="2">
        <v>5344.15</v>
      </c>
      <c r="Q57" s="2"/>
      <c r="R57" s="19">
        <f t="shared" si="18"/>
        <v>4.7423895214875151E-3</v>
      </c>
      <c r="S57" s="2"/>
      <c r="T57" s="2"/>
      <c r="U57" s="2"/>
      <c r="V57" s="19">
        <f t="shared" si="19"/>
        <v>0</v>
      </c>
      <c r="W57" s="2"/>
      <c r="X57" s="2">
        <f t="shared" si="20"/>
        <v>5344.15</v>
      </c>
      <c r="Y57" s="2"/>
      <c r="Z57" s="19">
        <f t="shared" si="21"/>
        <v>0</v>
      </c>
    </row>
    <row r="58" spans="1:26" s="24" customFormat="1" hidden="1" outlineLevel="1" x14ac:dyDescent="0.25">
      <c r="A58" s="44"/>
      <c r="B58" s="11" t="str">
        <f>CONCATENATE("          ", "5040", " - ", "PURCHASES @ COST-LOGO CLOTHING")</f>
        <v xml:space="preserve">          5040 - PURCHASES @ COST-LOGO CLOTHING</v>
      </c>
      <c r="C58" s="11"/>
      <c r="D58" s="2">
        <v>26599.9</v>
      </c>
      <c r="E58" s="2"/>
      <c r="F58" s="19">
        <f t="shared" si="14"/>
        <v>0.26667371115659733</v>
      </c>
      <c r="G58" s="2"/>
      <c r="H58" s="2">
        <v>75227.44</v>
      </c>
      <c r="I58" s="2"/>
      <c r="J58" s="19">
        <f t="shared" si="15"/>
        <v>0.28527240478979687</v>
      </c>
      <c r="K58" s="2"/>
      <c r="L58" s="2">
        <f t="shared" si="16"/>
        <v>-48627.54</v>
      </c>
      <c r="M58" s="2"/>
      <c r="N58" s="19">
        <f t="shared" si="17"/>
        <v>-0.64640694937910947</v>
      </c>
      <c r="O58" s="11"/>
      <c r="P58" s="2">
        <v>193971.09</v>
      </c>
      <c r="Q58" s="2"/>
      <c r="R58" s="19">
        <f t="shared" si="18"/>
        <v>0.17212961176005759</v>
      </c>
      <c r="S58" s="2"/>
      <c r="T58" s="2">
        <v>711100.37</v>
      </c>
      <c r="U58" s="2"/>
      <c r="V58" s="19">
        <f t="shared" si="19"/>
        <v>0.36929184474823129</v>
      </c>
      <c r="W58" s="2"/>
      <c r="X58" s="2">
        <f t="shared" si="20"/>
        <v>-517129.28</v>
      </c>
      <c r="Y58" s="2"/>
      <c r="Z58" s="19">
        <f t="shared" si="21"/>
        <v>-0.72722403449178352</v>
      </c>
    </row>
    <row r="59" spans="1:26" s="24" customFormat="1" hidden="1" outlineLevel="1" x14ac:dyDescent="0.25">
      <c r="A59" s="44"/>
      <c r="B59" s="11" t="str">
        <f>CONCATENATE("          ", "5041", " - ", "PURCHASES @ COST-LOGO GIFTS")</f>
        <v xml:space="preserve">          5041 - PURCHASES @ COST-LOGO GIFTS</v>
      </c>
      <c r="C59" s="11"/>
      <c r="D59" s="2">
        <v>26592.809999999998</v>
      </c>
      <c r="E59" s="2"/>
      <c r="F59" s="19">
        <f t="shared" si="14"/>
        <v>0.2666026313174964</v>
      </c>
      <c r="G59" s="2"/>
      <c r="H59" s="2">
        <v>6638.94</v>
      </c>
      <c r="I59" s="2"/>
      <c r="J59" s="19">
        <f t="shared" si="15"/>
        <v>2.5175738787006095E-2</v>
      </c>
      <c r="K59" s="2"/>
      <c r="L59" s="2">
        <f t="shared" si="16"/>
        <v>19953.87</v>
      </c>
      <c r="M59" s="2"/>
      <c r="N59" s="19">
        <f t="shared" si="17"/>
        <v>3.0055807101736121</v>
      </c>
      <c r="O59" s="11"/>
      <c r="P59" s="2">
        <v>67356.210000000006</v>
      </c>
      <c r="Q59" s="2"/>
      <c r="R59" s="19">
        <f t="shared" si="18"/>
        <v>5.9771784944493069E-2</v>
      </c>
      <c r="S59" s="2"/>
      <c r="T59" s="2">
        <v>109401.17</v>
      </c>
      <c r="U59" s="2"/>
      <c r="V59" s="19">
        <f t="shared" si="19"/>
        <v>5.6814708009383909E-2</v>
      </c>
      <c r="W59" s="2"/>
      <c r="X59" s="2">
        <f t="shared" si="20"/>
        <v>-42044.959999999992</v>
      </c>
      <c r="Y59" s="2"/>
      <c r="Z59" s="19">
        <f t="shared" si="21"/>
        <v>-0.38431910737334884</v>
      </c>
    </row>
    <row r="60" spans="1:26" s="24" customFormat="1" hidden="1" outlineLevel="1" x14ac:dyDescent="0.25">
      <c r="A60" s="44"/>
      <c r="B60" s="11" t="str">
        <f>CONCATENATE("          ", "5042", " - ", "PURCHASES @ COST-EVERYDAY GIFT")</f>
        <v xml:space="preserve">          5042 - PURCHASES @ COST-EVERYDAY GIFT</v>
      </c>
      <c r="C60" s="11"/>
      <c r="D60" s="2">
        <v>1196.2</v>
      </c>
      <c r="E60" s="2"/>
      <c r="F60" s="19">
        <f t="shared" si="14"/>
        <v>1.1992341824049029E-2</v>
      </c>
      <c r="G60" s="2"/>
      <c r="H60" s="2">
        <v>6560.4</v>
      </c>
      <c r="I60" s="2"/>
      <c r="J60" s="19">
        <f t="shared" si="15"/>
        <v>2.4877904716456962E-2</v>
      </c>
      <c r="K60" s="2"/>
      <c r="L60" s="2">
        <f t="shared" si="16"/>
        <v>-5364.2</v>
      </c>
      <c r="M60" s="2"/>
      <c r="N60" s="19">
        <f t="shared" si="17"/>
        <v>-0.8176635571001768</v>
      </c>
      <c r="O60" s="11"/>
      <c r="P60" s="2">
        <v>11072.14</v>
      </c>
      <c r="Q60" s="2"/>
      <c r="R60" s="19">
        <f t="shared" si="18"/>
        <v>9.8253979990162651E-3</v>
      </c>
      <c r="S60" s="2"/>
      <c r="T60" s="2">
        <v>80458.01999999999</v>
      </c>
      <c r="U60" s="2"/>
      <c r="V60" s="19">
        <f t="shared" si="19"/>
        <v>4.1783821080827288E-2</v>
      </c>
      <c r="W60" s="2"/>
      <c r="X60" s="2">
        <f t="shared" si="20"/>
        <v>-69385.87999999999</v>
      </c>
      <c r="Y60" s="2"/>
      <c r="Z60" s="19">
        <f t="shared" si="21"/>
        <v>-0.86238612384445945</v>
      </c>
    </row>
    <row r="61" spans="1:26" s="24" customFormat="1" hidden="1" outlineLevel="1" x14ac:dyDescent="0.25">
      <c r="A61" s="44"/>
      <c r="B61" s="11" t="str">
        <f>CONCATENATE("          ", "5043", " - ", "PURCHASES @ COST-CARDS")</f>
        <v xml:space="preserve">          5043 - PURCHASES @ COST-CARDS</v>
      </c>
      <c r="C61" s="11"/>
      <c r="D61" s="2"/>
      <c r="E61" s="2"/>
      <c r="F61" s="19">
        <f t="shared" si="14"/>
        <v>0</v>
      </c>
      <c r="G61" s="2"/>
      <c r="H61" s="2">
        <v>18554.75</v>
      </c>
      <c r="I61" s="2"/>
      <c r="J61" s="19">
        <f t="shared" si="15"/>
        <v>7.0362066724236311E-2</v>
      </c>
      <c r="K61" s="2"/>
      <c r="L61" s="2">
        <f t="shared" si="16"/>
        <v>-18554.75</v>
      </c>
      <c r="M61" s="2"/>
      <c r="N61" s="19">
        <f t="shared" si="17"/>
        <v>-1</v>
      </c>
      <c r="O61" s="11"/>
      <c r="P61" s="2">
        <v>55364.33</v>
      </c>
      <c r="Q61" s="2"/>
      <c r="R61" s="19">
        <f t="shared" si="18"/>
        <v>4.9130211250840057E-2</v>
      </c>
      <c r="S61" s="2"/>
      <c r="T61" s="2">
        <v>28880.69</v>
      </c>
      <c r="U61" s="2"/>
      <c r="V61" s="19">
        <f t="shared" si="19"/>
        <v>1.4998449920229679E-2</v>
      </c>
      <c r="W61" s="2"/>
      <c r="X61" s="2">
        <f t="shared" si="20"/>
        <v>26483.640000000003</v>
      </c>
      <c r="Y61" s="2"/>
      <c r="Z61" s="19">
        <f t="shared" si="21"/>
        <v>0.91700163673374857</v>
      </c>
    </row>
    <row r="62" spans="1:26" s="24" customFormat="1" hidden="1" outlineLevel="1" x14ac:dyDescent="0.25">
      <c r="A62" s="44"/>
      <c r="B62" s="11" t="str">
        <f>CONCATENATE("          ", "5044", " - ", "PURCHASES @ COST-ACCESSORIES")</f>
        <v xml:space="preserve">          5044 - PURCHASES @ COST-ACCESSORIES</v>
      </c>
      <c r="C62" s="11"/>
      <c r="D62" s="2"/>
      <c r="E62" s="2"/>
      <c r="F62" s="19">
        <f t="shared" si="14"/>
        <v>0</v>
      </c>
      <c r="G62" s="2"/>
      <c r="H62" s="2">
        <v>12345.02</v>
      </c>
      <c r="I62" s="2"/>
      <c r="J62" s="19">
        <f t="shared" si="15"/>
        <v>4.6813949040112733E-2</v>
      </c>
      <c r="K62" s="2"/>
      <c r="L62" s="2">
        <f t="shared" si="16"/>
        <v>-12345.02</v>
      </c>
      <c r="M62" s="2"/>
      <c r="N62" s="19">
        <f t="shared" si="17"/>
        <v>-1</v>
      </c>
      <c r="O62" s="11"/>
      <c r="P62" s="2">
        <v>1064.83</v>
      </c>
      <c r="Q62" s="2"/>
      <c r="R62" s="19">
        <f t="shared" si="18"/>
        <v>9.4492831117493905E-4</v>
      </c>
      <c r="S62" s="2"/>
      <c r="T62" s="2">
        <v>37861.420000000006</v>
      </c>
      <c r="U62" s="2"/>
      <c r="V62" s="19">
        <f t="shared" si="19"/>
        <v>1.9662363045300599E-2</v>
      </c>
      <c r="W62" s="2"/>
      <c r="X62" s="2">
        <f t="shared" si="20"/>
        <v>-36796.590000000004</v>
      </c>
      <c r="Y62" s="2"/>
      <c r="Z62" s="19">
        <f t="shared" si="21"/>
        <v>-0.97187559262172418</v>
      </c>
    </row>
    <row r="63" spans="1:26" s="24" customFormat="1" hidden="1" outlineLevel="1" x14ac:dyDescent="0.25">
      <c r="A63" s="44"/>
      <c r="B63" s="11" t="str">
        <f>CONCATENATE("          ", "5045", " - ", "PURCHASES @ COST-SPECIAL ORDER")</f>
        <v xml:space="preserve">          5045 - PURCHASES @ COST-SPECIAL ORDER</v>
      </c>
      <c r="C63" s="11"/>
      <c r="D63" s="2">
        <v>1909.13</v>
      </c>
      <c r="E63" s="2"/>
      <c r="F63" s="19">
        <f t="shared" si="14"/>
        <v>1.913972541928333E-2</v>
      </c>
      <c r="G63" s="2"/>
      <c r="H63" s="2">
        <v>2948.55</v>
      </c>
      <c r="I63" s="2"/>
      <c r="J63" s="19">
        <f t="shared" si="15"/>
        <v>1.118129168217017E-2</v>
      </c>
      <c r="K63" s="2"/>
      <c r="L63" s="2">
        <f t="shared" si="16"/>
        <v>-1039.42</v>
      </c>
      <c r="M63" s="2"/>
      <c r="N63" s="19">
        <f t="shared" si="17"/>
        <v>-0.35251903477980701</v>
      </c>
      <c r="O63" s="11"/>
      <c r="P63" s="2">
        <v>95373.51</v>
      </c>
      <c r="Q63" s="2"/>
      <c r="R63" s="19">
        <f t="shared" si="18"/>
        <v>8.4634288792695703E-2</v>
      </c>
      <c r="S63" s="2"/>
      <c r="T63" s="2">
        <v>51962.979999999996</v>
      </c>
      <c r="U63" s="2"/>
      <c r="V63" s="19">
        <f t="shared" si="19"/>
        <v>2.6985648654374132E-2</v>
      </c>
      <c r="W63" s="2"/>
      <c r="X63" s="2">
        <f t="shared" si="20"/>
        <v>43410.53</v>
      </c>
      <c r="Y63" s="2"/>
      <c r="Z63" s="19">
        <f t="shared" si="21"/>
        <v>0.83541263414838796</v>
      </c>
    </row>
    <row r="64" spans="1:26" s="24" customFormat="1" hidden="1" outlineLevel="1" x14ac:dyDescent="0.25">
      <c r="A64" s="44"/>
      <c r="B64" s="11" t="str">
        <f>CONCATENATE("          ", "5200", " - ", "PURCHASES OFFSET")</f>
        <v xml:space="preserve">          5200 - PURCHASES OFFSET</v>
      </c>
      <c r="C64" s="11"/>
      <c r="D64" s="2">
        <v>-58063.03</v>
      </c>
      <c r="E64" s="2"/>
      <c r="F64" s="19">
        <f t="shared" si="14"/>
        <v>-0.58210307900017844</v>
      </c>
      <c r="G64" s="2"/>
      <c r="H64" s="2">
        <v>-128433.99999999999</v>
      </c>
      <c r="I64" s="2"/>
      <c r="J64" s="19">
        <f t="shared" si="15"/>
        <v>-0.48703871933928317</v>
      </c>
      <c r="K64" s="2"/>
      <c r="L64" s="2">
        <f t="shared" si="16"/>
        <v>70370.969999999987</v>
      </c>
      <c r="M64" s="2"/>
      <c r="N64" s="19">
        <f t="shared" si="17"/>
        <v>-0.54791542737904286</v>
      </c>
      <c r="O64" s="11"/>
      <c r="P64" s="2">
        <v>-467186.36</v>
      </c>
      <c r="Q64" s="2"/>
      <c r="R64" s="19">
        <f t="shared" si="18"/>
        <v>-0.41458037260291986</v>
      </c>
      <c r="S64" s="2"/>
      <c r="T64" s="2">
        <v>-1058205</v>
      </c>
      <c r="U64" s="2"/>
      <c r="V64" s="19">
        <f t="shared" si="19"/>
        <v>-0.54955178348705136</v>
      </c>
      <c r="W64" s="2"/>
      <c r="X64" s="2">
        <f t="shared" si="20"/>
        <v>591018.64</v>
      </c>
      <c r="Y64" s="2"/>
      <c r="Z64" s="19">
        <f t="shared" si="21"/>
        <v>-0.55851053434825959</v>
      </c>
    </row>
    <row r="65" spans="1:26" s="24" customFormat="1" hidden="1" outlineLevel="1" x14ac:dyDescent="0.25">
      <c r="A65" s="44"/>
      <c r="B65" s="11" t="str">
        <f>CONCATENATE("          ", "5300", " - ", "COG$ OFFSET")</f>
        <v xml:space="preserve">          5300 - COG$ OFFSET</v>
      </c>
      <c r="C65" s="11"/>
      <c r="D65" s="2">
        <v>52971</v>
      </c>
      <c r="E65" s="2"/>
      <c r="F65" s="19">
        <f t="shared" si="14"/>
        <v>0.5310536187608268</v>
      </c>
      <c r="G65" s="2"/>
      <c r="H65" s="2">
        <v>123763</v>
      </c>
      <c r="I65" s="2"/>
      <c r="J65" s="19">
        <f t="shared" si="15"/>
        <v>0.46932566938340092</v>
      </c>
      <c r="K65" s="2"/>
      <c r="L65" s="2">
        <f t="shared" si="16"/>
        <v>-70792</v>
      </c>
      <c r="M65" s="2"/>
      <c r="N65" s="19">
        <f t="shared" si="17"/>
        <v>-0.57199647713775525</v>
      </c>
      <c r="O65" s="11"/>
      <c r="P65" s="2">
        <v>662086</v>
      </c>
      <c r="Q65" s="2"/>
      <c r="R65" s="19">
        <f t="shared" si="18"/>
        <v>0.58753397803646656</v>
      </c>
      <c r="S65" s="2"/>
      <c r="T65" s="2">
        <v>899330</v>
      </c>
      <c r="U65" s="2"/>
      <c r="V65" s="19">
        <f t="shared" si="19"/>
        <v>0.46704410340473718</v>
      </c>
      <c r="W65" s="2"/>
      <c r="X65" s="2">
        <f t="shared" si="20"/>
        <v>-237244</v>
      </c>
      <c r="Y65" s="2"/>
      <c r="Z65" s="19">
        <f t="shared" si="21"/>
        <v>-0.26380082950641032</v>
      </c>
    </row>
    <row r="66" spans="1:26" s="24" customFormat="1" hidden="1" outlineLevel="1" x14ac:dyDescent="0.25">
      <c r="A66" s="44"/>
      <c r="B66" s="11" t="str">
        <f>CONCATENATE("          ", "5500", " - ", "FREIGHT-IN")</f>
        <v xml:space="preserve">          5500 - FREIGHT-IN</v>
      </c>
      <c r="C66" s="11"/>
      <c r="D66" s="2"/>
      <c r="E66" s="2"/>
      <c r="F66" s="19">
        <f t="shared" si="14"/>
        <v>0</v>
      </c>
      <c r="G66" s="2"/>
      <c r="H66" s="2"/>
      <c r="I66" s="2"/>
      <c r="J66" s="19">
        <f t="shared" si="15"/>
        <v>0</v>
      </c>
      <c r="K66" s="2"/>
      <c r="L66" s="2">
        <f t="shared" si="16"/>
        <v>0</v>
      </c>
      <c r="M66" s="2"/>
      <c r="N66" s="19">
        <f t="shared" si="17"/>
        <v>0</v>
      </c>
      <c r="O66" s="11"/>
      <c r="P66" s="2"/>
      <c r="Q66" s="2"/>
      <c r="R66" s="19">
        <f t="shared" si="18"/>
        <v>0</v>
      </c>
      <c r="S66" s="2"/>
      <c r="T66" s="2">
        <v>29.23</v>
      </c>
      <c r="U66" s="2"/>
      <c r="V66" s="19">
        <f t="shared" si="19"/>
        <v>1.5179855161643075E-5</v>
      </c>
      <c r="W66" s="2"/>
      <c r="X66" s="2">
        <f t="shared" si="20"/>
        <v>-29.23</v>
      </c>
      <c r="Y66" s="2"/>
      <c r="Z66" s="19">
        <f t="shared" si="21"/>
        <v>-1</v>
      </c>
    </row>
    <row r="67" spans="1:26" s="24" customFormat="1" hidden="1" outlineLevel="1" x14ac:dyDescent="0.25">
      <c r="A67" s="44"/>
      <c r="B67" s="11" t="str">
        <f>CONCATENATE("          ", "5525", " - ", "FREIGHT-IN-TEST FORMS")</f>
        <v xml:space="preserve">          5525 - FREIGHT-IN-TEST FORMS</v>
      </c>
      <c r="C67" s="11"/>
      <c r="D67" s="2"/>
      <c r="E67" s="2"/>
      <c r="F67" s="19">
        <f t="shared" si="14"/>
        <v>0</v>
      </c>
      <c r="G67" s="2"/>
      <c r="H67" s="2"/>
      <c r="I67" s="2"/>
      <c r="J67" s="19">
        <f t="shared" si="15"/>
        <v>0</v>
      </c>
      <c r="K67" s="2"/>
      <c r="L67" s="2">
        <f t="shared" si="16"/>
        <v>0</v>
      </c>
      <c r="M67" s="2"/>
      <c r="N67" s="19">
        <f t="shared" si="17"/>
        <v>0</v>
      </c>
      <c r="O67" s="11"/>
      <c r="P67" s="2">
        <v>48.14</v>
      </c>
      <c r="Q67" s="2"/>
      <c r="R67" s="19">
        <f t="shared" si="18"/>
        <v>4.2719353230056975E-5</v>
      </c>
      <c r="S67" s="2"/>
      <c r="T67" s="2"/>
      <c r="U67" s="2"/>
      <c r="V67" s="19">
        <f t="shared" si="19"/>
        <v>0</v>
      </c>
      <c r="W67" s="2"/>
      <c r="X67" s="2">
        <f t="shared" si="20"/>
        <v>48.14</v>
      </c>
      <c r="Y67" s="2"/>
      <c r="Z67" s="19">
        <f t="shared" si="21"/>
        <v>0</v>
      </c>
    </row>
    <row r="68" spans="1:26" s="24" customFormat="1" hidden="1" outlineLevel="1" x14ac:dyDescent="0.25">
      <c r="A68" s="44"/>
      <c r="B68" s="11" t="str">
        <f>CONCATENATE("          ", "5527", " - ", "FREIGHT-IN-SCHOOL SUPPLIES")</f>
        <v xml:space="preserve">          5527 - FREIGHT-IN-SCHOOL SUPPLIES</v>
      </c>
      <c r="C68" s="11"/>
      <c r="D68" s="2"/>
      <c r="E68" s="2"/>
      <c r="F68" s="19">
        <f t="shared" si="14"/>
        <v>0</v>
      </c>
      <c r="G68" s="2"/>
      <c r="H68" s="2"/>
      <c r="I68" s="2"/>
      <c r="J68" s="19">
        <f t="shared" si="15"/>
        <v>0</v>
      </c>
      <c r="K68" s="2"/>
      <c r="L68" s="2">
        <f t="shared" si="16"/>
        <v>0</v>
      </c>
      <c r="M68" s="2"/>
      <c r="N68" s="19">
        <f t="shared" si="17"/>
        <v>0</v>
      </c>
      <c r="O68" s="11"/>
      <c r="P68" s="2">
        <v>177.5</v>
      </c>
      <c r="Q68" s="2"/>
      <c r="R68" s="19">
        <f t="shared" si="18"/>
        <v>1.5751319481377467E-4</v>
      </c>
      <c r="S68" s="2"/>
      <c r="T68" s="2"/>
      <c r="U68" s="2"/>
      <c r="V68" s="19">
        <f t="shared" si="19"/>
        <v>0</v>
      </c>
      <c r="W68" s="2"/>
      <c r="X68" s="2">
        <f t="shared" si="20"/>
        <v>177.5</v>
      </c>
      <c r="Y68" s="2"/>
      <c r="Z68" s="19">
        <f t="shared" si="21"/>
        <v>0</v>
      </c>
    </row>
    <row r="69" spans="1:26" s="24" customFormat="1" hidden="1" outlineLevel="1" x14ac:dyDescent="0.25">
      <c r="A69" s="44"/>
      <c r="B69" s="11" t="str">
        <f>CONCATENATE("          ", "5528", " - ", "FREIGHT-IN-ART/TECH")</f>
        <v xml:space="preserve">          5528 - FREIGHT-IN-ART/TECH</v>
      </c>
      <c r="C69" s="11"/>
      <c r="D69" s="2"/>
      <c r="E69" s="2"/>
      <c r="F69" s="19">
        <f t="shared" si="14"/>
        <v>0</v>
      </c>
      <c r="G69" s="2"/>
      <c r="H69" s="2"/>
      <c r="I69" s="2"/>
      <c r="J69" s="19">
        <f t="shared" si="15"/>
        <v>0</v>
      </c>
      <c r="K69" s="2"/>
      <c r="L69" s="2">
        <f t="shared" si="16"/>
        <v>0</v>
      </c>
      <c r="M69" s="2"/>
      <c r="N69" s="19">
        <f t="shared" si="17"/>
        <v>0</v>
      </c>
      <c r="O69" s="11"/>
      <c r="P69" s="2">
        <v>33.950000000000003</v>
      </c>
      <c r="Q69" s="2"/>
      <c r="R69" s="19">
        <f t="shared" si="18"/>
        <v>3.0127171627761412E-5</v>
      </c>
      <c r="S69" s="2"/>
      <c r="T69" s="2"/>
      <c r="U69" s="2"/>
      <c r="V69" s="19">
        <f t="shared" si="19"/>
        <v>0</v>
      </c>
      <c r="W69" s="2"/>
      <c r="X69" s="2">
        <f t="shared" si="20"/>
        <v>33.950000000000003</v>
      </c>
      <c r="Y69" s="2"/>
      <c r="Z69" s="19">
        <f t="shared" si="21"/>
        <v>0</v>
      </c>
    </row>
    <row r="70" spans="1:26" s="24" customFormat="1" hidden="1" outlineLevel="1" x14ac:dyDescent="0.25">
      <c r="A70" s="44"/>
      <c r="B70" s="11" t="str">
        <f>CONCATENATE("          ", "5540", " - ", "FREIGHT-IN-LOGO CLOTHING")</f>
        <v xml:space="preserve">          5540 - FREIGHT-IN-LOGO CLOTHING</v>
      </c>
      <c r="C70" s="11"/>
      <c r="D70" s="2">
        <v>150.6</v>
      </c>
      <c r="E70" s="2"/>
      <c r="F70" s="19">
        <f t="shared" si="14"/>
        <v>1.5098199955707937E-3</v>
      </c>
      <c r="G70" s="2"/>
      <c r="H70" s="2">
        <v>2803.41</v>
      </c>
      <c r="I70" s="2"/>
      <c r="J70" s="19">
        <f t="shared" si="15"/>
        <v>1.063090160068938E-2</v>
      </c>
      <c r="K70" s="2"/>
      <c r="L70" s="2">
        <f t="shared" si="16"/>
        <v>-2652.81</v>
      </c>
      <c r="M70" s="2"/>
      <c r="N70" s="19">
        <f t="shared" si="17"/>
        <v>-0.94627970935396533</v>
      </c>
      <c r="O70" s="11"/>
      <c r="P70" s="2">
        <v>5941.23</v>
      </c>
      <c r="Q70" s="2"/>
      <c r="R70" s="19">
        <f t="shared" si="18"/>
        <v>5.2722372868926337E-3</v>
      </c>
      <c r="S70" s="2"/>
      <c r="T70" s="2">
        <v>28481.3</v>
      </c>
      <c r="U70" s="2"/>
      <c r="V70" s="19">
        <f t="shared" si="19"/>
        <v>1.4791036907810638E-2</v>
      </c>
      <c r="W70" s="2"/>
      <c r="X70" s="2">
        <f t="shared" si="20"/>
        <v>-22540.07</v>
      </c>
      <c r="Y70" s="2"/>
      <c r="Z70" s="19">
        <f t="shared" si="21"/>
        <v>-0.79139891788647287</v>
      </c>
    </row>
    <row r="71" spans="1:26" s="24" customFormat="1" hidden="1" outlineLevel="1" x14ac:dyDescent="0.25">
      <c r="A71" s="44"/>
      <c r="B71" s="11" t="str">
        <f>CONCATENATE("          ", "5541", " - ", "FREIGHT-IN-LOGO GIFTS")</f>
        <v xml:space="preserve">          5541 - FREIGHT-IN-LOGO GIFTS</v>
      </c>
      <c r="C71" s="11"/>
      <c r="D71" s="2">
        <v>375.06</v>
      </c>
      <c r="E71" s="2"/>
      <c r="F71" s="19">
        <f t="shared" si="14"/>
        <v>3.760113463072921E-3</v>
      </c>
      <c r="G71" s="2"/>
      <c r="H71" s="2">
        <v>486.35</v>
      </c>
      <c r="I71" s="2"/>
      <c r="J71" s="19">
        <f t="shared" si="15"/>
        <v>1.8443035422914525E-3</v>
      </c>
      <c r="K71" s="2"/>
      <c r="L71" s="2">
        <f t="shared" si="16"/>
        <v>-111.29000000000002</v>
      </c>
      <c r="M71" s="2"/>
      <c r="N71" s="19">
        <f t="shared" si="17"/>
        <v>-0.22882697645728389</v>
      </c>
      <c r="O71" s="11"/>
      <c r="P71" s="2">
        <v>2077.9299999999998</v>
      </c>
      <c r="Q71" s="2"/>
      <c r="R71" s="19">
        <f t="shared" si="18"/>
        <v>1.84395150929232E-3</v>
      </c>
      <c r="S71" s="2"/>
      <c r="T71" s="2">
        <v>4073.92</v>
      </c>
      <c r="U71" s="2"/>
      <c r="V71" s="19">
        <f t="shared" si="19"/>
        <v>2.1156864707533684E-3</v>
      </c>
      <c r="W71" s="2"/>
      <c r="X71" s="2">
        <f t="shared" si="20"/>
        <v>-1995.9900000000002</v>
      </c>
      <c r="Y71" s="2"/>
      <c r="Z71" s="19">
        <f t="shared" si="21"/>
        <v>-0.48994334694839375</v>
      </c>
    </row>
    <row r="72" spans="1:26" s="24" customFormat="1" hidden="1" outlineLevel="1" x14ac:dyDescent="0.25">
      <c r="A72" s="44"/>
      <c r="B72" s="11" t="str">
        <f>CONCATENATE("          ", "5542", " - ", "FREIGHT-IN-EVERYDAY GIFTS")</f>
        <v xml:space="preserve">          5542 - FREIGHT-IN-EVERYDAY GIFTS</v>
      </c>
      <c r="C72" s="11"/>
      <c r="D72" s="2"/>
      <c r="E72" s="2"/>
      <c r="F72" s="19">
        <f t="shared" si="14"/>
        <v>0</v>
      </c>
      <c r="G72" s="2"/>
      <c r="H72" s="2">
        <v>43.37</v>
      </c>
      <c r="I72" s="2"/>
      <c r="J72" s="19">
        <f t="shared" si="15"/>
        <v>1.6446477768927787E-4</v>
      </c>
      <c r="K72" s="2"/>
      <c r="L72" s="2">
        <f t="shared" si="16"/>
        <v>-43.37</v>
      </c>
      <c r="M72" s="2"/>
      <c r="N72" s="19">
        <f t="shared" si="17"/>
        <v>-1</v>
      </c>
      <c r="O72" s="11"/>
      <c r="P72" s="2">
        <v>383.93</v>
      </c>
      <c r="Q72" s="2"/>
      <c r="R72" s="19">
        <f t="shared" si="18"/>
        <v>3.4069882188649306E-4</v>
      </c>
      <c r="S72" s="2"/>
      <c r="T72" s="2">
        <v>1751.7</v>
      </c>
      <c r="U72" s="2"/>
      <c r="V72" s="19">
        <f t="shared" si="19"/>
        <v>9.0970072824667048E-4</v>
      </c>
      <c r="W72" s="2"/>
      <c r="X72" s="2">
        <f t="shared" si="20"/>
        <v>-1367.77</v>
      </c>
      <c r="Y72" s="2"/>
      <c r="Z72" s="19">
        <f t="shared" si="21"/>
        <v>-0.78082434206770568</v>
      </c>
    </row>
    <row r="73" spans="1:26" s="24" customFormat="1" hidden="1" outlineLevel="1" x14ac:dyDescent="0.25">
      <c r="A73" s="44"/>
      <c r="B73" s="11" t="str">
        <f>CONCATENATE("          ", "5543", " - ", "FREIGHT-IN-CARDS")</f>
        <v xml:space="preserve">          5543 - FREIGHT-IN-CARDS</v>
      </c>
      <c r="C73" s="11"/>
      <c r="D73" s="2"/>
      <c r="E73" s="2"/>
      <c r="F73" s="19">
        <f t="shared" si="14"/>
        <v>0</v>
      </c>
      <c r="G73" s="2"/>
      <c r="H73" s="2">
        <v>2779.77</v>
      </c>
      <c r="I73" s="2"/>
      <c r="J73" s="19">
        <f t="shared" si="15"/>
        <v>1.0541255593205533E-2</v>
      </c>
      <c r="K73" s="2"/>
      <c r="L73" s="2">
        <f t="shared" si="16"/>
        <v>-2779.77</v>
      </c>
      <c r="M73" s="2"/>
      <c r="N73" s="19">
        <f t="shared" si="17"/>
        <v>-1</v>
      </c>
      <c r="O73" s="11"/>
      <c r="P73" s="2">
        <v>9110.5300000000007</v>
      </c>
      <c r="Q73" s="2"/>
      <c r="R73" s="19">
        <f t="shared" si="18"/>
        <v>8.0846686577281061E-3</v>
      </c>
      <c r="S73" s="2"/>
      <c r="T73" s="2">
        <v>2901.12</v>
      </c>
      <c r="U73" s="2"/>
      <c r="V73" s="19">
        <f t="shared" si="19"/>
        <v>1.506622696084364E-3</v>
      </c>
      <c r="W73" s="2"/>
      <c r="X73" s="2">
        <f t="shared" si="20"/>
        <v>6209.4100000000008</v>
      </c>
      <c r="Y73" s="2"/>
      <c r="Z73" s="19">
        <f t="shared" si="21"/>
        <v>2.1403492444297378</v>
      </c>
    </row>
    <row r="74" spans="1:26" s="24" customFormat="1" hidden="1" outlineLevel="1" x14ac:dyDescent="0.25">
      <c r="A74" s="44"/>
      <c r="B74" s="11" t="str">
        <f>CONCATENATE("          ", "5544", " - ", "FREIGHT-IN-ACCESSORIES")</f>
        <v xml:space="preserve">          5544 - FREIGHT-IN-ACCESSORIES</v>
      </c>
      <c r="C74" s="11"/>
      <c r="D74" s="2"/>
      <c r="E74" s="2"/>
      <c r="F74" s="19">
        <f t="shared" si="14"/>
        <v>0</v>
      </c>
      <c r="G74" s="2"/>
      <c r="H74" s="2">
        <v>41.13</v>
      </c>
      <c r="I74" s="2"/>
      <c r="J74" s="19">
        <f t="shared" si="15"/>
        <v>1.559704013456306E-4</v>
      </c>
      <c r="K74" s="2"/>
      <c r="L74" s="2">
        <f t="shared" si="16"/>
        <v>-41.13</v>
      </c>
      <c r="M74" s="2"/>
      <c r="N74" s="19">
        <f t="shared" si="17"/>
        <v>-1</v>
      </c>
      <c r="O74" s="11"/>
      <c r="P74" s="2"/>
      <c r="Q74" s="2"/>
      <c r="R74" s="19">
        <f t="shared" si="18"/>
        <v>0</v>
      </c>
      <c r="S74" s="2"/>
      <c r="T74" s="2">
        <v>483.44</v>
      </c>
      <c r="U74" s="2"/>
      <c r="V74" s="19">
        <f t="shared" si="19"/>
        <v>2.5106223672065439E-4</v>
      </c>
      <c r="W74" s="2"/>
      <c r="X74" s="2">
        <f t="shared" si="20"/>
        <v>-483.44</v>
      </c>
      <c r="Y74" s="2"/>
      <c r="Z74" s="19">
        <f t="shared" si="21"/>
        <v>-1</v>
      </c>
    </row>
    <row r="75" spans="1:26" s="24" customFormat="1" hidden="1" outlineLevel="1" x14ac:dyDescent="0.25">
      <c r="A75" s="44"/>
      <c r="B75" s="11" t="str">
        <f>CONCATENATE("          ", "5545", " - ", "FREIGHT-IN-SPECIAL ORDERS")</f>
        <v xml:space="preserve">          5545 - FREIGHT-IN-SPECIAL ORDERS</v>
      </c>
      <c r="C75" s="11"/>
      <c r="D75" s="2">
        <v>134.74</v>
      </c>
      <c r="E75" s="2"/>
      <c r="F75" s="19">
        <f t="shared" si="14"/>
        <v>1.3508177038725681E-3</v>
      </c>
      <c r="G75" s="2"/>
      <c r="H75" s="2">
        <v>4.49</v>
      </c>
      <c r="I75" s="2"/>
      <c r="J75" s="19">
        <f t="shared" si="15"/>
        <v>1.7026674010257267E-5</v>
      </c>
      <c r="K75" s="2"/>
      <c r="L75" s="2">
        <f t="shared" si="16"/>
        <v>130.25</v>
      </c>
      <c r="M75" s="2"/>
      <c r="N75" s="19">
        <f t="shared" si="17"/>
        <v>29.008908685968819</v>
      </c>
      <c r="O75" s="11"/>
      <c r="P75" s="2">
        <v>1248.53</v>
      </c>
      <c r="Q75" s="2"/>
      <c r="R75" s="19">
        <f t="shared" si="18"/>
        <v>1.107943375328688E-3</v>
      </c>
      <c r="S75" s="2"/>
      <c r="T75" s="2">
        <v>846.39</v>
      </c>
      <c r="U75" s="2"/>
      <c r="V75" s="19">
        <f t="shared" si="19"/>
        <v>4.395510643264825E-4</v>
      </c>
      <c r="W75" s="2"/>
      <c r="X75" s="2">
        <f t="shared" si="20"/>
        <v>402.14</v>
      </c>
      <c r="Y75" s="2"/>
      <c r="Z75" s="19">
        <f t="shared" si="21"/>
        <v>0.47512376091399944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9" t="s">
        <v>6</v>
      </c>
      <c r="C77" s="29"/>
      <c r="D77" s="22">
        <f>D12-D52</f>
        <v>46775.99</v>
      </c>
      <c r="E77" s="14"/>
      <c r="F77" s="20">
        <f>IF(D$12=0,0,D77/D$12)</f>
        <v>0.46894638123917326</v>
      </c>
      <c r="G77" s="14"/>
      <c r="H77" s="22">
        <f>H12-H52</f>
        <v>139941.25999999989</v>
      </c>
      <c r="I77" s="14"/>
      <c r="J77" s="20">
        <f>IF(H$12=0,0,H77/H$12)</f>
        <v>0.53067577162687152</v>
      </c>
      <c r="K77" s="16"/>
      <c r="L77" s="22">
        <f>+D77-H77</f>
        <v>-93165.269999999902</v>
      </c>
      <c r="M77" s="16"/>
      <c r="N77" s="20">
        <f>IF(H77=0,0,L77/H77)</f>
        <v>-0.66574554209387549</v>
      </c>
      <c r="O77" s="28"/>
      <c r="P77" s="22">
        <f>P12-P52</f>
        <v>463887.17999999982</v>
      </c>
      <c r="Q77" s="14"/>
      <c r="R77" s="20">
        <f>IF(P$12=0,0,P77/P$12)</f>
        <v>0.41165268594339455</v>
      </c>
      <c r="S77" s="14"/>
      <c r="T77" s="22">
        <f>T12-T52</f>
        <v>1026221.5699999998</v>
      </c>
      <c r="U77" s="14"/>
      <c r="V77" s="20">
        <f>IF(T$12=0,0,T77/T$12)</f>
        <v>0.53294200466486341</v>
      </c>
      <c r="W77" s="16"/>
      <c r="X77" s="22">
        <f>+P77-T77</f>
        <v>-562334.39</v>
      </c>
      <c r="Y77" s="16"/>
      <c r="Z77" s="20">
        <f>IF(T77=0,0,X77/T77)</f>
        <v>-0.54796586472061792</v>
      </c>
    </row>
    <row r="78" spans="1:26" x14ac:dyDescent="0.25">
      <c r="A78" s="9"/>
      <c r="B78" s="10"/>
      <c r="C78" s="9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7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8" t="s">
        <v>9</v>
      </c>
      <c r="C79" s="10"/>
      <c r="D79" s="21">
        <f>SUM(OSRRefD22x_0)</f>
        <v>40152.100000000006</v>
      </c>
      <c r="E79" s="21"/>
      <c r="F79" s="32">
        <f t="shared" ref="F79:F88" si="22">IF(D$12=0,0,D79/D$12)</f>
        <v>0.40253946510065125</v>
      </c>
      <c r="G79" s="21"/>
      <c r="H79" s="21">
        <f>SUM(OSRRefH22x_0)</f>
        <v>74736.710000000006</v>
      </c>
      <c r="I79" s="21"/>
      <c r="J79" s="32">
        <f t="shared" ref="J79:J88" si="23">IF(H$12=0,0,H79/H$12)</f>
        <v>0.28341149170804775</v>
      </c>
      <c r="K79" s="4"/>
      <c r="L79" s="21">
        <f t="shared" ref="L79:L88" si="24">+D79-H79</f>
        <v>-34584.61</v>
      </c>
      <c r="M79" s="4"/>
      <c r="N79" s="32">
        <f t="shared" ref="N79:N88" si="25">IF(H79=0,0,L79/H79)</f>
        <v>-0.46275264190783882</v>
      </c>
      <c r="O79" s="10"/>
      <c r="P79" s="21">
        <f>SUM(OSRRefP22x_0)</f>
        <v>372069.68000000005</v>
      </c>
      <c r="Q79" s="21"/>
      <c r="R79" s="32">
        <f t="shared" ref="R79:R88" si="26">IF(P$12=0,0,P79/P$12)</f>
        <v>0.33017399431064121</v>
      </c>
      <c r="S79" s="21"/>
      <c r="T79" s="21">
        <f>SUM(OSRRefT22x_0)</f>
        <v>496702.9</v>
      </c>
      <c r="U79" s="21"/>
      <c r="V79" s="32">
        <f t="shared" ref="V79:V88" si="27">IF(T$12=0,0,T79/T$12)</f>
        <v>0.25794998564379351</v>
      </c>
      <c r="W79" s="4"/>
      <c r="X79" s="21">
        <f t="shared" ref="X79:X88" si="28">+P79-T79</f>
        <v>-124633.21999999997</v>
      </c>
      <c r="Y79" s="4"/>
      <c r="Z79" s="32">
        <f t="shared" ref="Z79:Z88" si="29">IF(T79=0,0,X79/T79)</f>
        <v>-0.25092106367810613</v>
      </c>
    </row>
    <row r="80" spans="1:26" s="25" customFormat="1" outlineLevel="1" collapsed="1" x14ac:dyDescent="0.25">
      <c r="A80" s="27"/>
      <c r="B80" s="13" t="str">
        <f>CONCATENATE("     ","*Benefits                                         ")</f>
        <v xml:space="preserve">     *Benefits                                         </v>
      </c>
      <c r="C80" s="13"/>
      <c r="D80" s="1">
        <f>SUM(OSRRefD22_0x_0)</f>
        <v>9401.67</v>
      </c>
      <c r="E80" s="1"/>
      <c r="F80" s="5">
        <f t="shared" si="22"/>
        <v>9.4255175018313847E-2</v>
      </c>
      <c r="G80" s="1"/>
      <c r="H80" s="1">
        <f>SUM(OSRRefH22_0x_0)</f>
        <v>4875.0399999999991</v>
      </c>
      <c r="I80" s="1"/>
      <c r="J80" s="5">
        <f t="shared" si="23"/>
        <v>1.848679662961349E-2</v>
      </c>
      <c r="K80" s="1"/>
      <c r="L80" s="1">
        <f t="shared" si="24"/>
        <v>4526.630000000001</v>
      </c>
      <c r="M80" s="1"/>
      <c r="N80" s="5">
        <f t="shared" si="25"/>
        <v>0.92853186845646429</v>
      </c>
      <c r="O80" s="13"/>
      <c r="P80" s="1">
        <f>SUM(OSRRefP22_0x_0)</f>
        <v>80973.540000000008</v>
      </c>
      <c r="Q80" s="1"/>
      <c r="R80" s="5">
        <f t="shared" si="26"/>
        <v>7.1855780173413958E-2</v>
      </c>
      <c r="S80" s="1"/>
      <c r="T80" s="1">
        <f>SUM(OSRRefT22_0x_0)</f>
        <v>50005.149999999994</v>
      </c>
      <c r="U80" s="1"/>
      <c r="V80" s="5">
        <f t="shared" si="27"/>
        <v>2.5968899566754574E-2</v>
      </c>
      <c r="W80" s="1"/>
      <c r="X80" s="1">
        <f t="shared" si="28"/>
        <v>30968.390000000014</v>
      </c>
      <c r="Y80" s="1"/>
      <c r="Z80" s="5">
        <f t="shared" si="29"/>
        <v>0.61930401168679661</v>
      </c>
    </row>
    <row r="81" spans="1:26" s="24" customFormat="1" hidden="1" outlineLevel="2" x14ac:dyDescent="0.25">
      <c r="A81" s="26"/>
      <c r="B81" s="11" t="str">
        <f>CONCATENATE("          ", "6111", " - ", "F.I.C.A.")</f>
        <v xml:space="preserve">          6111 - F.I.C.A.</v>
      </c>
      <c r="C81" s="11"/>
      <c r="D81" s="6">
        <v>1897.68</v>
      </c>
      <c r="E81" s="2"/>
      <c r="F81" s="7">
        <f t="shared" si="22"/>
        <v>1.9024934988013175E-2</v>
      </c>
      <c r="G81" s="2"/>
      <c r="H81" s="6">
        <v>981.77</v>
      </c>
      <c r="I81" s="2"/>
      <c r="J81" s="7">
        <f t="shared" si="23"/>
        <v>3.7230017245100835E-3</v>
      </c>
      <c r="K81" s="2"/>
      <c r="L81" s="6">
        <f t="shared" si="24"/>
        <v>915.91000000000008</v>
      </c>
      <c r="M81" s="2"/>
      <c r="N81" s="7">
        <f t="shared" si="25"/>
        <v>0.93291707833810378</v>
      </c>
      <c r="O81" s="11"/>
      <c r="P81" s="6">
        <v>18172.740000000002</v>
      </c>
      <c r="Q81" s="2"/>
      <c r="R81" s="7">
        <f t="shared" si="26"/>
        <v>1.6126458230535639E-2</v>
      </c>
      <c r="S81" s="2"/>
      <c r="T81" s="6">
        <v>10357.700000000001</v>
      </c>
      <c r="U81" s="2"/>
      <c r="V81" s="7">
        <f t="shared" si="27"/>
        <v>5.3790073830910197E-3</v>
      </c>
      <c r="W81" s="2"/>
      <c r="X81" s="6">
        <f t="shared" si="28"/>
        <v>7815.0400000000009</v>
      </c>
      <c r="Y81" s="2"/>
      <c r="Z81" s="7">
        <f t="shared" si="29"/>
        <v>0.75451499850352877</v>
      </c>
    </row>
    <row r="82" spans="1:26" s="24" customFormat="1" hidden="1" outlineLevel="2" x14ac:dyDescent="0.25">
      <c r="A82" s="26"/>
      <c r="B82" s="11" t="str">
        <f>CONCATENATE("          ", "6112", " - ", "COMPENSATION INSURANCE")</f>
        <v xml:space="preserve">          6112 - COMPENSATION INSURANCE</v>
      </c>
      <c r="C82" s="11"/>
      <c r="D82" s="6">
        <v>593.09</v>
      </c>
      <c r="E82" s="2"/>
      <c r="F82" s="7">
        <f t="shared" si="22"/>
        <v>5.9459438324905856E-3</v>
      </c>
      <c r="G82" s="2"/>
      <c r="H82" s="6">
        <v>393.13</v>
      </c>
      <c r="I82" s="2"/>
      <c r="J82" s="7">
        <f t="shared" si="23"/>
        <v>1.4908009696330598E-3</v>
      </c>
      <c r="K82" s="2"/>
      <c r="L82" s="6">
        <f t="shared" si="24"/>
        <v>199.96000000000004</v>
      </c>
      <c r="M82" s="2"/>
      <c r="N82" s="7">
        <f t="shared" si="25"/>
        <v>0.50863582021214371</v>
      </c>
      <c r="O82" s="11"/>
      <c r="P82" s="6">
        <v>6570.09</v>
      </c>
      <c r="Q82" s="2"/>
      <c r="R82" s="7">
        <f t="shared" si="26"/>
        <v>5.8302865696565238E-3</v>
      </c>
      <c r="S82" s="2"/>
      <c r="T82" s="6">
        <v>3416.55</v>
      </c>
      <c r="U82" s="2"/>
      <c r="V82" s="7">
        <f t="shared" si="27"/>
        <v>1.7742981235891774E-3</v>
      </c>
      <c r="W82" s="2"/>
      <c r="X82" s="6">
        <f t="shared" si="28"/>
        <v>3153.54</v>
      </c>
      <c r="Y82" s="2"/>
      <c r="Z82" s="7">
        <f t="shared" si="29"/>
        <v>0.92301883478948055</v>
      </c>
    </row>
    <row r="83" spans="1:26" s="24" customFormat="1" hidden="1" outlineLevel="2" x14ac:dyDescent="0.25">
      <c r="A83" s="26"/>
      <c r="B83" s="11" t="str">
        <f>CONCATENATE("          ", "6113", " - ", "GROUP INSURANCE")</f>
        <v xml:space="preserve">          6113 - GROUP INSURANCE</v>
      </c>
      <c r="C83" s="11"/>
      <c r="D83" s="6">
        <v>2823.95</v>
      </c>
      <c r="E83" s="2"/>
      <c r="F83" s="7">
        <f t="shared" si="22"/>
        <v>2.8311129989987669E-2</v>
      </c>
      <c r="G83" s="2"/>
      <c r="H83" s="6">
        <v>1458.55</v>
      </c>
      <c r="I83" s="2"/>
      <c r="J83" s="7">
        <f t="shared" si="23"/>
        <v>5.5310145607262214E-3</v>
      </c>
      <c r="K83" s="2"/>
      <c r="L83" s="6">
        <f t="shared" si="24"/>
        <v>1365.3999999999999</v>
      </c>
      <c r="M83" s="2"/>
      <c r="N83" s="7">
        <f t="shared" si="25"/>
        <v>0.93613520276987416</v>
      </c>
      <c r="O83" s="11"/>
      <c r="P83" s="6">
        <v>23476.95</v>
      </c>
      <c r="Q83" s="2"/>
      <c r="R83" s="7">
        <f t="shared" si="26"/>
        <v>2.0833405064694353E-2</v>
      </c>
      <c r="S83" s="2"/>
      <c r="T83" s="6">
        <v>16666.670000000002</v>
      </c>
      <c r="U83" s="2"/>
      <c r="V83" s="7">
        <f t="shared" si="27"/>
        <v>8.6554100796066308E-3</v>
      </c>
      <c r="W83" s="2"/>
      <c r="X83" s="6">
        <f t="shared" si="28"/>
        <v>6810.2799999999988</v>
      </c>
      <c r="Y83" s="2"/>
      <c r="Z83" s="7">
        <f t="shared" si="29"/>
        <v>0.40861671827665624</v>
      </c>
    </row>
    <row r="84" spans="1:26" s="24" customFormat="1" hidden="1" outlineLevel="2" x14ac:dyDescent="0.25">
      <c r="A84" s="26"/>
      <c r="B84" s="11" t="str">
        <f>CONCATENATE("          ", "6114", " - ", "STATE UNEMPLOYMENT INSURANCE")</f>
        <v xml:space="preserve">          6114 - STATE UNEMPLOYMENT INSURANCE</v>
      </c>
      <c r="C84" s="11"/>
      <c r="D84" s="6">
        <v>83.35</v>
      </c>
      <c r="E84" s="2"/>
      <c r="F84" s="7">
        <f t="shared" si="22"/>
        <v>8.3561418745568166E-4</v>
      </c>
      <c r="G84" s="2"/>
      <c r="H84" s="6">
        <v>58.94</v>
      </c>
      <c r="I84" s="2"/>
      <c r="J84" s="7">
        <f t="shared" si="23"/>
        <v>2.2350827754221897E-4</v>
      </c>
      <c r="K84" s="2"/>
      <c r="L84" s="6">
        <f t="shared" si="24"/>
        <v>24.409999999999997</v>
      </c>
      <c r="M84" s="2"/>
      <c r="N84" s="7">
        <f t="shared" si="25"/>
        <v>0.41414998303359346</v>
      </c>
      <c r="O84" s="11"/>
      <c r="P84" s="6">
        <v>749.59</v>
      </c>
      <c r="Q84" s="2"/>
      <c r="R84" s="7">
        <f t="shared" si="26"/>
        <v>6.6518487718567531E-4</v>
      </c>
      <c r="S84" s="2"/>
      <c r="T84" s="6">
        <v>525.26</v>
      </c>
      <c r="U84" s="2"/>
      <c r="V84" s="7">
        <f t="shared" si="27"/>
        <v>2.7278038734877326E-4</v>
      </c>
      <c r="W84" s="2"/>
      <c r="X84" s="6">
        <f t="shared" si="28"/>
        <v>224.33000000000004</v>
      </c>
      <c r="Y84" s="2"/>
      <c r="Z84" s="7">
        <f t="shared" si="29"/>
        <v>0.42708372996230448</v>
      </c>
    </row>
    <row r="85" spans="1:26" s="24" customFormat="1" hidden="1" outlineLevel="2" x14ac:dyDescent="0.25">
      <c r="A85" s="26"/>
      <c r="B85" s="11" t="str">
        <f>CONCATENATE("          ", "6115", " - ", "P.E.R.S.")</f>
        <v xml:space="preserve">          6115 - P.E.R.S.</v>
      </c>
      <c r="C85" s="11"/>
      <c r="D85" s="6">
        <v>1508.82</v>
      </c>
      <c r="E85" s="2"/>
      <c r="F85" s="7">
        <f t="shared" si="22"/>
        <v>1.5126471485505479E-2</v>
      </c>
      <c r="G85" s="2"/>
      <c r="H85" s="6">
        <v>621.85</v>
      </c>
      <c r="I85" s="2"/>
      <c r="J85" s="7">
        <f t="shared" si="23"/>
        <v>2.3581374684361876E-3</v>
      </c>
      <c r="K85" s="2"/>
      <c r="L85" s="6">
        <f t="shared" si="24"/>
        <v>886.96999999999991</v>
      </c>
      <c r="M85" s="2"/>
      <c r="N85" s="7">
        <f t="shared" si="25"/>
        <v>1.4263407574173834</v>
      </c>
      <c r="O85" s="11"/>
      <c r="P85" s="6">
        <v>13115.7</v>
      </c>
      <c r="Q85" s="2"/>
      <c r="R85" s="7">
        <f t="shared" si="26"/>
        <v>1.1638849629402957E-2</v>
      </c>
      <c r="S85" s="2"/>
      <c r="T85" s="6">
        <v>6775.77</v>
      </c>
      <c r="U85" s="2"/>
      <c r="V85" s="7">
        <f t="shared" si="27"/>
        <v>3.5188233735410986E-3</v>
      </c>
      <c r="W85" s="2"/>
      <c r="X85" s="6">
        <f t="shared" si="28"/>
        <v>6339.93</v>
      </c>
      <c r="Y85" s="2"/>
      <c r="Z85" s="7">
        <f t="shared" si="29"/>
        <v>0.93567668324042874</v>
      </c>
    </row>
    <row r="86" spans="1:26" s="24" customFormat="1" hidden="1" outlineLevel="2" x14ac:dyDescent="0.25">
      <c r="A86" s="26"/>
      <c r="B86" s="11" t="str">
        <f>CONCATENATE("          ", "6118", " - ", "VACATION")</f>
        <v xml:space="preserve">          6118 - VACATION</v>
      </c>
      <c r="C86" s="11"/>
      <c r="D86" s="6">
        <v>1290.6199999999999</v>
      </c>
      <c r="E86" s="2"/>
      <c r="F86" s="7">
        <f t="shared" si="22"/>
        <v>1.293893680400782E-2</v>
      </c>
      <c r="G86" s="2"/>
      <c r="H86" s="6">
        <v>639.12</v>
      </c>
      <c r="I86" s="2"/>
      <c r="J86" s="7">
        <f t="shared" si="23"/>
        <v>2.4236275931927894E-3</v>
      </c>
      <c r="K86" s="2"/>
      <c r="L86" s="6">
        <f t="shared" si="24"/>
        <v>651.49999999999989</v>
      </c>
      <c r="M86" s="2"/>
      <c r="N86" s="7">
        <f t="shared" si="25"/>
        <v>1.0193703842783826</v>
      </c>
      <c r="O86" s="11"/>
      <c r="P86" s="6">
        <v>9702.35</v>
      </c>
      <c r="Q86" s="2"/>
      <c r="R86" s="7">
        <f t="shared" si="26"/>
        <v>8.6098487081770533E-3</v>
      </c>
      <c r="S86" s="2"/>
      <c r="T86" s="6">
        <v>5721.05</v>
      </c>
      <c r="U86" s="2"/>
      <c r="V86" s="7">
        <f t="shared" si="27"/>
        <v>2.9710814359397235E-3</v>
      </c>
      <c r="W86" s="2"/>
      <c r="X86" s="6">
        <f t="shared" si="28"/>
        <v>3981.3</v>
      </c>
      <c r="Y86" s="2"/>
      <c r="Z86" s="7">
        <f t="shared" si="29"/>
        <v>0.69590372396675437</v>
      </c>
    </row>
    <row r="87" spans="1:26" s="24" customFormat="1" hidden="1" outlineLevel="2" x14ac:dyDescent="0.25">
      <c r="A87" s="26"/>
      <c r="B87" s="11" t="str">
        <f>CONCATENATE("          ", "6119", " - ", "SICK LEAVE")</f>
        <v xml:space="preserve">          6119 - SICK LEAVE</v>
      </c>
      <c r="C87" s="11"/>
      <c r="D87" s="6">
        <v>889.54</v>
      </c>
      <c r="E87" s="2"/>
      <c r="F87" s="7">
        <f t="shared" si="22"/>
        <v>8.9179633390441167E-3</v>
      </c>
      <c r="G87" s="2"/>
      <c r="H87" s="6">
        <v>457.74</v>
      </c>
      <c r="I87" s="2"/>
      <c r="J87" s="7">
        <f t="shared" si="23"/>
        <v>1.7358106372951361E-3</v>
      </c>
      <c r="K87" s="2"/>
      <c r="L87" s="6">
        <f t="shared" si="24"/>
        <v>431.79999999999995</v>
      </c>
      <c r="M87" s="2"/>
      <c r="N87" s="7">
        <f t="shared" si="25"/>
        <v>0.94333027482850518</v>
      </c>
      <c r="O87" s="11"/>
      <c r="P87" s="6">
        <v>6903.35</v>
      </c>
      <c r="Q87" s="2"/>
      <c r="R87" s="7">
        <f t="shared" si="26"/>
        <v>6.1260209206629385E-3</v>
      </c>
      <c r="S87" s="2"/>
      <c r="T87" s="6">
        <v>5025.45</v>
      </c>
      <c r="U87" s="2"/>
      <c r="V87" s="7">
        <f t="shared" si="27"/>
        <v>2.6098393131056856E-3</v>
      </c>
      <c r="W87" s="2"/>
      <c r="X87" s="6">
        <f t="shared" si="28"/>
        <v>1877.9000000000005</v>
      </c>
      <c r="Y87" s="2"/>
      <c r="Z87" s="7">
        <f t="shared" si="29"/>
        <v>0.37367797908645012</v>
      </c>
    </row>
    <row r="88" spans="1:26" s="24" customFormat="1" hidden="1" outlineLevel="2" x14ac:dyDescent="0.25">
      <c r="A88" s="26"/>
      <c r="B88" s="11" t="str">
        <f>CONCATENATE("          ", "6156", " - ", "EMPLOYEE MEALS")</f>
        <v xml:space="preserve">          6156 - EMPLOYEE MEALS</v>
      </c>
      <c r="C88" s="11"/>
      <c r="D88" s="6">
        <v>314.62</v>
      </c>
      <c r="E88" s="2"/>
      <c r="F88" s="7">
        <f t="shared" si="22"/>
        <v>3.1541803918093171E-3</v>
      </c>
      <c r="G88" s="2"/>
      <c r="H88" s="6">
        <v>263.94</v>
      </c>
      <c r="I88" s="2"/>
      <c r="J88" s="7">
        <f t="shared" si="23"/>
        <v>1.0008953982777956E-3</v>
      </c>
      <c r="K88" s="2"/>
      <c r="L88" s="6">
        <f t="shared" si="24"/>
        <v>50.680000000000007</v>
      </c>
      <c r="M88" s="2"/>
      <c r="N88" s="7">
        <f t="shared" si="25"/>
        <v>0.19201333636432524</v>
      </c>
      <c r="O88" s="11"/>
      <c r="P88" s="6">
        <v>2282.77</v>
      </c>
      <c r="Q88" s="2"/>
      <c r="R88" s="7">
        <f t="shared" si="26"/>
        <v>2.0257261730988194E-3</v>
      </c>
      <c r="S88" s="2"/>
      <c r="T88" s="6">
        <v>1516.7</v>
      </c>
      <c r="U88" s="2"/>
      <c r="V88" s="7">
        <f t="shared" si="27"/>
        <v>7.8765947053246847E-4</v>
      </c>
      <c r="W88" s="2"/>
      <c r="X88" s="6">
        <f t="shared" si="28"/>
        <v>766.06999999999994</v>
      </c>
      <c r="Y88" s="2"/>
      <c r="Z88" s="7">
        <f t="shared" si="29"/>
        <v>0.50508999802202148</v>
      </c>
    </row>
    <row r="89" spans="1:26" s="25" customFormat="1" outlineLevel="1" collapsed="1" x14ac:dyDescent="0.25">
      <c r="A89" s="27"/>
      <c r="B89" s="13" t="str">
        <f>CONCATENATE("     ","*Payroll                                          ")</f>
        <v xml:space="preserve">     *Payroll                                          </v>
      </c>
      <c r="C89" s="13"/>
      <c r="D89" s="1">
        <f>SUM(OSRRefD22_1x_0)</f>
        <v>29414.399999999998</v>
      </c>
      <c r="E89" s="1"/>
      <c r="F89" s="5">
        <f t="shared" ref="F89:F95" si="30">IF(D$12=0,0,D89/D$12)</f>
        <v>0.29489010144566769</v>
      </c>
      <c r="G89" s="1"/>
      <c r="H89" s="1">
        <f>SUM(OSRRefH22_1x_0)</f>
        <v>22451.15</v>
      </c>
      <c r="I89" s="1"/>
      <c r="J89" s="5">
        <f t="shared" ref="J89:J95" si="31">IF(H$12=0,0,H89/H$12)</f>
        <v>8.5137731003427045E-2</v>
      </c>
      <c r="K89" s="1"/>
      <c r="L89" s="1">
        <f t="shared" ref="L89:L95" si="32">+D89-H89</f>
        <v>6963.2499999999964</v>
      </c>
      <c r="M89" s="1"/>
      <c r="N89" s="5">
        <f t="shared" ref="N89:N95" si="33">IF(H89=0,0,L89/H89)</f>
        <v>0.31015115038650565</v>
      </c>
      <c r="O89" s="13"/>
      <c r="P89" s="1">
        <f>SUM(OSRRefP22_1x_0)</f>
        <v>237860.55999999997</v>
      </c>
      <c r="Q89" s="1"/>
      <c r="R89" s="5">
        <f t="shared" ref="R89:R95" si="34">IF(P$12=0,0,P89/P$12)</f>
        <v>0.21107705197630161</v>
      </c>
      <c r="S89" s="1"/>
      <c r="T89" s="1">
        <f>SUM(OSRRefT22_1x_0)</f>
        <v>194194.89</v>
      </c>
      <c r="U89" s="1"/>
      <c r="V89" s="5">
        <f t="shared" ref="V89:V95" si="35">IF(T$12=0,0,T89/T$12)</f>
        <v>0.10085016432881319</v>
      </c>
      <c r="W89" s="1"/>
      <c r="X89" s="1">
        <f t="shared" ref="X89:X95" si="36">+P89-T89</f>
        <v>43665.669999999955</v>
      </c>
      <c r="Y89" s="1"/>
      <c r="Z89" s="5">
        <f t="shared" ref="Z89:Z95" si="37">IF(T89=0,0,X89/T89)</f>
        <v>0.22485488675834855</v>
      </c>
    </row>
    <row r="90" spans="1:26" s="24" customFormat="1" hidden="1" outlineLevel="2" x14ac:dyDescent="0.25">
      <c r="A90" s="26"/>
      <c r="B90" s="11" t="str">
        <f>CONCATENATE("          ", "6002", " - ", "STAFF SALARIES")</f>
        <v xml:space="preserve">          6002 - STAFF SALARIES</v>
      </c>
      <c r="C90" s="11"/>
      <c r="D90" s="6">
        <v>14381.13</v>
      </c>
      <c r="E90" s="2"/>
      <c r="F90" s="7">
        <f t="shared" si="30"/>
        <v>0.14417607989975437</v>
      </c>
      <c r="G90" s="2"/>
      <c r="H90" s="6">
        <v>4867.26</v>
      </c>
      <c r="I90" s="2"/>
      <c r="J90" s="7">
        <f t="shared" si="31"/>
        <v>1.8457293840348506E-2</v>
      </c>
      <c r="K90" s="2"/>
      <c r="L90" s="6">
        <f t="shared" si="32"/>
        <v>9513.869999999999</v>
      </c>
      <c r="M90" s="2"/>
      <c r="N90" s="7">
        <f t="shared" si="33"/>
        <v>1.9546664858667913</v>
      </c>
      <c r="O90" s="11"/>
      <c r="P90" s="6">
        <v>107714.8</v>
      </c>
      <c r="Q90" s="2"/>
      <c r="R90" s="7">
        <f t="shared" si="34"/>
        <v>9.5585928319587482E-2</v>
      </c>
      <c r="S90" s="2"/>
      <c r="T90" s="6">
        <v>62011.58</v>
      </c>
      <c r="U90" s="2"/>
      <c r="V90" s="7">
        <f t="shared" si="35"/>
        <v>3.2204132834233408E-2</v>
      </c>
      <c r="W90" s="2"/>
      <c r="X90" s="6">
        <f t="shared" si="36"/>
        <v>45703.22</v>
      </c>
      <c r="Y90" s="2"/>
      <c r="Z90" s="7">
        <f t="shared" si="37"/>
        <v>0.7370110550319795</v>
      </c>
    </row>
    <row r="91" spans="1:26" s="24" customFormat="1" hidden="1" outlineLevel="2" x14ac:dyDescent="0.25">
      <c r="A91" s="26"/>
      <c r="B91" s="11" t="str">
        <f>CONCATENATE("          ", "6004", " - ", "STAFF HOURLY")</f>
        <v xml:space="preserve">          6004 - STAFF HOURLY</v>
      </c>
      <c r="C91" s="11"/>
      <c r="D91" s="6">
        <v>3620.72</v>
      </c>
      <c r="E91" s="2"/>
      <c r="F91" s="7">
        <f t="shared" si="30"/>
        <v>3.6299040201614105E-2</v>
      </c>
      <c r="G91" s="2"/>
      <c r="H91" s="6">
        <v>3923.28</v>
      </c>
      <c r="I91" s="2"/>
      <c r="J91" s="7">
        <f t="shared" si="31"/>
        <v>1.4877596795314505E-2</v>
      </c>
      <c r="K91" s="2"/>
      <c r="L91" s="6">
        <f t="shared" si="32"/>
        <v>-302.5600000000004</v>
      </c>
      <c r="M91" s="2"/>
      <c r="N91" s="7">
        <f t="shared" si="33"/>
        <v>-7.7119145205032616E-2</v>
      </c>
      <c r="O91" s="11"/>
      <c r="P91" s="6">
        <v>45827.18</v>
      </c>
      <c r="Q91" s="2"/>
      <c r="R91" s="7">
        <f t="shared" si="34"/>
        <v>4.0666960738624892E-2</v>
      </c>
      <c r="S91" s="2"/>
      <c r="T91" s="6">
        <v>4567.67</v>
      </c>
      <c r="U91" s="2"/>
      <c r="V91" s="7">
        <f t="shared" si="35"/>
        <v>2.3721029430784205E-3</v>
      </c>
      <c r="W91" s="2"/>
      <c r="X91" s="6">
        <f t="shared" si="36"/>
        <v>41259.51</v>
      </c>
      <c r="Y91" s="2"/>
      <c r="Z91" s="7">
        <f t="shared" si="37"/>
        <v>9.0329445866273179</v>
      </c>
    </row>
    <row r="92" spans="1:26" s="24" customFormat="1" hidden="1" outlineLevel="2" x14ac:dyDescent="0.25">
      <c r="A92" s="26"/>
      <c r="B92" s="11" t="str">
        <f>CONCATENATE("          ", "6005", " - ", "TEMPORARY WAGES-HOURLY")</f>
        <v xml:space="preserve">          6005 - TEMPORARY WAGES-HOURLY</v>
      </c>
      <c r="C92" s="11"/>
      <c r="D92" s="6">
        <v>4486.3500000000004</v>
      </c>
      <c r="E92" s="2"/>
      <c r="F92" s="7">
        <f t="shared" si="30"/>
        <v>4.4977297059289718E-2</v>
      </c>
      <c r="G92" s="2"/>
      <c r="H92" s="6">
        <v>2413.36</v>
      </c>
      <c r="I92" s="2"/>
      <c r="J92" s="7">
        <f t="shared" si="31"/>
        <v>9.1517803985288367E-3</v>
      </c>
      <c r="K92" s="2"/>
      <c r="L92" s="6">
        <f t="shared" si="32"/>
        <v>2072.9900000000002</v>
      </c>
      <c r="M92" s="2"/>
      <c r="N92" s="7">
        <f t="shared" si="33"/>
        <v>0.85896426558822558</v>
      </c>
      <c r="O92" s="11"/>
      <c r="P92" s="6">
        <v>31871.64</v>
      </c>
      <c r="Q92" s="2"/>
      <c r="R92" s="7">
        <f t="shared" si="34"/>
        <v>2.8282838537208414E-2</v>
      </c>
      <c r="S92" s="2"/>
      <c r="T92" s="6">
        <v>26975.42</v>
      </c>
      <c r="U92" s="2"/>
      <c r="V92" s="7">
        <f t="shared" si="35"/>
        <v>1.400899652837803E-2</v>
      </c>
      <c r="W92" s="2"/>
      <c r="X92" s="6">
        <f t="shared" si="36"/>
        <v>4896.2200000000012</v>
      </c>
      <c r="Y92" s="2"/>
      <c r="Z92" s="7">
        <f t="shared" si="37"/>
        <v>0.1815067198212299</v>
      </c>
    </row>
    <row r="93" spans="1:26" s="24" customFormat="1" hidden="1" outlineLevel="2" x14ac:dyDescent="0.25">
      <c r="A93" s="26"/>
      <c r="B93" s="11" t="str">
        <f>CONCATENATE("          ", "6006", " - ", "TEMPORARY PART TIME")</f>
        <v xml:space="preserve">          6006 - TEMPORARY PART TIME</v>
      </c>
      <c r="C93" s="11"/>
      <c r="D93" s="6">
        <v>990.78</v>
      </c>
      <c r="E93" s="2"/>
      <c r="F93" s="7">
        <f t="shared" si="30"/>
        <v>9.9329313095061818E-3</v>
      </c>
      <c r="G93" s="2"/>
      <c r="H93" s="6">
        <v>412.82</v>
      </c>
      <c r="I93" s="2"/>
      <c r="J93" s="7">
        <f t="shared" si="31"/>
        <v>1.565468054546638E-3</v>
      </c>
      <c r="K93" s="2"/>
      <c r="L93" s="6">
        <f t="shared" si="32"/>
        <v>577.96</v>
      </c>
      <c r="M93" s="2"/>
      <c r="N93" s="7">
        <f t="shared" si="33"/>
        <v>1.4000290683590912</v>
      </c>
      <c r="O93" s="11"/>
      <c r="P93" s="6">
        <v>990.78</v>
      </c>
      <c r="Q93" s="2"/>
      <c r="R93" s="7">
        <f t="shared" si="34"/>
        <v>8.7921646849347421E-4</v>
      </c>
      <c r="S93" s="2"/>
      <c r="T93" s="6">
        <v>479.32</v>
      </c>
      <c r="U93" s="2"/>
      <c r="V93" s="7">
        <f t="shared" si="35"/>
        <v>2.4892261977689902E-4</v>
      </c>
      <c r="W93" s="2"/>
      <c r="X93" s="6">
        <f t="shared" si="36"/>
        <v>511.46</v>
      </c>
      <c r="Y93" s="2"/>
      <c r="Z93" s="7">
        <f t="shared" si="37"/>
        <v>1.0670533255445214</v>
      </c>
    </row>
    <row r="94" spans="1:26" s="24" customFormat="1" hidden="1" outlineLevel="2" x14ac:dyDescent="0.25">
      <c r="A94" s="26"/>
      <c r="B94" s="11" t="str">
        <f>CONCATENATE("          ", "6007", " - ", "STUDENT HOURLY")</f>
        <v xml:space="preserve">          6007 - STUDENT HOURLY</v>
      </c>
      <c r="C94" s="11"/>
      <c r="D94" s="6">
        <v>5096.3999999999996</v>
      </c>
      <c r="E94" s="2"/>
      <c r="F94" s="7">
        <f t="shared" si="30"/>
        <v>5.1093271085172594E-2</v>
      </c>
      <c r="G94" s="2"/>
      <c r="H94" s="6">
        <v>10834.43</v>
      </c>
      <c r="I94" s="2"/>
      <c r="J94" s="7">
        <f t="shared" si="31"/>
        <v>4.1085591914688559E-2</v>
      </c>
      <c r="K94" s="2"/>
      <c r="L94" s="6">
        <f t="shared" si="32"/>
        <v>-5738.0300000000007</v>
      </c>
      <c r="M94" s="2"/>
      <c r="N94" s="7">
        <f t="shared" si="33"/>
        <v>-0.52961069479428091</v>
      </c>
      <c r="O94" s="11"/>
      <c r="P94" s="6">
        <v>47043.199999999997</v>
      </c>
      <c r="Q94" s="2"/>
      <c r="R94" s="7">
        <f t="shared" si="34"/>
        <v>4.1746054795849939E-2</v>
      </c>
      <c r="S94" s="2"/>
      <c r="T94" s="6">
        <v>99965.900000000009</v>
      </c>
      <c r="U94" s="2"/>
      <c r="V94" s="7">
        <f t="shared" si="35"/>
        <v>5.1914741125668684E-2</v>
      </c>
      <c r="W94" s="2"/>
      <c r="X94" s="6">
        <f t="shared" si="36"/>
        <v>-52922.700000000012</v>
      </c>
      <c r="Y94" s="2"/>
      <c r="Z94" s="7">
        <f t="shared" si="37"/>
        <v>-0.52940752796703683</v>
      </c>
    </row>
    <row r="95" spans="1:26" s="24" customFormat="1" hidden="1" outlineLevel="2" x14ac:dyDescent="0.25">
      <c r="A95" s="26"/>
      <c r="B95" s="11" t="str">
        <f>CONCATENATE("          ", "6008", " - ", "STUDENT HOURLY-FICA EXEMPT")</f>
        <v xml:space="preserve">          6008 - STUDENT HOURLY-FICA EXEMPT</v>
      </c>
      <c r="C95" s="11"/>
      <c r="D95" s="6">
        <v>839.02</v>
      </c>
      <c r="E95" s="2"/>
      <c r="F95" s="7">
        <f t="shared" si="30"/>
        <v>8.411481890330726E-3</v>
      </c>
      <c r="G95" s="2"/>
      <c r="H95" s="6"/>
      <c r="I95" s="2"/>
      <c r="J95" s="7">
        <f t="shared" si="31"/>
        <v>0</v>
      </c>
      <c r="K95" s="2"/>
      <c r="L95" s="6">
        <f t="shared" si="32"/>
        <v>839.02</v>
      </c>
      <c r="M95" s="2"/>
      <c r="N95" s="7">
        <f t="shared" si="33"/>
        <v>0</v>
      </c>
      <c r="O95" s="11"/>
      <c r="P95" s="6">
        <v>4412.96</v>
      </c>
      <c r="Q95" s="2"/>
      <c r="R95" s="7">
        <f t="shared" si="34"/>
        <v>3.9160531165374378E-3</v>
      </c>
      <c r="S95" s="2"/>
      <c r="T95" s="6">
        <v>195</v>
      </c>
      <c r="U95" s="2"/>
      <c r="V95" s="7">
        <f t="shared" si="35"/>
        <v>1.0126827767774204E-4</v>
      </c>
      <c r="W95" s="2"/>
      <c r="X95" s="6">
        <f t="shared" si="36"/>
        <v>4217.96</v>
      </c>
      <c r="Y95" s="2"/>
      <c r="Z95" s="7">
        <f t="shared" si="37"/>
        <v>21.630564102564104</v>
      </c>
    </row>
    <row r="96" spans="1:26" s="25" customFormat="1" outlineLevel="1" collapsed="1" x14ac:dyDescent="0.25">
      <c r="A96" s="27"/>
      <c r="B96" s="13" t="str">
        <f>CONCATENATE("     ","Advertising/Promo                                 ")</f>
        <v xml:space="preserve">     Advertising/Promo                                 </v>
      </c>
      <c r="C96" s="13"/>
      <c r="D96" s="1">
        <f>SUM(OSRRefD22_2x_0)</f>
        <v>114.65</v>
      </c>
      <c r="E96" s="1"/>
      <c r="F96" s="5">
        <f t="shared" ref="F96:F100" si="38">IF(D$12=0,0,D96/D$12)</f>
        <v>1.1494081174780314E-3</v>
      </c>
      <c r="G96" s="1"/>
      <c r="H96" s="1">
        <f>SUM(OSRRefH22_2x_0)</f>
        <v>997.91</v>
      </c>
      <c r="I96" s="1"/>
      <c r="J96" s="5">
        <f t="shared" ref="J96:J100" si="39">IF(H$12=0,0,H96/H$12)</f>
        <v>3.7842067397718991E-3</v>
      </c>
      <c r="K96" s="1"/>
      <c r="L96" s="1">
        <f t="shared" ref="L96:L100" si="40">+D96-H96</f>
        <v>-883.26</v>
      </c>
      <c r="M96" s="1"/>
      <c r="N96" s="5">
        <f t="shared" ref="N96:N100" si="41">IF(H96=0,0,L96/H96)</f>
        <v>-0.88510987964846533</v>
      </c>
      <c r="O96" s="13"/>
      <c r="P96" s="1">
        <f>SUM(OSRRefP22_2x_0)</f>
        <v>12775.32</v>
      </c>
      <c r="Q96" s="1"/>
      <c r="R96" s="5">
        <f t="shared" ref="R96:R100" si="42">IF(P$12=0,0,P96/P$12)</f>
        <v>1.1336797002638377E-2</v>
      </c>
      <c r="S96" s="1"/>
      <c r="T96" s="1">
        <f>SUM(OSRRefT22_2x_0)</f>
        <v>18164.419999999998</v>
      </c>
      <c r="U96" s="1"/>
      <c r="V96" s="5">
        <f t="shared" ref="V96:V100" si="43">IF(T$12=0,0,T96/T$12)</f>
        <v>9.4332283508468256E-3</v>
      </c>
      <c r="W96" s="1"/>
      <c r="X96" s="1">
        <f t="shared" ref="X96:X100" si="44">+P96-T96</f>
        <v>-5389.0999999999985</v>
      </c>
      <c r="Y96" s="1"/>
      <c r="Z96" s="5">
        <f t="shared" ref="Z96:Z100" si="45">IF(T96=0,0,X96/T96)</f>
        <v>-0.29668439729977608</v>
      </c>
    </row>
    <row r="97" spans="1:26" s="24" customFormat="1" hidden="1" outlineLevel="2" x14ac:dyDescent="0.25">
      <c r="A97" s="26"/>
      <c r="B97" s="11" t="str">
        <f>CONCATENATE("          ", "6362", " - ", "ADVERTISING EXPENSE")</f>
        <v xml:space="preserve">          6362 - ADVERTISING EXPENSE</v>
      </c>
      <c r="C97" s="11"/>
      <c r="D97" s="6">
        <v>114.65</v>
      </c>
      <c r="E97" s="2"/>
      <c r="F97" s="7">
        <f t="shared" si="38"/>
        <v>1.1494081174780314E-3</v>
      </c>
      <c r="G97" s="2"/>
      <c r="H97" s="6">
        <v>997.91</v>
      </c>
      <c r="I97" s="2"/>
      <c r="J97" s="7">
        <f t="shared" si="39"/>
        <v>3.7842067397718991E-3</v>
      </c>
      <c r="K97" s="2"/>
      <c r="L97" s="6">
        <f t="shared" si="40"/>
        <v>-883.26</v>
      </c>
      <c r="M97" s="2"/>
      <c r="N97" s="7">
        <f t="shared" si="41"/>
        <v>-0.88510987964846533</v>
      </c>
      <c r="O97" s="11"/>
      <c r="P97" s="6">
        <v>12775.32</v>
      </c>
      <c r="Q97" s="2"/>
      <c r="R97" s="7">
        <f t="shared" si="42"/>
        <v>1.1336797002638377E-2</v>
      </c>
      <c r="S97" s="2"/>
      <c r="T97" s="6">
        <v>18164.419999999998</v>
      </c>
      <c r="U97" s="2"/>
      <c r="V97" s="7">
        <f t="shared" si="43"/>
        <v>9.4332283508468256E-3</v>
      </c>
      <c r="W97" s="2"/>
      <c r="X97" s="6">
        <f t="shared" si="44"/>
        <v>-5389.0999999999985</v>
      </c>
      <c r="Y97" s="2"/>
      <c r="Z97" s="7">
        <f t="shared" si="45"/>
        <v>-0.29668439729977608</v>
      </c>
    </row>
    <row r="98" spans="1:26" s="25" customFormat="1" outlineLevel="1" collapsed="1" x14ac:dyDescent="0.25">
      <c r="A98" s="27"/>
      <c r="B98" s="13" t="str">
        <f>CONCATENATE("     ","Discounts and Markdowns                           ")</f>
        <v xml:space="preserve">     Discounts and Markdowns                           </v>
      </c>
      <c r="C98" s="13"/>
      <c r="D98" s="1">
        <f>SUM(OSRRefD22_3x_0)</f>
        <v>0</v>
      </c>
      <c r="E98" s="1"/>
      <c r="F98" s="5">
        <f t="shared" si="38"/>
        <v>0</v>
      </c>
      <c r="G98" s="1"/>
      <c r="H98" s="1">
        <f>SUM(OSRRefH22_3x_0)</f>
        <v>25210.75</v>
      </c>
      <c r="I98" s="1"/>
      <c r="J98" s="5">
        <f t="shared" si="39"/>
        <v>9.5602499288216791E-2</v>
      </c>
      <c r="K98" s="1"/>
      <c r="L98" s="1">
        <f t="shared" si="40"/>
        <v>-25210.75</v>
      </c>
      <c r="M98" s="1"/>
      <c r="N98" s="5">
        <f t="shared" si="41"/>
        <v>-1</v>
      </c>
      <c r="O98" s="13"/>
      <c r="P98" s="1">
        <f>SUM(OSRRefP22_3x_0)</f>
        <v>0</v>
      </c>
      <c r="Q98" s="1"/>
      <c r="R98" s="5">
        <f t="shared" si="42"/>
        <v>0</v>
      </c>
      <c r="S98" s="1"/>
      <c r="T98" s="1">
        <f>SUM(OSRRefT22_3x_0)</f>
        <v>176490.23999999999</v>
      </c>
      <c r="U98" s="1"/>
      <c r="V98" s="5">
        <f t="shared" si="43"/>
        <v>9.1655705803750431E-2</v>
      </c>
      <c r="W98" s="1"/>
      <c r="X98" s="1">
        <f t="shared" si="44"/>
        <v>-176490.23999999999</v>
      </c>
      <c r="Y98" s="1"/>
      <c r="Z98" s="5">
        <f t="shared" si="45"/>
        <v>-1</v>
      </c>
    </row>
    <row r="99" spans="1:26" s="24" customFormat="1" hidden="1" outlineLevel="2" x14ac:dyDescent="0.25">
      <c r="A99" s="26"/>
      <c r="B99" s="11" t="str">
        <f>CONCATENATE("          ", "6382", " - ", "DISCOUNTS/MARK DOWNS")</f>
        <v xml:space="preserve">          6382 - DISCOUNTS/MARK DOWNS</v>
      </c>
      <c r="C99" s="11"/>
      <c r="D99" s="6"/>
      <c r="E99" s="2"/>
      <c r="F99" s="7">
        <f t="shared" si="38"/>
        <v>0</v>
      </c>
      <c r="G99" s="2"/>
      <c r="H99" s="6">
        <v>25210.75</v>
      </c>
      <c r="I99" s="2"/>
      <c r="J99" s="7">
        <f t="shared" si="39"/>
        <v>9.5602499288216791E-2</v>
      </c>
      <c r="K99" s="2"/>
      <c r="L99" s="6">
        <f t="shared" si="40"/>
        <v>-25210.75</v>
      </c>
      <c r="M99" s="2"/>
      <c r="N99" s="7">
        <f t="shared" si="41"/>
        <v>-1</v>
      </c>
      <c r="O99" s="11"/>
      <c r="P99" s="6"/>
      <c r="Q99" s="2"/>
      <c r="R99" s="7">
        <f t="shared" si="42"/>
        <v>0</v>
      </c>
      <c r="S99" s="2"/>
      <c r="T99" s="6">
        <v>176509.63</v>
      </c>
      <c r="U99" s="2"/>
      <c r="V99" s="7">
        <f t="shared" si="43"/>
        <v>9.1665775505823111E-2</v>
      </c>
      <c r="W99" s="2"/>
      <c r="X99" s="6">
        <f t="shared" si="44"/>
        <v>-176509.63</v>
      </c>
      <c r="Y99" s="2"/>
      <c r="Z99" s="7">
        <f t="shared" si="45"/>
        <v>-1</v>
      </c>
    </row>
    <row r="100" spans="1:26" s="24" customFormat="1" hidden="1" outlineLevel="2" x14ac:dyDescent="0.25">
      <c r="A100" s="26"/>
      <c r="B100" s="11" t="str">
        <f>CONCATENATE("          ", "9175", " - ", "EARNED DISCOUNTS")</f>
        <v xml:space="preserve">          9175 - EARNED DISCOUNTS</v>
      </c>
      <c r="C100" s="11"/>
      <c r="D100" s="6"/>
      <c r="E100" s="2"/>
      <c r="F100" s="7">
        <f t="shared" si="38"/>
        <v>0</v>
      </c>
      <c r="G100" s="2"/>
      <c r="H100" s="6"/>
      <c r="I100" s="2"/>
      <c r="J100" s="7">
        <f t="shared" si="39"/>
        <v>0</v>
      </c>
      <c r="K100" s="2"/>
      <c r="L100" s="6">
        <f t="shared" si="40"/>
        <v>0</v>
      </c>
      <c r="M100" s="2"/>
      <c r="N100" s="7">
        <f t="shared" si="41"/>
        <v>0</v>
      </c>
      <c r="O100" s="11"/>
      <c r="P100" s="6"/>
      <c r="Q100" s="2"/>
      <c r="R100" s="7">
        <f t="shared" si="42"/>
        <v>0</v>
      </c>
      <c r="S100" s="2"/>
      <c r="T100" s="6">
        <v>-19.39</v>
      </c>
      <c r="U100" s="2"/>
      <c r="V100" s="7">
        <f t="shared" si="43"/>
        <v>-1.0069702072673939E-5</v>
      </c>
      <c r="W100" s="2"/>
      <c r="X100" s="6">
        <f t="shared" si="44"/>
        <v>19.39</v>
      </c>
      <c r="Y100" s="2"/>
      <c r="Z100" s="7">
        <f t="shared" si="45"/>
        <v>-1</v>
      </c>
    </row>
    <row r="101" spans="1:26" s="25" customFormat="1" outlineLevel="1" collapsed="1" x14ac:dyDescent="0.25">
      <c r="A101" s="27"/>
      <c r="B101" s="13" t="str">
        <f>CONCATENATE("     ","Employees' Appreciation                           ")</f>
        <v xml:space="preserve">     Employees' Appreciation                           </v>
      </c>
      <c r="C101" s="13"/>
      <c r="D101" s="1">
        <f>SUM(OSRRefD22_4x_0)</f>
        <v>0</v>
      </c>
      <c r="E101" s="1"/>
      <c r="F101" s="5">
        <f t="shared" ref="F101:F105" si="46">IF(D$12=0,0,D101/D$12)</f>
        <v>0</v>
      </c>
      <c r="G101" s="1"/>
      <c r="H101" s="1">
        <f>SUM(OSRRefH22_4x_0)</f>
        <v>45.96</v>
      </c>
      <c r="I101" s="1"/>
      <c r="J101" s="5">
        <f t="shared" ref="J101:J105" si="47">IF(H$12=0,0,H101/H$12)</f>
        <v>1.7428640033662003E-4</v>
      </c>
      <c r="K101" s="1"/>
      <c r="L101" s="1">
        <f t="shared" ref="L101:L105" si="48">+D101-H101</f>
        <v>-45.96</v>
      </c>
      <c r="M101" s="1"/>
      <c r="N101" s="5">
        <f t="shared" ref="N101:N105" si="49">IF(H101=0,0,L101/H101)</f>
        <v>-1</v>
      </c>
      <c r="O101" s="13"/>
      <c r="P101" s="1">
        <f>SUM(OSRRefP22_4x_0)</f>
        <v>0</v>
      </c>
      <c r="Q101" s="1"/>
      <c r="R101" s="5">
        <f t="shared" ref="R101:R105" si="50">IF(P$12=0,0,P101/P$12)</f>
        <v>0</v>
      </c>
      <c r="S101" s="1"/>
      <c r="T101" s="1">
        <f>SUM(OSRRefT22_4x_0)</f>
        <v>255.44</v>
      </c>
      <c r="U101" s="1"/>
      <c r="V101" s="5">
        <f t="shared" ref="V101:V105" si="51">IF(T$12=0,0,T101/T$12)</f>
        <v>1.3265625051283296E-4</v>
      </c>
      <c r="W101" s="1"/>
      <c r="X101" s="1">
        <f t="shared" ref="X101:X105" si="52">+P101-T101</f>
        <v>-255.44</v>
      </c>
      <c r="Y101" s="1"/>
      <c r="Z101" s="5">
        <f t="shared" ref="Z101:Z105" si="53">IF(T101=0,0,X101/T101)</f>
        <v>-1</v>
      </c>
    </row>
    <row r="102" spans="1:26" s="24" customFormat="1" hidden="1" outlineLevel="2" x14ac:dyDescent="0.25">
      <c r="A102" s="26"/>
      <c r="B102" s="11" t="str">
        <f>CONCATENATE("          ", "6277", " - ", "EMPLOYEE APPRECIATION")</f>
        <v xml:space="preserve">          6277 - EMPLOYEE APPRECIATION</v>
      </c>
      <c r="C102" s="11"/>
      <c r="D102" s="6"/>
      <c r="E102" s="2"/>
      <c r="F102" s="7">
        <f t="shared" si="46"/>
        <v>0</v>
      </c>
      <c r="G102" s="2"/>
      <c r="H102" s="6">
        <v>45.96</v>
      </c>
      <c r="I102" s="2"/>
      <c r="J102" s="7">
        <f t="shared" si="47"/>
        <v>1.7428640033662003E-4</v>
      </c>
      <c r="K102" s="2"/>
      <c r="L102" s="6">
        <f t="shared" si="48"/>
        <v>-45.96</v>
      </c>
      <c r="M102" s="2"/>
      <c r="N102" s="7">
        <f t="shared" si="49"/>
        <v>-1</v>
      </c>
      <c r="O102" s="11"/>
      <c r="P102" s="6"/>
      <c r="Q102" s="2"/>
      <c r="R102" s="7">
        <f t="shared" si="50"/>
        <v>0</v>
      </c>
      <c r="S102" s="2"/>
      <c r="T102" s="6">
        <v>255.44</v>
      </c>
      <c r="U102" s="2"/>
      <c r="V102" s="7">
        <f t="shared" si="51"/>
        <v>1.3265625051283296E-4</v>
      </c>
      <c r="W102" s="2"/>
      <c r="X102" s="6">
        <f t="shared" si="52"/>
        <v>-255.44</v>
      </c>
      <c r="Y102" s="2"/>
      <c r="Z102" s="7">
        <f t="shared" si="53"/>
        <v>-1</v>
      </c>
    </row>
    <row r="103" spans="1:26" s="25" customFormat="1" outlineLevel="1" collapsed="1" x14ac:dyDescent="0.25">
      <c r="A103" s="27"/>
      <c r="B103" s="13" t="str">
        <f>CONCATENATE("     ","Freight out/Postage                               ")</f>
        <v xml:space="preserve">     Freight out/Postage                               </v>
      </c>
      <c r="C103" s="13"/>
      <c r="D103" s="1">
        <f>SUM(OSRRefD22_5x_0)</f>
        <v>52.110000000000007</v>
      </c>
      <c r="E103" s="1"/>
      <c r="F103" s="5">
        <f t="shared" si="46"/>
        <v>5.2242177934391819E-4</v>
      </c>
      <c r="G103" s="1"/>
      <c r="H103" s="1">
        <f>SUM(OSRRefH22_5x_0)</f>
        <v>0</v>
      </c>
      <c r="I103" s="1"/>
      <c r="J103" s="5">
        <f t="shared" si="47"/>
        <v>0</v>
      </c>
      <c r="K103" s="1"/>
      <c r="L103" s="1">
        <f t="shared" si="48"/>
        <v>52.110000000000007</v>
      </c>
      <c r="M103" s="1"/>
      <c r="N103" s="5">
        <f t="shared" si="49"/>
        <v>0</v>
      </c>
      <c r="O103" s="13"/>
      <c r="P103" s="1">
        <f>SUM(OSRRefP22_5x_0)</f>
        <v>286.53000000000003</v>
      </c>
      <c r="Q103" s="1"/>
      <c r="R103" s="5">
        <f t="shared" si="50"/>
        <v>2.5426622935206122E-4</v>
      </c>
      <c r="S103" s="1"/>
      <c r="T103" s="1">
        <f>SUM(OSRRefT22_5x_0)</f>
        <v>81.180000000000007</v>
      </c>
      <c r="U103" s="1"/>
      <c r="V103" s="5">
        <f t="shared" si="51"/>
        <v>4.2158762983995379E-5</v>
      </c>
      <c r="W103" s="1"/>
      <c r="X103" s="1">
        <f t="shared" si="52"/>
        <v>205.35000000000002</v>
      </c>
      <c r="Y103" s="1"/>
      <c r="Z103" s="5">
        <f t="shared" si="53"/>
        <v>2.5295639320029566</v>
      </c>
    </row>
    <row r="104" spans="1:26" s="24" customFormat="1" hidden="1" outlineLevel="2" x14ac:dyDescent="0.25">
      <c r="A104" s="26"/>
      <c r="B104" s="11" t="str">
        <f>CONCATENATE("          ", "6305", " - ", "FREIGHT OUT")</f>
        <v xml:space="preserve">          6305 - FREIGHT OUT</v>
      </c>
      <c r="C104" s="11"/>
      <c r="D104" s="6">
        <v>66.260000000000005</v>
      </c>
      <c r="E104" s="2"/>
      <c r="F104" s="7">
        <f t="shared" si="46"/>
        <v>6.6428069659044359E-4</v>
      </c>
      <c r="G104" s="2"/>
      <c r="H104" s="6"/>
      <c r="I104" s="2"/>
      <c r="J104" s="7">
        <f t="shared" si="47"/>
        <v>0</v>
      </c>
      <c r="K104" s="2"/>
      <c r="L104" s="6">
        <f t="shared" si="48"/>
        <v>66.260000000000005</v>
      </c>
      <c r="M104" s="2"/>
      <c r="N104" s="7">
        <f t="shared" si="49"/>
        <v>0</v>
      </c>
      <c r="O104" s="11"/>
      <c r="P104" s="6">
        <v>306.68</v>
      </c>
      <c r="Q104" s="2"/>
      <c r="R104" s="7">
        <f t="shared" si="50"/>
        <v>2.7214730470697703E-4</v>
      </c>
      <c r="S104" s="2"/>
      <c r="T104" s="6">
        <v>80.680000000000007</v>
      </c>
      <c r="U104" s="2"/>
      <c r="V104" s="7">
        <f t="shared" si="51"/>
        <v>4.1899100733539633E-5</v>
      </c>
      <c r="W104" s="2"/>
      <c r="X104" s="6">
        <f t="shared" si="52"/>
        <v>226</v>
      </c>
      <c r="Y104" s="2"/>
      <c r="Z104" s="7">
        <f t="shared" si="53"/>
        <v>2.801189885969261</v>
      </c>
    </row>
    <row r="105" spans="1:26" s="24" customFormat="1" hidden="1" outlineLevel="2" x14ac:dyDescent="0.25">
      <c r="A105" s="26"/>
      <c r="B105" s="11" t="str">
        <f>CONCATENATE("          ", "6307", " - ", "POSTAGE")</f>
        <v xml:space="preserve">          6307 - POSTAGE</v>
      </c>
      <c r="C105" s="11"/>
      <c r="D105" s="6">
        <v>-14.15</v>
      </c>
      <c r="E105" s="2"/>
      <c r="F105" s="7">
        <f t="shared" si="46"/>
        <v>-1.4185891724652545E-4</v>
      </c>
      <c r="G105" s="2"/>
      <c r="H105" s="6"/>
      <c r="I105" s="2"/>
      <c r="J105" s="7">
        <f t="shared" si="47"/>
        <v>0</v>
      </c>
      <c r="K105" s="2"/>
      <c r="L105" s="6">
        <f t="shared" si="48"/>
        <v>-14.15</v>
      </c>
      <c r="M105" s="2"/>
      <c r="N105" s="7">
        <f t="shared" si="49"/>
        <v>0</v>
      </c>
      <c r="O105" s="11"/>
      <c r="P105" s="6">
        <v>-20.149999999999999</v>
      </c>
      <c r="Q105" s="2"/>
      <c r="R105" s="7">
        <f t="shared" si="50"/>
        <v>-1.788107535491583E-5</v>
      </c>
      <c r="S105" s="2"/>
      <c r="T105" s="6">
        <v>0.5</v>
      </c>
      <c r="U105" s="2"/>
      <c r="V105" s="7">
        <f t="shared" si="51"/>
        <v>2.5966225045574882E-7</v>
      </c>
      <c r="W105" s="2"/>
      <c r="X105" s="6">
        <f t="shared" si="52"/>
        <v>-20.65</v>
      </c>
      <c r="Y105" s="2"/>
      <c r="Z105" s="7">
        <f t="shared" si="53"/>
        <v>-41.3</v>
      </c>
    </row>
    <row r="106" spans="1:26" s="25" customFormat="1" outlineLevel="1" collapsed="1" x14ac:dyDescent="0.25">
      <c r="A106" s="27"/>
      <c r="B106" s="13" t="str">
        <f>CONCATENATE("     ","Inventory Adjustment                              ")</f>
        <v xml:space="preserve">     Inventory Adjustment                              </v>
      </c>
      <c r="C106" s="13"/>
      <c r="D106" s="1">
        <f>SUM(OSRRefD22_6x_0)</f>
        <v>1000</v>
      </c>
      <c r="E106" s="1"/>
      <c r="F106" s="5">
        <f t="shared" ref="F106:F110" si="54">IF(D$12=0,0,D106/D$12)</f>
        <v>1.0025365176432894E-2</v>
      </c>
      <c r="G106" s="1"/>
      <c r="H106" s="1">
        <f>SUM(OSRRefH22_6x_0)</f>
        <v>2850</v>
      </c>
      <c r="I106" s="1"/>
      <c r="J106" s="5">
        <f t="shared" ref="J106:J110" si="55">IF(H$12=0,0,H106/H$12)</f>
        <v>1.0807577044372652E-2</v>
      </c>
      <c r="K106" s="1"/>
      <c r="L106" s="1">
        <f t="shared" ref="L106:L110" si="56">+D106-H106</f>
        <v>-1850</v>
      </c>
      <c r="M106" s="1"/>
      <c r="N106" s="5">
        <f t="shared" ref="N106:N110" si="57">IF(H106=0,0,L106/H106)</f>
        <v>-0.64912280701754388</v>
      </c>
      <c r="O106" s="13"/>
      <c r="P106" s="1">
        <f>SUM(OSRRefP22_6x_0)</f>
        <v>8000</v>
      </c>
      <c r="Q106" s="1"/>
      <c r="R106" s="5">
        <f t="shared" ref="R106:R110" si="58">IF(P$12=0,0,P106/P$12)</f>
        <v>7.0991862451278732E-3</v>
      </c>
      <c r="S106" s="1"/>
      <c r="T106" s="1">
        <f>SUM(OSRRefT22_6x_0)</f>
        <v>22800</v>
      </c>
      <c r="U106" s="1"/>
      <c r="V106" s="5">
        <f t="shared" ref="V106:V110" si="59">IF(T$12=0,0,T106/T$12)</f>
        <v>1.1840598620782147E-2</v>
      </c>
      <c r="W106" s="1"/>
      <c r="X106" s="1">
        <f t="shared" ref="X106:X110" si="60">+P106-T106</f>
        <v>-14800</v>
      </c>
      <c r="Y106" s="1"/>
      <c r="Z106" s="5">
        <f t="shared" ref="Z106:Z110" si="61">IF(T106=0,0,X106/T106)</f>
        <v>-0.64912280701754388</v>
      </c>
    </row>
    <row r="107" spans="1:26" s="24" customFormat="1" hidden="1" outlineLevel="2" x14ac:dyDescent="0.25">
      <c r="A107" s="26"/>
      <c r="B107" s="11" t="str">
        <f>CONCATENATE("          ", "6408", " - ", "INVENTORY ADJUSTMENT")</f>
        <v xml:space="preserve">          6408 - INVENTORY ADJUSTMENT</v>
      </c>
      <c r="C107" s="11"/>
      <c r="D107" s="6">
        <v>1000</v>
      </c>
      <c r="E107" s="2"/>
      <c r="F107" s="7">
        <f t="shared" si="54"/>
        <v>1.0025365176432894E-2</v>
      </c>
      <c r="G107" s="2"/>
      <c r="H107" s="6">
        <v>2850</v>
      </c>
      <c r="I107" s="2"/>
      <c r="J107" s="7">
        <f t="shared" si="55"/>
        <v>1.0807577044372652E-2</v>
      </c>
      <c r="K107" s="2"/>
      <c r="L107" s="6">
        <f t="shared" si="56"/>
        <v>-1850</v>
      </c>
      <c r="M107" s="2"/>
      <c r="N107" s="7">
        <f t="shared" si="57"/>
        <v>-0.64912280701754388</v>
      </c>
      <c r="O107" s="11"/>
      <c r="P107" s="6">
        <v>8000</v>
      </c>
      <c r="Q107" s="2"/>
      <c r="R107" s="7">
        <f t="shared" si="58"/>
        <v>7.0991862451278732E-3</v>
      </c>
      <c r="S107" s="2"/>
      <c r="T107" s="6">
        <v>22800</v>
      </c>
      <c r="U107" s="2"/>
      <c r="V107" s="7">
        <f t="shared" si="59"/>
        <v>1.1840598620782147E-2</v>
      </c>
      <c r="W107" s="2"/>
      <c r="X107" s="6">
        <f t="shared" si="60"/>
        <v>-14800</v>
      </c>
      <c r="Y107" s="2"/>
      <c r="Z107" s="7">
        <f t="shared" si="61"/>
        <v>-0.64912280701754388</v>
      </c>
    </row>
    <row r="108" spans="1:26" s="25" customFormat="1" outlineLevel="1" collapsed="1" x14ac:dyDescent="0.25">
      <c r="A108" s="27"/>
      <c r="B108" s="13" t="str">
        <f>CONCATENATE("     ","Royalty &amp; Commissions                             ")</f>
        <v xml:space="preserve">     Royalty &amp; Commissions                             </v>
      </c>
      <c r="C108" s="13"/>
      <c r="D108" s="1">
        <f>SUM(OSRRefD22_7x_0)</f>
        <v>0</v>
      </c>
      <c r="E108" s="1"/>
      <c r="F108" s="5">
        <f t="shared" si="54"/>
        <v>0</v>
      </c>
      <c r="G108" s="1"/>
      <c r="H108" s="1">
        <f>SUM(OSRRefH22_7x_0)</f>
        <v>15749.59</v>
      </c>
      <c r="I108" s="1"/>
      <c r="J108" s="5">
        <f t="shared" si="55"/>
        <v>5.972452889202845E-2</v>
      </c>
      <c r="K108" s="1"/>
      <c r="L108" s="1">
        <f t="shared" si="56"/>
        <v>-15749.59</v>
      </c>
      <c r="M108" s="1"/>
      <c r="N108" s="5">
        <f t="shared" si="57"/>
        <v>-1</v>
      </c>
      <c r="O108" s="13"/>
      <c r="P108" s="1">
        <f>SUM(OSRRefP22_7x_0)</f>
        <v>26197.58</v>
      </c>
      <c r="Q108" s="1"/>
      <c r="R108" s="5">
        <f t="shared" si="58"/>
        <v>2.3247687448954633E-2</v>
      </c>
      <c r="S108" s="1"/>
      <c r="T108" s="1">
        <f>SUM(OSRRefT22_7x_0)</f>
        <v>23441.19</v>
      </c>
      <c r="U108" s="1"/>
      <c r="V108" s="5">
        <f t="shared" si="59"/>
        <v>1.2173584297521588E-2</v>
      </c>
      <c r="W108" s="1"/>
      <c r="X108" s="1">
        <f t="shared" si="60"/>
        <v>2756.3900000000031</v>
      </c>
      <c r="Y108" s="1"/>
      <c r="Z108" s="5">
        <f t="shared" si="61"/>
        <v>0.11758746036357383</v>
      </c>
    </row>
    <row r="109" spans="1:26" s="24" customFormat="1" hidden="1" outlineLevel="2" x14ac:dyDescent="0.25">
      <c r="A109" s="26"/>
      <c r="B109" s="11" t="str">
        <f>CONCATENATE("          ", "6253", " - ", "ROYALTY DUE ATHLETICS-LRG")</f>
        <v xml:space="preserve">          6253 - ROYALTY DUE ATHLETICS-LRG</v>
      </c>
      <c r="C109" s="11"/>
      <c r="D109" s="6"/>
      <c r="E109" s="2"/>
      <c r="F109" s="7">
        <f t="shared" si="54"/>
        <v>0</v>
      </c>
      <c r="G109" s="2"/>
      <c r="H109" s="6">
        <v>12278.49</v>
      </c>
      <c r="I109" s="2"/>
      <c r="J109" s="7">
        <f t="shared" si="55"/>
        <v>4.6561658478441813E-2</v>
      </c>
      <c r="K109" s="2"/>
      <c r="L109" s="6">
        <f t="shared" si="56"/>
        <v>-12278.49</v>
      </c>
      <c r="M109" s="2"/>
      <c r="N109" s="7">
        <f t="shared" si="57"/>
        <v>-1</v>
      </c>
      <c r="O109" s="11"/>
      <c r="P109" s="6">
        <v>26197.58</v>
      </c>
      <c r="Q109" s="2"/>
      <c r="R109" s="7">
        <f t="shared" si="58"/>
        <v>2.3247687448954633E-2</v>
      </c>
      <c r="S109" s="2"/>
      <c r="T109" s="6">
        <v>16645.439999999999</v>
      </c>
      <c r="U109" s="2"/>
      <c r="V109" s="7">
        <f t="shared" si="59"/>
        <v>8.6443848204522788E-3</v>
      </c>
      <c r="W109" s="2"/>
      <c r="X109" s="6">
        <f t="shared" si="60"/>
        <v>9552.1400000000031</v>
      </c>
      <c r="Y109" s="2"/>
      <c r="Z109" s="7">
        <f t="shared" si="61"/>
        <v>0.57385926716265856</v>
      </c>
    </row>
    <row r="110" spans="1:26" s="24" customFormat="1" hidden="1" outlineLevel="2" x14ac:dyDescent="0.25">
      <c r="A110" s="26"/>
      <c r="B110" s="11" t="str">
        <f>CONCATENATE("          ", "6254", " - ", "ROYALTY &amp; COMMISSIONS")</f>
        <v xml:space="preserve">          6254 - ROYALTY &amp; COMMISSIONS</v>
      </c>
      <c r="C110" s="11"/>
      <c r="D110" s="6"/>
      <c r="E110" s="2"/>
      <c r="F110" s="7">
        <f t="shared" si="54"/>
        <v>0</v>
      </c>
      <c r="G110" s="2"/>
      <c r="H110" s="6">
        <v>3471.1</v>
      </c>
      <c r="I110" s="2"/>
      <c r="J110" s="7">
        <f t="shared" si="55"/>
        <v>1.3162870413586636E-2</v>
      </c>
      <c r="K110" s="2"/>
      <c r="L110" s="6">
        <f t="shared" si="56"/>
        <v>-3471.1</v>
      </c>
      <c r="M110" s="2"/>
      <c r="N110" s="7">
        <f t="shared" si="57"/>
        <v>-1</v>
      </c>
      <c r="O110" s="11"/>
      <c r="P110" s="6"/>
      <c r="Q110" s="2"/>
      <c r="R110" s="7">
        <f t="shared" si="58"/>
        <v>0</v>
      </c>
      <c r="S110" s="2"/>
      <c r="T110" s="6">
        <v>6795.75</v>
      </c>
      <c r="U110" s="2"/>
      <c r="V110" s="7">
        <f t="shared" si="59"/>
        <v>3.5291994770693101E-3</v>
      </c>
      <c r="W110" s="2"/>
      <c r="X110" s="6">
        <f t="shared" si="60"/>
        <v>-6795.75</v>
      </c>
      <c r="Y110" s="2"/>
      <c r="Z110" s="7">
        <f t="shared" si="61"/>
        <v>-1</v>
      </c>
    </row>
    <row r="111" spans="1:26" s="25" customFormat="1" outlineLevel="1" collapsed="1" x14ac:dyDescent="0.25">
      <c r="A111" s="27"/>
      <c r="B111" s="13" t="str">
        <f>CONCATENATE("     ","Subscriptions &amp; Dues                              ")</f>
        <v xml:space="preserve">     Subscriptions &amp; Dues                              </v>
      </c>
      <c r="C111" s="13"/>
      <c r="D111" s="1">
        <f>SUM(OSRRefD22_8x_0)</f>
        <v>0</v>
      </c>
      <c r="E111" s="1"/>
      <c r="F111" s="5">
        <f t="shared" ref="F111:F113" si="62">IF(D$12=0,0,D111/D$12)</f>
        <v>0</v>
      </c>
      <c r="G111" s="1"/>
      <c r="H111" s="1">
        <f>SUM(OSRRefH22_8x_0)</f>
        <v>122.93</v>
      </c>
      <c r="I111" s="1"/>
      <c r="J111" s="5">
        <f t="shared" ref="J111:J113" si="63">IF(H$12=0,0,H111/H$12)</f>
        <v>4.6616682318060708E-4</v>
      </c>
      <c r="K111" s="1"/>
      <c r="L111" s="1">
        <f t="shared" ref="L111:L113" si="64">+D111-H111</f>
        <v>-122.93</v>
      </c>
      <c r="M111" s="1"/>
      <c r="N111" s="5">
        <f t="shared" ref="N111:N113" si="65">IF(H111=0,0,L111/H111)</f>
        <v>-1</v>
      </c>
      <c r="O111" s="13"/>
      <c r="P111" s="1">
        <f>SUM(OSRRefP22_8x_0)</f>
        <v>-231.57</v>
      </c>
      <c r="Q111" s="1"/>
      <c r="R111" s="5">
        <f t="shared" ref="R111:R113" si="66">IF(P$12=0,0,P111/P$12)</f>
        <v>-2.0549481984803269E-4</v>
      </c>
      <c r="S111" s="1"/>
      <c r="T111" s="1">
        <f>SUM(OSRRefT22_8x_0)</f>
        <v>419.57</v>
      </c>
      <c r="U111" s="1"/>
      <c r="V111" s="5">
        <f t="shared" ref="V111:V113" si="67">IF(T$12=0,0,T111/T$12)</f>
        <v>2.1789298084743706E-4</v>
      </c>
      <c r="W111" s="1"/>
      <c r="X111" s="1">
        <f t="shared" ref="X111:X113" si="68">+P111-T111</f>
        <v>-651.14</v>
      </c>
      <c r="Y111" s="1"/>
      <c r="Z111" s="5">
        <f t="shared" ref="Z111:Z113" si="69">IF(T111=0,0,X111/T111)</f>
        <v>-1.5519222060681173</v>
      </c>
    </row>
    <row r="112" spans="1:26" s="24" customFormat="1" hidden="1" outlineLevel="2" x14ac:dyDescent="0.25">
      <c r="A112" s="26"/>
      <c r="B112" s="11" t="str">
        <f>CONCATENATE("          ", "6258", " - ", "MEMBERSHIP DUES")</f>
        <v xml:space="preserve">          6258 - MEMBERSHIP DUES</v>
      </c>
      <c r="C112" s="11"/>
      <c r="D112" s="6"/>
      <c r="E112" s="2"/>
      <c r="F112" s="7">
        <f t="shared" si="62"/>
        <v>0</v>
      </c>
      <c r="G112" s="2"/>
      <c r="H112" s="6">
        <v>122.93</v>
      </c>
      <c r="I112" s="2"/>
      <c r="J112" s="7">
        <f t="shared" si="63"/>
        <v>4.6616682318060708E-4</v>
      </c>
      <c r="K112" s="2"/>
      <c r="L112" s="6">
        <f t="shared" si="64"/>
        <v>-122.93</v>
      </c>
      <c r="M112" s="2"/>
      <c r="N112" s="7">
        <f t="shared" si="65"/>
        <v>-1</v>
      </c>
      <c r="O112" s="11"/>
      <c r="P112" s="6">
        <v>-307.3</v>
      </c>
      <c r="Q112" s="2"/>
      <c r="R112" s="7">
        <f t="shared" si="66"/>
        <v>-2.7269749164097443E-4</v>
      </c>
      <c r="S112" s="2"/>
      <c r="T112" s="6">
        <v>122.93</v>
      </c>
      <c r="U112" s="2"/>
      <c r="V112" s="7">
        <f t="shared" si="67"/>
        <v>6.3840560897050403E-5</v>
      </c>
      <c r="W112" s="2"/>
      <c r="X112" s="6">
        <f t="shared" si="68"/>
        <v>-430.23</v>
      </c>
      <c r="Y112" s="2"/>
      <c r="Z112" s="7">
        <f t="shared" si="69"/>
        <v>-3.499796632229724</v>
      </c>
    </row>
    <row r="113" spans="1:26" s="24" customFormat="1" hidden="1" outlineLevel="2" x14ac:dyDescent="0.25">
      <c r="A113" s="26"/>
      <c r="B113" s="11" t="str">
        <f>CONCATENATE("          ", "6275", " - ", "SUBSCRIPTIONS")</f>
        <v xml:space="preserve">          6275 - SUBSCRIPTIONS</v>
      </c>
      <c r="C113" s="11"/>
      <c r="D113" s="6"/>
      <c r="E113" s="2"/>
      <c r="F113" s="7">
        <f t="shared" si="62"/>
        <v>0</v>
      </c>
      <c r="G113" s="2"/>
      <c r="H113" s="6"/>
      <c r="I113" s="2"/>
      <c r="J113" s="7">
        <f t="shared" si="63"/>
        <v>0</v>
      </c>
      <c r="K113" s="2"/>
      <c r="L113" s="6">
        <f t="shared" si="64"/>
        <v>0</v>
      </c>
      <c r="M113" s="2"/>
      <c r="N113" s="7">
        <f t="shared" si="65"/>
        <v>0</v>
      </c>
      <c r="O113" s="11"/>
      <c r="P113" s="6">
        <v>75.73</v>
      </c>
      <c r="Q113" s="2"/>
      <c r="R113" s="7">
        <f t="shared" si="66"/>
        <v>6.7202671792941735E-5</v>
      </c>
      <c r="S113" s="2"/>
      <c r="T113" s="6">
        <v>296.64</v>
      </c>
      <c r="U113" s="2"/>
      <c r="V113" s="7">
        <f t="shared" si="67"/>
        <v>1.5405241995038665E-4</v>
      </c>
      <c r="W113" s="2"/>
      <c r="X113" s="6">
        <f t="shared" si="68"/>
        <v>-220.90999999999997</v>
      </c>
      <c r="Y113" s="2"/>
      <c r="Z113" s="7">
        <f t="shared" si="69"/>
        <v>-0.74470738942826309</v>
      </c>
    </row>
    <row r="114" spans="1:26" s="25" customFormat="1" outlineLevel="1" collapsed="1" x14ac:dyDescent="0.25">
      <c r="A114" s="27"/>
      <c r="B114" s="13" t="str">
        <f>CONCATENATE("     ","Supplies                                          ")</f>
        <v xml:space="preserve">     Supplies                                          </v>
      </c>
      <c r="C114" s="13"/>
      <c r="D114" s="1">
        <f>SUM(OSRRefD22_9x_0)</f>
        <v>65.67</v>
      </c>
      <c r="E114" s="1"/>
      <c r="F114" s="5">
        <f t="shared" ref="F114:F119" si="70">IF(D$12=0,0,D114/D$12)</f>
        <v>6.5836573113634814E-4</v>
      </c>
      <c r="G114" s="1"/>
      <c r="H114" s="1">
        <f>SUM(OSRRefH22_9x_0)</f>
        <v>90.23</v>
      </c>
      <c r="I114" s="1"/>
      <c r="J114" s="5">
        <f t="shared" ref="J114:J119" si="71">IF(H$12=0,0,H114/H$12)</f>
        <v>3.421640970925419E-4</v>
      </c>
      <c r="K114" s="1"/>
      <c r="L114" s="1">
        <f t="shared" ref="L114:L119" si="72">+D114-H114</f>
        <v>-24.560000000000002</v>
      </c>
      <c r="M114" s="1"/>
      <c r="N114" s="5">
        <f t="shared" ref="N114:N119" si="73">IF(H114=0,0,L114/H114)</f>
        <v>-0.27219328383021169</v>
      </c>
      <c r="O114" s="13"/>
      <c r="P114" s="1">
        <f>SUM(OSRRefP22_9x_0)</f>
        <v>3363.61</v>
      </c>
      <c r="Q114" s="1"/>
      <c r="R114" s="5">
        <f t="shared" ref="R114:R119" si="74">IF(P$12=0,0,P114/P$12)</f>
        <v>2.9848617307468208E-3</v>
      </c>
      <c r="S114" s="1"/>
      <c r="T114" s="1">
        <f>SUM(OSRRefT22_9x_0)</f>
        <v>3342.61</v>
      </c>
      <c r="U114" s="1"/>
      <c r="V114" s="5">
        <f t="shared" ref="V114:V119" si="75">IF(T$12=0,0,T114/T$12)</f>
        <v>1.7358992699917813E-3</v>
      </c>
      <c r="W114" s="1"/>
      <c r="X114" s="1">
        <f t="shared" ref="X114:X119" si="76">+P114-T114</f>
        <v>21</v>
      </c>
      <c r="Y114" s="1"/>
      <c r="Z114" s="5">
        <f t="shared" ref="Z114:Z119" si="77">IF(T114=0,0,X114/T114)</f>
        <v>6.2825157586436945E-3</v>
      </c>
    </row>
    <row r="115" spans="1:26" s="24" customFormat="1" hidden="1" outlineLevel="2" x14ac:dyDescent="0.25">
      <c r="A115" s="26"/>
      <c r="B115" s="11" t="str">
        <f>CONCATENATE("          ", "6234", " - ", "EXPENDABLE SUPPLIES &amp; EQUIPMEN")</f>
        <v xml:space="preserve">          6234 - EXPENDABLE SUPPLIES &amp; EQUIPMEN</v>
      </c>
      <c r="C115" s="11"/>
      <c r="D115" s="6"/>
      <c r="E115" s="2"/>
      <c r="F115" s="7">
        <f t="shared" si="70"/>
        <v>0</v>
      </c>
      <c r="G115" s="2"/>
      <c r="H115" s="6"/>
      <c r="I115" s="2"/>
      <c r="J115" s="7">
        <f t="shared" si="71"/>
        <v>0</v>
      </c>
      <c r="K115" s="2"/>
      <c r="L115" s="6">
        <f t="shared" si="72"/>
        <v>0</v>
      </c>
      <c r="M115" s="2"/>
      <c r="N115" s="7">
        <f t="shared" si="73"/>
        <v>0</v>
      </c>
      <c r="O115" s="11"/>
      <c r="P115" s="6">
        <v>396.5</v>
      </c>
      <c r="Q115" s="2"/>
      <c r="R115" s="7">
        <f t="shared" si="74"/>
        <v>3.5185341827415019E-4</v>
      </c>
      <c r="S115" s="2"/>
      <c r="T115" s="6">
        <v>532.28</v>
      </c>
      <c r="U115" s="2"/>
      <c r="V115" s="7">
        <f t="shared" si="75"/>
        <v>2.7642604534517193E-4</v>
      </c>
      <c r="W115" s="2"/>
      <c r="X115" s="6">
        <f t="shared" si="76"/>
        <v>-135.77999999999997</v>
      </c>
      <c r="Y115" s="2"/>
      <c r="Z115" s="7">
        <f t="shared" si="77"/>
        <v>-0.25509130532802282</v>
      </c>
    </row>
    <row r="116" spans="1:26" s="24" customFormat="1" hidden="1" outlineLevel="2" x14ac:dyDescent="0.25">
      <c r="A116" s="26"/>
      <c r="B116" s="11" t="str">
        <f>CONCATENATE("          ", "6235", " - ", "COVID-19 EXPENSES")</f>
        <v xml:space="preserve">          6235 - COVID-19 EXPENSES</v>
      </c>
      <c r="C116" s="11"/>
      <c r="D116" s="6"/>
      <c r="E116" s="2"/>
      <c r="F116" s="7">
        <f t="shared" si="70"/>
        <v>0</v>
      </c>
      <c r="G116" s="2"/>
      <c r="H116" s="6"/>
      <c r="I116" s="2"/>
      <c r="J116" s="7">
        <f t="shared" si="71"/>
        <v>0</v>
      </c>
      <c r="K116" s="2"/>
      <c r="L116" s="6">
        <f t="shared" si="72"/>
        <v>0</v>
      </c>
      <c r="M116" s="2"/>
      <c r="N116" s="7">
        <f t="shared" si="73"/>
        <v>0</v>
      </c>
      <c r="O116" s="11"/>
      <c r="P116" s="6">
        <v>1026.43</v>
      </c>
      <c r="Q116" s="2"/>
      <c r="R116" s="7">
        <f t="shared" si="74"/>
        <v>9.1085221719832538E-4</v>
      </c>
      <c r="S116" s="2"/>
      <c r="T116" s="6"/>
      <c r="U116" s="2"/>
      <c r="V116" s="7">
        <f t="shared" si="75"/>
        <v>0</v>
      </c>
      <c r="W116" s="2"/>
      <c r="X116" s="6">
        <f t="shared" si="76"/>
        <v>1026.43</v>
      </c>
      <c r="Y116" s="2"/>
      <c r="Z116" s="7">
        <f t="shared" si="77"/>
        <v>0</v>
      </c>
    </row>
    <row r="117" spans="1:26" s="24" customFormat="1" hidden="1" outlineLevel="2" x14ac:dyDescent="0.25">
      <c r="A117" s="26"/>
      <c r="B117" s="11" t="str">
        <f>CONCATENATE("          ", "6241", " - ", "OFFICE EXPENSE")</f>
        <v xml:space="preserve">          6241 - OFFICE EXPENSE</v>
      </c>
      <c r="C117" s="11"/>
      <c r="D117" s="6">
        <v>22.01</v>
      </c>
      <c r="E117" s="2"/>
      <c r="F117" s="7">
        <f t="shared" si="70"/>
        <v>2.2065828753328802E-4</v>
      </c>
      <c r="G117" s="2"/>
      <c r="H117" s="6">
        <v>90.23</v>
      </c>
      <c r="I117" s="2"/>
      <c r="J117" s="7">
        <f t="shared" si="71"/>
        <v>3.421640970925419E-4</v>
      </c>
      <c r="K117" s="2"/>
      <c r="L117" s="6">
        <f t="shared" si="72"/>
        <v>-68.22</v>
      </c>
      <c r="M117" s="2"/>
      <c r="N117" s="7">
        <f t="shared" si="73"/>
        <v>-0.7560678266651889</v>
      </c>
      <c r="O117" s="11"/>
      <c r="P117" s="6">
        <v>830.45</v>
      </c>
      <c r="Q117" s="2"/>
      <c r="R117" s="7">
        <f t="shared" si="74"/>
        <v>7.3693990215830535E-4</v>
      </c>
      <c r="S117" s="2"/>
      <c r="T117" s="6">
        <v>2576.27</v>
      </c>
      <c r="U117" s="2"/>
      <c r="V117" s="7">
        <f t="shared" si="75"/>
        <v>1.3379201319632639E-3</v>
      </c>
      <c r="W117" s="2"/>
      <c r="X117" s="6">
        <f t="shared" si="76"/>
        <v>-1745.82</v>
      </c>
      <c r="Y117" s="2"/>
      <c r="Z117" s="7">
        <f t="shared" si="77"/>
        <v>-0.6776541278670325</v>
      </c>
    </row>
    <row r="118" spans="1:26" s="24" customFormat="1" hidden="1" outlineLevel="2" x14ac:dyDescent="0.25">
      <c r="A118" s="26"/>
      <c r="B118" s="11" t="str">
        <f>CONCATENATE("          ", "6245", " - ", "PRINTING")</f>
        <v xml:space="preserve">          6245 - PRINTING</v>
      </c>
      <c r="C118" s="11"/>
      <c r="D118" s="6"/>
      <c r="E118" s="2"/>
      <c r="F118" s="7">
        <f t="shared" si="70"/>
        <v>0</v>
      </c>
      <c r="G118" s="2"/>
      <c r="H118" s="6"/>
      <c r="I118" s="2"/>
      <c r="J118" s="7">
        <f t="shared" si="71"/>
        <v>0</v>
      </c>
      <c r="K118" s="2"/>
      <c r="L118" s="6">
        <f t="shared" si="72"/>
        <v>0</v>
      </c>
      <c r="M118" s="2"/>
      <c r="N118" s="7">
        <f t="shared" si="73"/>
        <v>0</v>
      </c>
      <c r="O118" s="11"/>
      <c r="P118" s="6"/>
      <c r="Q118" s="2"/>
      <c r="R118" s="7">
        <f t="shared" si="74"/>
        <v>0</v>
      </c>
      <c r="S118" s="2"/>
      <c r="T118" s="6">
        <v>-528.98</v>
      </c>
      <c r="U118" s="2"/>
      <c r="V118" s="7">
        <f t="shared" si="75"/>
        <v>-2.7471227449216401E-4</v>
      </c>
      <c r="W118" s="2"/>
      <c r="X118" s="6">
        <f t="shared" si="76"/>
        <v>528.98</v>
      </c>
      <c r="Y118" s="2"/>
      <c r="Z118" s="7">
        <f t="shared" si="77"/>
        <v>-1</v>
      </c>
    </row>
    <row r="119" spans="1:26" s="24" customFormat="1" hidden="1" outlineLevel="2" x14ac:dyDescent="0.25">
      <c r="A119" s="26"/>
      <c r="B119" s="11" t="str">
        <f>CONCATENATE("          ", "6247", " - ", "STORE SUPPLIES")</f>
        <v xml:space="preserve">          6247 - STORE SUPPLIES</v>
      </c>
      <c r="C119" s="11"/>
      <c r="D119" s="6">
        <v>43.66</v>
      </c>
      <c r="E119" s="2"/>
      <c r="F119" s="7">
        <f t="shared" si="70"/>
        <v>4.3770744360306012E-4</v>
      </c>
      <c r="G119" s="2"/>
      <c r="H119" s="6"/>
      <c r="I119" s="2"/>
      <c r="J119" s="7">
        <f t="shared" si="71"/>
        <v>0</v>
      </c>
      <c r="K119" s="2"/>
      <c r="L119" s="6">
        <f t="shared" si="72"/>
        <v>43.66</v>
      </c>
      <c r="M119" s="2"/>
      <c r="N119" s="7">
        <f t="shared" si="73"/>
        <v>0</v>
      </c>
      <c r="O119" s="11"/>
      <c r="P119" s="6">
        <v>1110.23</v>
      </c>
      <c r="Q119" s="2"/>
      <c r="R119" s="7">
        <f t="shared" si="74"/>
        <v>9.8521619311603978E-4</v>
      </c>
      <c r="S119" s="2"/>
      <c r="T119" s="6">
        <v>763.04</v>
      </c>
      <c r="U119" s="2"/>
      <c r="V119" s="7">
        <f t="shared" si="75"/>
        <v>3.9626536717550916E-4</v>
      </c>
      <c r="W119" s="2"/>
      <c r="X119" s="6">
        <f t="shared" si="76"/>
        <v>347.19000000000005</v>
      </c>
      <c r="Y119" s="2"/>
      <c r="Z119" s="7">
        <f t="shared" si="77"/>
        <v>0.45500891172153501</v>
      </c>
    </row>
    <row r="120" spans="1:26" s="25" customFormat="1" outlineLevel="1" collapsed="1" x14ac:dyDescent="0.25">
      <c r="A120" s="27"/>
      <c r="B120" s="13" t="str">
        <f>CONCATENATE("     ","Telephone/Data Lines                              ")</f>
        <v xml:space="preserve">     Telephone/Data Lines                              </v>
      </c>
      <c r="C120" s="13"/>
      <c r="D120" s="1">
        <f>SUM(OSRRefD22_10x_0)</f>
        <v>103.6</v>
      </c>
      <c r="E120" s="1"/>
      <c r="F120" s="5">
        <f t="shared" ref="F120:F126" si="78">IF(D$12=0,0,D120/D$12)</f>
        <v>1.0386278322784476E-3</v>
      </c>
      <c r="G120" s="1"/>
      <c r="H120" s="1">
        <f>SUM(OSRRefH22_10x_0)</f>
        <v>827.58</v>
      </c>
      <c r="I120" s="1"/>
      <c r="J120" s="5">
        <f t="shared" ref="J120:J126" si="79">IF(H$12=0,0,H120/H$12)</f>
        <v>3.1382928457480419E-3</v>
      </c>
      <c r="K120" s="1"/>
      <c r="L120" s="1">
        <f t="shared" ref="L120:L126" si="80">+D120-H120</f>
        <v>-723.98</v>
      </c>
      <c r="M120" s="1"/>
      <c r="N120" s="5">
        <f t="shared" ref="N120:N126" si="81">IF(H120=0,0,L120/H120)</f>
        <v>-0.87481572778462502</v>
      </c>
      <c r="O120" s="13"/>
      <c r="P120" s="1">
        <f>SUM(OSRRefP22_10x_0)</f>
        <v>2774.19</v>
      </c>
      <c r="Q120" s="1"/>
      <c r="R120" s="5">
        <f t="shared" ref="R120:R126" si="82">IF(P$12=0,0,P120/P$12)</f>
        <v>2.4618114361714119E-3</v>
      </c>
      <c r="S120" s="1"/>
      <c r="T120" s="1">
        <f>SUM(OSRRefT22_10x_0)</f>
        <v>4712.62</v>
      </c>
      <c r="U120" s="1"/>
      <c r="V120" s="5">
        <f t="shared" ref="V120:V126" si="83">IF(T$12=0,0,T120/T$12)</f>
        <v>2.447379029485542E-3</v>
      </c>
      <c r="W120" s="1"/>
      <c r="X120" s="1">
        <f t="shared" ref="X120:X126" si="84">+P120-T120</f>
        <v>-1938.4299999999998</v>
      </c>
      <c r="Y120" s="1"/>
      <c r="Z120" s="5">
        <f t="shared" ref="Z120:Z126" si="85">IF(T120=0,0,X120/T120)</f>
        <v>-0.41132745691356398</v>
      </c>
    </row>
    <row r="121" spans="1:26" s="24" customFormat="1" hidden="1" outlineLevel="2" x14ac:dyDescent="0.25">
      <c r="A121" s="26"/>
      <c r="B121" s="11" t="str">
        <f>CONCATENATE("          ", "6309", " - ", "TELEPHONE")</f>
        <v xml:space="preserve">          6309 - TELEPHONE</v>
      </c>
      <c r="C121" s="11"/>
      <c r="D121" s="6">
        <v>103.6</v>
      </c>
      <c r="E121" s="2"/>
      <c r="F121" s="7">
        <f t="shared" si="78"/>
        <v>1.0386278322784476E-3</v>
      </c>
      <c r="G121" s="2"/>
      <c r="H121" s="6">
        <v>827.58</v>
      </c>
      <c r="I121" s="2"/>
      <c r="J121" s="7">
        <f t="shared" si="79"/>
        <v>3.1382928457480419E-3</v>
      </c>
      <c r="K121" s="2"/>
      <c r="L121" s="6">
        <f t="shared" si="80"/>
        <v>-723.98</v>
      </c>
      <c r="M121" s="2"/>
      <c r="N121" s="7">
        <f t="shared" si="81"/>
        <v>-0.87481572778462502</v>
      </c>
      <c r="O121" s="11"/>
      <c r="P121" s="6">
        <v>2774.19</v>
      </c>
      <c r="Q121" s="2"/>
      <c r="R121" s="7">
        <f t="shared" si="82"/>
        <v>2.4618114361714119E-3</v>
      </c>
      <c r="S121" s="2"/>
      <c r="T121" s="6">
        <v>4712.62</v>
      </c>
      <c r="U121" s="2"/>
      <c r="V121" s="7">
        <f t="shared" si="83"/>
        <v>2.447379029485542E-3</v>
      </c>
      <c r="W121" s="2"/>
      <c r="X121" s="6">
        <f t="shared" si="84"/>
        <v>-1938.4299999999998</v>
      </c>
      <c r="Y121" s="2"/>
      <c r="Z121" s="7">
        <f t="shared" si="85"/>
        <v>-0.41132745691356398</v>
      </c>
    </row>
    <row r="122" spans="1:26" s="25" customFormat="1" outlineLevel="1" collapsed="1" x14ac:dyDescent="0.25">
      <c r="A122" s="27"/>
      <c r="B122" s="13" t="str">
        <f>CONCATENATE("     ","Training                                          ")</f>
        <v xml:space="preserve">     Training                                          </v>
      </c>
      <c r="C122" s="13"/>
      <c r="D122" s="1">
        <f>SUM(OSRRefD22_11x_0)</f>
        <v>0</v>
      </c>
      <c r="E122" s="1"/>
      <c r="F122" s="5">
        <f t="shared" si="78"/>
        <v>0</v>
      </c>
      <c r="G122" s="1"/>
      <c r="H122" s="1">
        <f>SUM(OSRRefH22_11x_0)</f>
        <v>1515.57</v>
      </c>
      <c r="I122" s="1"/>
      <c r="J122" s="5">
        <f t="shared" si="79"/>
        <v>5.7472419442596004E-3</v>
      </c>
      <c r="K122" s="1"/>
      <c r="L122" s="1">
        <f t="shared" si="80"/>
        <v>-1515.57</v>
      </c>
      <c r="M122" s="1"/>
      <c r="N122" s="5">
        <f t="shared" si="81"/>
        <v>-1</v>
      </c>
      <c r="O122" s="13"/>
      <c r="P122" s="1">
        <f>SUM(OSRRefP22_11x_0)</f>
        <v>0</v>
      </c>
      <c r="Q122" s="1"/>
      <c r="R122" s="5">
        <f t="shared" si="82"/>
        <v>0</v>
      </c>
      <c r="S122" s="1"/>
      <c r="T122" s="1">
        <f>SUM(OSRRefT22_11x_0)</f>
        <v>2894.75</v>
      </c>
      <c r="U122" s="1"/>
      <c r="V122" s="5">
        <f t="shared" si="83"/>
        <v>1.5033145990135577E-3</v>
      </c>
      <c r="W122" s="1"/>
      <c r="X122" s="1">
        <f t="shared" si="84"/>
        <v>-2894.75</v>
      </c>
      <c r="Y122" s="1"/>
      <c r="Z122" s="5">
        <f t="shared" si="85"/>
        <v>-1</v>
      </c>
    </row>
    <row r="123" spans="1:26" s="24" customFormat="1" hidden="1" outlineLevel="2" x14ac:dyDescent="0.25">
      <c r="A123" s="26"/>
      <c r="B123" s="11" t="str">
        <f>CONCATENATE("          ", "6376", " - ", "TRAINING")</f>
        <v xml:space="preserve">          6376 - TRAINING</v>
      </c>
      <c r="C123" s="11"/>
      <c r="D123" s="6"/>
      <c r="E123" s="2"/>
      <c r="F123" s="7">
        <f t="shared" si="78"/>
        <v>0</v>
      </c>
      <c r="G123" s="2"/>
      <c r="H123" s="6">
        <v>1515.57</v>
      </c>
      <c r="I123" s="2"/>
      <c r="J123" s="7">
        <f t="shared" si="79"/>
        <v>5.7472419442596004E-3</v>
      </c>
      <c r="K123" s="2"/>
      <c r="L123" s="6">
        <f t="shared" si="80"/>
        <v>-1515.57</v>
      </c>
      <c r="M123" s="2"/>
      <c r="N123" s="7">
        <f t="shared" si="81"/>
        <v>-1</v>
      </c>
      <c r="O123" s="11"/>
      <c r="P123" s="6"/>
      <c r="Q123" s="2"/>
      <c r="R123" s="7">
        <f t="shared" si="82"/>
        <v>0</v>
      </c>
      <c r="S123" s="2"/>
      <c r="T123" s="6">
        <v>2894.75</v>
      </c>
      <c r="U123" s="2"/>
      <c r="V123" s="7">
        <f t="shared" si="83"/>
        <v>1.5033145990135577E-3</v>
      </c>
      <c r="W123" s="2"/>
      <c r="X123" s="6">
        <f t="shared" si="84"/>
        <v>-2894.75</v>
      </c>
      <c r="Y123" s="2"/>
      <c r="Z123" s="7">
        <f t="shared" si="85"/>
        <v>-1</v>
      </c>
    </row>
    <row r="124" spans="1:26" s="25" customFormat="1" outlineLevel="1" collapsed="1" x14ac:dyDescent="0.25">
      <c r="A124" s="27"/>
      <c r="B124" s="13" t="str">
        <f>CONCATENATE("     ","Travel                                            ")</f>
        <v xml:space="preserve">     Travel                                            </v>
      </c>
      <c r="C124" s="13"/>
      <c r="D124" s="1">
        <f>SUM(OSRRefD22_12x_0)</f>
        <v>0</v>
      </c>
      <c r="E124" s="1"/>
      <c r="F124" s="5">
        <f t="shared" si="78"/>
        <v>0</v>
      </c>
      <c r="G124" s="1"/>
      <c r="H124" s="1">
        <f>SUM(OSRRefH22_12x_0)</f>
        <v>0</v>
      </c>
      <c r="I124" s="1"/>
      <c r="J124" s="5">
        <f t="shared" si="79"/>
        <v>0</v>
      </c>
      <c r="K124" s="1"/>
      <c r="L124" s="1">
        <f t="shared" si="80"/>
        <v>0</v>
      </c>
      <c r="M124" s="1"/>
      <c r="N124" s="5">
        <f t="shared" si="81"/>
        <v>0</v>
      </c>
      <c r="O124" s="13"/>
      <c r="P124" s="1">
        <f>SUM(OSRRefP22_12x_0)</f>
        <v>69.92</v>
      </c>
      <c r="Q124" s="1"/>
      <c r="R124" s="5">
        <f t="shared" si="82"/>
        <v>6.2046887782417616E-5</v>
      </c>
      <c r="S124" s="1"/>
      <c r="T124" s="1">
        <f>SUM(OSRRefT22_12x_0)</f>
        <v>-99.159999999999982</v>
      </c>
      <c r="U124" s="1"/>
      <c r="V124" s="5">
        <f t="shared" si="83"/>
        <v>-5.1496217510384097E-5</v>
      </c>
      <c r="W124" s="1"/>
      <c r="X124" s="1">
        <f t="shared" si="84"/>
        <v>169.07999999999998</v>
      </c>
      <c r="Y124" s="1"/>
      <c r="Z124" s="5">
        <f t="shared" si="85"/>
        <v>-1.7051230334812426</v>
      </c>
    </row>
    <row r="125" spans="1:26" s="24" customFormat="1" hidden="1" outlineLevel="2" x14ac:dyDescent="0.25">
      <c r="A125" s="26"/>
      <c r="B125" s="11" t="str">
        <f>CONCATENATE("          ", "6292", " - ", "TRAVEL/CONFERENCE")</f>
        <v xml:space="preserve">          6292 - TRAVEL/CONFERENCE</v>
      </c>
      <c r="C125" s="11"/>
      <c r="D125" s="6"/>
      <c r="E125" s="2"/>
      <c r="F125" s="7">
        <f t="shared" si="78"/>
        <v>0</v>
      </c>
      <c r="G125" s="2"/>
      <c r="H125" s="6"/>
      <c r="I125" s="2"/>
      <c r="J125" s="7">
        <f t="shared" si="79"/>
        <v>0</v>
      </c>
      <c r="K125" s="2"/>
      <c r="L125" s="6">
        <f t="shared" si="80"/>
        <v>0</v>
      </c>
      <c r="M125" s="2"/>
      <c r="N125" s="7">
        <f t="shared" si="81"/>
        <v>0</v>
      </c>
      <c r="O125" s="11"/>
      <c r="P125" s="6"/>
      <c r="Q125" s="2"/>
      <c r="R125" s="7">
        <f t="shared" si="82"/>
        <v>0</v>
      </c>
      <c r="S125" s="2"/>
      <c r="T125" s="6">
        <v>107.04</v>
      </c>
      <c r="U125" s="2"/>
      <c r="V125" s="7">
        <f t="shared" si="83"/>
        <v>5.558849457756671E-5</v>
      </c>
      <c r="W125" s="2"/>
      <c r="X125" s="6">
        <f t="shared" si="84"/>
        <v>-107.04</v>
      </c>
      <c r="Y125" s="2"/>
      <c r="Z125" s="7">
        <f t="shared" si="85"/>
        <v>-1</v>
      </c>
    </row>
    <row r="126" spans="1:26" s="24" customFormat="1" hidden="1" outlineLevel="2" x14ac:dyDescent="0.25">
      <c r="A126" s="26"/>
      <c r="B126" s="11" t="str">
        <f>CONCATENATE("          ", "6294", " - ", "TRAVEL OPERATIONAL")</f>
        <v xml:space="preserve">          6294 - TRAVEL OPERATIONAL</v>
      </c>
      <c r="C126" s="11"/>
      <c r="D126" s="6"/>
      <c r="E126" s="2"/>
      <c r="F126" s="7">
        <f t="shared" si="78"/>
        <v>0</v>
      </c>
      <c r="G126" s="2"/>
      <c r="H126" s="6"/>
      <c r="I126" s="2"/>
      <c r="J126" s="7">
        <f t="shared" si="79"/>
        <v>0</v>
      </c>
      <c r="K126" s="2"/>
      <c r="L126" s="6">
        <f t="shared" si="80"/>
        <v>0</v>
      </c>
      <c r="M126" s="2"/>
      <c r="N126" s="7">
        <f t="shared" si="81"/>
        <v>0</v>
      </c>
      <c r="O126" s="11"/>
      <c r="P126" s="6">
        <v>69.92</v>
      </c>
      <c r="Q126" s="2"/>
      <c r="R126" s="7">
        <f t="shared" si="82"/>
        <v>6.2046887782417616E-5</v>
      </c>
      <c r="S126" s="2"/>
      <c r="T126" s="6">
        <v>-206.2</v>
      </c>
      <c r="U126" s="2"/>
      <c r="V126" s="7">
        <f t="shared" si="83"/>
        <v>-1.0708471208795081E-4</v>
      </c>
      <c r="W126" s="2"/>
      <c r="X126" s="6">
        <f t="shared" si="84"/>
        <v>276.12</v>
      </c>
      <c r="Y126" s="2"/>
      <c r="Z126" s="7">
        <f t="shared" si="85"/>
        <v>-1.3390882638215327</v>
      </c>
    </row>
    <row r="127" spans="1:26" s="52" customFormat="1" x14ac:dyDescent="0.25">
      <c r="A127" s="37"/>
      <c r="B127" s="37"/>
      <c r="C127" s="37"/>
      <c r="D127" s="1"/>
      <c r="E127" s="1"/>
      <c r="F127" s="5"/>
      <c r="G127" s="1"/>
      <c r="H127" s="1"/>
      <c r="I127" s="1"/>
      <c r="J127" s="5"/>
      <c r="K127" s="1"/>
      <c r="L127" s="1"/>
      <c r="M127" s="1"/>
      <c r="N127" s="5"/>
      <c r="O127" s="37"/>
      <c r="P127" s="1"/>
      <c r="Q127" s="1"/>
      <c r="R127" s="5"/>
      <c r="S127" s="1"/>
      <c r="T127" s="1"/>
      <c r="U127" s="1"/>
      <c r="V127" s="5"/>
      <c r="W127" s="1"/>
      <c r="X127" s="1"/>
      <c r="Y127" s="1"/>
      <c r="Z127" s="5"/>
    </row>
    <row r="128" spans="1:26" s="23" customFormat="1" collapsed="1" x14ac:dyDescent="0.25">
      <c r="A128" s="10"/>
      <c r="B128" s="28" t="s">
        <v>0</v>
      </c>
      <c r="C128" s="10"/>
      <c r="D128" s="4">
        <f>SUM(OSRRefD25x_0)</f>
        <v>-3986.08</v>
      </c>
      <c r="E128" s="4"/>
      <c r="F128" s="12">
        <f t="shared" ref="F128:F130" si="86">IF(D$12=0,0,D128/D$12)</f>
        <v>-3.9961907622475631E-2</v>
      </c>
      <c r="G128" s="4"/>
      <c r="H128" s="4">
        <f>SUM(OSRRefH25x_0)</f>
        <v>24624.73</v>
      </c>
      <c r="I128" s="4"/>
      <c r="J128" s="12">
        <f t="shared" ref="J128:J130" si="87">IF(H$12=0,0,H128/H$12)</f>
        <v>9.3380233919955993E-2</v>
      </c>
      <c r="K128" s="4"/>
      <c r="L128" s="4">
        <f t="shared" ref="L128:L130" si="88">+D128-H128</f>
        <v>-28610.809999999998</v>
      </c>
      <c r="M128" s="4"/>
      <c r="N128" s="12">
        <f t="shared" ref="N128:N130" si="89">IF(H128=0,0,L128/H128)</f>
        <v>-1.1618730438871816</v>
      </c>
      <c r="O128" s="10"/>
      <c r="P128" s="4">
        <f>SUM(OSRRefP25x_0)</f>
        <v>217793.07</v>
      </c>
      <c r="Q128" s="4"/>
      <c r="R128" s="12">
        <f t="shared" ref="R128:R130" si="90">IF(P$12=0,0,P128/P$12)</f>
        <v>0.19326919585352151</v>
      </c>
      <c r="S128" s="4"/>
      <c r="T128" s="4">
        <f>SUM(OSRRefT25x_0)</f>
        <v>39454.89</v>
      </c>
      <c r="U128" s="4"/>
      <c r="V128" s="12">
        <f t="shared" ref="V128:V130" si="91">IF(T$12=0,0,T128/T$12)</f>
        <v>2.048989105776804E-2</v>
      </c>
      <c r="W128" s="4"/>
      <c r="X128" s="4">
        <f t="shared" ref="X128:X130" si="92">+P128-T128</f>
        <v>178338.18</v>
      </c>
      <c r="Y128" s="4"/>
      <c r="Z128" s="12">
        <f t="shared" ref="Z128:Z130" si="93">IF(T128=0,0,X128/T128)</f>
        <v>4.5200526474665113</v>
      </c>
    </row>
    <row r="129" spans="1:26" s="24" customFormat="1" hidden="1" outlineLevel="1" x14ac:dyDescent="0.25">
      <c r="A129" s="44"/>
      <c r="B129" s="11" t="str">
        <f>CONCATENATE("          ", "9150", " - ", "MISC. INCOME")</f>
        <v xml:space="preserve">          9150 - MISC. INCOME</v>
      </c>
      <c r="C129" s="11"/>
      <c r="D129" s="2">
        <f>0</f>
        <v>0</v>
      </c>
      <c r="E129" s="2"/>
      <c r="F129" s="19">
        <f t="shared" si="86"/>
        <v>0</v>
      </c>
      <c r="G129" s="2"/>
      <c r="H129" s="2">
        <f>--24624.73</f>
        <v>24624.73</v>
      </c>
      <c r="I129" s="2"/>
      <c r="J129" s="19">
        <f t="shared" si="87"/>
        <v>9.3380233919955993E-2</v>
      </c>
      <c r="K129" s="2"/>
      <c r="L129" s="2">
        <f t="shared" si="88"/>
        <v>-24624.73</v>
      </c>
      <c r="M129" s="2"/>
      <c r="N129" s="19">
        <f t="shared" si="89"/>
        <v>-1</v>
      </c>
      <c r="O129" s="11"/>
      <c r="P129" s="2">
        <f>--46373.31</f>
        <v>46373.31</v>
      </c>
      <c r="Q129" s="2"/>
      <c r="R129" s="19">
        <f t="shared" si="90"/>
        <v>4.1151595561631352E-2</v>
      </c>
      <c r="S129" s="2"/>
      <c r="T129" s="2">
        <f>--39454.89</f>
        <v>39454.89</v>
      </c>
      <c r="U129" s="2"/>
      <c r="V129" s="19">
        <f t="shared" si="91"/>
        <v>2.048989105776804E-2</v>
      </c>
      <c r="W129" s="2"/>
      <c r="X129" s="2">
        <f t="shared" si="92"/>
        <v>6918.4199999999983</v>
      </c>
      <c r="Y129" s="2"/>
      <c r="Z129" s="19">
        <f t="shared" si="93"/>
        <v>0.17535012770280181</v>
      </c>
    </row>
    <row r="130" spans="1:26" s="24" customFormat="1" hidden="1" outlineLevel="1" x14ac:dyDescent="0.25">
      <c r="A130" s="44"/>
      <c r="B130" s="11" t="str">
        <f>CONCATENATE("          ", "9163", " - ", "MISC. INCOME")</f>
        <v xml:space="preserve">          9163 - MISC. INCOME</v>
      </c>
      <c r="C130" s="11"/>
      <c r="D130" s="2">
        <f>-3986.08</f>
        <v>-3986.08</v>
      </c>
      <c r="E130" s="2"/>
      <c r="F130" s="19">
        <f t="shared" si="86"/>
        <v>-3.9961907622475631E-2</v>
      </c>
      <c r="G130" s="2"/>
      <c r="H130" s="2">
        <f>0</f>
        <v>0</v>
      </c>
      <c r="I130" s="2"/>
      <c r="J130" s="19">
        <f t="shared" si="87"/>
        <v>0</v>
      </c>
      <c r="K130" s="2"/>
      <c r="L130" s="2">
        <f t="shared" si="88"/>
        <v>-3986.08</v>
      </c>
      <c r="M130" s="2"/>
      <c r="N130" s="19">
        <f t="shared" si="89"/>
        <v>0</v>
      </c>
      <c r="O130" s="11"/>
      <c r="P130" s="2">
        <f>--171419.76</f>
        <v>171419.76</v>
      </c>
      <c r="Q130" s="2"/>
      <c r="R130" s="19">
        <f t="shared" si="90"/>
        <v>0.15211760029189014</v>
      </c>
      <c r="S130" s="2"/>
      <c r="T130" s="2">
        <f>0</f>
        <v>0</v>
      </c>
      <c r="U130" s="2"/>
      <c r="V130" s="19">
        <f t="shared" si="91"/>
        <v>0</v>
      </c>
      <c r="W130" s="2"/>
      <c r="X130" s="2">
        <f t="shared" si="92"/>
        <v>171419.76</v>
      </c>
      <c r="Y130" s="2"/>
      <c r="Z130" s="19">
        <f t="shared" si="93"/>
        <v>0</v>
      </c>
    </row>
    <row r="131" spans="1:26" x14ac:dyDescent="0.25">
      <c r="A131" s="9"/>
      <c r="B131" s="10"/>
      <c r="C131" s="10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O131" s="10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x14ac:dyDescent="0.25">
      <c r="A132" s="10"/>
      <c r="B132" s="29" t="s">
        <v>3</v>
      </c>
      <c r="C132" s="29"/>
      <c r="D132" s="22">
        <f>+D77-D79+D128</f>
        <v>2637.8099999999922</v>
      </c>
      <c r="E132" s="14"/>
      <c r="F132" s="20">
        <f>IF(D$12=0,0,D132/D$12)</f>
        <v>2.6445008516046375E-2</v>
      </c>
      <c r="G132" s="14"/>
      <c r="H132" s="22">
        <f>+H77-H79+H128</f>
        <v>89829.279999999882</v>
      </c>
      <c r="I132" s="14"/>
      <c r="J132" s="20">
        <f>IF(H$12=0,0,H132/H$12)</f>
        <v>0.34064451383877969</v>
      </c>
      <c r="K132" s="16"/>
      <c r="L132" s="22">
        <f>+D132-H132</f>
        <v>-87191.469999999885</v>
      </c>
      <c r="M132" s="16"/>
      <c r="N132" s="20">
        <f>IF(H132=0,0,L132/H132)</f>
        <v>-0.97063529842385465</v>
      </c>
      <c r="O132" s="28"/>
      <c r="P132" s="22">
        <f>+P77-P79+P128</f>
        <v>309610.56999999977</v>
      </c>
      <c r="Q132" s="14"/>
      <c r="R132" s="20">
        <f>IF(P$12=0,0,P132/P$12)</f>
        <v>0.27474788748627488</v>
      </c>
      <c r="S132" s="14"/>
      <c r="T132" s="22">
        <f>+T77-T79+T128</f>
        <v>568973.55999999982</v>
      </c>
      <c r="U132" s="14"/>
      <c r="V132" s="20">
        <f>IF(T$12=0,0,T132/T$12)</f>
        <v>0.29548191007883795</v>
      </c>
      <c r="W132" s="16"/>
      <c r="X132" s="22">
        <f>+P132-T132</f>
        <v>-259362.99000000005</v>
      </c>
      <c r="Y132" s="16"/>
      <c r="Z132" s="20">
        <f>IF(T132=0,0,X132/T132)</f>
        <v>-0.45584365994089449</v>
      </c>
    </row>
    <row r="133" spans="1:26" x14ac:dyDescent="0.25">
      <c r="A133" s="9"/>
      <c r="B133" s="10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x14ac:dyDescent="0.25">
      <c r="A134" s="51"/>
      <c r="B134" s="10" t="s">
        <v>13</v>
      </c>
      <c r="C134" s="10"/>
      <c r="D134" s="4">
        <v>36710.89</v>
      </c>
      <c r="E134" s="4"/>
      <c r="F134" s="12">
        <f>IF(D$12=0,0,D134/D$12)</f>
        <v>0.36804007820185858</v>
      </c>
      <c r="G134" s="4"/>
      <c r="H134" s="4">
        <v>22944.54</v>
      </c>
      <c r="I134" s="4"/>
      <c r="J134" s="12">
        <f>IF(H$12=0,0,H134/H$12)</f>
        <v>8.7008731157084254E-2</v>
      </c>
      <c r="K134" s="4"/>
      <c r="L134" s="4">
        <f>+D134-H134</f>
        <v>13766.349999999999</v>
      </c>
      <c r="M134" s="4"/>
      <c r="N134" s="12">
        <f>IF(H134=0,0,L134/H134)</f>
        <v>0.59998369982575361</v>
      </c>
      <c r="O134" s="10"/>
      <c r="P134" s="4">
        <v>223164.47</v>
      </c>
      <c r="Q134" s="4"/>
      <c r="R134" s="12">
        <f>IF(P$12=0,0,P134/P$12)</f>
        <v>0.19803576697815647</v>
      </c>
      <c r="S134" s="4"/>
      <c r="T134" s="4">
        <v>196254.51</v>
      </c>
      <c r="U134" s="4"/>
      <c r="V134" s="12">
        <f>IF(T$12=0,0,T134/T$12)</f>
        <v>0.10191977545738053</v>
      </c>
      <c r="W134" s="4"/>
      <c r="X134" s="4">
        <f>+P134-T134</f>
        <v>26909.959999999992</v>
      </c>
      <c r="Y134" s="4"/>
      <c r="Z134" s="12">
        <f>IF(T134=0,0,X134/T134)</f>
        <v>0.13711766420043031</v>
      </c>
    </row>
    <row r="135" spans="1:26" x14ac:dyDescent="0.25">
      <c r="A135" s="9"/>
      <c r="B135" s="10"/>
      <c r="C135" s="10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O135" s="10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ht="15.75" thickBot="1" x14ac:dyDescent="0.3">
      <c r="A136" s="10"/>
      <c r="B136" s="29" t="s">
        <v>4</v>
      </c>
      <c r="C136" s="29"/>
      <c r="D136" s="35">
        <f>+D132-D134</f>
        <v>-34073.080000000009</v>
      </c>
      <c r="E136" s="14"/>
      <c r="F136" s="36">
        <f>IF(D$12=0,0,D136/D$12)</f>
        <v>-0.34159506968581221</v>
      </c>
      <c r="G136" s="14"/>
      <c r="H136" s="35">
        <f>+H132-H134</f>
        <v>66884.739999999874</v>
      </c>
      <c r="I136" s="14"/>
      <c r="J136" s="36">
        <f>IF(H$12=0,0,H136/H$12)</f>
        <v>0.2536357826816954</v>
      </c>
      <c r="K136" s="16"/>
      <c r="L136" s="35">
        <f>D136-H136</f>
        <v>-100957.81999999989</v>
      </c>
      <c r="M136" s="16"/>
      <c r="N136" s="36">
        <f>IF(H136=0,0,L136/H136)</f>
        <v>-1.5094298041675887</v>
      </c>
      <c r="O136" s="28"/>
      <c r="P136" s="35">
        <f>+P132-P134</f>
        <v>86446.099999999773</v>
      </c>
      <c r="Q136" s="14"/>
      <c r="R136" s="36">
        <f>IF(P$12=0,0,P136/P$12)</f>
        <v>7.6712120508118375E-2</v>
      </c>
      <c r="S136" s="14"/>
      <c r="T136" s="35">
        <f>+T132-T134</f>
        <v>372719.04999999981</v>
      </c>
      <c r="U136" s="14"/>
      <c r="V136" s="36">
        <f>IF(T$12=0,0,T136/T$12)</f>
        <v>0.19356213462145744</v>
      </c>
      <c r="W136" s="16"/>
      <c r="X136" s="35">
        <f>P136-T136</f>
        <v>-286272.95000000007</v>
      </c>
      <c r="Y136" s="16"/>
      <c r="Z136" s="36">
        <f>IF(T136=0,0,X136/T136)</f>
        <v>-0.76806632234118488</v>
      </c>
    </row>
    <row r="137" spans="1:26" ht="15.75" thickTop="1" x14ac:dyDescent="0.25">
      <c r="A137" s="9"/>
      <c r="B137" s="9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x14ac:dyDescent="0.25">
      <c r="A138" s="9"/>
      <c r="B138" s="9"/>
      <c r="C138" s="9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3" customFormat="1" ht="15.75" thickBot="1" x14ac:dyDescent="0.3">
      <c r="A139" s="10"/>
      <c r="B139" s="29" t="s">
        <v>5</v>
      </c>
      <c r="C139" s="29"/>
      <c r="D139" s="31">
        <f>SUM(D136:D138)</f>
        <v>-34073.080000000009</v>
      </c>
      <c r="E139" s="14"/>
      <c r="F139" s="33">
        <f>IF(D$12=0,0,D139/D$12)</f>
        <v>-0.34159506968581221</v>
      </c>
      <c r="G139" s="14"/>
      <c r="H139" s="31">
        <f>SUM(H136:H138)</f>
        <v>66884.739999999874</v>
      </c>
      <c r="I139" s="14"/>
      <c r="J139" s="33">
        <f>IF(H$12=0,0,H139/H$12)</f>
        <v>0.2536357826816954</v>
      </c>
      <c r="K139" s="16"/>
      <c r="L139" s="31">
        <f>+D139-H139</f>
        <v>-100957.81999999989</v>
      </c>
      <c r="M139" s="16"/>
      <c r="N139" s="33">
        <f>IF(H139=0,0,L139/H139)</f>
        <v>-1.5094298041675887</v>
      </c>
      <c r="O139" s="28"/>
      <c r="P139" s="31">
        <f>SUM(P136:P138)</f>
        <v>86446.099999999773</v>
      </c>
      <c r="Q139" s="14"/>
      <c r="R139" s="33">
        <f>IF(P$12=0,0,P139/P$12)</f>
        <v>7.6712120508118375E-2</v>
      </c>
      <c r="S139" s="14"/>
      <c r="T139" s="31">
        <f>SUM(T136:T138)</f>
        <v>372719.04999999981</v>
      </c>
      <c r="U139" s="14"/>
      <c r="V139" s="33">
        <f>IF(T$12=0,0,T139/T$12)</f>
        <v>0.19356213462145744</v>
      </c>
      <c r="W139" s="16"/>
      <c r="X139" s="31">
        <f>+P139-T139</f>
        <v>-286272.95000000007</v>
      </c>
      <c r="Y139" s="16"/>
      <c r="Z139" s="33">
        <f>IF(T139=0,0,X139/T139)</f>
        <v>-0.76806632234118488</v>
      </c>
    </row>
    <row r="140" spans="1:26" ht="15.75" thickTop="1" x14ac:dyDescent="0.25">
      <c r="A140" s="9"/>
      <c r="C140" s="9"/>
      <c r="D140" s="18"/>
      <c r="E140" s="18"/>
      <c r="G140" s="18"/>
      <c r="H140" s="18"/>
      <c r="I140" s="18"/>
      <c r="J140" s="43"/>
      <c r="K140" s="18"/>
      <c r="L140" s="18"/>
      <c r="M140" s="18"/>
      <c r="P140" s="18"/>
      <c r="Q140" s="18"/>
      <c r="R140" s="43"/>
      <c r="S140" s="18"/>
      <c r="T140" s="18"/>
      <c r="U140" s="18"/>
      <c r="V140" s="43"/>
      <c r="W140" s="18"/>
      <c r="X140" s="18"/>
    </row>
    <row r="141" spans="1:26" x14ac:dyDescent="0.25">
      <c r="A141" s="9"/>
      <c r="B141" s="56">
        <v>44267.668276701392</v>
      </c>
      <c r="D141" s="18"/>
      <c r="E141" s="18"/>
      <c r="G141" s="18"/>
      <c r="H141" s="18"/>
      <c r="I141" s="18"/>
      <c r="J141" s="43"/>
      <c r="K141" s="18"/>
      <c r="L141" s="18"/>
      <c r="M141" s="18"/>
      <c r="P141" s="18"/>
      <c r="Q141" s="18"/>
      <c r="R141" s="43"/>
      <c r="S141" s="18"/>
      <c r="T141" s="18"/>
      <c r="U141" s="18"/>
      <c r="V141" s="43"/>
      <c r="W141" s="18"/>
      <c r="X141" s="18"/>
    </row>
    <row r="142" spans="1:26" x14ac:dyDescent="0.25">
      <c r="A142" s="9"/>
      <c r="B142" s="54" t="s">
        <v>313</v>
      </c>
      <c r="D142" s="18"/>
      <c r="E142" s="18"/>
      <c r="G142" s="18"/>
      <c r="H142" s="18"/>
      <c r="I142" s="18"/>
      <c r="J142" s="43"/>
      <c r="K142" s="18"/>
      <c r="L142" s="18"/>
      <c r="M142" s="18"/>
      <c r="P142" s="18"/>
      <c r="Q142" s="18"/>
      <c r="R142" s="43"/>
      <c r="S142" s="18"/>
      <c r="T142" s="18"/>
      <c r="U142" s="18"/>
      <c r="V142" s="43"/>
      <c r="W142" s="18"/>
      <c r="X142" s="18"/>
    </row>
    <row r="143" spans="1:26" x14ac:dyDescent="0.25">
      <c r="A143" s="9"/>
      <c r="B143" s="58"/>
      <c r="D143" s="18"/>
      <c r="E143" s="18"/>
      <c r="G143" s="18"/>
      <c r="H143" s="18"/>
      <c r="I143" s="18"/>
      <c r="J143" s="43"/>
      <c r="K143" s="18"/>
      <c r="L143" s="18"/>
      <c r="M143" s="18"/>
      <c r="P143" s="18"/>
      <c r="Q143" s="18"/>
      <c r="R143" s="43"/>
      <c r="S143" s="18"/>
      <c r="T143" s="18"/>
      <c r="U143" s="18"/>
      <c r="V143" s="43"/>
      <c r="W143" s="18"/>
      <c r="X143" s="18"/>
    </row>
    <row r="144" spans="1:26" x14ac:dyDescent="0.25">
      <c r="D144" s="18"/>
      <c r="E144" s="18"/>
      <c r="G144" s="18"/>
      <c r="H144" s="18"/>
      <c r="I144" s="18"/>
      <c r="J144" s="43"/>
      <c r="K144" s="18"/>
      <c r="L144" s="18"/>
      <c r="M144" s="18"/>
      <c r="P144" s="18"/>
      <c r="Q144" s="18"/>
      <c r="R144" s="43"/>
      <c r="S144" s="18"/>
      <c r="T144" s="18"/>
      <c r="U144" s="18"/>
      <c r="V144" s="43"/>
      <c r="W144" s="18"/>
      <c r="X144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","326", " - ", "2nd Street Store")</f>
        <v>Department 326 - 2nd Street 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20568.219999999998</v>
      </c>
      <c r="E12" s="4"/>
      <c r="F12" s="12"/>
      <c r="G12" s="4"/>
      <c r="H12" s="4">
        <f>SUM(OSRRefH13x_0)</f>
        <v>43523.69</v>
      </c>
      <c r="I12" s="4"/>
      <c r="J12" s="12"/>
      <c r="K12" s="4"/>
      <c r="L12" s="4">
        <f t="shared" ref="L12:L38" si="0">+D12-H12</f>
        <v>-22955.470000000005</v>
      </c>
      <c r="M12" s="4"/>
      <c r="N12" s="12">
        <f t="shared" ref="N12:N38" si="1">IF(H12=0,0,L12/H12)</f>
        <v>-0.52742471973309257</v>
      </c>
      <c r="O12" s="10"/>
      <c r="P12" s="4">
        <f>SUM(OSRRefP13x_0)</f>
        <v>184238.42000000004</v>
      </c>
      <c r="Q12" s="4"/>
      <c r="R12" s="12"/>
      <c r="S12" s="4"/>
      <c r="T12" s="4">
        <f>SUM(OSRRefT13x_0)</f>
        <v>402907.49000000005</v>
      </c>
      <c r="U12" s="4"/>
      <c r="V12" s="12"/>
      <c r="W12" s="4"/>
      <c r="X12" s="4">
        <f t="shared" ref="X12:X38" si="2">+P12-T12</f>
        <v>-218669.07</v>
      </c>
      <c r="Y12" s="4"/>
      <c r="Z12" s="12">
        <f t="shared" ref="Z12:Z38" si="3">IF(T12=0,0,X12/T12)</f>
        <v>-0.54272773633471039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-677.62</f>
        <v>-677.62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-677.62</v>
      </c>
      <c r="M13" s="2"/>
      <c r="N13" s="19">
        <f t="shared" si="1"/>
        <v>0</v>
      </c>
      <c r="O13" s="11"/>
      <c r="P13" s="2">
        <f>-5043.74</f>
        <v>-5043.74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-5043.74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--13.62</f>
        <v>13.62</v>
      </c>
      <c r="U14" s="2"/>
      <c r="V14" s="19"/>
      <c r="W14" s="2"/>
      <c r="X14" s="2">
        <f t="shared" si="2"/>
        <v>-13.62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>--41.38</f>
        <v>41.38</v>
      </c>
      <c r="E15" s="2"/>
      <c r="F15" s="19"/>
      <c r="G15" s="2"/>
      <c r="H15" s="2">
        <f>--50.44</f>
        <v>50.44</v>
      </c>
      <c r="I15" s="2"/>
      <c r="J15" s="19"/>
      <c r="K15" s="2"/>
      <c r="L15" s="2">
        <f t="shared" si="0"/>
        <v>-9.0599999999999952</v>
      </c>
      <c r="M15" s="2"/>
      <c r="N15" s="19">
        <f t="shared" si="1"/>
        <v>-0.17961934972244242</v>
      </c>
      <c r="O15" s="11"/>
      <c r="P15" s="2">
        <f>--208.88</f>
        <v>208.88</v>
      </c>
      <c r="Q15" s="2"/>
      <c r="R15" s="19"/>
      <c r="S15" s="2"/>
      <c r="T15" s="2">
        <f>--225.07</f>
        <v>225.07</v>
      </c>
      <c r="U15" s="2"/>
      <c r="V15" s="19"/>
      <c r="W15" s="2"/>
      <c r="X15" s="2">
        <f t="shared" si="2"/>
        <v>-16.189999999999998</v>
      </c>
      <c r="Y15" s="2"/>
      <c r="Z15" s="19">
        <f t="shared" si="3"/>
        <v>-7.1933176345137059E-2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>--42.77</f>
        <v>42.77</v>
      </c>
      <c r="E16" s="2"/>
      <c r="F16" s="19"/>
      <c r="G16" s="2"/>
      <c r="H16" s="2">
        <f>--21.95</f>
        <v>21.95</v>
      </c>
      <c r="I16" s="2"/>
      <c r="J16" s="19"/>
      <c r="K16" s="2"/>
      <c r="L16" s="2">
        <f t="shared" si="0"/>
        <v>20.820000000000004</v>
      </c>
      <c r="M16" s="2"/>
      <c r="N16" s="19">
        <f t="shared" si="1"/>
        <v>0.94851936218678834</v>
      </c>
      <c r="O16" s="11"/>
      <c r="P16" s="2">
        <f>--333.88</f>
        <v>333.88</v>
      </c>
      <c r="Q16" s="2"/>
      <c r="R16" s="19"/>
      <c r="S16" s="2"/>
      <c r="T16" s="2">
        <f>--161.59</f>
        <v>161.59</v>
      </c>
      <c r="U16" s="2"/>
      <c r="V16" s="19"/>
      <c r="W16" s="2"/>
      <c r="X16" s="2">
        <f t="shared" si="2"/>
        <v>172.29</v>
      </c>
      <c r="Y16" s="2"/>
      <c r="Z16" s="19">
        <f t="shared" si="3"/>
        <v>1.0662169688718361</v>
      </c>
    </row>
    <row r="17" spans="1:26" s="24" customFormat="1" hidden="1" outlineLevel="1" x14ac:dyDescent="0.25">
      <c r="A17" s="44"/>
      <c r="B17" s="11" t="str">
        <f>CONCATENATE("          ", "4028", " - ", "TAXABLE SALES-ART/TECH")</f>
        <v xml:space="preserve">          4028 - TAXABLE SALES-ART/TECH</v>
      </c>
      <c r="C17" s="11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--29.24</f>
        <v>29.24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29.24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"4040", " - ", "TAXABLE SALES-LOGO CLOTHING")</f>
        <v xml:space="preserve">          4040 - TAXABLE SALES-LOGO CLOTHING</v>
      </c>
      <c r="C18" s="11"/>
      <c r="D18" s="2">
        <f>--17759.12</f>
        <v>17759.12</v>
      </c>
      <c r="E18" s="2"/>
      <c r="F18" s="19"/>
      <c r="G18" s="2"/>
      <c r="H18" s="2">
        <f>--37559.71</f>
        <v>37559.71</v>
      </c>
      <c r="I18" s="2"/>
      <c r="J18" s="19"/>
      <c r="K18" s="2"/>
      <c r="L18" s="2">
        <f t="shared" si="0"/>
        <v>-19800.59</v>
      </c>
      <c r="M18" s="2"/>
      <c r="N18" s="19">
        <f t="shared" si="1"/>
        <v>-0.52717632803874148</v>
      </c>
      <c r="O18" s="11"/>
      <c r="P18" s="2">
        <f>--153740.04</f>
        <v>153740.04</v>
      </c>
      <c r="Q18" s="2"/>
      <c r="R18" s="19"/>
      <c r="S18" s="2"/>
      <c r="T18" s="2">
        <f>--338964.09</f>
        <v>338964.09</v>
      </c>
      <c r="U18" s="2"/>
      <c r="V18" s="19"/>
      <c r="W18" s="2"/>
      <c r="X18" s="2">
        <f t="shared" si="2"/>
        <v>-185224.05000000002</v>
      </c>
      <c r="Y18" s="2"/>
      <c r="Z18" s="19">
        <f t="shared" si="3"/>
        <v>-0.54644151243277717</v>
      </c>
    </row>
    <row r="19" spans="1:26" s="24" customFormat="1" hidden="1" outlineLevel="1" x14ac:dyDescent="0.25">
      <c r="A19" s="44"/>
      <c r="B19" s="11" t="str">
        <f>CONCATENATE("          ", "4041", " - ", "TAXABLE SALES-LOGO GIFTS")</f>
        <v xml:space="preserve">          4041 - TAXABLE SALES-LOGO GIFTS</v>
      </c>
      <c r="C19" s="11"/>
      <c r="D19" s="2">
        <f>--2616.11</f>
        <v>2616.11</v>
      </c>
      <c r="E19" s="2"/>
      <c r="F19" s="19"/>
      <c r="G19" s="2"/>
      <c r="H19" s="2">
        <f>--4536.62</f>
        <v>4536.62</v>
      </c>
      <c r="I19" s="2"/>
      <c r="J19" s="19"/>
      <c r="K19" s="2"/>
      <c r="L19" s="2">
        <f t="shared" si="0"/>
        <v>-1920.5099999999998</v>
      </c>
      <c r="M19" s="2"/>
      <c r="N19" s="19">
        <f t="shared" si="1"/>
        <v>-0.42333499389413259</v>
      </c>
      <c r="O19" s="11"/>
      <c r="P19" s="2">
        <f>--23914.09</f>
        <v>23914.09</v>
      </c>
      <c r="Q19" s="2"/>
      <c r="R19" s="19"/>
      <c r="S19" s="2"/>
      <c r="T19" s="2">
        <f>--44926.13</f>
        <v>44926.13</v>
      </c>
      <c r="U19" s="2"/>
      <c r="V19" s="19"/>
      <c r="W19" s="2"/>
      <c r="X19" s="2">
        <f t="shared" si="2"/>
        <v>-21012.039999999997</v>
      </c>
      <c r="Y19" s="2"/>
      <c r="Z19" s="19">
        <f t="shared" si="3"/>
        <v>-0.46770198100748939</v>
      </c>
    </row>
    <row r="20" spans="1:26" s="24" customFormat="1" hidden="1" outlineLevel="1" x14ac:dyDescent="0.25">
      <c r="A20" s="44"/>
      <c r="B20" s="11" t="str">
        <f>CONCATENATE("          ", "4042", " - ", "TAXABLE SALES-EVERYDAY GIFTS")</f>
        <v xml:space="preserve">          4042 - TAXABLE SALES-EVERYDAY GIFTS</v>
      </c>
      <c r="C20" s="11"/>
      <c r="D20" s="2">
        <f>--283.35</f>
        <v>283.35000000000002</v>
      </c>
      <c r="E20" s="2"/>
      <c r="F20" s="19"/>
      <c r="G20" s="2"/>
      <c r="H20" s="2">
        <f>--2727.34</f>
        <v>2727.34</v>
      </c>
      <c r="I20" s="2"/>
      <c r="J20" s="19"/>
      <c r="K20" s="2"/>
      <c r="L20" s="2">
        <f t="shared" si="0"/>
        <v>-2443.9900000000002</v>
      </c>
      <c r="M20" s="2"/>
      <c r="N20" s="19">
        <f t="shared" si="1"/>
        <v>-0.8961075626801206</v>
      </c>
      <c r="O20" s="11"/>
      <c r="P20" s="2">
        <f>--6909.68</f>
        <v>6909.68</v>
      </c>
      <c r="Q20" s="2"/>
      <c r="R20" s="19"/>
      <c r="S20" s="2"/>
      <c r="T20" s="2">
        <f>--29728.15</f>
        <v>29728.15</v>
      </c>
      <c r="U20" s="2"/>
      <c r="V20" s="19"/>
      <c r="W20" s="2"/>
      <c r="X20" s="2">
        <f t="shared" si="2"/>
        <v>-22818.47</v>
      </c>
      <c r="Y20" s="2"/>
      <c r="Z20" s="19">
        <f t="shared" si="3"/>
        <v>-0.7675711404846921</v>
      </c>
    </row>
    <row r="21" spans="1:26" s="24" customFormat="1" hidden="1" outlineLevel="1" x14ac:dyDescent="0.25">
      <c r="A21" s="44"/>
      <c r="B21" s="11" t="str">
        <f>CONCATENATE("          ", "4043", " - ", "TAXABLE SALES-CARDS")</f>
        <v xml:space="preserve">          4043 - TAXABLE SALES-CARDS</v>
      </c>
      <c r="C21" s="11"/>
      <c r="D21" s="2">
        <f>--1351.69</f>
        <v>1351.69</v>
      </c>
      <c r="E21" s="2"/>
      <c r="F21" s="19"/>
      <c r="G21" s="2"/>
      <c r="H21" s="2">
        <f>--129.91</f>
        <v>129.91</v>
      </c>
      <c r="I21" s="2"/>
      <c r="J21" s="19"/>
      <c r="K21" s="2"/>
      <c r="L21" s="2">
        <f t="shared" si="0"/>
        <v>1221.78</v>
      </c>
      <c r="M21" s="2"/>
      <c r="N21" s="19">
        <f t="shared" si="1"/>
        <v>9.4048187206527594</v>
      </c>
      <c r="O21" s="11"/>
      <c r="P21" s="2">
        <f>--9556.94</f>
        <v>9556.94</v>
      </c>
      <c r="Q21" s="2"/>
      <c r="R21" s="19"/>
      <c r="S21" s="2"/>
      <c r="T21" s="2">
        <f>--1514.05</f>
        <v>1514.05</v>
      </c>
      <c r="U21" s="2"/>
      <c r="V21" s="19"/>
      <c r="W21" s="2"/>
      <c r="X21" s="2">
        <f t="shared" si="2"/>
        <v>8042.89</v>
      </c>
      <c r="Y21" s="2"/>
      <c r="Z21" s="19">
        <f t="shared" si="3"/>
        <v>5.3121693471153533</v>
      </c>
    </row>
    <row r="22" spans="1:26" s="24" customFormat="1" hidden="1" outlineLevel="1" x14ac:dyDescent="0.25">
      <c r="A22" s="44"/>
      <c r="B22" s="11" t="str">
        <f>CONCATENATE("          ", "4044", " - ", "TAXABLE SALES-ACCESSORIES")</f>
        <v xml:space="preserve">          4044 - TAXABLE SALES-ACCESSORIES</v>
      </c>
      <c r="C22" s="11"/>
      <c r="D22" s="2">
        <f>--237.58</f>
        <v>237.58</v>
      </c>
      <c r="E22" s="2"/>
      <c r="F22" s="19"/>
      <c r="G22" s="2"/>
      <c r="H22" s="2">
        <f>--831.65</f>
        <v>831.65</v>
      </c>
      <c r="I22" s="2"/>
      <c r="J22" s="19"/>
      <c r="K22" s="2"/>
      <c r="L22" s="2">
        <f t="shared" si="0"/>
        <v>-594.06999999999994</v>
      </c>
      <c r="M22" s="2"/>
      <c r="N22" s="19">
        <f t="shared" si="1"/>
        <v>-0.71432694041964762</v>
      </c>
      <c r="O22" s="11"/>
      <c r="P22" s="2">
        <f>--2170.75</f>
        <v>2170.75</v>
      </c>
      <c r="Q22" s="2"/>
      <c r="R22" s="19"/>
      <c r="S22" s="2"/>
      <c r="T22" s="2">
        <f>--3861.1</f>
        <v>3861.1</v>
      </c>
      <c r="U22" s="2"/>
      <c r="V22" s="19"/>
      <c r="W22" s="2"/>
      <c r="X22" s="2">
        <f t="shared" si="2"/>
        <v>-1690.35</v>
      </c>
      <c r="Y22" s="2"/>
      <c r="Z22" s="19">
        <f t="shared" si="3"/>
        <v>-0.43778974903524903</v>
      </c>
    </row>
    <row r="23" spans="1:26" s="24" customFormat="1" hidden="1" outlineLevel="1" x14ac:dyDescent="0.25">
      <c r="A23" s="44"/>
      <c r="B23" s="11" t="str">
        <f>CONCATENATE("          ", "4045", " - ", "TAXABLE SALES-SPECIAL ORDERS")</f>
        <v xml:space="preserve">          4045 - TAXABLE SALES-SPECIAL ORDERS</v>
      </c>
      <c r="C23" s="11"/>
      <c r="D23" s="2">
        <f t="shared" ref="D23:D25" si="5">0</f>
        <v>0</v>
      </c>
      <c r="E23" s="2"/>
      <c r="F23" s="19"/>
      <c r="G23" s="2"/>
      <c r="H23" s="2">
        <f t="shared" ref="H23:H26" si="6"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--326.37</f>
        <v>326.37</v>
      </c>
      <c r="Q23" s="2"/>
      <c r="R23" s="19"/>
      <c r="S23" s="2"/>
      <c r="T23" s="2">
        <f>--467.6</f>
        <v>467.6</v>
      </c>
      <c r="U23" s="2"/>
      <c r="V23" s="19"/>
      <c r="W23" s="2"/>
      <c r="X23" s="2">
        <f t="shared" si="2"/>
        <v>-141.23000000000002</v>
      </c>
      <c r="Y23" s="2"/>
      <c r="Z23" s="19">
        <f t="shared" si="3"/>
        <v>-0.30203165098374679</v>
      </c>
    </row>
    <row r="24" spans="1:26" s="24" customFormat="1" hidden="1" outlineLevel="1" x14ac:dyDescent="0.25">
      <c r="A24" s="44"/>
      <c r="B24" s="11" t="str">
        <f>CONCATENATE("          ", "4092", " - ", "TAXABLE SALES-GRAD MERCH")</f>
        <v xml:space="preserve">          4092 - TAXABLE SALES-GRAD MERCH</v>
      </c>
      <c r="C24" s="11"/>
      <c r="D24" s="2">
        <f t="shared" si="5"/>
        <v>0</v>
      </c>
      <c r="E24" s="2"/>
      <c r="F24" s="19"/>
      <c r="G24" s="2"/>
      <c r="H24" s="2">
        <f t="shared" si="6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 t="shared" ref="P24:P25" si="7">0</f>
        <v>0</v>
      </c>
      <c r="Q24" s="2"/>
      <c r="R24" s="19"/>
      <c r="S24" s="2"/>
      <c r="T24" s="2">
        <f>-39.95</f>
        <v>-39.950000000000003</v>
      </c>
      <c r="U24" s="2"/>
      <c r="V24" s="19"/>
      <c r="W24" s="2"/>
      <c r="X24" s="2">
        <f t="shared" si="2"/>
        <v>39.950000000000003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"4095", " - ", "TAXABLE SALES-CUSTOMER SERVICE")</f>
        <v xml:space="preserve">          4095 - TAXABLE SALES-CUSTOMER SERVICE</v>
      </c>
      <c r="C25" s="11"/>
      <c r="D25" s="2">
        <f t="shared" si="5"/>
        <v>0</v>
      </c>
      <c r="E25" s="2"/>
      <c r="F25" s="19"/>
      <c r="G25" s="2"/>
      <c r="H25" s="2">
        <f t="shared" si="6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si="7"/>
        <v>0</v>
      </c>
      <c r="Q25" s="2"/>
      <c r="R25" s="19"/>
      <c r="S25" s="2"/>
      <c r="T25" s="2">
        <f>--29.7</f>
        <v>29.7</v>
      </c>
      <c r="U25" s="2"/>
      <c r="V25" s="19"/>
      <c r="W25" s="2"/>
      <c r="X25" s="2">
        <f t="shared" si="2"/>
        <v>-29.7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"4131", " - ", "NON-TAXABLE SALES-FOOD")</f>
        <v xml:space="preserve">          4131 - NON-TAXABLE SALES-FOOD</v>
      </c>
      <c r="C26" s="11"/>
      <c r="D26" s="2">
        <f>--4.5</f>
        <v>4.5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4.5</v>
      </c>
      <c r="M26" s="2"/>
      <c r="N26" s="19">
        <f t="shared" si="1"/>
        <v>0</v>
      </c>
      <c r="O26" s="11"/>
      <c r="P26" s="2">
        <f>--42</f>
        <v>42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42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"4137", " - ", "NON-TAXABLE SALES-WATER")</f>
        <v xml:space="preserve">          4137 - NON-TAXABLE SALES-WATER</v>
      </c>
      <c r="C27" s="11"/>
      <c r="D27" s="2">
        <f t="shared" ref="D27:D32" si="8">0</f>
        <v>0</v>
      </c>
      <c r="E27" s="2"/>
      <c r="F27" s="19"/>
      <c r="G27" s="2"/>
      <c r="H27" s="2">
        <f>--12</f>
        <v>12</v>
      </c>
      <c r="I27" s="2"/>
      <c r="J27" s="19"/>
      <c r="K27" s="2"/>
      <c r="L27" s="2">
        <f t="shared" si="0"/>
        <v>-12</v>
      </c>
      <c r="M27" s="2"/>
      <c r="N27" s="19">
        <f t="shared" si="1"/>
        <v>-1</v>
      </c>
      <c r="O27" s="11"/>
      <c r="P27" s="2">
        <f>--9</f>
        <v>9</v>
      </c>
      <c r="Q27" s="2"/>
      <c r="R27" s="19"/>
      <c r="S27" s="2"/>
      <c r="T27" s="2">
        <f>--115.5</f>
        <v>115.5</v>
      </c>
      <c r="U27" s="2"/>
      <c r="V27" s="19"/>
      <c r="W27" s="2"/>
      <c r="X27" s="2">
        <f t="shared" si="2"/>
        <v>-106.5</v>
      </c>
      <c r="Y27" s="2"/>
      <c r="Z27" s="19">
        <f t="shared" si="3"/>
        <v>-0.92207792207792205</v>
      </c>
    </row>
    <row r="28" spans="1:26" s="24" customFormat="1" hidden="1" outlineLevel="1" x14ac:dyDescent="0.25">
      <c r="A28" s="44"/>
      <c r="B28" s="11" t="str">
        <f>CONCATENATE("          ", "4140", " - ", "NON-TAXABLE SALES-LOGO CLOTHIN")</f>
        <v xml:space="preserve">          4140 - NON-TAXABLE SALES-LOGO CLOTHIN</v>
      </c>
      <c r="C28" s="11"/>
      <c r="D28" s="2">
        <f t="shared" si="8"/>
        <v>0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--165.78</f>
        <v>165.78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165.78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"4142", " - ", "NON-TAXABLE SALES-EVERYDAY GIF")</f>
        <v xml:space="preserve">          4142 - NON-TAXABLE SALES-EVERYDAY GIF</v>
      </c>
      <c r="C29" s="11"/>
      <c r="D29" s="2">
        <f t="shared" si="8"/>
        <v>0</v>
      </c>
      <c r="E29" s="2"/>
      <c r="F29" s="19"/>
      <c r="G29" s="2"/>
      <c r="H29" s="2">
        <f>--13.53</f>
        <v>13.53</v>
      </c>
      <c r="I29" s="2"/>
      <c r="J29" s="19"/>
      <c r="K29" s="2"/>
      <c r="L29" s="2">
        <f t="shared" si="0"/>
        <v>-13.53</v>
      </c>
      <c r="M29" s="2"/>
      <c r="N29" s="19">
        <f t="shared" si="1"/>
        <v>-1</v>
      </c>
      <c r="O29" s="11"/>
      <c r="P29" s="2">
        <f>0</f>
        <v>0</v>
      </c>
      <c r="Q29" s="2"/>
      <c r="R29" s="19"/>
      <c r="S29" s="2"/>
      <c r="T29" s="2">
        <f>--577.32</f>
        <v>577.32000000000005</v>
      </c>
      <c r="U29" s="2"/>
      <c r="V29" s="19"/>
      <c r="W29" s="2"/>
      <c r="X29" s="2">
        <f t="shared" si="2"/>
        <v>-577.32000000000005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"4145", " - ", "NON-TAXABLE SALES-SPECIAL ORDE")</f>
        <v xml:space="preserve">          4145 - NON-TAXABLE SALES-SPECIAL ORDE</v>
      </c>
      <c r="C30" s="11"/>
      <c r="D30" s="2">
        <f t="shared" si="8"/>
        <v>0</v>
      </c>
      <c r="E30" s="2"/>
      <c r="F30" s="19"/>
      <c r="G30" s="2"/>
      <c r="H30" s="2">
        <f t="shared" ref="H30:H32" si="9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--7</f>
        <v>7</v>
      </c>
      <c r="Q30" s="2"/>
      <c r="R30" s="19"/>
      <c r="S30" s="2"/>
      <c r="T30" s="2">
        <f>0</f>
        <v>0</v>
      </c>
      <c r="U30" s="2"/>
      <c r="V30" s="19"/>
      <c r="W30" s="2"/>
      <c r="X30" s="2">
        <f t="shared" si="2"/>
        <v>7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"4226", " - ", "SALES RETURN TAXABLE-WRITING I")</f>
        <v xml:space="preserve">          4226 - SALES RETURN TAXABLE-WRITING I</v>
      </c>
      <c r="C31" s="11"/>
      <c r="D31" s="2">
        <f t="shared" si="8"/>
        <v>0</v>
      </c>
      <c r="E31" s="2"/>
      <c r="F31" s="19"/>
      <c r="G31" s="2"/>
      <c r="H31" s="2">
        <f t="shared" si="9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-27.85</f>
        <v>-27.85</v>
      </c>
      <c r="Q31" s="2"/>
      <c r="R31" s="19"/>
      <c r="S31" s="2"/>
      <c r="T31" s="2">
        <f>-134.8</f>
        <v>-134.80000000000001</v>
      </c>
      <c r="U31" s="2"/>
      <c r="V31" s="19"/>
      <c r="W31" s="2"/>
      <c r="X31" s="2">
        <f t="shared" si="2"/>
        <v>106.95000000000002</v>
      </c>
      <c r="Y31" s="2"/>
      <c r="Z31" s="19">
        <f t="shared" si="3"/>
        <v>-0.79339762611275966</v>
      </c>
    </row>
    <row r="32" spans="1:26" s="24" customFormat="1" hidden="1" outlineLevel="1" x14ac:dyDescent="0.25">
      <c r="A32" s="44"/>
      <c r="B32" s="11" t="str">
        <f>CONCATENATE("          ", "4227", " - ", "SALES RETURN TAXABLE-SCHOOL SU")</f>
        <v xml:space="preserve">          4227 - SALES RETURN TAXABLE-SCHOOL SU</v>
      </c>
      <c r="C32" s="11"/>
      <c r="D32" s="2">
        <f t="shared" si="8"/>
        <v>0</v>
      </c>
      <c r="E32" s="2"/>
      <c r="F32" s="19"/>
      <c r="G32" s="2"/>
      <c r="H32" s="2">
        <f t="shared" si="9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-43.21</f>
        <v>-43.21</v>
      </c>
      <c r="Q32" s="2"/>
      <c r="R32" s="19"/>
      <c r="S32" s="2"/>
      <c r="T32" s="2">
        <f>0</f>
        <v>0</v>
      </c>
      <c r="U32" s="2"/>
      <c r="V32" s="19"/>
      <c r="W32" s="2"/>
      <c r="X32" s="2">
        <f t="shared" si="2"/>
        <v>-43.21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"4240", " - ", "SALES RETURN TAXABLE-LOGO CLOT")</f>
        <v xml:space="preserve">          4240 - SALES RETURN TAXABLE-LOGO CLOT</v>
      </c>
      <c r="C33" s="11"/>
      <c r="D33" s="2">
        <f>-933.95</f>
        <v>-933.95</v>
      </c>
      <c r="E33" s="2"/>
      <c r="F33" s="19"/>
      <c r="G33" s="2"/>
      <c r="H33" s="2">
        <f>-2058.35</f>
        <v>-2058.35</v>
      </c>
      <c r="I33" s="2"/>
      <c r="J33" s="19"/>
      <c r="K33" s="2"/>
      <c r="L33" s="2">
        <f t="shared" si="0"/>
        <v>1124.3999999999999</v>
      </c>
      <c r="M33" s="2"/>
      <c r="N33" s="19">
        <f t="shared" si="1"/>
        <v>-0.54626278329730116</v>
      </c>
      <c r="O33" s="11"/>
      <c r="P33" s="2">
        <f>-7336.28</f>
        <v>-7336.28</v>
      </c>
      <c r="Q33" s="2"/>
      <c r="R33" s="19"/>
      <c r="S33" s="2"/>
      <c r="T33" s="2">
        <f>-15259.46</f>
        <v>-15259.46</v>
      </c>
      <c r="U33" s="2"/>
      <c r="V33" s="19"/>
      <c r="W33" s="2"/>
      <c r="X33" s="2">
        <f t="shared" si="2"/>
        <v>7923.1799999999994</v>
      </c>
      <c r="Y33" s="2"/>
      <c r="Z33" s="19">
        <f t="shared" si="3"/>
        <v>-0.51923069361563257</v>
      </c>
    </row>
    <row r="34" spans="1:26" s="24" customFormat="1" hidden="1" outlineLevel="1" x14ac:dyDescent="0.25">
      <c r="A34" s="44"/>
      <c r="B34" s="11" t="str">
        <f>CONCATENATE("          ", "4241", " - ", "SALES RETURN TAXABLE-LOGO GIFT")</f>
        <v xml:space="preserve">          4241 - SALES RETURN TAXABLE-LOGO GIFT</v>
      </c>
      <c r="C34" s="11"/>
      <c r="D34" s="2">
        <f>-111.75</f>
        <v>-111.75</v>
      </c>
      <c r="E34" s="2"/>
      <c r="F34" s="19"/>
      <c r="G34" s="2"/>
      <c r="H34" s="2">
        <f>-261.16</f>
        <v>-261.16000000000003</v>
      </c>
      <c r="I34" s="2"/>
      <c r="J34" s="19"/>
      <c r="K34" s="2"/>
      <c r="L34" s="2">
        <f t="shared" si="0"/>
        <v>149.41000000000003</v>
      </c>
      <c r="M34" s="2"/>
      <c r="N34" s="19">
        <f t="shared" si="1"/>
        <v>-0.57210139378158986</v>
      </c>
      <c r="O34" s="11"/>
      <c r="P34" s="2">
        <f>-391.11</f>
        <v>-391.11</v>
      </c>
      <c r="Q34" s="2"/>
      <c r="R34" s="19"/>
      <c r="S34" s="2"/>
      <c r="T34" s="2">
        <f>-1253.16</f>
        <v>-1253.1600000000001</v>
      </c>
      <c r="U34" s="2"/>
      <c r="V34" s="19"/>
      <c r="W34" s="2"/>
      <c r="X34" s="2">
        <f t="shared" si="2"/>
        <v>862.05000000000007</v>
      </c>
      <c r="Y34" s="2"/>
      <c r="Z34" s="19">
        <f t="shared" si="3"/>
        <v>-0.68790098630661689</v>
      </c>
    </row>
    <row r="35" spans="1:26" s="24" customFormat="1" hidden="1" outlineLevel="1" x14ac:dyDescent="0.25">
      <c r="A35" s="44"/>
      <c r="B35" s="11" t="str">
        <f>CONCATENATE("          ", "4242", " - ", "SALES RETURN TAXABLE-EVERYDAY")</f>
        <v xml:space="preserve">          4242 - SALES RETURN TAXABLE-EVERYDAY</v>
      </c>
      <c r="C35" s="11"/>
      <c r="D35" s="2">
        <f>-44.96</f>
        <v>-44.96</v>
      </c>
      <c r="E35" s="2"/>
      <c r="F35" s="19"/>
      <c r="G35" s="2"/>
      <c r="H35" s="2">
        <f>-39.95</f>
        <v>-39.950000000000003</v>
      </c>
      <c r="I35" s="2"/>
      <c r="J35" s="19"/>
      <c r="K35" s="2"/>
      <c r="L35" s="2">
        <f t="shared" si="0"/>
        <v>-5.009999999999998</v>
      </c>
      <c r="M35" s="2"/>
      <c r="N35" s="19">
        <f t="shared" si="1"/>
        <v>0.12540675844806001</v>
      </c>
      <c r="O35" s="11"/>
      <c r="P35" s="2">
        <f>-296.11</f>
        <v>-296.11</v>
      </c>
      <c r="Q35" s="2"/>
      <c r="R35" s="19"/>
      <c r="S35" s="2"/>
      <c r="T35" s="2">
        <f>-849.26</f>
        <v>-849.26</v>
      </c>
      <c r="U35" s="2"/>
      <c r="V35" s="19"/>
      <c r="W35" s="2"/>
      <c r="X35" s="2">
        <f t="shared" si="2"/>
        <v>553.15</v>
      </c>
      <c r="Y35" s="2"/>
      <c r="Z35" s="19">
        <f t="shared" si="3"/>
        <v>-0.65133174763912105</v>
      </c>
    </row>
    <row r="36" spans="1:26" s="24" customFormat="1" hidden="1" outlineLevel="1" x14ac:dyDescent="0.25">
      <c r="A36" s="44"/>
      <c r="B36" s="11" t="str">
        <f>CONCATENATE("          ", "4244", " - ", "SALES RETURN TAXABLE-ACCESSORI")</f>
        <v xml:space="preserve">          4244 - SALES RETURN TAXABLE-ACCESSORI</v>
      </c>
      <c r="C36" s="11"/>
      <c r="D36" s="2">
        <f t="shared" ref="D36:D38" si="10">0</f>
        <v>0</v>
      </c>
      <c r="E36" s="2"/>
      <c r="F36" s="19"/>
      <c r="G36" s="2"/>
      <c r="H36" s="2">
        <f t="shared" ref="H36:H38" si="11">0</f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-29.93</f>
        <v>-29.93</v>
      </c>
      <c r="Q36" s="2"/>
      <c r="R36" s="19"/>
      <c r="S36" s="2"/>
      <c r="T36" s="2">
        <f>-130.8</f>
        <v>-130.80000000000001</v>
      </c>
      <c r="U36" s="2"/>
      <c r="V36" s="19"/>
      <c r="W36" s="2"/>
      <c r="X36" s="2">
        <f t="shared" si="2"/>
        <v>100.87</v>
      </c>
      <c r="Y36" s="2"/>
      <c r="Z36" s="19">
        <f t="shared" si="3"/>
        <v>-0.77117737003058096</v>
      </c>
    </row>
    <row r="37" spans="1:26" s="24" customFormat="1" hidden="1" outlineLevel="1" x14ac:dyDescent="0.25">
      <c r="A37" s="44"/>
      <c r="B37" s="11" t="str">
        <f>CONCATENATE("          ", "4245", " - ", "SALES RETURN TAXABLE-SPECIAL O")</f>
        <v xml:space="preserve">          4245 - SALES RETURN TAXABLE-SPECIAL O</v>
      </c>
      <c r="C37" s="11"/>
      <c r="D37" s="2">
        <f t="shared" si="10"/>
        <v>0</v>
      </c>
      <c r="E37" s="2"/>
      <c r="F37" s="19"/>
      <c r="G37" s="2"/>
      <c r="H37" s="2">
        <f t="shared" si="11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-7</f>
        <v>-7</v>
      </c>
      <c r="Q37" s="2"/>
      <c r="R37" s="19"/>
      <c r="S37" s="2"/>
      <c r="T37" s="2">
        <f>-9.99</f>
        <v>-9.99</v>
      </c>
      <c r="U37" s="2"/>
      <c r="V37" s="19"/>
      <c r="W37" s="2"/>
      <c r="X37" s="2">
        <f t="shared" si="2"/>
        <v>2.99</v>
      </c>
      <c r="Y37" s="2"/>
      <c r="Z37" s="19">
        <f t="shared" si="3"/>
        <v>-0.29929929929929933</v>
      </c>
    </row>
    <row r="38" spans="1:26" s="24" customFormat="1" hidden="1" outlineLevel="1" x14ac:dyDescent="0.25">
      <c r="A38" s="44"/>
      <c r="B38" s="11" t="str">
        <f>CONCATENATE("          ", "4295", " - ", "SALES RETURN TAXABLE-CUSTOMER")</f>
        <v xml:space="preserve">          4295 - SALES RETURN TAXABLE-CUSTOMER</v>
      </c>
      <c r="C38" s="11"/>
      <c r="D38" s="2">
        <f t="shared" si="10"/>
        <v>0</v>
      </c>
      <c r="E38" s="2"/>
      <c r="F38" s="19"/>
      <c r="G38" s="2"/>
      <c r="H38" s="2">
        <f t="shared" si="11"/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0</f>
        <v>0</v>
      </c>
      <c r="Q38" s="2"/>
      <c r="R38" s="19"/>
      <c r="S38" s="2"/>
      <c r="T38" s="2">
        <f>--0.99</f>
        <v>0.99</v>
      </c>
      <c r="U38" s="2"/>
      <c r="V38" s="19"/>
      <c r="W38" s="2"/>
      <c r="X38" s="2">
        <f t="shared" si="2"/>
        <v>-0.99</v>
      </c>
      <c r="Y38" s="2"/>
      <c r="Z38" s="19">
        <f t="shared" si="3"/>
        <v>-1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collapsed="1" x14ac:dyDescent="0.25">
      <c r="A40" s="10"/>
      <c r="B40" s="28" t="s">
        <v>8</v>
      </c>
      <c r="C40" s="10"/>
      <c r="D40" s="4">
        <f>SUM(OSRRefD16x_0)</f>
        <v>9395</v>
      </c>
      <c r="E40" s="4"/>
      <c r="F40" s="12">
        <f t="shared" ref="F40:F56" si="12">IF(D$12=0,0,D40/D$12)</f>
        <v>0.45677263273146634</v>
      </c>
      <c r="G40" s="4"/>
      <c r="H40" s="4">
        <f>SUM(OSRRefH16x_0)</f>
        <v>26662</v>
      </c>
      <c r="I40" s="4"/>
      <c r="J40" s="12">
        <f t="shared" ref="J40:J56" si="13">IF(H$12=0,0,H40/H$12)</f>
        <v>0.61258592734209805</v>
      </c>
      <c r="K40" s="4"/>
      <c r="L40" s="4">
        <f t="shared" ref="L40:L56" si="14">+D40-H40</f>
        <v>-17267</v>
      </c>
      <c r="M40" s="4"/>
      <c r="N40" s="12">
        <f t="shared" ref="N40:N56" si="15">IF(H40=0,0,L40/H40)</f>
        <v>-0.64762583452104117</v>
      </c>
      <c r="O40" s="10"/>
      <c r="P40" s="4">
        <f>SUM(OSRRefP16x_0)</f>
        <v>82274</v>
      </c>
      <c r="Q40" s="4"/>
      <c r="R40" s="12">
        <f t="shared" ref="R40:R56" si="16">IF(P$12=0,0,P40/P$12)</f>
        <v>0.44656266591951876</v>
      </c>
      <c r="S40" s="4"/>
      <c r="T40" s="4">
        <f>SUM(OSRRefT16x_0)</f>
        <v>171793.80999999997</v>
      </c>
      <c r="U40" s="4"/>
      <c r="V40" s="12">
        <f t="shared" ref="V40:V56" si="17">IF(T$12=0,0,T40/T$12)</f>
        <v>0.42638524788903764</v>
      </c>
      <c r="W40" s="4"/>
      <c r="X40" s="4">
        <f t="shared" ref="X40:X56" si="18">+P40-T40</f>
        <v>-89519.809999999969</v>
      </c>
      <c r="Y40" s="4"/>
      <c r="Z40" s="12">
        <f t="shared" ref="Z40:Z56" si="19">IF(T40=0,0,X40/T40)</f>
        <v>-0.52108868183318124</v>
      </c>
    </row>
    <row r="41" spans="1:26" s="24" customFormat="1" hidden="1" outlineLevel="1" x14ac:dyDescent="0.25">
      <c r="A41" s="44"/>
      <c r="B41" s="11" t="str">
        <f>CONCATENATE("          ", "5025", " - ", "PURCHASES @ COST-TEST FORMS")</f>
        <v xml:space="preserve">          5025 - PURCHASES @ COST-TEST FORMS</v>
      </c>
      <c r="C41" s="11"/>
      <c r="D41" s="2"/>
      <c r="E41" s="2"/>
      <c r="F41" s="19">
        <f t="shared" si="12"/>
        <v>0</v>
      </c>
      <c r="G41" s="2"/>
      <c r="H41" s="2"/>
      <c r="I41" s="2"/>
      <c r="J41" s="19">
        <f t="shared" si="13"/>
        <v>0</v>
      </c>
      <c r="K41" s="2"/>
      <c r="L41" s="2">
        <f t="shared" si="14"/>
        <v>0</v>
      </c>
      <c r="M41" s="2"/>
      <c r="N41" s="19">
        <f t="shared" si="15"/>
        <v>0</v>
      </c>
      <c r="O41" s="11"/>
      <c r="P41" s="2"/>
      <c r="Q41" s="2"/>
      <c r="R41" s="19">
        <f t="shared" si="16"/>
        <v>0</v>
      </c>
      <c r="S41" s="2"/>
      <c r="T41" s="2">
        <v>6.06</v>
      </c>
      <c r="U41" s="2"/>
      <c r="V41" s="19">
        <f t="shared" si="17"/>
        <v>1.5040673480654327E-5</v>
      </c>
      <c r="W41" s="2"/>
      <c r="X41" s="2">
        <f t="shared" si="18"/>
        <v>-6.06</v>
      </c>
      <c r="Y41" s="2"/>
      <c r="Z41" s="19">
        <f t="shared" si="19"/>
        <v>-1</v>
      </c>
    </row>
    <row r="42" spans="1:26" s="24" customFormat="1" hidden="1" outlineLevel="1" x14ac:dyDescent="0.25">
      <c r="A42" s="44"/>
      <c r="B42" s="11" t="str">
        <f>CONCATENATE("          ", "5026", " - ", "PURCHASES @ COST-WRITING INSTR")</f>
        <v xml:space="preserve">          5026 - PURCHASES @ COST-WRITING INSTR</v>
      </c>
      <c r="C42" s="11"/>
      <c r="D42" s="2"/>
      <c r="E42" s="2"/>
      <c r="F42" s="19">
        <f t="shared" si="12"/>
        <v>0</v>
      </c>
      <c r="G42" s="2"/>
      <c r="H42" s="2">
        <v>-77.069999999999993</v>
      </c>
      <c r="I42" s="2"/>
      <c r="J42" s="19">
        <f t="shared" si="13"/>
        <v>-1.7707597862221698E-3</v>
      </c>
      <c r="K42" s="2"/>
      <c r="L42" s="2">
        <f t="shared" si="14"/>
        <v>77.069999999999993</v>
      </c>
      <c r="M42" s="2"/>
      <c r="N42" s="19">
        <f t="shared" si="15"/>
        <v>-1</v>
      </c>
      <c r="O42" s="11"/>
      <c r="P42" s="2"/>
      <c r="Q42" s="2"/>
      <c r="R42" s="19">
        <f t="shared" si="16"/>
        <v>0</v>
      </c>
      <c r="S42" s="2"/>
      <c r="T42" s="2">
        <v>1198.07</v>
      </c>
      <c r="U42" s="2"/>
      <c r="V42" s="19">
        <f t="shared" si="17"/>
        <v>2.9735610027999226E-3</v>
      </c>
      <c r="W42" s="2"/>
      <c r="X42" s="2">
        <f t="shared" si="18"/>
        <v>-1198.07</v>
      </c>
      <c r="Y42" s="2"/>
      <c r="Z42" s="19">
        <f t="shared" si="19"/>
        <v>-1</v>
      </c>
    </row>
    <row r="43" spans="1:26" s="24" customFormat="1" hidden="1" outlineLevel="1" x14ac:dyDescent="0.25">
      <c r="A43" s="44"/>
      <c r="B43" s="11" t="str">
        <f>CONCATENATE("          ", "5027", " - ", "PURCHASES @ COST-SCHOOL SUPPLI")</f>
        <v xml:space="preserve">          5027 - PURCHASES @ COST-SCHOOL SUPPLI</v>
      </c>
      <c r="C43" s="11"/>
      <c r="D43" s="2"/>
      <c r="E43" s="2"/>
      <c r="F43" s="19">
        <f t="shared" si="12"/>
        <v>0</v>
      </c>
      <c r="G43" s="2"/>
      <c r="H43" s="2">
        <v>18.899999999999999</v>
      </c>
      <c r="I43" s="2"/>
      <c r="J43" s="19">
        <f t="shared" si="13"/>
        <v>4.3424626910080458E-4</v>
      </c>
      <c r="K43" s="2"/>
      <c r="L43" s="2">
        <f t="shared" si="14"/>
        <v>-18.899999999999999</v>
      </c>
      <c r="M43" s="2"/>
      <c r="N43" s="19">
        <f t="shared" si="15"/>
        <v>-1</v>
      </c>
      <c r="O43" s="11"/>
      <c r="P43" s="2"/>
      <c r="Q43" s="2"/>
      <c r="R43" s="19">
        <f t="shared" si="16"/>
        <v>0</v>
      </c>
      <c r="S43" s="2"/>
      <c r="T43" s="2">
        <v>325.45</v>
      </c>
      <c r="U43" s="2"/>
      <c r="V43" s="19">
        <f t="shared" si="17"/>
        <v>8.0775366077210416E-4</v>
      </c>
      <c r="W43" s="2"/>
      <c r="X43" s="2">
        <f t="shared" si="18"/>
        <v>-325.45</v>
      </c>
      <c r="Y43" s="2"/>
      <c r="Z43" s="19">
        <f t="shared" si="19"/>
        <v>-1</v>
      </c>
    </row>
    <row r="44" spans="1:26" s="24" customFormat="1" hidden="1" outlineLevel="1" x14ac:dyDescent="0.25">
      <c r="A44" s="44"/>
      <c r="B44" s="11" t="str">
        <f>CONCATENATE("          ", "5037", " - ", "PURCHASES @ COST-WATER")</f>
        <v xml:space="preserve">          5037 - PURCHASES @ COST-WATER</v>
      </c>
      <c r="C44" s="11"/>
      <c r="D44" s="2"/>
      <c r="E44" s="2"/>
      <c r="F44" s="19">
        <f t="shared" si="12"/>
        <v>0</v>
      </c>
      <c r="G44" s="2"/>
      <c r="H44" s="2"/>
      <c r="I44" s="2"/>
      <c r="J44" s="19">
        <f t="shared" si="13"/>
        <v>0</v>
      </c>
      <c r="K44" s="2"/>
      <c r="L44" s="2">
        <f t="shared" si="14"/>
        <v>0</v>
      </c>
      <c r="M44" s="2"/>
      <c r="N44" s="19">
        <f t="shared" si="15"/>
        <v>0</v>
      </c>
      <c r="O44" s="11"/>
      <c r="P44" s="2"/>
      <c r="Q44" s="2"/>
      <c r="R44" s="19">
        <f t="shared" si="16"/>
        <v>0</v>
      </c>
      <c r="S44" s="2"/>
      <c r="T44" s="2">
        <v>29.76</v>
      </c>
      <c r="U44" s="2"/>
      <c r="V44" s="19">
        <f t="shared" si="17"/>
        <v>7.3863109370342055E-5</v>
      </c>
      <c r="W44" s="2"/>
      <c r="X44" s="2">
        <f t="shared" si="18"/>
        <v>-29.76</v>
      </c>
      <c r="Y44" s="2"/>
      <c r="Z44" s="19">
        <f t="shared" si="19"/>
        <v>-1</v>
      </c>
    </row>
    <row r="45" spans="1:26" s="24" customFormat="1" hidden="1" outlineLevel="1" x14ac:dyDescent="0.25">
      <c r="A45" s="44"/>
      <c r="B45" s="11" t="str">
        <f>CONCATENATE("          ", "5040", " - ", "PURCHASES @ COST-LOGO CLOTHING")</f>
        <v xml:space="preserve">          5040 - PURCHASES @ COST-LOGO CLOTHING</v>
      </c>
      <c r="C45" s="11"/>
      <c r="D45" s="2"/>
      <c r="E45" s="2"/>
      <c r="F45" s="19">
        <f t="shared" si="12"/>
        <v>0</v>
      </c>
      <c r="G45" s="2"/>
      <c r="H45" s="2">
        <v>15579.110000000002</v>
      </c>
      <c r="I45" s="2"/>
      <c r="J45" s="19">
        <f t="shared" si="13"/>
        <v>0.35794552346090147</v>
      </c>
      <c r="K45" s="2"/>
      <c r="L45" s="2">
        <f t="shared" si="14"/>
        <v>-15579.110000000002</v>
      </c>
      <c r="M45" s="2"/>
      <c r="N45" s="19">
        <f t="shared" si="15"/>
        <v>-1</v>
      </c>
      <c r="O45" s="11"/>
      <c r="P45" s="2"/>
      <c r="Q45" s="2"/>
      <c r="R45" s="19">
        <f t="shared" si="16"/>
        <v>0</v>
      </c>
      <c r="S45" s="2"/>
      <c r="T45" s="2">
        <v>190445.19</v>
      </c>
      <c r="U45" s="2"/>
      <c r="V45" s="19">
        <f t="shared" si="17"/>
        <v>0.4726772143153754</v>
      </c>
      <c r="W45" s="2"/>
      <c r="X45" s="2">
        <f t="shared" si="18"/>
        <v>-190445.19</v>
      </c>
      <c r="Y45" s="2"/>
      <c r="Z45" s="19">
        <f t="shared" si="19"/>
        <v>-1</v>
      </c>
    </row>
    <row r="46" spans="1:26" s="24" customFormat="1" hidden="1" outlineLevel="1" x14ac:dyDescent="0.25">
      <c r="A46" s="44"/>
      <c r="B46" s="11" t="str">
        <f>CONCATENATE("          ", "5041", " - ", "PURCHASES @ COST-LOGO GIFTS")</f>
        <v xml:space="preserve">          5041 - PURCHASES @ COST-LOGO GIFTS</v>
      </c>
      <c r="C46" s="11"/>
      <c r="D46" s="2"/>
      <c r="E46" s="2"/>
      <c r="F46" s="19">
        <f t="shared" si="12"/>
        <v>0</v>
      </c>
      <c r="G46" s="2"/>
      <c r="H46" s="2">
        <v>3727.25</v>
      </c>
      <c r="I46" s="2"/>
      <c r="J46" s="19">
        <f t="shared" si="13"/>
        <v>8.5637270185501269E-2</v>
      </c>
      <c r="K46" s="2"/>
      <c r="L46" s="2">
        <f t="shared" si="14"/>
        <v>-3727.25</v>
      </c>
      <c r="M46" s="2"/>
      <c r="N46" s="19">
        <f t="shared" si="15"/>
        <v>-1</v>
      </c>
      <c r="O46" s="11"/>
      <c r="P46" s="2">
        <v>207.6</v>
      </c>
      <c r="Q46" s="2"/>
      <c r="R46" s="19">
        <f t="shared" si="16"/>
        <v>1.1268008051740779E-3</v>
      </c>
      <c r="S46" s="2"/>
      <c r="T46" s="2">
        <v>24980.89</v>
      </c>
      <c r="U46" s="2"/>
      <c r="V46" s="19">
        <f t="shared" si="17"/>
        <v>6.2001552763389922E-2</v>
      </c>
      <c r="W46" s="2"/>
      <c r="X46" s="2">
        <f t="shared" si="18"/>
        <v>-24773.29</v>
      </c>
      <c r="Y46" s="2"/>
      <c r="Z46" s="19">
        <f t="shared" si="19"/>
        <v>-0.99168964756659994</v>
      </c>
    </row>
    <row r="47" spans="1:26" s="24" customFormat="1" hidden="1" outlineLevel="1" x14ac:dyDescent="0.25">
      <c r="A47" s="44"/>
      <c r="B47" s="11" t="str">
        <f>CONCATENATE("          ", "5042", " - ", "PURCHASES @ COST-EVERYDAY GIFT")</f>
        <v xml:space="preserve">          5042 - PURCHASES @ COST-EVERYDAY GIFT</v>
      </c>
      <c r="C47" s="11"/>
      <c r="D47" s="2"/>
      <c r="E47" s="2"/>
      <c r="F47" s="19">
        <f t="shared" si="12"/>
        <v>0</v>
      </c>
      <c r="G47" s="2"/>
      <c r="H47" s="2">
        <v>2086.6</v>
      </c>
      <c r="I47" s="2"/>
      <c r="J47" s="19">
        <f t="shared" si="13"/>
        <v>4.7941707148451793E-2</v>
      </c>
      <c r="K47" s="2"/>
      <c r="L47" s="2">
        <f t="shared" si="14"/>
        <v>-2086.6</v>
      </c>
      <c r="M47" s="2"/>
      <c r="N47" s="19">
        <f t="shared" si="15"/>
        <v>-1</v>
      </c>
      <c r="O47" s="11"/>
      <c r="P47" s="2">
        <v>7946.04</v>
      </c>
      <c r="Q47" s="2"/>
      <c r="R47" s="19">
        <f t="shared" si="16"/>
        <v>4.312911498046932E-2</v>
      </c>
      <c r="S47" s="2"/>
      <c r="T47" s="2">
        <v>19549.95</v>
      </c>
      <c r="U47" s="2"/>
      <c r="V47" s="19">
        <f t="shared" si="17"/>
        <v>4.8522180612725764E-2</v>
      </c>
      <c r="W47" s="2"/>
      <c r="X47" s="2">
        <f t="shared" si="18"/>
        <v>-11603.91</v>
      </c>
      <c r="Y47" s="2"/>
      <c r="Z47" s="19">
        <f t="shared" si="19"/>
        <v>-0.59355190166726768</v>
      </c>
    </row>
    <row r="48" spans="1:26" s="24" customFormat="1" hidden="1" outlineLevel="1" x14ac:dyDescent="0.25">
      <c r="A48" s="44"/>
      <c r="B48" s="11" t="str">
        <f>CONCATENATE("          ", "5043", " - ", "PURCHASES @ COST-CARDS")</f>
        <v xml:space="preserve">          5043 - PURCHASES @ COST-CARDS</v>
      </c>
      <c r="C48" s="11"/>
      <c r="D48" s="2"/>
      <c r="E48" s="2"/>
      <c r="F48" s="19">
        <f t="shared" si="12"/>
        <v>0</v>
      </c>
      <c r="G48" s="2"/>
      <c r="H48" s="2">
        <v>-214</v>
      </c>
      <c r="I48" s="2"/>
      <c r="J48" s="19">
        <f t="shared" si="13"/>
        <v>-4.9168625178609626E-3</v>
      </c>
      <c r="K48" s="2"/>
      <c r="L48" s="2">
        <f t="shared" si="14"/>
        <v>214</v>
      </c>
      <c r="M48" s="2"/>
      <c r="N48" s="19">
        <f t="shared" si="15"/>
        <v>-1</v>
      </c>
      <c r="O48" s="11"/>
      <c r="P48" s="2"/>
      <c r="Q48" s="2"/>
      <c r="R48" s="19">
        <f t="shared" si="16"/>
        <v>0</v>
      </c>
      <c r="S48" s="2"/>
      <c r="T48" s="2">
        <v>154.47</v>
      </c>
      <c r="U48" s="2"/>
      <c r="V48" s="19">
        <f t="shared" si="17"/>
        <v>3.8338825619747098E-4</v>
      </c>
      <c r="W48" s="2"/>
      <c r="X48" s="2">
        <f t="shared" si="18"/>
        <v>-154.47</v>
      </c>
      <c r="Y48" s="2"/>
      <c r="Z48" s="19">
        <f t="shared" si="19"/>
        <v>-1</v>
      </c>
    </row>
    <row r="49" spans="1:26" s="24" customFormat="1" hidden="1" outlineLevel="1" x14ac:dyDescent="0.25">
      <c r="A49" s="44"/>
      <c r="B49" s="11" t="str">
        <f>CONCATENATE("          ", "5044", " - ", "PURCHASES @ COST-ACCESSORIES")</f>
        <v xml:space="preserve">          5044 - PURCHASES @ COST-ACCESSORIES</v>
      </c>
      <c r="C49" s="11"/>
      <c r="D49" s="2"/>
      <c r="E49" s="2"/>
      <c r="F49" s="19">
        <f t="shared" si="12"/>
        <v>0</v>
      </c>
      <c r="G49" s="2"/>
      <c r="H49" s="2">
        <v>187.21</v>
      </c>
      <c r="I49" s="2"/>
      <c r="J49" s="19">
        <f t="shared" si="13"/>
        <v>4.3013356634053774E-3</v>
      </c>
      <c r="K49" s="2"/>
      <c r="L49" s="2">
        <f t="shared" si="14"/>
        <v>-187.21</v>
      </c>
      <c r="M49" s="2"/>
      <c r="N49" s="19">
        <f t="shared" si="15"/>
        <v>-1</v>
      </c>
      <c r="O49" s="11"/>
      <c r="P49" s="2"/>
      <c r="Q49" s="2"/>
      <c r="R49" s="19">
        <f t="shared" si="16"/>
        <v>0</v>
      </c>
      <c r="S49" s="2"/>
      <c r="T49" s="2">
        <v>-4461.9799999999996</v>
      </c>
      <c r="U49" s="2"/>
      <c r="V49" s="19">
        <f t="shared" si="17"/>
        <v>-1.1074452847724422E-2</v>
      </c>
      <c r="W49" s="2"/>
      <c r="X49" s="2">
        <f t="shared" si="18"/>
        <v>4461.9799999999996</v>
      </c>
      <c r="Y49" s="2"/>
      <c r="Z49" s="19">
        <f t="shared" si="19"/>
        <v>-1</v>
      </c>
    </row>
    <row r="50" spans="1:26" s="24" customFormat="1" hidden="1" outlineLevel="1" x14ac:dyDescent="0.25">
      <c r="A50" s="44"/>
      <c r="B50" s="11" t="str">
        <f>CONCATENATE("          ", "5045", " - ", "PURCHASES @ COST-SPECIAL ORDER")</f>
        <v xml:space="preserve">          5045 - PURCHASES @ COST-SPECIAL ORDER</v>
      </c>
      <c r="C50" s="11"/>
      <c r="D50" s="2"/>
      <c r="E50" s="2"/>
      <c r="F50" s="19">
        <f t="shared" si="12"/>
        <v>0</v>
      </c>
      <c r="G50" s="2"/>
      <c r="H50" s="2"/>
      <c r="I50" s="2"/>
      <c r="J50" s="19">
        <f t="shared" si="13"/>
        <v>0</v>
      </c>
      <c r="K50" s="2"/>
      <c r="L50" s="2">
        <f t="shared" si="14"/>
        <v>0</v>
      </c>
      <c r="M50" s="2"/>
      <c r="N50" s="19">
        <f t="shared" si="15"/>
        <v>0</v>
      </c>
      <c r="O50" s="11"/>
      <c r="P50" s="2"/>
      <c r="Q50" s="2"/>
      <c r="R50" s="19">
        <f t="shared" si="16"/>
        <v>0</v>
      </c>
      <c r="S50" s="2"/>
      <c r="T50" s="2">
        <v>-998.2</v>
      </c>
      <c r="U50" s="2"/>
      <c r="V50" s="19">
        <f t="shared" si="17"/>
        <v>-2.4774917934635562E-3</v>
      </c>
      <c r="W50" s="2"/>
      <c r="X50" s="2">
        <f t="shared" si="18"/>
        <v>998.2</v>
      </c>
      <c r="Y50" s="2"/>
      <c r="Z50" s="19">
        <f t="shared" si="19"/>
        <v>-1</v>
      </c>
    </row>
    <row r="51" spans="1:26" s="24" customFormat="1" hidden="1" outlineLevel="1" x14ac:dyDescent="0.25">
      <c r="A51" s="44"/>
      <c r="B51" s="11" t="str">
        <f>CONCATENATE("          ", "5083", " - ", "PURCHASES @ COST-COMPUTER EQUI")</f>
        <v xml:space="preserve">          5083 - PURCHASES @ COST-COMPUTER EQUI</v>
      </c>
      <c r="C51" s="11"/>
      <c r="D51" s="2"/>
      <c r="E51" s="2"/>
      <c r="F51" s="19">
        <f t="shared" si="12"/>
        <v>0</v>
      </c>
      <c r="G51" s="2"/>
      <c r="H51" s="2"/>
      <c r="I51" s="2"/>
      <c r="J51" s="19">
        <f t="shared" si="13"/>
        <v>0</v>
      </c>
      <c r="K51" s="2"/>
      <c r="L51" s="2">
        <f t="shared" si="14"/>
        <v>0</v>
      </c>
      <c r="M51" s="2"/>
      <c r="N51" s="19">
        <f t="shared" si="15"/>
        <v>0</v>
      </c>
      <c r="O51" s="11"/>
      <c r="P51" s="2"/>
      <c r="Q51" s="2"/>
      <c r="R51" s="19">
        <f t="shared" si="16"/>
        <v>0</v>
      </c>
      <c r="S51" s="2"/>
      <c r="T51" s="2">
        <v>90.35</v>
      </c>
      <c r="U51" s="2"/>
      <c r="V51" s="19">
        <f t="shared" si="17"/>
        <v>2.2424502458368294E-4</v>
      </c>
      <c r="W51" s="2"/>
      <c r="X51" s="2">
        <f t="shared" si="18"/>
        <v>-90.35</v>
      </c>
      <c r="Y51" s="2"/>
      <c r="Z51" s="19">
        <f t="shared" si="19"/>
        <v>-1</v>
      </c>
    </row>
    <row r="52" spans="1:26" s="24" customFormat="1" hidden="1" outlineLevel="1" x14ac:dyDescent="0.25">
      <c r="A52" s="44"/>
      <c r="B52" s="11" t="str">
        <f>CONCATENATE("          ", "5086", " - ", "PURCHASES @ COST-COMPUTER SUPP")</f>
        <v xml:space="preserve">          5086 - PURCHASES @ COST-COMPUTER SUPP</v>
      </c>
      <c r="C52" s="11"/>
      <c r="D52" s="2">
        <v>13.21</v>
      </c>
      <c r="E52" s="2"/>
      <c r="F52" s="19">
        <f t="shared" si="12"/>
        <v>6.4225295139783622E-4</v>
      </c>
      <c r="G52" s="2"/>
      <c r="H52" s="2"/>
      <c r="I52" s="2"/>
      <c r="J52" s="19">
        <f t="shared" si="13"/>
        <v>0</v>
      </c>
      <c r="K52" s="2"/>
      <c r="L52" s="2">
        <f t="shared" si="14"/>
        <v>13.21</v>
      </c>
      <c r="M52" s="2"/>
      <c r="N52" s="19">
        <f t="shared" si="15"/>
        <v>0</v>
      </c>
      <c r="O52" s="11"/>
      <c r="P52" s="2">
        <v>13.21</v>
      </c>
      <c r="Q52" s="2"/>
      <c r="R52" s="19">
        <f t="shared" si="16"/>
        <v>7.1700571466038398E-5</v>
      </c>
      <c r="S52" s="2"/>
      <c r="T52" s="2"/>
      <c r="U52" s="2"/>
      <c r="V52" s="19">
        <f t="shared" si="17"/>
        <v>0</v>
      </c>
      <c r="W52" s="2"/>
      <c r="X52" s="2">
        <f t="shared" si="18"/>
        <v>13.21</v>
      </c>
      <c r="Y52" s="2"/>
      <c r="Z52" s="19">
        <f t="shared" si="19"/>
        <v>0</v>
      </c>
    </row>
    <row r="53" spans="1:26" s="24" customFormat="1" hidden="1" outlineLevel="1" x14ac:dyDescent="0.25">
      <c r="A53" s="44"/>
      <c r="B53" s="11" t="str">
        <f>CONCATENATE("          ", "5092", " - ", "PURCHASES @ COST-GRAD MERCH")</f>
        <v xml:space="preserve">          5092 - PURCHASES @ COST-GRAD MERCH</v>
      </c>
      <c r="C53" s="11"/>
      <c r="D53" s="2"/>
      <c r="E53" s="2"/>
      <c r="F53" s="19">
        <f t="shared" si="12"/>
        <v>0</v>
      </c>
      <c r="G53" s="2"/>
      <c r="H53" s="2"/>
      <c r="I53" s="2"/>
      <c r="J53" s="19">
        <f t="shared" si="13"/>
        <v>0</v>
      </c>
      <c r="K53" s="2"/>
      <c r="L53" s="2">
        <f t="shared" si="14"/>
        <v>0</v>
      </c>
      <c r="M53" s="2"/>
      <c r="N53" s="19">
        <f t="shared" si="15"/>
        <v>0</v>
      </c>
      <c r="O53" s="11"/>
      <c r="P53" s="2"/>
      <c r="Q53" s="2"/>
      <c r="R53" s="19">
        <f t="shared" si="16"/>
        <v>0</v>
      </c>
      <c r="S53" s="2"/>
      <c r="T53" s="2">
        <v>-60.35</v>
      </c>
      <c r="U53" s="2"/>
      <c r="V53" s="19">
        <f t="shared" si="17"/>
        <v>-1.497862449764833E-4</v>
      </c>
      <c r="W53" s="2"/>
      <c r="X53" s="2">
        <f t="shared" si="18"/>
        <v>60.35</v>
      </c>
      <c r="Y53" s="2"/>
      <c r="Z53" s="19">
        <f t="shared" si="19"/>
        <v>-1</v>
      </c>
    </row>
    <row r="54" spans="1:26" s="24" customFormat="1" hidden="1" outlineLevel="1" x14ac:dyDescent="0.25">
      <c r="A54" s="44"/>
      <c r="B54" s="11" t="str">
        <f>CONCATENATE("          ", "5095", " - ", "PURCHASES @ COST-CUSTOMER SERV")</f>
        <v xml:space="preserve">          5095 - PURCHASES @ COST-CUSTOMER SERV</v>
      </c>
      <c r="C54" s="11"/>
      <c r="D54" s="2"/>
      <c r="E54" s="2"/>
      <c r="F54" s="19">
        <f t="shared" si="12"/>
        <v>0</v>
      </c>
      <c r="G54" s="2"/>
      <c r="H54" s="2"/>
      <c r="I54" s="2"/>
      <c r="J54" s="19">
        <f t="shared" si="13"/>
        <v>0</v>
      </c>
      <c r="K54" s="2"/>
      <c r="L54" s="2">
        <f t="shared" si="14"/>
        <v>0</v>
      </c>
      <c r="M54" s="2"/>
      <c r="N54" s="19">
        <f t="shared" si="15"/>
        <v>0</v>
      </c>
      <c r="O54" s="11"/>
      <c r="P54" s="2"/>
      <c r="Q54" s="2"/>
      <c r="R54" s="19">
        <f t="shared" si="16"/>
        <v>0</v>
      </c>
      <c r="S54" s="2"/>
      <c r="T54" s="2">
        <v>-11.85</v>
      </c>
      <c r="U54" s="2"/>
      <c r="V54" s="19">
        <f t="shared" si="17"/>
        <v>-2.941121794484386E-5</v>
      </c>
      <c r="W54" s="2"/>
      <c r="X54" s="2">
        <f t="shared" si="18"/>
        <v>11.85</v>
      </c>
      <c r="Y54" s="2"/>
      <c r="Z54" s="19">
        <f t="shared" si="19"/>
        <v>-1</v>
      </c>
    </row>
    <row r="55" spans="1:26" s="24" customFormat="1" hidden="1" outlineLevel="1" x14ac:dyDescent="0.25">
      <c r="A55" s="44"/>
      <c r="B55" s="11" t="str">
        <f>CONCATENATE("          ", "5200", " - ", "PURCHASES OFFSET")</f>
        <v xml:space="preserve">          5200 - PURCHASES OFFSET</v>
      </c>
      <c r="C55" s="11"/>
      <c r="D55" s="2">
        <v>-13.21</v>
      </c>
      <c r="E55" s="2"/>
      <c r="F55" s="19">
        <f t="shared" si="12"/>
        <v>-6.4225295139783622E-4</v>
      </c>
      <c r="G55" s="2"/>
      <c r="H55" s="2">
        <v>-45409</v>
      </c>
      <c r="I55" s="2"/>
      <c r="J55" s="19">
        <f t="shared" si="13"/>
        <v>-1.0433168695025627</v>
      </c>
      <c r="K55" s="2"/>
      <c r="L55" s="2">
        <f t="shared" si="14"/>
        <v>45395.79</v>
      </c>
      <c r="M55" s="2"/>
      <c r="N55" s="19">
        <f t="shared" si="15"/>
        <v>-0.99970908850668372</v>
      </c>
      <c r="O55" s="11"/>
      <c r="P55" s="2">
        <v>-8166.85</v>
      </c>
      <c r="Q55" s="2"/>
      <c r="R55" s="19">
        <f t="shared" si="16"/>
        <v>-4.4327616357109439E-2</v>
      </c>
      <c r="S55" s="2"/>
      <c r="T55" s="2">
        <v>-193121</v>
      </c>
      <c r="U55" s="2"/>
      <c r="V55" s="19">
        <f t="shared" si="17"/>
        <v>-0.47931846588406679</v>
      </c>
      <c r="W55" s="2"/>
      <c r="X55" s="2">
        <f t="shared" si="18"/>
        <v>184954.15</v>
      </c>
      <c r="Y55" s="2"/>
      <c r="Z55" s="19">
        <f t="shared" si="19"/>
        <v>-0.95771122767591299</v>
      </c>
    </row>
    <row r="56" spans="1:26" s="24" customFormat="1" hidden="1" outlineLevel="1" x14ac:dyDescent="0.25">
      <c r="A56" s="44"/>
      <c r="B56" s="11" t="str">
        <f>CONCATENATE("          ", "5300", " - ", "COG$ OFFSET")</f>
        <v xml:space="preserve">          5300 - COG$ OFFSET</v>
      </c>
      <c r="C56" s="11"/>
      <c r="D56" s="2">
        <v>9395</v>
      </c>
      <c r="E56" s="2"/>
      <c r="F56" s="19">
        <f t="shared" si="12"/>
        <v>0.45677263273146634</v>
      </c>
      <c r="G56" s="2"/>
      <c r="H56" s="2">
        <v>50763</v>
      </c>
      <c r="I56" s="2"/>
      <c r="J56" s="19">
        <f t="shared" si="13"/>
        <v>1.1663303364213833</v>
      </c>
      <c r="K56" s="2"/>
      <c r="L56" s="2">
        <f t="shared" si="14"/>
        <v>-41368</v>
      </c>
      <c r="M56" s="2"/>
      <c r="N56" s="19">
        <f t="shared" si="15"/>
        <v>-0.81492425585564288</v>
      </c>
      <c r="O56" s="11"/>
      <c r="P56" s="2">
        <v>82274</v>
      </c>
      <c r="Q56" s="2"/>
      <c r="R56" s="19">
        <f t="shared" si="16"/>
        <v>0.44656266591951876</v>
      </c>
      <c r="S56" s="2"/>
      <c r="T56" s="2">
        <v>133667</v>
      </c>
      <c r="U56" s="2"/>
      <c r="V56" s="19">
        <f t="shared" si="17"/>
        <v>0.33175605645851852</v>
      </c>
      <c r="W56" s="2"/>
      <c r="X56" s="2">
        <f t="shared" si="18"/>
        <v>-51393</v>
      </c>
      <c r="Y56" s="2"/>
      <c r="Z56" s="19">
        <f t="shared" si="19"/>
        <v>-0.38448532547300379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9" t="s">
        <v>6</v>
      </c>
      <c r="C58" s="29"/>
      <c r="D58" s="22">
        <f>D12-D40</f>
        <v>11173.219999999998</v>
      </c>
      <c r="E58" s="14"/>
      <c r="F58" s="20">
        <f>IF(D$12=0,0,D58/D$12)</f>
        <v>0.5432273672685336</v>
      </c>
      <c r="G58" s="14"/>
      <c r="H58" s="22">
        <f>H12-H40</f>
        <v>16861.690000000002</v>
      </c>
      <c r="I58" s="14"/>
      <c r="J58" s="20">
        <f>IF(H$12=0,0,H58/H$12)</f>
        <v>0.38741407265790195</v>
      </c>
      <c r="K58" s="16"/>
      <c r="L58" s="22">
        <f>+D58-H58</f>
        <v>-5688.4700000000048</v>
      </c>
      <c r="M58" s="16"/>
      <c r="N58" s="20">
        <f>IF(H58=0,0,L58/H58)</f>
        <v>-0.33736060857482281</v>
      </c>
      <c r="O58" s="28"/>
      <c r="P58" s="22">
        <f>P12-P40</f>
        <v>101964.42000000004</v>
      </c>
      <c r="Q58" s="14"/>
      <c r="R58" s="20">
        <f>IF(P$12=0,0,P58/P$12)</f>
        <v>0.55343733408048124</v>
      </c>
      <c r="S58" s="14"/>
      <c r="T58" s="22">
        <f>T12-T40</f>
        <v>231113.68000000008</v>
      </c>
      <c r="U58" s="14"/>
      <c r="V58" s="20">
        <f>IF(T$12=0,0,T58/T$12)</f>
        <v>0.57361475211096236</v>
      </c>
      <c r="W58" s="16"/>
      <c r="X58" s="22">
        <f>+P58-T58</f>
        <v>-129149.26000000004</v>
      </c>
      <c r="Y58" s="16"/>
      <c r="Z58" s="20">
        <f>IF(T58=0,0,X58/T58)</f>
        <v>-0.55881270204342726</v>
      </c>
    </row>
    <row r="59" spans="1:26" x14ac:dyDescent="0.25">
      <c r="A59" s="9"/>
      <c r="B59" s="10"/>
      <c r="C59" s="9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8" t="s">
        <v>9</v>
      </c>
      <c r="C60" s="10"/>
      <c r="D60" s="21">
        <f>SUM(OSRRefD22x_0)</f>
        <v>19113.539999999997</v>
      </c>
      <c r="E60" s="21"/>
      <c r="F60" s="32">
        <f t="shared" ref="F60:F69" si="20">IF(D$12=0,0,D60/D$12)</f>
        <v>0.9292753578092805</v>
      </c>
      <c r="G60" s="21"/>
      <c r="H60" s="21">
        <f>SUM(OSRRefH22x_0)</f>
        <v>33354</v>
      </c>
      <c r="I60" s="21"/>
      <c r="J60" s="32">
        <f t="shared" ref="J60:J69" si="21">IF(H$12=0,0,H60/H$12)</f>
        <v>0.76634127299408661</v>
      </c>
      <c r="K60" s="4"/>
      <c r="L60" s="21">
        <f t="shared" ref="L60:L69" si="22">+D60-H60</f>
        <v>-14240.460000000003</v>
      </c>
      <c r="M60" s="4"/>
      <c r="N60" s="32">
        <f t="shared" ref="N60:N69" si="23">IF(H60=0,0,L60/H60)</f>
        <v>-0.42694909156323085</v>
      </c>
      <c r="O60" s="10"/>
      <c r="P60" s="21">
        <f>SUM(OSRRefP22x_0)</f>
        <v>171840.43</v>
      </c>
      <c r="Q60" s="21"/>
      <c r="R60" s="32">
        <f t="shared" ref="R60:R69" si="24">IF(P$12=0,0,P60/P$12)</f>
        <v>0.93270681544055767</v>
      </c>
      <c r="S60" s="21"/>
      <c r="T60" s="21">
        <f>SUM(OSRRefT22x_0)</f>
        <v>255842.51</v>
      </c>
      <c r="U60" s="21"/>
      <c r="V60" s="32">
        <f t="shared" ref="V60:V69" si="25">IF(T$12=0,0,T60/T$12)</f>
        <v>0.63499070220809239</v>
      </c>
      <c r="W60" s="4"/>
      <c r="X60" s="21">
        <f t="shared" ref="X60:X69" si="26">+P60-T60</f>
        <v>-84002.080000000016</v>
      </c>
      <c r="Y60" s="4"/>
      <c r="Z60" s="32">
        <f t="shared" ref="Z60:Z69" si="27">IF(T60=0,0,X60/T60)</f>
        <v>-0.32833511522381487</v>
      </c>
    </row>
    <row r="61" spans="1:26" s="25" customFormat="1" outlineLevel="1" collapsed="1" x14ac:dyDescent="0.25">
      <c r="A61" s="27"/>
      <c r="B61" s="13" t="str">
        <f>CONCATENATE("     ","*Benefits                                         ")</f>
        <v xml:space="preserve">     *Benefits                                         </v>
      </c>
      <c r="C61" s="13"/>
      <c r="D61" s="1">
        <f>SUM(OSRRefD22_0x_0)</f>
        <v>3683.69</v>
      </c>
      <c r="E61" s="1"/>
      <c r="F61" s="5">
        <f t="shared" si="20"/>
        <v>0.17909619792087017</v>
      </c>
      <c r="G61" s="1"/>
      <c r="H61" s="1">
        <f>SUM(OSRRefH22_0x_0)</f>
        <v>1931.5</v>
      </c>
      <c r="I61" s="1"/>
      <c r="J61" s="5">
        <f t="shared" si="21"/>
        <v>4.4378130622656303E-2</v>
      </c>
      <c r="K61" s="1"/>
      <c r="L61" s="1">
        <f t="shared" si="22"/>
        <v>1752.19</v>
      </c>
      <c r="M61" s="1"/>
      <c r="N61" s="5">
        <f t="shared" si="23"/>
        <v>0.9071654154801968</v>
      </c>
      <c r="O61" s="13"/>
      <c r="P61" s="1">
        <f>SUM(OSRRefP22_0x_0)</f>
        <v>39494.699999999997</v>
      </c>
      <c r="Q61" s="1"/>
      <c r="R61" s="5">
        <f t="shared" si="24"/>
        <v>0.21436733988491644</v>
      </c>
      <c r="S61" s="1"/>
      <c r="T61" s="1">
        <f>SUM(OSRRefT22_0x_0)</f>
        <v>16579.849999999999</v>
      </c>
      <c r="U61" s="1"/>
      <c r="V61" s="5">
        <f t="shared" si="25"/>
        <v>4.1150513235680967E-2</v>
      </c>
      <c r="W61" s="1"/>
      <c r="X61" s="1">
        <f t="shared" si="26"/>
        <v>22914.85</v>
      </c>
      <c r="Y61" s="1"/>
      <c r="Z61" s="5">
        <f t="shared" si="27"/>
        <v>1.3820903084165419</v>
      </c>
    </row>
    <row r="62" spans="1:26" s="24" customFormat="1" hidden="1" outlineLevel="2" x14ac:dyDescent="0.25">
      <c r="A62" s="26"/>
      <c r="B62" s="11" t="str">
        <f>CONCATENATE("          ", "6111", " - ", "F.I.C.A.")</f>
        <v xml:space="preserve">          6111 - F.I.C.A.</v>
      </c>
      <c r="C62" s="11"/>
      <c r="D62" s="6">
        <v>511.97</v>
      </c>
      <c r="E62" s="2"/>
      <c r="F62" s="7">
        <f t="shared" si="20"/>
        <v>2.4891312908943995E-2</v>
      </c>
      <c r="G62" s="2"/>
      <c r="H62" s="6">
        <v>335.22</v>
      </c>
      <c r="I62" s="2"/>
      <c r="J62" s="7">
        <f t="shared" si="21"/>
        <v>7.7020123983053829E-3</v>
      </c>
      <c r="K62" s="2"/>
      <c r="L62" s="6">
        <f t="shared" si="22"/>
        <v>176.75</v>
      </c>
      <c r="M62" s="2"/>
      <c r="N62" s="7">
        <f t="shared" si="23"/>
        <v>0.5272656762722987</v>
      </c>
      <c r="O62" s="11"/>
      <c r="P62" s="6">
        <v>5532.87</v>
      </c>
      <c r="Q62" s="2"/>
      <c r="R62" s="7">
        <f t="shared" si="24"/>
        <v>3.0031032615238443E-2</v>
      </c>
      <c r="S62" s="2"/>
      <c r="T62" s="6">
        <v>3457.8</v>
      </c>
      <c r="U62" s="2"/>
      <c r="V62" s="7">
        <f t="shared" si="25"/>
        <v>8.5821189375258327E-3</v>
      </c>
      <c r="W62" s="2"/>
      <c r="X62" s="6">
        <f t="shared" si="26"/>
        <v>2075.0699999999997</v>
      </c>
      <c r="Y62" s="2"/>
      <c r="Z62" s="7">
        <f t="shared" si="27"/>
        <v>0.60011278847822302</v>
      </c>
    </row>
    <row r="63" spans="1:26" s="24" customFormat="1" hidden="1" outlineLevel="2" x14ac:dyDescent="0.25">
      <c r="A63" s="26"/>
      <c r="B63" s="11" t="str">
        <f>CONCATENATE("          ", "6112", " - ", "COMPENSATION INSURANCE")</f>
        <v xml:space="preserve">          6112 - COMPENSATION INSURANCE</v>
      </c>
      <c r="C63" s="11"/>
      <c r="D63" s="6">
        <v>151.97999999999999</v>
      </c>
      <c r="E63" s="2"/>
      <c r="F63" s="7">
        <f t="shared" si="20"/>
        <v>7.3890691562031137E-3</v>
      </c>
      <c r="G63" s="2"/>
      <c r="H63" s="6">
        <v>178.81</v>
      </c>
      <c r="I63" s="2"/>
      <c r="J63" s="7">
        <f t="shared" si="21"/>
        <v>4.1083373215827978E-3</v>
      </c>
      <c r="K63" s="2"/>
      <c r="L63" s="6">
        <f t="shared" si="22"/>
        <v>-26.830000000000013</v>
      </c>
      <c r="M63" s="2"/>
      <c r="N63" s="7">
        <f t="shared" si="23"/>
        <v>-0.15004753649124777</v>
      </c>
      <c r="O63" s="11"/>
      <c r="P63" s="6">
        <v>1915.03</v>
      </c>
      <c r="Q63" s="2"/>
      <c r="R63" s="7">
        <f t="shared" si="24"/>
        <v>1.0394303207767411E-2</v>
      </c>
      <c r="S63" s="2"/>
      <c r="T63" s="6">
        <v>1362.75</v>
      </c>
      <c r="U63" s="2"/>
      <c r="V63" s="7">
        <f t="shared" si="25"/>
        <v>3.3822900636570441E-3</v>
      </c>
      <c r="W63" s="2"/>
      <c r="X63" s="6">
        <f t="shared" si="26"/>
        <v>552.28</v>
      </c>
      <c r="Y63" s="2"/>
      <c r="Z63" s="7">
        <f t="shared" si="27"/>
        <v>0.40526875802605022</v>
      </c>
    </row>
    <row r="64" spans="1:26" s="24" customFormat="1" hidden="1" outlineLevel="2" x14ac:dyDescent="0.25">
      <c r="A64" s="26"/>
      <c r="B64" s="11" t="str">
        <f>CONCATENATE("          ", "6113", " - ", "GROUP INSURANCE")</f>
        <v xml:space="preserve">          6113 - GROUP INSURANCE</v>
      </c>
      <c r="C64" s="11"/>
      <c r="D64" s="6">
        <v>2002.18</v>
      </c>
      <c r="E64" s="2"/>
      <c r="F64" s="7">
        <f t="shared" si="20"/>
        <v>9.7343377307321705E-2</v>
      </c>
      <c r="G64" s="2"/>
      <c r="H64" s="6">
        <v>988.45</v>
      </c>
      <c r="I64" s="2"/>
      <c r="J64" s="7">
        <f t="shared" si="21"/>
        <v>2.2710620354110599E-2</v>
      </c>
      <c r="K64" s="2"/>
      <c r="L64" s="6">
        <f t="shared" si="22"/>
        <v>1013.73</v>
      </c>
      <c r="M64" s="2"/>
      <c r="N64" s="7">
        <f t="shared" si="23"/>
        <v>1.0255753958217411</v>
      </c>
      <c r="O64" s="11"/>
      <c r="P64" s="6">
        <v>20294.22</v>
      </c>
      <c r="Q64" s="2"/>
      <c r="R64" s="7">
        <f t="shared" si="24"/>
        <v>0.11015194333516319</v>
      </c>
      <c r="S64" s="2"/>
      <c r="T64" s="6">
        <v>7320.66</v>
      </c>
      <c r="U64" s="2"/>
      <c r="V64" s="7">
        <f t="shared" si="25"/>
        <v>1.8169580317308073E-2</v>
      </c>
      <c r="W64" s="2"/>
      <c r="X64" s="6">
        <f t="shared" si="26"/>
        <v>12973.560000000001</v>
      </c>
      <c r="Y64" s="2"/>
      <c r="Z64" s="7">
        <f t="shared" si="27"/>
        <v>1.7721844751702718</v>
      </c>
    </row>
    <row r="65" spans="1:26" s="24" customFormat="1" hidden="1" outlineLevel="2" x14ac:dyDescent="0.25">
      <c r="A65" s="26"/>
      <c r="B65" s="11" t="str">
        <f>CONCATENATE("          ", "6114", " - ", "STATE UNEMPLOYMENT INSURANCE")</f>
        <v xml:space="preserve">          6114 - STATE UNEMPLOYMENT INSURANCE</v>
      </c>
      <c r="C65" s="11"/>
      <c r="D65" s="6">
        <v>21.36</v>
      </c>
      <c r="E65" s="2"/>
      <c r="F65" s="7">
        <f t="shared" si="20"/>
        <v>1.0384953097545631E-3</v>
      </c>
      <c r="G65" s="2"/>
      <c r="H65" s="6">
        <v>24.47</v>
      </c>
      <c r="I65" s="2"/>
      <c r="J65" s="7">
        <f t="shared" si="21"/>
        <v>5.622225505236343E-4</v>
      </c>
      <c r="K65" s="2"/>
      <c r="L65" s="6">
        <f t="shared" si="22"/>
        <v>-3.1099999999999994</v>
      </c>
      <c r="M65" s="2"/>
      <c r="N65" s="7">
        <f t="shared" si="23"/>
        <v>-0.12709440130772373</v>
      </c>
      <c r="O65" s="11"/>
      <c r="P65" s="6">
        <v>242.8</v>
      </c>
      <c r="Q65" s="2"/>
      <c r="R65" s="7">
        <f t="shared" si="24"/>
        <v>1.3178575890956943E-3</v>
      </c>
      <c r="S65" s="2"/>
      <c r="T65" s="6">
        <v>219.19</v>
      </c>
      <c r="U65" s="2"/>
      <c r="V65" s="7">
        <f t="shared" si="25"/>
        <v>5.4402066340340305E-4</v>
      </c>
      <c r="W65" s="2"/>
      <c r="X65" s="6">
        <f t="shared" si="26"/>
        <v>23.610000000000014</v>
      </c>
      <c r="Y65" s="2"/>
      <c r="Z65" s="7">
        <f t="shared" si="27"/>
        <v>0.10771476800948955</v>
      </c>
    </row>
    <row r="66" spans="1:26" s="24" customFormat="1" hidden="1" outlineLevel="2" x14ac:dyDescent="0.25">
      <c r="A66" s="26"/>
      <c r="B66" s="11" t="str">
        <f>CONCATENATE("          ", "6115", " - ", "P.E.R.S.")</f>
        <v xml:space="preserve">          6115 - P.E.R.S.</v>
      </c>
      <c r="C66" s="11"/>
      <c r="D66" s="6">
        <v>344.01</v>
      </c>
      <c r="E66" s="2"/>
      <c r="F66" s="7">
        <f t="shared" si="20"/>
        <v>1.6725317018196035E-2</v>
      </c>
      <c r="G66" s="2"/>
      <c r="H66" s="6">
        <v>155.82</v>
      </c>
      <c r="I66" s="2"/>
      <c r="J66" s="7">
        <f t="shared" si="21"/>
        <v>3.5801192408088556E-3</v>
      </c>
      <c r="K66" s="2"/>
      <c r="L66" s="6">
        <f t="shared" si="22"/>
        <v>188.19</v>
      </c>
      <c r="M66" s="2"/>
      <c r="N66" s="7">
        <f t="shared" si="23"/>
        <v>1.2077396996534464</v>
      </c>
      <c r="O66" s="11"/>
      <c r="P66" s="6">
        <v>3132.33</v>
      </c>
      <c r="Q66" s="2"/>
      <c r="R66" s="7">
        <f t="shared" si="24"/>
        <v>1.7001502726738532E-2</v>
      </c>
      <c r="S66" s="2"/>
      <c r="T66" s="6">
        <v>1543.3</v>
      </c>
      <c r="U66" s="2"/>
      <c r="V66" s="7">
        <f t="shared" si="25"/>
        <v>3.8304078189263738E-3</v>
      </c>
      <c r="W66" s="2"/>
      <c r="X66" s="6">
        <f t="shared" si="26"/>
        <v>1589.03</v>
      </c>
      <c r="Y66" s="2"/>
      <c r="Z66" s="7">
        <f t="shared" si="27"/>
        <v>1.0296313095315233</v>
      </c>
    </row>
    <row r="67" spans="1:26" s="24" customFormat="1" hidden="1" outlineLevel="2" x14ac:dyDescent="0.25">
      <c r="A67" s="26"/>
      <c r="B67" s="11" t="str">
        <f>CONCATENATE("          ", "6118", " - ", "VACATION")</f>
        <v xml:space="preserve">          6118 - VACATION</v>
      </c>
      <c r="C67" s="11"/>
      <c r="D67" s="6">
        <v>342.56</v>
      </c>
      <c r="E67" s="2"/>
      <c r="F67" s="7">
        <f t="shared" si="20"/>
        <v>1.665481991149453E-2</v>
      </c>
      <c r="G67" s="2"/>
      <c r="H67" s="6">
        <v>145.84</v>
      </c>
      <c r="I67" s="2"/>
      <c r="J67" s="7">
        <f t="shared" si="21"/>
        <v>3.3508188299291716E-3</v>
      </c>
      <c r="K67" s="2"/>
      <c r="L67" s="6">
        <f t="shared" si="22"/>
        <v>196.72</v>
      </c>
      <c r="M67" s="2"/>
      <c r="N67" s="7">
        <f t="shared" si="23"/>
        <v>1.348875479978058</v>
      </c>
      <c r="O67" s="11"/>
      <c r="P67" s="6">
        <v>3927.06</v>
      </c>
      <c r="Q67" s="2"/>
      <c r="R67" s="7">
        <f t="shared" si="24"/>
        <v>2.1315098121227914E-2</v>
      </c>
      <c r="S67" s="2"/>
      <c r="T67" s="6">
        <v>1596.84</v>
      </c>
      <c r="U67" s="2"/>
      <c r="V67" s="7">
        <f t="shared" si="25"/>
        <v>3.9632919209320223E-3</v>
      </c>
      <c r="W67" s="2"/>
      <c r="X67" s="6">
        <f t="shared" si="26"/>
        <v>2330.2200000000003</v>
      </c>
      <c r="Y67" s="2"/>
      <c r="Z67" s="7">
        <f t="shared" si="27"/>
        <v>1.4592695573758174</v>
      </c>
    </row>
    <row r="68" spans="1:26" s="24" customFormat="1" hidden="1" outlineLevel="2" x14ac:dyDescent="0.25">
      <c r="A68" s="26"/>
      <c r="B68" s="11" t="str">
        <f>CONCATENATE("          ", "6119", " - ", "SICK LEAVE")</f>
        <v xml:space="preserve">          6119 - SICK LEAVE</v>
      </c>
      <c r="C68" s="11"/>
      <c r="D68" s="6">
        <v>216.08</v>
      </c>
      <c r="E68" s="2"/>
      <c r="F68" s="7">
        <f t="shared" si="20"/>
        <v>1.0505527459352343E-2</v>
      </c>
      <c r="G68" s="2"/>
      <c r="H68" s="6">
        <v>102.89</v>
      </c>
      <c r="I68" s="2"/>
      <c r="J68" s="7">
        <f t="shared" si="21"/>
        <v>2.3639999273958618E-3</v>
      </c>
      <c r="K68" s="2"/>
      <c r="L68" s="6">
        <f t="shared" si="22"/>
        <v>113.19000000000001</v>
      </c>
      <c r="M68" s="2"/>
      <c r="N68" s="7">
        <f t="shared" si="23"/>
        <v>1.1001069102925456</v>
      </c>
      <c r="O68" s="11"/>
      <c r="P68" s="6">
        <v>3227.67</v>
      </c>
      <c r="Q68" s="2"/>
      <c r="R68" s="7">
        <f t="shared" si="24"/>
        <v>1.7518984368189865E-2</v>
      </c>
      <c r="S68" s="2"/>
      <c r="T68" s="6">
        <v>589.80999999999995</v>
      </c>
      <c r="U68" s="2"/>
      <c r="V68" s="7">
        <f t="shared" si="25"/>
        <v>1.4638844266707473E-3</v>
      </c>
      <c r="W68" s="2"/>
      <c r="X68" s="6">
        <f t="shared" si="26"/>
        <v>2637.86</v>
      </c>
      <c r="Y68" s="2"/>
      <c r="Z68" s="7">
        <f t="shared" si="27"/>
        <v>4.472389413539954</v>
      </c>
    </row>
    <row r="69" spans="1:26" s="24" customFormat="1" hidden="1" outlineLevel="2" x14ac:dyDescent="0.25">
      <c r="A69" s="26"/>
      <c r="B69" s="11" t="str">
        <f>CONCATENATE("          ", "6156", " - ", "EMPLOYEE MEALS")</f>
        <v xml:space="preserve">          6156 - EMPLOYEE MEALS</v>
      </c>
      <c r="C69" s="11"/>
      <c r="D69" s="6">
        <v>93.55</v>
      </c>
      <c r="E69" s="2"/>
      <c r="F69" s="7">
        <f t="shared" si="20"/>
        <v>4.5482788496039039E-3</v>
      </c>
      <c r="G69" s="2"/>
      <c r="H69" s="6"/>
      <c r="I69" s="2"/>
      <c r="J69" s="7">
        <f t="shared" si="21"/>
        <v>0</v>
      </c>
      <c r="K69" s="2"/>
      <c r="L69" s="6">
        <f t="shared" si="22"/>
        <v>93.55</v>
      </c>
      <c r="M69" s="2"/>
      <c r="N69" s="7">
        <f t="shared" si="23"/>
        <v>0</v>
      </c>
      <c r="O69" s="11"/>
      <c r="P69" s="6">
        <v>1222.72</v>
      </c>
      <c r="Q69" s="2"/>
      <c r="R69" s="7">
        <f t="shared" si="24"/>
        <v>6.6366179214954173E-3</v>
      </c>
      <c r="S69" s="2"/>
      <c r="T69" s="6">
        <v>489.5</v>
      </c>
      <c r="U69" s="2"/>
      <c r="V69" s="7">
        <f t="shared" si="25"/>
        <v>1.2149190872574743E-3</v>
      </c>
      <c r="W69" s="2"/>
      <c r="X69" s="6">
        <f t="shared" si="26"/>
        <v>733.22</v>
      </c>
      <c r="Y69" s="2"/>
      <c r="Z69" s="7">
        <f t="shared" si="27"/>
        <v>1.4978958120531154</v>
      </c>
    </row>
    <row r="70" spans="1:26" s="25" customFormat="1" outlineLevel="1" collapsed="1" x14ac:dyDescent="0.25">
      <c r="A70" s="27"/>
      <c r="B70" s="13" t="str">
        <f>CONCATENATE("     ","*Payroll                                          ")</f>
        <v xml:space="preserve">     *Payroll                                          </v>
      </c>
      <c r="C70" s="13"/>
      <c r="D70" s="1">
        <f>SUM(OSRRefD22_1x_0)</f>
        <v>7815.2500000000009</v>
      </c>
      <c r="E70" s="1"/>
      <c r="F70" s="5">
        <f t="shared" ref="F70:F76" si="28">IF(D$12=0,0,D70/D$12)</f>
        <v>0.37996725044753515</v>
      </c>
      <c r="G70" s="1"/>
      <c r="H70" s="1">
        <f>SUM(OSRRefH22_1x_0)</f>
        <v>11818.57</v>
      </c>
      <c r="I70" s="1"/>
      <c r="J70" s="5">
        <f t="shared" ref="J70:J76" si="29">IF(H$12=0,0,H70/H$12)</f>
        <v>0.27154338246596277</v>
      </c>
      <c r="K70" s="1"/>
      <c r="L70" s="1">
        <f t="shared" ref="L70:L76" si="30">+D70-H70</f>
        <v>-4003.3199999999988</v>
      </c>
      <c r="M70" s="1"/>
      <c r="N70" s="5">
        <f t="shared" ref="N70:N76" si="31">IF(H70=0,0,L70/H70)</f>
        <v>-0.33873133551690254</v>
      </c>
      <c r="O70" s="13"/>
      <c r="P70" s="1">
        <f>SUM(OSRRefP22_1x_0)</f>
        <v>65791.88</v>
      </c>
      <c r="Q70" s="1"/>
      <c r="R70" s="5">
        <f t="shared" ref="R70:R76" si="32">IF(P$12=0,0,P70/P$12)</f>
        <v>0.35710184661809402</v>
      </c>
      <c r="S70" s="1"/>
      <c r="T70" s="1">
        <f>SUM(OSRRefT22_1x_0)</f>
        <v>90359.89</v>
      </c>
      <c r="U70" s="1"/>
      <c r="V70" s="5">
        <f t="shared" ref="V70:V76" si="33">IF(T$12=0,0,T70/T$12)</f>
        <v>0.22426957116136012</v>
      </c>
      <c r="W70" s="1"/>
      <c r="X70" s="1">
        <f t="shared" ref="X70:X76" si="34">+P70-T70</f>
        <v>-24568.009999999995</v>
      </c>
      <c r="Y70" s="1"/>
      <c r="Z70" s="5">
        <f t="shared" ref="Z70:Z76" si="35">IF(T70=0,0,X70/T70)</f>
        <v>-0.27189065856543204</v>
      </c>
    </row>
    <row r="71" spans="1:26" s="24" customFormat="1" hidden="1" outlineLevel="2" x14ac:dyDescent="0.25">
      <c r="A71" s="26"/>
      <c r="B71" s="11" t="str">
        <f>CONCATENATE("          ", "6002", " - ", "STAFF SALARIES")</f>
        <v xml:space="preserve">          6002 - STAFF SALARIES</v>
      </c>
      <c r="C71" s="11"/>
      <c r="D71" s="6">
        <v>4525.38</v>
      </c>
      <c r="E71" s="2"/>
      <c r="F71" s="7">
        <f t="shared" si="28"/>
        <v>0.22001806670679333</v>
      </c>
      <c r="G71" s="2"/>
      <c r="H71" s="6">
        <v>2788.76</v>
      </c>
      <c r="I71" s="2"/>
      <c r="J71" s="7">
        <f t="shared" si="29"/>
        <v>6.4074530445373548E-2</v>
      </c>
      <c r="K71" s="2"/>
      <c r="L71" s="6">
        <f t="shared" si="30"/>
        <v>1736.62</v>
      </c>
      <c r="M71" s="2"/>
      <c r="N71" s="7">
        <f t="shared" si="31"/>
        <v>0.62272120942641163</v>
      </c>
      <c r="O71" s="11"/>
      <c r="P71" s="6">
        <v>38095.26</v>
      </c>
      <c r="Q71" s="2"/>
      <c r="R71" s="7">
        <f t="shared" si="32"/>
        <v>0.20677153006414184</v>
      </c>
      <c r="S71" s="2"/>
      <c r="T71" s="6">
        <v>16452.95</v>
      </c>
      <c r="U71" s="2"/>
      <c r="V71" s="7">
        <f t="shared" si="33"/>
        <v>4.0835552597942519E-2</v>
      </c>
      <c r="W71" s="2"/>
      <c r="X71" s="6">
        <f t="shared" si="34"/>
        <v>21642.31</v>
      </c>
      <c r="Y71" s="2"/>
      <c r="Z71" s="7">
        <f t="shared" si="35"/>
        <v>1.3154060518022603</v>
      </c>
    </row>
    <row r="72" spans="1:26" s="24" customFormat="1" hidden="1" outlineLevel="2" x14ac:dyDescent="0.25">
      <c r="A72" s="26"/>
      <c r="B72" s="11" t="str">
        <f>CONCATENATE("          ", "6004", " - ", "STAFF HOURLY")</f>
        <v xml:space="preserve">          6004 - STAFF HOURLY</v>
      </c>
      <c r="C72" s="11"/>
      <c r="D72" s="6"/>
      <c r="E72" s="2"/>
      <c r="F72" s="7">
        <f t="shared" si="28"/>
        <v>0</v>
      </c>
      <c r="G72" s="2"/>
      <c r="H72" s="6"/>
      <c r="I72" s="2"/>
      <c r="J72" s="7">
        <f t="shared" si="29"/>
        <v>0</v>
      </c>
      <c r="K72" s="2"/>
      <c r="L72" s="6">
        <f t="shared" si="30"/>
        <v>0</v>
      </c>
      <c r="M72" s="2"/>
      <c r="N72" s="7">
        <f t="shared" si="31"/>
        <v>0</v>
      </c>
      <c r="O72" s="11"/>
      <c r="P72" s="6">
        <v>3456.21</v>
      </c>
      <c r="Q72" s="2"/>
      <c r="R72" s="7">
        <f t="shared" si="32"/>
        <v>1.8759442248799132E-2</v>
      </c>
      <c r="S72" s="2"/>
      <c r="T72" s="6"/>
      <c r="U72" s="2"/>
      <c r="V72" s="7">
        <f t="shared" si="33"/>
        <v>0</v>
      </c>
      <c r="W72" s="2"/>
      <c r="X72" s="6">
        <f t="shared" si="34"/>
        <v>3456.21</v>
      </c>
      <c r="Y72" s="2"/>
      <c r="Z72" s="7">
        <f t="shared" si="35"/>
        <v>0</v>
      </c>
    </row>
    <row r="73" spans="1:26" s="24" customFormat="1" hidden="1" outlineLevel="2" x14ac:dyDescent="0.25">
      <c r="A73" s="26"/>
      <c r="B73" s="11" t="str">
        <f>CONCATENATE("          ", "6005", " - ", "TEMPORARY WAGES-HOURLY")</f>
        <v xml:space="preserve">          6005 - TEMPORARY WAGES-HOURLY</v>
      </c>
      <c r="C73" s="11"/>
      <c r="D73" s="6">
        <v>1718.15</v>
      </c>
      <c r="E73" s="2"/>
      <c r="F73" s="7">
        <f t="shared" si="28"/>
        <v>8.3534209571854062E-2</v>
      </c>
      <c r="G73" s="2"/>
      <c r="H73" s="6">
        <v>1777.78</v>
      </c>
      <c r="I73" s="2"/>
      <c r="J73" s="7">
        <f t="shared" si="29"/>
        <v>4.0846260967303094E-2</v>
      </c>
      <c r="K73" s="2"/>
      <c r="L73" s="6">
        <f t="shared" si="30"/>
        <v>-59.629999999999882</v>
      </c>
      <c r="M73" s="2"/>
      <c r="N73" s="7">
        <f t="shared" si="31"/>
        <v>-3.3541833072708596E-2</v>
      </c>
      <c r="O73" s="11"/>
      <c r="P73" s="6">
        <v>11608.8</v>
      </c>
      <c r="Q73" s="2"/>
      <c r="R73" s="7">
        <f t="shared" si="32"/>
        <v>6.3009658897422133E-2</v>
      </c>
      <c r="S73" s="2"/>
      <c r="T73" s="6">
        <v>7824.81</v>
      </c>
      <c r="U73" s="2"/>
      <c r="V73" s="7">
        <f t="shared" si="33"/>
        <v>1.9420860108607062E-2</v>
      </c>
      <c r="W73" s="2"/>
      <c r="X73" s="6">
        <f t="shared" si="34"/>
        <v>3783.9899999999989</v>
      </c>
      <c r="Y73" s="2"/>
      <c r="Z73" s="7">
        <f t="shared" si="35"/>
        <v>0.48358873889589632</v>
      </c>
    </row>
    <row r="74" spans="1:26" s="24" customFormat="1" hidden="1" outlineLevel="2" x14ac:dyDescent="0.25">
      <c r="A74" s="26"/>
      <c r="B74" s="11" t="str">
        <f>CONCATENATE("          ", "6006", " - ", "TEMPORARY PART TIME")</f>
        <v xml:space="preserve">          6006 - TEMPORARY PART TIME</v>
      </c>
      <c r="C74" s="11"/>
      <c r="D74" s="6">
        <v>303.64</v>
      </c>
      <c r="E74" s="2"/>
      <c r="F74" s="7">
        <f t="shared" si="28"/>
        <v>1.4762580330237619E-2</v>
      </c>
      <c r="G74" s="2"/>
      <c r="H74" s="6">
        <v>316.16000000000003</v>
      </c>
      <c r="I74" s="2"/>
      <c r="J74" s="7">
        <f t="shared" si="29"/>
        <v>7.2640899703127195E-3</v>
      </c>
      <c r="K74" s="2"/>
      <c r="L74" s="6">
        <f t="shared" si="30"/>
        <v>-12.520000000000039</v>
      </c>
      <c r="M74" s="2"/>
      <c r="N74" s="7">
        <f t="shared" si="31"/>
        <v>-3.9600202429149918E-2</v>
      </c>
      <c r="O74" s="11"/>
      <c r="P74" s="6">
        <v>303.64</v>
      </c>
      <c r="Q74" s="2"/>
      <c r="R74" s="7">
        <f t="shared" si="32"/>
        <v>1.6480818713056696E-3</v>
      </c>
      <c r="S74" s="2"/>
      <c r="T74" s="6">
        <v>316.16000000000003</v>
      </c>
      <c r="U74" s="2"/>
      <c r="V74" s="7">
        <f t="shared" si="33"/>
        <v>7.8469625868707478E-4</v>
      </c>
      <c r="W74" s="2"/>
      <c r="X74" s="6">
        <f t="shared" si="34"/>
        <v>-12.520000000000039</v>
      </c>
      <c r="Y74" s="2"/>
      <c r="Z74" s="7">
        <f t="shared" si="35"/>
        <v>-3.9600202429149918E-2</v>
      </c>
    </row>
    <row r="75" spans="1:26" s="24" customFormat="1" hidden="1" outlineLevel="2" x14ac:dyDescent="0.25">
      <c r="A75" s="26"/>
      <c r="B75" s="11" t="str">
        <f>CONCATENATE("          ", "6007", " - ", "STUDENT HOURLY")</f>
        <v xml:space="preserve">          6007 - STUDENT HOURLY</v>
      </c>
      <c r="C75" s="11"/>
      <c r="D75" s="6">
        <v>1268.08</v>
      </c>
      <c r="E75" s="2"/>
      <c r="F75" s="7">
        <f t="shared" si="28"/>
        <v>6.1652393838650114E-2</v>
      </c>
      <c r="G75" s="2"/>
      <c r="H75" s="6">
        <v>6935.87</v>
      </c>
      <c r="I75" s="2"/>
      <c r="J75" s="7">
        <f t="shared" si="29"/>
        <v>0.15935850108297342</v>
      </c>
      <c r="K75" s="2"/>
      <c r="L75" s="6">
        <f t="shared" si="30"/>
        <v>-5667.79</v>
      </c>
      <c r="M75" s="2"/>
      <c r="N75" s="7">
        <f t="shared" si="31"/>
        <v>-0.81717073705245347</v>
      </c>
      <c r="O75" s="11"/>
      <c r="P75" s="6">
        <v>10408.94</v>
      </c>
      <c r="Q75" s="2"/>
      <c r="R75" s="7">
        <f t="shared" si="32"/>
        <v>5.6497119330484916E-2</v>
      </c>
      <c r="S75" s="2"/>
      <c r="T75" s="6">
        <v>65765.97</v>
      </c>
      <c r="U75" s="2"/>
      <c r="V75" s="7">
        <f t="shared" si="33"/>
        <v>0.16322846219612347</v>
      </c>
      <c r="W75" s="2"/>
      <c r="X75" s="6">
        <f t="shared" si="34"/>
        <v>-55357.03</v>
      </c>
      <c r="Y75" s="2"/>
      <c r="Z75" s="7">
        <f t="shared" si="35"/>
        <v>-0.84172756822411343</v>
      </c>
    </row>
    <row r="76" spans="1:26" s="24" customFormat="1" hidden="1" outlineLevel="2" x14ac:dyDescent="0.25">
      <c r="A76" s="26"/>
      <c r="B76" s="11" t="str">
        <f>CONCATENATE("          ", "6008", " - ", "STUDENT HOURLY-FICA EXEMPT")</f>
        <v xml:space="preserve">          6008 - STUDENT HOURLY-FICA EXEMPT</v>
      </c>
      <c r="C76" s="11"/>
      <c r="D76" s="6"/>
      <c r="E76" s="2"/>
      <c r="F76" s="7">
        <f t="shared" si="28"/>
        <v>0</v>
      </c>
      <c r="G76" s="2"/>
      <c r="H76" s="6"/>
      <c r="I76" s="2"/>
      <c r="J76" s="7">
        <f t="shared" si="29"/>
        <v>0</v>
      </c>
      <c r="K76" s="2"/>
      <c r="L76" s="6">
        <f t="shared" si="30"/>
        <v>0</v>
      </c>
      <c r="M76" s="2"/>
      <c r="N76" s="7">
        <f t="shared" si="31"/>
        <v>0</v>
      </c>
      <c r="O76" s="11"/>
      <c r="P76" s="6">
        <v>1919.03</v>
      </c>
      <c r="Q76" s="2"/>
      <c r="R76" s="7">
        <f t="shared" si="32"/>
        <v>1.0416014205940322E-2</v>
      </c>
      <c r="S76" s="2"/>
      <c r="T76" s="6"/>
      <c r="U76" s="2"/>
      <c r="V76" s="7">
        <f t="shared" si="33"/>
        <v>0</v>
      </c>
      <c r="W76" s="2"/>
      <c r="X76" s="6">
        <f t="shared" si="34"/>
        <v>1919.03</v>
      </c>
      <c r="Y76" s="2"/>
      <c r="Z76" s="7">
        <f t="shared" si="35"/>
        <v>0</v>
      </c>
    </row>
    <row r="77" spans="1:26" s="25" customFormat="1" outlineLevel="1" collapsed="1" x14ac:dyDescent="0.25">
      <c r="A77" s="27"/>
      <c r="B77" s="13" t="str">
        <f>CONCATENATE("     ","Advertising/Promo                                 ")</f>
        <v xml:space="preserve">     Advertising/Promo                                 </v>
      </c>
      <c r="C77" s="13"/>
      <c r="D77" s="1">
        <f>SUM(OSRRefD22_2x_0)</f>
        <v>0</v>
      </c>
      <c r="E77" s="1"/>
      <c r="F77" s="5">
        <f t="shared" ref="F77:F100" si="36">IF(D$12=0,0,D77/D$12)</f>
        <v>0</v>
      </c>
      <c r="G77" s="1"/>
      <c r="H77" s="1">
        <f>SUM(OSRRefH22_2x_0)</f>
        <v>22.5</v>
      </c>
      <c r="I77" s="1"/>
      <c r="J77" s="5">
        <f t="shared" ref="J77:J100" si="37">IF(H$12=0,0,H77/H$12)</f>
        <v>5.1695984416762458E-4</v>
      </c>
      <c r="K77" s="1"/>
      <c r="L77" s="1">
        <f t="shared" ref="L77:L100" si="38">+D77-H77</f>
        <v>-22.5</v>
      </c>
      <c r="M77" s="1"/>
      <c r="N77" s="5">
        <f t="shared" ref="N77:N100" si="39">IF(H77=0,0,L77/H77)</f>
        <v>-1</v>
      </c>
      <c r="O77" s="13"/>
      <c r="P77" s="1">
        <f>SUM(OSRRefP22_2x_0)</f>
        <v>1024.2</v>
      </c>
      <c r="Q77" s="1"/>
      <c r="R77" s="5">
        <f t="shared" ref="R77:R100" si="40">IF(P$12=0,0,P77/P$12)</f>
        <v>5.559101082173847E-3</v>
      </c>
      <c r="S77" s="1"/>
      <c r="T77" s="1">
        <f>SUM(OSRRefT22_2x_0)</f>
        <v>2838.98</v>
      </c>
      <c r="U77" s="1"/>
      <c r="V77" s="5">
        <f t="shared" ref="V77:V100" si="41">IF(T$12=0,0,T77/T$12)</f>
        <v>7.0462328709749219E-3</v>
      </c>
      <c r="W77" s="1"/>
      <c r="X77" s="1">
        <f t="shared" ref="X77:X100" si="42">+P77-T77</f>
        <v>-1814.78</v>
      </c>
      <c r="Y77" s="1"/>
      <c r="Z77" s="5">
        <f t="shared" ref="Z77:Z100" si="43">IF(T77=0,0,X77/T77)</f>
        <v>-0.63923662723936059</v>
      </c>
    </row>
    <row r="78" spans="1:26" s="24" customFormat="1" hidden="1" outlineLevel="2" x14ac:dyDescent="0.25">
      <c r="A78" s="26"/>
      <c r="B78" s="11" t="str">
        <f>CONCATENATE("          ", "6362", " - ", "ADVERTISING EXPENSE")</f>
        <v xml:space="preserve">          6362 - ADVERTISING EXPENSE</v>
      </c>
      <c r="C78" s="11"/>
      <c r="D78" s="6"/>
      <c r="E78" s="2"/>
      <c r="F78" s="7">
        <f t="shared" si="36"/>
        <v>0</v>
      </c>
      <c r="G78" s="2"/>
      <c r="H78" s="6">
        <v>22.5</v>
      </c>
      <c r="I78" s="2"/>
      <c r="J78" s="7">
        <f t="shared" si="37"/>
        <v>5.1695984416762458E-4</v>
      </c>
      <c r="K78" s="2"/>
      <c r="L78" s="6">
        <f t="shared" si="38"/>
        <v>-22.5</v>
      </c>
      <c r="M78" s="2"/>
      <c r="N78" s="7">
        <f t="shared" si="39"/>
        <v>-1</v>
      </c>
      <c r="O78" s="11"/>
      <c r="P78" s="6">
        <v>1024.2</v>
      </c>
      <c r="Q78" s="2"/>
      <c r="R78" s="7">
        <f t="shared" si="40"/>
        <v>5.559101082173847E-3</v>
      </c>
      <c r="S78" s="2"/>
      <c r="T78" s="6">
        <v>2838.98</v>
      </c>
      <c r="U78" s="2"/>
      <c r="V78" s="7">
        <f t="shared" si="41"/>
        <v>7.0462328709749219E-3</v>
      </c>
      <c r="W78" s="2"/>
      <c r="X78" s="6">
        <f t="shared" si="42"/>
        <v>-1814.78</v>
      </c>
      <c r="Y78" s="2"/>
      <c r="Z78" s="7">
        <f t="shared" si="43"/>
        <v>-0.63923662723936059</v>
      </c>
    </row>
    <row r="79" spans="1:26" s="25" customFormat="1" outlineLevel="1" collapsed="1" x14ac:dyDescent="0.25">
      <c r="A79" s="27"/>
      <c r="B79" s="13" t="str">
        <f>CONCATENATE("     ","Bad Debts/Over/Short                              ")</f>
        <v xml:space="preserve">     Bad Debts/Over/Short                              </v>
      </c>
      <c r="C79" s="13"/>
      <c r="D79" s="1">
        <f>SUM(OSRRefD22_3x_0)</f>
        <v>-1.1499999999999999</v>
      </c>
      <c r="E79" s="1"/>
      <c r="F79" s="5">
        <f t="shared" si="36"/>
        <v>-5.5911498418433879E-5</v>
      </c>
      <c r="G79" s="1"/>
      <c r="H79" s="1">
        <f>SUM(OSRRefH22_3x_0)</f>
        <v>-1.33</v>
      </c>
      <c r="I79" s="1"/>
      <c r="J79" s="5">
        <f t="shared" si="37"/>
        <v>-3.0558070788575144E-5</v>
      </c>
      <c r="K79" s="1"/>
      <c r="L79" s="1">
        <f t="shared" si="38"/>
        <v>0.18000000000000016</v>
      </c>
      <c r="M79" s="1"/>
      <c r="N79" s="5">
        <f t="shared" si="39"/>
        <v>-0.13533834586466176</v>
      </c>
      <c r="O79" s="13"/>
      <c r="P79" s="1">
        <f>SUM(OSRRefP22_3x_0)</f>
        <v>-2.95</v>
      </c>
      <c r="Q79" s="1"/>
      <c r="R79" s="5">
        <f t="shared" si="40"/>
        <v>-1.6011861152521823E-5</v>
      </c>
      <c r="S79" s="1"/>
      <c r="T79" s="1">
        <f>SUM(OSRRefT22_3x_0)</f>
        <v>44.48</v>
      </c>
      <c r="U79" s="1"/>
      <c r="V79" s="5">
        <f t="shared" si="41"/>
        <v>1.1039755056427467E-4</v>
      </c>
      <c r="W79" s="1"/>
      <c r="X79" s="1">
        <f t="shared" si="42"/>
        <v>-47.43</v>
      </c>
      <c r="Y79" s="1"/>
      <c r="Z79" s="5">
        <f t="shared" si="43"/>
        <v>-1.0663219424460433</v>
      </c>
    </row>
    <row r="80" spans="1:26" s="24" customFormat="1" hidden="1" outlineLevel="2" x14ac:dyDescent="0.25">
      <c r="A80" s="26"/>
      <c r="B80" s="11" t="str">
        <f>CONCATENATE("          ", "6272", " - ", "CASH (OVER/SHORT)")</f>
        <v xml:space="preserve">          6272 - CASH (OVER/SHORT)</v>
      </c>
      <c r="C80" s="11"/>
      <c r="D80" s="6">
        <v>-1.1499999999999999</v>
      </c>
      <c r="E80" s="2"/>
      <c r="F80" s="7">
        <f t="shared" si="36"/>
        <v>-5.5911498418433879E-5</v>
      </c>
      <c r="G80" s="2"/>
      <c r="H80" s="6">
        <v>-1.33</v>
      </c>
      <c r="I80" s="2"/>
      <c r="J80" s="7">
        <f t="shared" si="37"/>
        <v>-3.0558070788575144E-5</v>
      </c>
      <c r="K80" s="2"/>
      <c r="L80" s="6">
        <f t="shared" si="38"/>
        <v>0.18000000000000016</v>
      </c>
      <c r="M80" s="2"/>
      <c r="N80" s="7">
        <f t="shared" si="39"/>
        <v>-0.13533834586466176</v>
      </c>
      <c r="O80" s="11"/>
      <c r="P80" s="6">
        <v>-2.95</v>
      </c>
      <c r="Q80" s="2"/>
      <c r="R80" s="7">
        <f t="shared" si="40"/>
        <v>-1.6011861152521823E-5</v>
      </c>
      <c r="S80" s="2"/>
      <c r="T80" s="6">
        <v>44.48</v>
      </c>
      <c r="U80" s="2"/>
      <c r="V80" s="7">
        <f t="shared" si="41"/>
        <v>1.1039755056427467E-4</v>
      </c>
      <c r="W80" s="2"/>
      <c r="X80" s="6">
        <f t="shared" si="42"/>
        <v>-47.43</v>
      </c>
      <c r="Y80" s="2"/>
      <c r="Z80" s="7">
        <f t="shared" si="43"/>
        <v>-1.0663219424460433</v>
      </c>
    </row>
    <row r="81" spans="1:26" s="25" customFormat="1" outlineLevel="1" collapsed="1" x14ac:dyDescent="0.25">
      <c r="A81" s="27"/>
      <c r="B81" s="13" t="str">
        <f>CONCATENATE("     ","Bank/card Fees                                    ")</f>
        <v xml:space="preserve">     Bank/card Fees                                    </v>
      </c>
      <c r="C81" s="13"/>
      <c r="D81" s="1">
        <f>SUM(OSRRefD22_4x_0)</f>
        <v>308.72000000000003</v>
      </c>
      <c r="E81" s="1"/>
      <c r="F81" s="5">
        <f t="shared" si="36"/>
        <v>1.5009563297164269E-2</v>
      </c>
      <c r="G81" s="1"/>
      <c r="H81" s="1">
        <f>SUM(OSRRefH22_4x_0)</f>
        <v>626.4</v>
      </c>
      <c r="I81" s="1"/>
      <c r="J81" s="5">
        <f t="shared" si="37"/>
        <v>1.4392162061626667E-2</v>
      </c>
      <c r="K81" s="1"/>
      <c r="L81" s="1">
        <f t="shared" si="38"/>
        <v>-317.67999999999995</v>
      </c>
      <c r="M81" s="1"/>
      <c r="N81" s="5">
        <f t="shared" si="39"/>
        <v>-0.50715197956577263</v>
      </c>
      <c r="O81" s="13"/>
      <c r="P81" s="1">
        <f>SUM(OSRRefP22_4x_0)</f>
        <v>2867.73</v>
      </c>
      <c r="Q81" s="1"/>
      <c r="R81" s="5">
        <f t="shared" si="40"/>
        <v>1.5565320197600475E-2</v>
      </c>
      <c r="S81" s="1"/>
      <c r="T81" s="1">
        <f>SUM(OSRRefT22_4x_0)</f>
        <v>5800.45</v>
      </c>
      <c r="U81" s="1"/>
      <c r="V81" s="5">
        <f t="shared" si="41"/>
        <v>1.439648093908604E-2</v>
      </c>
      <c r="W81" s="1"/>
      <c r="X81" s="1">
        <f t="shared" si="42"/>
        <v>-2932.72</v>
      </c>
      <c r="Y81" s="1"/>
      <c r="Z81" s="5">
        <f t="shared" si="43"/>
        <v>-0.50560215155720678</v>
      </c>
    </row>
    <row r="82" spans="1:26" s="24" customFormat="1" hidden="1" outlineLevel="2" x14ac:dyDescent="0.25">
      <c r="A82" s="26"/>
      <c r="B82" s="11" t="str">
        <f>CONCATENATE("          ", "6381", " - ", "BANK/CREDIT CARD FEES")</f>
        <v xml:space="preserve">          6381 - BANK/CREDIT CARD FEES</v>
      </c>
      <c r="C82" s="11"/>
      <c r="D82" s="6">
        <v>308.72000000000003</v>
      </c>
      <c r="E82" s="2"/>
      <c r="F82" s="7">
        <f t="shared" si="36"/>
        <v>1.5009563297164269E-2</v>
      </c>
      <c r="G82" s="2"/>
      <c r="H82" s="6">
        <v>626.4</v>
      </c>
      <c r="I82" s="2"/>
      <c r="J82" s="7">
        <f t="shared" si="37"/>
        <v>1.4392162061626667E-2</v>
      </c>
      <c r="K82" s="2"/>
      <c r="L82" s="6">
        <f t="shared" si="38"/>
        <v>-317.67999999999995</v>
      </c>
      <c r="M82" s="2"/>
      <c r="N82" s="7">
        <f t="shared" si="39"/>
        <v>-0.50715197956577263</v>
      </c>
      <c r="O82" s="11"/>
      <c r="P82" s="6">
        <v>2867.73</v>
      </c>
      <c r="Q82" s="2"/>
      <c r="R82" s="7">
        <f t="shared" si="40"/>
        <v>1.5565320197600475E-2</v>
      </c>
      <c r="S82" s="2"/>
      <c r="T82" s="6">
        <v>5800.45</v>
      </c>
      <c r="U82" s="2"/>
      <c r="V82" s="7">
        <f t="shared" si="41"/>
        <v>1.439648093908604E-2</v>
      </c>
      <c r="W82" s="2"/>
      <c r="X82" s="6">
        <f t="shared" si="42"/>
        <v>-2932.72</v>
      </c>
      <c r="Y82" s="2"/>
      <c r="Z82" s="7">
        <f t="shared" si="43"/>
        <v>-0.50560215155720678</v>
      </c>
    </row>
    <row r="83" spans="1:26" s="25" customFormat="1" outlineLevel="1" collapsed="1" x14ac:dyDescent="0.25">
      <c r="A83" s="27"/>
      <c r="B83" s="13" t="str">
        <f>CONCATENATE("     ","Discounts and Markdowns                           ")</f>
        <v xml:space="preserve">     Discounts and Markdowns                           </v>
      </c>
      <c r="C83" s="13"/>
      <c r="D83" s="1">
        <f>SUM(OSRRefD22_5x_0)</f>
        <v>0</v>
      </c>
      <c r="E83" s="1"/>
      <c r="F83" s="5">
        <f t="shared" si="36"/>
        <v>0</v>
      </c>
      <c r="G83" s="1"/>
      <c r="H83" s="1">
        <f>SUM(OSRRefH22_5x_0)</f>
        <v>7034.48</v>
      </c>
      <c r="I83" s="1"/>
      <c r="J83" s="5">
        <f t="shared" si="37"/>
        <v>0.16162416376001207</v>
      </c>
      <c r="K83" s="1"/>
      <c r="L83" s="1">
        <f t="shared" si="38"/>
        <v>-7034.48</v>
      </c>
      <c r="M83" s="1"/>
      <c r="N83" s="5">
        <f t="shared" si="39"/>
        <v>-1</v>
      </c>
      <c r="O83" s="13"/>
      <c r="P83" s="1">
        <f>SUM(OSRRefP22_5x_0)</f>
        <v>0</v>
      </c>
      <c r="Q83" s="1"/>
      <c r="R83" s="5">
        <f t="shared" si="40"/>
        <v>0</v>
      </c>
      <c r="S83" s="1"/>
      <c r="T83" s="1">
        <f>SUM(OSRRefT22_5x_0)</f>
        <v>66241.61</v>
      </c>
      <c r="U83" s="1"/>
      <c r="V83" s="5">
        <f t="shared" si="41"/>
        <v>0.16440898132720241</v>
      </c>
      <c r="W83" s="1"/>
      <c r="X83" s="1">
        <f t="shared" si="42"/>
        <v>-66241.61</v>
      </c>
      <c r="Y83" s="1"/>
      <c r="Z83" s="5">
        <f t="shared" si="43"/>
        <v>-1</v>
      </c>
    </row>
    <row r="84" spans="1:26" s="24" customFormat="1" hidden="1" outlineLevel="2" x14ac:dyDescent="0.25">
      <c r="A84" s="26"/>
      <c r="B84" s="11" t="str">
        <f>CONCATENATE("          ", "6382", " - ", "DISCOUNTS/MARK DOWNS")</f>
        <v xml:space="preserve">          6382 - DISCOUNTS/MARK DOWNS</v>
      </c>
      <c r="C84" s="11"/>
      <c r="D84" s="6"/>
      <c r="E84" s="2"/>
      <c r="F84" s="7">
        <f t="shared" si="36"/>
        <v>0</v>
      </c>
      <c r="G84" s="2"/>
      <c r="H84" s="6">
        <v>7034.48</v>
      </c>
      <c r="I84" s="2"/>
      <c r="J84" s="7">
        <f t="shared" si="37"/>
        <v>0.16162416376001207</v>
      </c>
      <c r="K84" s="2"/>
      <c r="L84" s="6">
        <f t="shared" si="38"/>
        <v>-7034.48</v>
      </c>
      <c r="M84" s="2"/>
      <c r="N84" s="7">
        <f t="shared" si="39"/>
        <v>-1</v>
      </c>
      <c r="O84" s="11"/>
      <c r="P84" s="6">
        <v>0</v>
      </c>
      <c r="Q84" s="2"/>
      <c r="R84" s="7">
        <f t="shared" si="40"/>
        <v>0</v>
      </c>
      <c r="S84" s="2"/>
      <c r="T84" s="6">
        <v>66241.61</v>
      </c>
      <c r="U84" s="2"/>
      <c r="V84" s="7">
        <f t="shared" si="41"/>
        <v>0.16440898132720241</v>
      </c>
      <c r="W84" s="2"/>
      <c r="X84" s="6">
        <f t="shared" si="42"/>
        <v>-66241.61</v>
      </c>
      <c r="Y84" s="2"/>
      <c r="Z84" s="7">
        <f t="shared" si="43"/>
        <v>-1</v>
      </c>
    </row>
    <row r="85" spans="1:26" s="25" customFormat="1" outlineLevel="1" collapsed="1" x14ac:dyDescent="0.25">
      <c r="A85" s="27"/>
      <c r="B85" s="13" t="str">
        <f>CONCATENATE("     ","Employees' Appreciation                           ")</f>
        <v xml:space="preserve">     Employees' Appreciation                           </v>
      </c>
      <c r="C85" s="13"/>
      <c r="D85" s="1">
        <f>SUM(OSRRefD22_6x_0)</f>
        <v>0</v>
      </c>
      <c r="E85" s="1"/>
      <c r="F85" s="5">
        <f t="shared" si="36"/>
        <v>0</v>
      </c>
      <c r="G85" s="1"/>
      <c r="H85" s="1">
        <f>SUM(OSRRefH22_6x_0)</f>
        <v>0</v>
      </c>
      <c r="I85" s="1"/>
      <c r="J85" s="5">
        <f t="shared" si="37"/>
        <v>0</v>
      </c>
      <c r="K85" s="1"/>
      <c r="L85" s="1">
        <f t="shared" si="38"/>
        <v>0</v>
      </c>
      <c r="M85" s="1"/>
      <c r="N85" s="5">
        <f t="shared" si="39"/>
        <v>0</v>
      </c>
      <c r="O85" s="13"/>
      <c r="P85" s="1">
        <f>SUM(OSRRefP22_6x_0)</f>
        <v>0</v>
      </c>
      <c r="Q85" s="1"/>
      <c r="R85" s="5">
        <f t="shared" si="40"/>
        <v>0</v>
      </c>
      <c r="S85" s="1"/>
      <c r="T85" s="1">
        <f>SUM(OSRRefT22_6x_0)</f>
        <v>120.93</v>
      </c>
      <c r="U85" s="1"/>
      <c r="V85" s="5">
        <f t="shared" si="41"/>
        <v>3.0014334059662182E-4</v>
      </c>
      <c r="W85" s="1"/>
      <c r="X85" s="1">
        <f t="shared" si="42"/>
        <v>-120.93</v>
      </c>
      <c r="Y85" s="1"/>
      <c r="Z85" s="5">
        <f t="shared" si="43"/>
        <v>-1</v>
      </c>
    </row>
    <row r="86" spans="1:26" s="24" customFormat="1" hidden="1" outlineLevel="2" x14ac:dyDescent="0.25">
      <c r="A86" s="26"/>
      <c r="B86" s="11" t="str">
        <f>CONCATENATE("          ", "6277", " - ", "EMPLOYEE APPRECIATION")</f>
        <v xml:space="preserve">          6277 - EMPLOYEE APPRECIATION</v>
      </c>
      <c r="C86" s="11"/>
      <c r="D86" s="6"/>
      <c r="E86" s="2"/>
      <c r="F86" s="7">
        <f t="shared" si="36"/>
        <v>0</v>
      </c>
      <c r="G86" s="2"/>
      <c r="H86" s="6"/>
      <c r="I86" s="2"/>
      <c r="J86" s="7">
        <f t="shared" si="37"/>
        <v>0</v>
      </c>
      <c r="K86" s="2"/>
      <c r="L86" s="6">
        <f t="shared" si="38"/>
        <v>0</v>
      </c>
      <c r="M86" s="2"/>
      <c r="N86" s="7">
        <f t="shared" si="39"/>
        <v>0</v>
      </c>
      <c r="O86" s="11"/>
      <c r="P86" s="6"/>
      <c r="Q86" s="2"/>
      <c r="R86" s="7">
        <f t="shared" si="40"/>
        <v>0</v>
      </c>
      <c r="S86" s="2"/>
      <c r="T86" s="6">
        <v>120.93</v>
      </c>
      <c r="U86" s="2"/>
      <c r="V86" s="7">
        <f t="shared" si="41"/>
        <v>3.0014334059662182E-4</v>
      </c>
      <c r="W86" s="2"/>
      <c r="X86" s="6">
        <f t="shared" si="42"/>
        <v>-120.93</v>
      </c>
      <c r="Y86" s="2"/>
      <c r="Z86" s="7">
        <f t="shared" si="43"/>
        <v>-1</v>
      </c>
    </row>
    <row r="87" spans="1:26" s="25" customFormat="1" outlineLevel="1" collapsed="1" x14ac:dyDescent="0.25">
      <c r="A87" s="27"/>
      <c r="B87" s="13" t="str">
        <f>CONCATENATE("     ","General                                           ")</f>
        <v xml:space="preserve">     General                                           </v>
      </c>
      <c r="C87" s="13"/>
      <c r="D87" s="1">
        <f>SUM(OSRRefD22_7x_0)</f>
        <v>0</v>
      </c>
      <c r="E87" s="1"/>
      <c r="F87" s="5">
        <f t="shared" si="36"/>
        <v>0</v>
      </c>
      <c r="G87" s="1"/>
      <c r="H87" s="1">
        <f>SUM(OSRRefH22_7x_0)</f>
        <v>0</v>
      </c>
      <c r="I87" s="1"/>
      <c r="J87" s="5">
        <f t="shared" si="37"/>
        <v>0</v>
      </c>
      <c r="K87" s="1"/>
      <c r="L87" s="1">
        <f t="shared" si="38"/>
        <v>0</v>
      </c>
      <c r="M87" s="1"/>
      <c r="N87" s="5">
        <f t="shared" si="39"/>
        <v>0</v>
      </c>
      <c r="O87" s="13"/>
      <c r="P87" s="1">
        <f>SUM(OSRRefP22_7x_0)</f>
        <v>1285.46</v>
      </c>
      <c r="Q87" s="1"/>
      <c r="R87" s="5">
        <f t="shared" si="40"/>
        <v>6.9771549278375257E-3</v>
      </c>
      <c r="S87" s="1"/>
      <c r="T87" s="1">
        <f>SUM(OSRRefT22_7x_0)</f>
        <v>1271.44</v>
      </c>
      <c r="U87" s="1"/>
      <c r="V87" s="5">
        <f t="shared" si="41"/>
        <v>3.1556623581259309E-3</v>
      </c>
      <c r="W87" s="1"/>
      <c r="X87" s="1">
        <f t="shared" si="42"/>
        <v>14.019999999999982</v>
      </c>
      <c r="Y87" s="1"/>
      <c r="Z87" s="5">
        <f t="shared" si="43"/>
        <v>1.1026867174227633E-2</v>
      </c>
    </row>
    <row r="88" spans="1:26" s="24" customFormat="1" hidden="1" outlineLevel="2" x14ac:dyDescent="0.25">
      <c r="A88" s="26"/>
      <c r="B88" s="11" t="str">
        <f>CONCATENATE("          ", "6279", " - ", "GENERAL EXPENSE")</f>
        <v xml:space="preserve">          6279 - GENERAL EXPENSE</v>
      </c>
      <c r="C88" s="11"/>
      <c r="D88" s="6"/>
      <c r="E88" s="2"/>
      <c r="F88" s="7">
        <f t="shared" si="36"/>
        <v>0</v>
      </c>
      <c r="G88" s="2"/>
      <c r="H88" s="6"/>
      <c r="I88" s="2"/>
      <c r="J88" s="7">
        <f t="shared" si="37"/>
        <v>0</v>
      </c>
      <c r="K88" s="2"/>
      <c r="L88" s="6">
        <f t="shared" si="38"/>
        <v>0</v>
      </c>
      <c r="M88" s="2"/>
      <c r="N88" s="7">
        <f t="shared" si="39"/>
        <v>0</v>
      </c>
      <c r="O88" s="11"/>
      <c r="P88" s="6">
        <v>1285.46</v>
      </c>
      <c r="Q88" s="2"/>
      <c r="R88" s="7">
        <f t="shared" si="40"/>
        <v>6.9771549278375257E-3</v>
      </c>
      <c r="S88" s="2"/>
      <c r="T88" s="6">
        <v>1271.44</v>
      </c>
      <c r="U88" s="2"/>
      <c r="V88" s="7">
        <f t="shared" si="41"/>
        <v>3.1556623581259309E-3</v>
      </c>
      <c r="W88" s="2"/>
      <c r="X88" s="6">
        <f t="shared" si="42"/>
        <v>14.019999999999982</v>
      </c>
      <c r="Y88" s="2"/>
      <c r="Z88" s="7">
        <f t="shared" si="43"/>
        <v>1.1026867174227633E-2</v>
      </c>
    </row>
    <row r="89" spans="1:26" s="25" customFormat="1" outlineLevel="1" collapsed="1" x14ac:dyDescent="0.25">
      <c r="A89" s="27"/>
      <c r="B89" s="13" t="str">
        <f>CONCATENATE("     ","Insurance                                         ")</f>
        <v xml:space="preserve">     Insurance                                         </v>
      </c>
      <c r="C89" s="13"/>
      <c r="D89" s="1">
        <f>SUM(OSRRefD22_8x_0)</f>
        <v>161.18</v>
      </c>
      <c r="E89" s="1"/>
      <c r="F89" s="5">
        <f t="shared" si="36"/>
        <v>7.8363611435505864E-3</v>
      </c>
      <c r="G89" s="1"/>
      <c r="H89" s="1">
        <f>SUM(OSRRefH22_8x_0)</f>
        <v>161.18</v>
      </c>
      <c r="I89" s="1"/>
      <c r="J89" s="5">
        <f t="shared" si="37"/>
        <v>3.703270563686121E-3</v>
      </c>
      <c r="K89" s="1"/>
      <c r="L89" s="1">
        <f t="shared" si="38"/>
        <v>0</v>
      </c>
      <c r="M89" s="1"/>
      <c r="N89" s="5">
        <f t="shared" si="39"/>
        <v>0</v>
      </c>
      <c r="O89" s="13"/>
      <c r="P89" s="1">
        <f>SUM(OSRRefP22_8x_0)</f>
        <v>1289.44</v>
      </c>
      <c r="Q89" s="1"/>
      <c r="R89" s="5">
        <f t="shared" si="40"/>
        <v>6.9987573710195723E-3</v>
      </c>
      <c r="S89" s="1"/>
      <c r="T89" s="1">
        <f>SUM(OSRRefT22_8x_0)</f>
        <v>1289.44</v>
      </c>
      <c r="U89" s="1"/>
      <c r="V89" s="5">
        <f t="shared" si="41"/>
        <v>3.2003376258902508E-3</v>
      </c>
      <c r="W89" s="1"/>
      <c r="X89" s="1">
        <f t="shared" si="42"/>
        <v>0</v>
      </c>
      <c r="Y89" s="1"/>
      <c r="Z89" s="5">
        <f t="shared" si="43"/>
        <v>0</v>
      </c>
    </row>
    <row r="90" spans="1:26" s="24" customFormat="1" hidden="1" outlineLevel="2" x14ac:dyDescent="0.25">
      <c r="A90" s="26"/>
      <c r="B90" s="11" t="str">
        <f>CONCATENATE("          ", "6314", " - ", "LIABILITY INSURANCE")</f>
        <v xml:space="preserve">          6314 - LIABILITY INSURANCE</v>
      </c>
      <c r="C90" s="11"/>
      <c r="D90" s="6">
        <v>161.18</v>
      </c>
      <c r="E90" s="2"/>
      <c r="F90" s="7">
        <f t="shared" si="36"/>
        <v>7.8363611435505864E-3</v>
      </c>
      <c r="G90" s="2"/>
      <c r="H90" s="6">
        <v>161.18</v>
      </c>
      <c r="I90" s="2"/>
      <c r="J90" s="7">
        <f t="shared" si="37"/>
        <v>3.703270563686121E-3</v>
      </c>
      <c r="K90" s="2"/>
      <c r="L90" s="6">
        <f t="shared" si="38"/>
        <v>0</v>
      </c>
      <c r="M90" s="2"/>
      <c r="N90" s="7">
        <f t="shared" si="39"/>
        <v>0</v>
      </c>
      <c r="O90" s="11"/>
      <c r="P90" s="6">
        <v>1289.44</v>
      </c>
      <c r="Q90" s="2"/>
      <c r="R90" s="7">
        <f t="shared" si="40"/>
        <v>6.9987573710195723E-3</v>
      </c>
      <c r="S90" s="2"/>
      <c r="T90" s="6">
        <v>1289.44</v>
      </c>
      <c r="U90" s="2"/>
      <c r="V90" s="7">
        <f t="shared" si="41"/>
        <v>3.2003376258902508E-3</v>
      </c>
      <c r="W90" s="2"/>
      <c r="X90" s="6">
        <f t="shared" si="42"/>
        <v>0</v>
      </c>
      <c r="Y90" s="2"/>
      <c r="Z90" s="7">
        <f t="shared" si="43"/>
        <v>0</v>
      </c>
    </row>
    <row r="91" spans="1:26" s="25" customFormat="1" outlineLevel="1" collapsed="1" x14ac:dyDescent="0.25">
      <c r="A91" s="27"/>
      <c r="B91" s="13" t="str">
        <f>CONCATENATE("     ","Inventory Adjustment                              ")</f>
        <v xml:space="preserve">     Inventory Adjustment                              </v>
      </c>
      <c r="C91" s="13"/>
      <c r="D91" s="1">
        <f>SUM(OSRRefD22_9x_0)</f>
        <v>100</v>
      </c>
      <c r="E91" s="1"/>
      <c r="F91" s="5">
        <f t="shared" si="36"/>
        <v>4.861869427689903E-3</v>
      </c>
      <c r="G91" s="1"/>
      <c r="H91" s="1">
        <f>SUM(OSRRefH22_9x_0)</f>
        <v>300</v>
      </c>
      <c r="I91" s="1"/>
      <c r="J91" s="5">
        <f t="shared" si="37"/>
        <v>6.8927979222349941E-3</v>
      </c>
      <c r="K91" s="1"/>
      <c r="L91" s="1">
        <f t="shared" si="38"/>
        <v>-200</v>
      </c>
      <c r="M91" s="1"/>
      <c r="N91" s="5">
        <f t="shared" si="39"/>
        <v>-0.66666666666666663</v>
      </c>
      <c r="O91" s="13"/>
      <c r="P91" s="1">
        <f>SUM(OSRRefP22_9x_0)</f>
        <v>800</v>
      </c>
      <c r="Q91" s="1"/>
      <c r="R91" s="5">
        <f t="shared" si="40"/>
        <v>4.3421996345821886E-3</v>
      </c>
      <c r="S91" s="1"/>
      <c r="T91" s="1">
        <f>SUM(OSRRefT22_9x_0)</f>
        <v>2400</v>
      </c>
      <c r="U91" s="1"/>
      <c r="V91" s="5">
        <f t="shared" si="41"/>
        <v>5.9567023685759722E-3</v>
      </c>
      <c r="W91" s="1"/>
      <c r="X91" s="1">
        <f t="shared" si="42"/>
        <v>-1600</v>
      </c>
      <c r="Y91" s="1"/>
      <c r="Z91" s="5">
        <f t="shared" si="43"/>
        <v>-0.66666666666666663</v>
      </c>
    </row>
    <row r="92" spans="1:26" s="24" customFormat="1" hidden="1" outlineLevel="2" x14ac:dyDescent="0.25">
      <c r="A92" s="26"/>
      <c r="B92" s="11" t="str">
        <f>CONCATENATE("          ", "6408", " - ", "INVENTORY ADJUSTMENT")</f>
        <v xml:space="preserve">          6408 - INVENTORY ADJUSTMENT</v>
      </c>
      <c r="C92" s="11"/>
      <c r="D92" s="6">
        <v>100</v>
      </c>
      <c r="E92" s="2"/>
      <c r="F92" s="7">
        <f t="shared" si="36"/>
        <v>4.861869427689903E-3</v>
      </c>
      <c r="G92" s="2"/>
      <c r="H92" s="6">
        <v>300</v>
      </c>
      <c r="I92" s="2"/>
      <c r="J92" s="7">
        <f t="shared" si="37"/>
        <v>6.8927979222349941E-3</v>
      </c>
      <c r="K92" s="2"/>
      <c r="L92" s="6">
        <f t="shared" si="38"/>
        <v>-200</v>
      </c>
      <c r="M92" s="2"/>
      <c r="N92" s="7">
        <f t="shared" si="39"/>
        <v>-0.66666666666666663</v>
      </c>
      <c r="O92" s="11"/>
      <c r="P92" s="6">
        <v>800</v>
      </c>
      <c r="Q92" s="2"/>
      <c r="R92" s="7">
        <f t="shared" si="40"/>
        <v>4.3421996345821886E-3</v>
      </c>
      <c r="S92" s="2"/>
      <c r="T92" s="6">
        <v>2400</v>
      </c>
      <c r="U92" s="2"/>
      <c r="V92" s="7">
        <f t="shared" si="41"/>
        <v>5.9567023685759722E-3</v>
      </c>
      <c r="W92" s="2"/>
      <c r="X92" s="6">
        <f t="shared" si="42"/>
        <v>-1600</v>
      </c>
      <c r="Y92" s="2"/>
      <c r="Z92" s="7">
        <f t="shared" si="43"/>
        <v>-0.66666666666666663</v>
      </c>
    </row>
    <row r="93" spans="1:26" s="25" customFormat="1" outlineLevel="1" collapsed="1" x14ac:dyDescent="0.25">
      <c r="A93" s="27"/>
      <c r="B93" s="13" t="str">
        <f>CONCATENATE("     ","Professional Services                             ")</f>
        <v xml:space="preserve">     Professional Services                             </v>
      </c>
      <c r="C93" s="13"/>
      <c r="D93" s="1">
        <f>SUM(OSRRefD22_10x_0)</f>
        <v>0</v>
      </c>
      <c r="E93" s="1"/>
      <c r="F93" s="5">
        <f t="shared" si="36"/>
        <v>0</v>
      </c>
      <c r="G93" s="1"/>
      <c r="H93" s="1">
        <f>SUM(OSRRefH22_10x_0)</f>
        <v>0</v>
      </c>
      <c r="I93" s="1"/>
      <c r="J93" s="5">
        <f t="shared" si="37"/>
        <v>0</v>
      </c>
      <c r="K93" s="1"/>
      <c r="L93" s="1">
        <f t="shared" si="38"/>
        <v>0</v>
      </c>
      <c r="M93" s="1"/>
      <c r="N93" s="5">
        <f t="shared" si="39"/>
        <v>0</v>
      </c>
      <c r="O93" s="13"/>
      <c r="P93" s="1">
        <f>SUM(OSRRefP22_10x_0)</f>
        <v>0</v>
      </c>
      <c r="Q93" s="1"/>
      <c r="R93" s="5">
        <f t="shared" si="40"/>
        <v>0</v>
      </c>
      <c r="S93" s="1"/>
      <c r="T93" s="1">
        <f>SUM(OSRRefT22_10x_0)</f>
        <v>750</v>
      </c>
      <c r="U93" s="1"/>
      <c r="V93" s="5">
        <f t="shared" si="41"/>
        <v>1.8614694901799911E-3</v>
      </c>
      <c r="W93" s="1"/>
      <c r="X93" s="1">
        <f t="shared" si="42"/>
        <v>-750</v>
      </c>
      <c r="Y93" s="1"/>
      <c r="Z93" s="5">
        <f t="shared" si="43"/>
        <v>-1</v>
      </c>
    </row>
    <row r="94" spans="1:26" s="24" customFormat="1" hidden="1" outlineLevel="2" x14ac:dyDescent="0.25">
      <c r="A94" s="26"/>
      <c r="B94" s="11" t="str">
        <f>CONCATENATE("          ", "6336", " - ", "PROFESSIONAL SERVICES")</f>
        <v xml:space="preserve">          6336 - PROFESSIONAL SERVICES</v>
      </c>
      <c r="C94" s="11"/>
      <c r="D94" s="6"/>
      <c r="E94" s="2"/>
      <c r="F94" s="7">
        <f t="shared" si="36"/>
        <v>0</v>
      </c>
      <c r="G94" s="2"/>
      <c r="H94" s="6"/>
      <c r="I94" s="2"/>
      <c r="J94" s="7">
        <f t="shared" si="37"/>
        <v>0</v>
      </c>
      <c r="K94" s="2"/>
      <c r="L94" s="6">
        <f t="shared" si="38"/>
        <v>0</v>
      </c>
      <c r="M94" s="2"/>
      <c r="N94" s="7">
        <f t="shared" si="39"/>
        <v>0</v>
      </c>
      <c r="O94" s="11"/>
      <c r="P94" s="6"/>
      <c r="Q94" s="2"/>
      <c r="R94" s="7">
        <f t="shared" si="40"/>
        <v>0</v>
      </c>
      <c r="S94" s="2"/>
      <c r="T94" s="6">
        <v>750</v>
      </c>
      <c r="U94" s="2"/>
      <c r="V94" s="7">
        <f t="shared" si="41"/>
        <v>1.8614694901799911E-3</v>
      </c>
      <c r="W94" s="2"/>
      <c r="X94" s="6">
        <f t="shared" si="42"/>
        <v>-750</v>
      </c>
      <c r="Y94" s="2"/>
      <c r="Z94" s="7">
        <f t="shared" si="43"/>
        <v>-1</v>
      </c>
    </row>
    <row r="95" spans="1:26" s="25" customFormat="1" outlineLevel="1" collapsed="1" x14ac:dyDescent="0.25">
      <c r="A95" s="27"/>
      <c r="B95" s="13" t="str">
        <f>CONCATENATE("     ","Rent                                              ")</f>
        <v xml:space="preserve">     Rent                                              </v>
      </c>
      <c r="C95" s="13"/>
      <c r="D95" s="1">
        <f>SUM(OSRRefD22_11x_0)</f>
        <v>6900</v>
      </c>
      <c r="E95" s="1"/>
      <c r="F95" s="5">
        <f t="shared" si="36"/>
        <v>0.3354689905106033</v>
      </c>
      <c r="G95" s="1"/>
      <c r="H95" s="1">
        <f>SUM(OSRRefH22_11x_0)</f>
        <v>6900</v>
      </c>
      <c r="I95" s="1"/>
      <c r="J95" s="5">
        <f t="shared" si="37"/>
        <v>0.15853435221140486</v>
      </c>
      <c r="K95" s="1"/>
      <c r="L95" s="1">
        <f t="shared" si="38"/>
        <v>0</v>
      </c>
      <c r="M95" s="1"/>
      <c r="N95" s="5">
        <f t="shared" si="39"/>
        <v>0</v>
      </c>
      <c r="O95" s="13"/>
      <c r="P95" s="1">
        <f>SUM(OSRRefP22_11x_0)</f>
        <v>55200</v>
      </c>
      <c r="Q95" s="1"/>
      <c r="R95" s="5">
        <f t="shared" si="40"/>
        <v>0.29961177478617101</v>
      </c>
      <c r="S95" s="1"/>
      <c r="T95" s="1">
        <f>SUM(OSRRefT22_11x_0)</f>
        <v>55200</v>
      </c>
      <c r="U95" s="1"/>
      <c r="V95" s="5">
        <f t="shared" si="41"/>
        <v>0.13700415447724734</v>
      </c>
      <c r="W95" s="1"/>
      <c r="X95" s="1">
        <f t="shared" si="42"/>
        <v>0</v>
      </c>
      <c r="Y95" s="1"/>
      <c r="Z95" s="5">
        <f t="shared" si="43"/>
        <v>0</v>
      </c>
    </row>
    <row r="96" spans="1:26" s="24" customFormat="1" hidden="1" outlineLevel="2" x14ac:dyDescent="0.25">
      <c r="A96" s="26"/>
      <c r="B96" s="11" t="str">
        <f>CONCATENATE("          ", "6273", " - ", "RENT")</f>
        <v xml:space="preserve">          6273 - RENT</v>
      </c>
      <c r="C96" s="11"/>
      <c r="D96" s="6">
        <v>6900</v>
      </c>
      <c r="E96" s="2"/>
      <c r="F96" s="7">
        <f t="shared" si="36"/>
        <v>0.3354689905106033</v>
      </c>
      <c r="G96" s="2"/>
      <c r="H96" s="6">
        <v>6900</v>
      </c>
      <c r="I96" s="2"/>
      <c r="J96" s="7">
        <f t="shared" si="37"/>
        <v>0.15853435221140486</v>
      </c>
      <c r="K96" s="2"/>
      <c r="L96" s="6">
        <f t="shared" si="38"/>
        <v>0</v>
      </c>
      <c r="M96" s="2"/>
      <c r="N96" s="7">
        <f t="shared" si="39"/>
        <v>0</v>
      </c>
      <c r="O96" s="11"/>
      <c r="P96" s="6">
        <v>55200</v>
      </c>
      <c r="Q96" s="2"/>
      <c r="R96" s="7">
        <f t="shared" si="40"/>
        <v>0.29961177478617101</v>
      </c>
      <c r="S96" s="2"/>
      <c r="T96" s="6">
        <v>55200</v>
      </c>
      <c r="U96" s="2"/>
      <c r="V96" s="7">
        <f t="shared" si="41"/>
        <v>0.13700415447724734</v>
      </c>
      <c r="W96" s="2"/>
      <c r="X96" s="6">
        <f t="shared" si="42"/>
        <v>0</v>
      </c>
      <c r="Y96" s="2"/>
      <c r="Z96" s="7">
        <f t="shared" si="43"/>
        <v>0</v>
      </c>
    </row>
    <row r="97" spans="1:26" s="25" customFormat="1" outlineLevel="1" collapsed="1" x14ac:dyDescent="0.25">
      <c r="A97" s="27"/>
      <c r="B97" s="13" t="str">
        <f>CONCATENATE("     ","Repair and Maintenance                            ")</f>
        <v xml:space="preserve">     Repair and Maintenance                            </v>
      </c>
      <c r="C97" s="13"/>
      <c r="D97" s="1">
        <f>SUM(OSRRefD22_12x_0)</f>
        <v>-0.52</v>
      </c>
      <c r="E97" s="1"/>
      <c r="F97" s="5">
        <f t="shared" si="36"/>
        <v>-2.5281721023987495E-5</v>
      </c>
      <c r="G97" s="1"/>
      <c r="H97" s="1">
        <f>SUM(OSRRefH22_12x_0)</f>
        <v>0</v>
      </c>
      <c r="I97" s="1"/>
      <c r="J97" s="5">
        <f t="shared" si="37"/>
        <v>0</v>
      </c>
      <c r="K97" s="1"/>
      <c r="L97" s="1">
        <f t="shared" si="38"/>
        <v>-0.52</v>
      </c>
      <c r="M97" s="1"/>
      <c r="N97" s="5">
        <f t="shared" si="39"/>
        <v>0</v>
      </c>
      <c r="O97" s="13"/>
      <c r="P97" s="1">
        <f>SUM(OSRRefP22_12x_0)</f>
        <v>95.92</v>
      </c>
      <c r="Q97" s="1"/>
      <c r="R97" s="5">
        <f t="shared" si="40"/>
        <v>5.2062973618640447E-4</v>
      </c>
      <c r="S97" s="1"/>
      <c r="T97" s="1">
        <f>SUM(OSRRefT22_12x_0)</f>
        <v>275.75</v>
      </c>
      <c r="U97" s="1"/>
      <c r="V97" s="5">
        <f t="shared" si="41"/>
        <v>6.8440028255617675E-4</v>
      </c>
      <c r="W97" s="1"/>
      <c r="X97" s="1">
        <f t="shared" si="42"/>
        <v>-179.82999999999998</v>
      </c>
      <c r="Y97" s="1"/>
      <c r="Z97" s="5">
        <f t="shared" si="43"/>
        <v>-0.65214868540344506</v>
      </c>
    </row>
    <row r="98" spans="1:26" s="24" customFormat="1" hidden="1" outlineLevel="2" x14ac:dyDescent="0.25">
      <c r="A98" s="26"/>
      <c r="B98" s="11" t="str">
        <f>CONCATENATE("          ", "6372", " - ", "COMPUTER HARDWARE MAINTENANCE")</f>
        <v xml:space="preserve">          6372 - COMPUTER HARDWARE MAINTENANCE</v>
      </c>
      <c r="C98" s="11"/>
      <c r="D98" s="6">
        <v>-0.52</v>
      </c>
      <c r="E98" s="2"/>
      <c r="F98" s="7">
        <f t="shared" si="36"/>
        <v>-2.5281721023987495E-5</v>
      </c>
      <c r="G98" s="2"/>
      <c r="H98" s="6"/>
      <c r="I98" s="2"/>
      <c r="J98" s="7">
        <f t="shared" si="37"/>
        <v>0</v>
      </c>
      <c r="K98" s="2"/>
      <c r="L98" s="6">
        <f t="shared" si="38"/>
        <v>-0.52</v>
      </c>
      <c r="M98" s="2"/>
      <c r="N98" s="7">
        <f t="shared" si="39"/>
        <v>0</v>
      </c>
      <c r="O98" s="11"/>
      <c r="P98" s="6">
        <v>-0.52</v>
      </c>
      <c r="Q98" s="2"/>
      <c r="R98" s="7">
        <f t="shared" si="40"/>
        <v>-2.8224297624784229E-6</v>
      </c>
      <c r="S98" s="2"/>
      <c r="T98" s="6"/>
      <c r="U98" s="2"/>
      <c r="V98" s="7">
        <f t="shared" si="41"/>
        <v>0</v>
      </c>
      <c r="W98" s="2"/>
      <c r="X98" s="6">
        <f t="shared" si="42"/>
        <v>-0.52</v>
      </c>
      <c r="Y98" s="2"/>
      <c r="Z98" s="7">
        <f t="shared" si="43"/>
        <v>0</v>
      </c>
    </row>
    <row r="99" spans="1:26" s="24" customFormat="1" hidden="1" outlineLevel="2" x14ac:dyDescent="0.25">
      <c r="A99" s="26"/>
      <c r="B99" s="11" t="str">
        <f>CONCATENATE("          ", "6373", " - ", "MAINTENANCE CONTRACTS")</f>
        <v xml:space="preserve">          6373 - MAINTENANCE CONTRACTS</v>
      </c>
      <c r="C99" s="11"/>
      <c r="D99" s="6"/>
      <c r="E99" s="2"/>
      <c r="F99" s="7">
        <f t="shared" si="36"/>
        <v>0</v>
      </c>
      <c r="G99" s="2"/>
      <c r="H99" s="6"/>
      <c r="I99" s="2"/>
      <c r="J99" s="7">
        <f t="shared" si="37"/>
        <v>0</v>
      </c>
      <c r="K99" s="2"/>
      <c r="L99" s="6">
        <f t="shared" si="38"/>
        <v>0</v>
      </c>
      <c r="M99" s="2"/>
      <c r="N99" s="7">
        <f t="shared" si="39"/>
        <v>0</v>
      </c>
      <c r="O99" s="11"/>
      <c r="P99" s="6">
        <v>96.44</v>
      </c>
      <c r="Q99" s="2"/>
      <c r="R99" s="7">
        <f t="shared" si="40"/>
        <v>5.2345216594888288E-4</v>
      </c>
      <c r="S99" s="2"/>
      <c r="T99" s="6">
        <v>93.22</v>
      </c>
      <c r="U99" s="2"/>
      <c r="V99" s="7">
        <f t="shared" si="41"/>
        <v>2.3136824783277172E-4</v>
      </c>
      <c r="W99" s="2"/>
      <c r="X99" s="6">
        <f t="shared" si="42"/>
        <v>3.2199999999999989</v>
      </c>
      <c r="Y99" s="2"/>
      <c r="Z99" s="7">
        <f t="shared" si="43"/>
        <v>3.4541943788886496E-2</v>
      </c>
    </row>
    <row r="100" spans="1:26" s="24" customFormat="1" hidden="1" outlineLevel="2" x14ac:dyDescent="0.25">
      <c r="A100" s="26"/>
      <c r="B100" s="11" t="str">
        <f>CONCATENATE("          ", "6375", " - ", "OUTSIDE REPAIRS &amp; MAINTENANCE")</f>
        <v xml:space="preserve">          6375 - OUTSIDE REPAIRS &amp; MAINTENANCE</v>
      </c>
      <c r="C100" s="11"/>
      <c r="D100" s="6"/>
      <c r="E100" s="2"/>
      <c r="F100" s="7">
        <f t="shared" si="36"/>
        <v>0</v>
      </c>
      <c r="G100" s="2"/>
      <c r="H100" s="6"/>
      <c r="I100" s="2"/>
      <c r="J100" s="7">
        <f t="shared" si="37"/>
        <v>0</v>
      </c>
      <c r="K100" s="2"/>
      <c r="L100" s="6">
        <f t="shared" si="38"/>
        <v>0</v>
      </c>
      <c r="M100" s="2"/>
      <c r="N100" s="7">
        <f t="shared" si="39"/>
        <v>0</v>
      </c>
      <c r="O100" s="11"/>
      <c r="P100" s="6"/>
      <c r="Q100" s="2"/>
      <c r="R100" s="7">
        <f t="shared" si="40"/>
        <v>0</v>
      </c>
      <c r="S100" s="2"/>
      <c r="T100" s="6">
        <v>182.53</v>
      </c>
      <c r="U100" s="2"/>
      <c r="V100" s="7">
        <f t="shared" si="41"/>
        <v>4.5303203472340505E-4</v>
      </c>
      <c r="W100" s="2"/>
      <c r="X100" s="6">
        <f t="shared" si="42"/>
        <v>-182.53</v>
      </c>
      <c r="Y100" s="2"/>
      <c r="Z100" s="7">
        <f t="shared" si="43"/>
        <v>-1</v>
      </c>
    </row>
    <row r="101" spans="1:26" s="25" customFormat="1" outlineLevel="1" collapsed="1" x14ac:dyDescent="0.25">
      <c r="A101" s="27"/>
      <c r="B101" s="13" t="str">
        <f>CONCATENATE("     ","Services                                          ")</f>
        <v xml:space="preserve">     Services                                          </v>
      </c>
      <c r="C101" s="13"/>
      <c r="D101" s="1">
        <f>SUM(OSRRefD22_13x_0)</f>
        <v>81.84</v>
      </c>
      <c r="E101" s="1"/>
      <c r="F101" s="5">
        <f t="shared" ref="F101:F104" si="44">IF(D$12=0,0,D101/D$12)</f>
        <v>3.9789539396214166E-3</v>
      </c>
      <c r="G101" s="1"/>
      <c r="H101" s="1">
        <f>SUM(OSRRefH22_13x_0)</f>
        <v>189.45</v>
      </c>
      <c r="I101" s="1"/>
      <c r="J101" s="5">
        <f t="shared" ref="J101:J104" si="45">IF(H$12=0,0,H101/H$12)</f>
        <v>4.3528018878913983E-3</v>
      </c>
      <c r="K101" s="1"/>
      <c r="L101" s="1">
        <f t="shared" ref="L101:L104" si="46">+D101-H101</f>
        <v>-107.60999999999999</v>
      </c>
      <c r="M101" s="1"/>
      <c r="N101" s="5">
        <f t="shared" ref="N101:N104" si="47">IF(H101=0,0,L101/H101)</f>
        <v>-0.56801266825019792</v>
      </c>
      <c r="O101" s="13"/>
      <c r="P101" s="1">
        <f>SUM(OSRRefP22_13x_0)</f>
        <v>356.49999999999989</v>
      </c>
      <c r="Q101" s="1"/>
      <c r="R101" s="5">
        <f t="shared" ref="R101:R104" si="48">IF(P$12=0,0,P101/P$12)</f>
        <v>1.9349927121606872E-3</v>
      </c>
      <c r="S101" s="1"/>
      <c r="T101" s="1">
        <f>SUM(OSRRefT22_13x_0)</f>
        <v>2381.1800000000003</v>
      </c>
      <c r="U101" s="1"/>
      <c r="V101" s="5">
        <f t="shared" ref="V101:V104" si="49">IF(T$12=0,0,T101/T$12)</f>
        <v>5.9099918941690564E-3</v>
      </c>
      <c r="W101" s="1"/>
      <c r="X101" s="1">
        <f t="shared" ref="X101:X104" si="50">+P101-T101</f>
        <v>-2024.6800000000003</v>
      </c>
      <c r="Y101" s="1"/>
      <c r="Z101" s="5">
        <f t="shared" ref="Z101:Z104" si="51">IF(T101=0,0,X101/T101)</f>
        <v>-0.85028431281969441</v>
      </c>
    </row>
    <row r="102" spans="1:26" s="24" customFormat="1" hidden="1" outlineLevel="2" x14ac:dyDescent="0.25">
      <c r="A102" s="26"/>
      <c r="B102" s="11" t="str">
        <f>CONCATENATE("          ", "6283", " - ", "PLANT SERVICE")</f>
        <v xml:space="preserve">          6283 - PLANT SERVICE</v>
      </c>
      <c r="C102" s="11"/>
      <c r="D102" s="6"/>
      <c r="E102" s="2"/>
      <c r="F102" s="7">
        <f t="shared" si="44"/>
        <v>0</v>
      </c>
      <c r="G102" s="2"/>
      <c r="H102" s="6"/>
      <c r="I102" s="2"/>
      <c r="J102" s="7">
        <f t="shared" si="45"/>
        <v>0</v>
      </c>
      <c r="K102" s="2"/>
      <c r="L102" s="6">
        <f t="shared" si="46"/>
        <v>0</v>
      </c>
      <c r="M102" s="2"/>
      <c r="N102" s="7">
        <f t="shared" si="47"/>
        <v>0</v>
      </c>
      <c r="O102" s="11"/>
      <c r="P102" s="6">
        <v>41.31</v>
      </c>
      <c r="Q102" s="2"/>
      <c r="R102" s="7">
        <f t="shared" si="48"/>
        <v>2.2422033363073777E-4</v>
      </c>
      <c r="S102" s="2"/>
      <c r="T102" s="6">
        <v>178.65</v>
      </c>
      <c r="U102" s="2"/>
      <c r="V102" s="7">
        <f t="shared" si="49"/>
        <v>4.4340203256087394E-4</v>
      </c>
      <c r="W102" s="2"/>
      <c r="X102" s="6">
        <f t="shared" si="50"/>
        <v>-137.34</v>
      </c>
      <c r="Y102" s="2"/>
      <c r="Z102" s="7">
        <f t="shared" si="51"/>
        <v>-0.7687657430730479</v>
      </c>
    </row>
    <row r="103" spans="1:26" s="24" customFormat="1" hidden="1" outlineLevel="2" x14ac:dyDescent="0.25">
      <c r="A103" s="26"/>
      <c r="B103" s="11" t="str">
        <f>CONCATENATE("          ", "6284", " - ", "TRASH REMOVAL EXPENSE")</f>
        <v xml:space="preserve">          6284 - TRASH REMOVAL EXPENSE</v>
      </c>
      <c r="C103" s="11"/>
      <c r="D103" s="6">
        <v>142.57</v>
      </c>
      <c r="E103" s="2"/>
      <c r="F103" s="7">
        <f t="shared" si="44"/>
        <v>6.9315672430574939E-3</v>
      </c>
      <c r="G103" s="2"/>
      <c r="H103" s="6">
        <v>134.82</v>
      </c>
      <c r="I103" s="2"/>
      <c r="J103" s="7">
        <f t="shared" si="45"/>
        <v>3.0976233862524062E-3</v>
      </c>
      <c r="K103" s="2"/>
      <c r="L103" s="6">
        <f t="shared" si="46"/>
        <v>7.75</v>
      </c>
      <c r="M103" s="2"/>
      <c r="N103" s="7">
        <f t="shared" si="47"/>
        <v>5.7484052811155616E-2</v>
      </c>
      <c r="O103" s="11"/>
      <c r="P103" s="6">
        <v>1155.58</v>
      </c>
      <c r="Q103" s="2"/>
      <c r="R103" s="7">
        <f t="shared" si="48"/>
        <v>6.2721988171631068E-3</v>
      </c>
      <c r="S103" s="2"/>
      <c r="T103" s="6">
        <v>1078.56</v>
      </c>
      <c r="U103" s="2"/>
      <c r="V103" s="7">
        <f t="shared" si="49"/>
        <v>2.6769420444380417E-3</v>
      </c>
      <c r="W103" s="2"/>
      <c r="X103" s="6">
        <f t="shared" si="50"/>
        <v>77.019999999999982</v>
      </c>
      <c r="Y103" s="2"/>
      <c r="Z103" s="7">
        <f t="shared" si="51"/>
        <v>7.1410028185729113E-2</v>
      </c>
    </row>
    <row r="104" spans="1:26" s="24" customFormat="1" hidden="1" outlineLevel="2" x14ac:dyDescent="0.25">
      <c r="A104" s="26"/>
      <c r="B104" s="11" t="str">
        <f>CONCATENATE("          ", "6285", " - ", "JANITORIAL SERVICES")</f>
        <v xml:space="preserve">          6285 - JANITORIAL SERVICES</v>
      </c>
      <c r="C104" s="11"/>
      <c r="D104" s="6">
        <v>-60.73</v>
      </c>
      <c r="E104" s="2"/>
      <c r="F104" s="7">
        <f t="shared" si="44"/>
        <v>-2.9526133034360777E-3</v>
      </c>
      <c r="G104" s="2"/>
      <c r="H104" s="6">
        <v>54.63</v>
      </c>
      <c r="I104" s="2"/>
      <c r="J104" s="7">
        <f t="shared" si="45"/>
        <v>1.2551785016389925E-3</v>
      </c>
      <c r="K104" s="2"/>
      <c r="L104" s="6">
        <f t="shared" si="46"/>
        <v>-115.36</v>
      </c>
      <c r="M104" s="2"/>
      <c r="N104" s="7">
        <f t="shared" si="47"/>
        <v>-2.1116602599304408</v>
      </c>
      <c r="O104" s="11"/>
      <c r="P104" s="6">
        <v>-840.39</v>
      </c>
      <c r="Q104" s="2"/>
      <c r="R104" s="7">
        <f t="shared" si="48"/>
        <v>-4.5614264386331571E-3</v>
      </c>
      <c r="S104" s="2"/>
      <c r="T104" s="6">
        <v>1123.97</v>
      </c>
      <c r="U104" s="2"/>
      <c r="V104" s="7">
        <f t="shared" si="49"/>
        <v>2.7896478171701398E-3</v>
      </c>
      <c r="W104" s="2"/>
      <c r="X104" s="6">
        <f t="shared" si="50"/>
        <v>-1964.3600000000001</v>
      </c>
      <c r="Y104" s="2"/>
      <c r="Z104" s="7">
        <f t="shared" si="51"/>
        <v>-1.7476978922924991</v>
      </c>
    </row>
    <row r="105" spans="1:26" s="25" customFormat="1" outlineLevel="1" collapsed="1" x14ac:dyDescent="0.25">
      <c r="A105" s="27"/>
      <c r="B105" s="13" t="str">
        <f>CONCATENATE("     ","Subscriptions &amp; Dues                              ")</f>
        <v xml:space="preserve">     Subscriptions &amp; Dues                              </v>
      </c>
      <c r="C105" s="13"/>
      <c r="D105" s="1">
        <f>SUM(OSRRefD22_14x_0)</f>
        <v>0</v>
      </c>
      <c r="E105" s="1"/>
      <c r="F105" s="5">
        <f t="shared" ref="F105:F107" si="52">IF(D$12=0,0,D105/D$12)</f>
        <v>0</v>
      </c>
      <c r="G105" s="1"/>
      <c r="H105" s="1">
        <f>SUM(OSRRefH22_14x_0)</f>
        <v>0</v>
      </c>
      <c r="I105" s="1"/>
      <c r="J105" s="5">
        <f t="shared" ref="J105:J107" si="53">IF(H$12=0,0,H105/H$12)</f>
        <v>0</v>
      </c>
      <c r="K105" s="1"/>
      <c r="L105" s="1">
        <f t="shared" ref="L105:L107" si="54">+D105-H105</f>
        <v>0</v>
      </c>
      <c r="M105" s="1"/>
      <c r="N105" s="5">
        <f t="shared" ref="N105:N107" si="55">IF(H105=0,0,L105/H105)</f>
        <v>0</v>
      </c>
      <c r="O105" s="13"/>
      <c r="P105" s="1">
        <f>SUM(OSRRefP22_14x_0)</f>
        <v>164.27</v>
      </c>
      <c r="Q105" s="1"/>
      <c r="R105" s="5">
        <f t="shared" ref="R105:R107" si="56">IF(P$12=0,0,P105/P$12)</f>
        <v>8.9161641746602022E-4</v>
      </c>
      <c r="S105" s="1"/>
      <c r="T105" s="1">
        <f>SUM(OSRRefT22_14x_0)</f>
        <v>163.41999999999999</v>
      </c>
      <c r="U105" s="1"/>
      <c r="V105" s="5">
        <f t="shared" ref="V105:V107" si="57">IF(T$12=0,0,T105/T$12)</f>
        <v>4.0560179211361885E-4</v>
      </c>
      <c r="W105" s="1"/>
      <c r="X105" s="1">
        <f t="shared" ref="X105:X107" si="58">+P105-T105</f>
        <v>0.85000000000002274</v>
      </c>
      <c r="Y105" s="1"/>
      <c r="Z105" s="5">
        <f t="shared" ref="Z105:Z107" si="59">IF(T105=0,0,X105/T105)</f>
        <v>5.2013217476442469E-3</v>
      </c>
    </row>
    <row r="106" spans="1:26" s="24" customFormat="1" hidden="1" outlineLevel="2" x14ac:dyDescent="0.25">
      <c r="A106" s="26"/>
      <c r="B106" s="11" t="str">
        <f>CONCATENATE("          ", "6258", " - ", "MEMBERSHIP DUES")</f>
        <v xml:space="preserve">          6258 - MEMBERSHIP DUES</v>
      </c>
      <c r="C106" s="11"/>
      <c r="D106" s="6"/>
      <c r="E106" s="2"/>
      <c r="F106" s="7">
        <f t="shared" si="52"/>
        <v>0</v>
      </c>
      <c r="G106" s="2"/>
      <c r="H106" s="6"/>
      <c r="I106" s="2"/>
      <c r="J106" s="7">
        <f t="shared" si="53"/>
        <v>0</v>
      </c>
      <c r="K106" s="2"/>
      <c r="L106" s="6">
        <f t="shared" si="54"/>
        <v>0</v>
      </c>
      <c r="M106" s="2"/>
      <c r="N106" s="7">
        <f t="shared" si="55"/>
        <v>0</v>
      </c>
      <c r="O106" s="11"/>
      <c r="P106" s="6">
        <v>-60.73</v>
      </c>
      <c r="Q106" s="2"/>
      <c r="R106" s="7">
        <f t="shared" si="56"/>
        <v>-3.2962722976022038E-4</v>
      </c>
      <c r="S106" s="2"/>
      <c r="T106" s="6"/>
      <c r="U106" s="2"/>
      <c r="V106" s="7">
        <f t="shared" si="57"/>
        <v>0</v>
      </c>
      <c r="W106" s="2"/>
      <c r="X106" s="6">
        <f t="shared" si="58"/>
        <v>-60.73</v>
      </c>
      <c r="Y106" s="2"/>
      <c r="Z106" s="7">
        <f t="shared" si="59"/>
        <v>0</v>
      </c>
    </row>
    <row r="107" spans="1:26" s="24" customFormat="1" hidden="1" outlineLevel="2" x14ac:dyDescent="0.25">
      <c r="A107" s="26"/>
      <c r="B107" s="11" t="str">
        <f>CONCATENATE("          ", "6275", " - ", "SUBSCRIPTIONS")</f>
        <v xml:space="preserve">          6275 - SUBSCRIPTIONS</v>
      </c>
      <c r="C107" s="11"/>
      <c r="D107" s="6"/>
      <c r="E107" s="2"/>
      <c r="F107" s="7">
        <f t="shared" si="52"/>
        <v>0</v>
      </c>
      <c r="G107" s="2"/>
      <c r="H107" s="6"/>
      <c r="I107" s="2"/>
      <c r="J107" s="7">
        <f t="shared" si="53"/>
        <v>0</v>
      </c>
      <c r="K107" s="2"/>
      <c r="L107" s="6">
        <f t="shared" si="54"/>
        <v>0</v>
      </c>
      <c r="M107" s="2"/>
      <c r="N107" s="7">
        <f t="shared" si="55"/>
        <v>0</v>
      </c>
      <c r="O107" s="11"/>
      <c r="P107" s="6">
        <v>225</v>
      </c>
      <c r="Q107" s="2"/>
      <c r="R107" s="7">
        <f t="shared" si="56"/>
        <v>1.2212436472262406E-3</v>
      </c>
      <c r="S107" s="2"/>
      <c r="T107" s="6">
        <v>163.41999999999999</v>
      </c>
      <c r="U107" s="2"/>
      <c r="V107" s="7">
        <f t="shared" si="57"/>
        <v>4.0560179211361885E-4</v>
      </c>
      <c r="W107" s="2"/>
      <c r="X107" s="6">
        <f t="shared" si="58"/>
        <v>61.580000000000013</v>
      </c>
      <c r="Y107" s="2"/>
      <c r="Z107" s="7">
        <f t="shared" si="59"/>
        <v>0.37682046261167557</v>
      </c>
    </row>
    <row r="108" spans="1:26" s="25" customFormat="1" outlineLevel="1" collapsed="1" x14ac:dyDescent="0.25">
      <c r="A108" s="27"/>
      <c r="B108" s="13" t="str">
        <f>CONCATENATE("     ","Supplies                                          ")</f>
        <v xml:space="preserve">     Supplies                                          </v>
      </c>
      <c r="C108" s="13"/>
      <c r="D108" s="1">
        <f>SUM(OSRRefD22_15x_0)</f>
        <v>5.95</v>
      </c>
      <c r="E108" s="1"/>
      <c r="F108" s="5">
        <f t="shared" ref="F108:F114" si="60">IF(D$12=0,0,D108/D$12)</f>
        <v>2.8928123094754924E-4</v>
      </c>
      <c r="G108" s="1"/>
      <c r="H108" s="1">
        <f>SUM(OSRRefH22_15x_0)</f>
        <v>482.68</v>
      </c>
      <c r="I108" s="1"/>
      <c r="J108" s="5">
        <f t="shared" ref="J108:J114" si="61">IF(H$12=0,0,H108/H$12)</f>
        <v>1.1090052337014622E-2</v>
      </c>
      <c r="K108" s="1"/>
      <c r="L108" s="1">
        <f t="shared" ref="L108:L114" si="62">+D108-H108</f>
        <v>-476.73</v>
      </c>
      <c r="M108" s="1"/>
      <c r="N108" s="5">
        <f t="shared" ref="N108:N114" si="63">IF(H108=0,0,L108/H108)</f>
        <v>-0.98767299245877183</v>
      </c>
      <c r="O108" s="13"/>
      <c r="P108" s="1">
        <f>SUM(OSRRefP22_15x_0)</f>
        <v>559.15</v>
      </c>
      <c r="Q108" s="1"/>
      <c r="R108" s="5">
        <f t="shared" ref="R108:R114" si="64">IF(P$12=0,0,P108/P$12)</f>
        <v>3.0349261570957885E-3</v>
      </c>
      <c r="S108" s="1"/>
      <c r="T108" s="1">
        <f>SUM(OSRRefT22_15x_0)</f>
        <v>3138.8800000000006</v>
      </c>
      <c r="U108" s="1"/>
      <c r="V108" s="5">
        <f t="shared" ref="V108:V114" si="65">IF(T$12=0,0,T108/T$12)</f>
        <v>7.7905724711148962E-3</v>
      </c>
      <c r="W108" s="1"/>
      <c r="X108" s="1">
        <f t="shared" ref="X108:X114" si="66">+P108-T108</f>
        <v>-2579.7300000000005</v>
      </c>
      <c r="Y108" s="1"/>
      <c r="Z108" s="5">
        <f t="shared" ref="Z108:Z114" si="67">IF(T108=0,0,X108/T108)</f>
        <v>-0.82186321235599957</v>
      </c>
    </row>
    <row r="109" spans="1:26" s="24" customFormat="1" hidden="1" outlineLevel="2" x14ac:dyDescent="0.25">
      <c r="A109" s="26"/>
      <c r="B109" s="11" t="str">
        <f>CONCATENATE("          ", "6234", " - ", "EXPENDABLE SUPPLIES &amp; EQUIPMEN")</f>
        <v xml:space="preserve">          6234 - EXPENDABLE SUPPLIES &amp; EQUIPMEN</v>
      </c>
      <c r="C109" s="11"/>
      <c r="D109" s="6"/>
      <c r="E109" s="2"/>
      <c r="F109" s="7">
        <f t="shared" si="60"/>
        <v>0</v>
      </c>
      <c r="G109" s="2"/>
      <c r="H109" s="6"/>
      <c r="I109" s="2"/>
      <c r="J109" s="7">
        <f t="shared" si="61"/>
        <v>0</v>
      </c>
      <c r="K109" s="2"/>
      <c r="L109" s="6">
        <f t="shared" si="62"/>
        <v>0</v>
      </c>
      <c r="M109" s="2"/>
      <c r="N109" s="7">
        <f t="shared" si="63"/>
        <v>0</v>
      </c>
      <c r="O109" s="11"/>
      <c r="P109" s="6"/>
      <c r="Q109" s="2"/>
      <c r="R109" s="7">
        <f t="shared" si="64"/>
        <v>0</v>
      </c>
      <c r="S109" s="2"/>
      <c r="T109" s="6">
        <v>303.86</v>
      </c>
      <c r="U109" s="2"/>
      <c r="V109" s="7">
        <f t="shared" si="65"/>
        <v>7.5416815904812292E-4</v>
      </c>
      <c r="W109" s="2"/>
      <c r="X109" s="6">
        <f t="shared" si="66"/>
        <v>-303.86</v>
      </c>
      <c r="Y109" s="2"/>
      <c r="Z109" s="7">
        <f t="shared" si="67"/>
        <v>-1</v>
      </c>
    </row>
    <row r="110" spans="1:26" s="24" customFormat="1" hidden="1" outlineLevel="2" x14ac:dyDescent="0.25">
      <c r="A110" s="26"/>
      <c r="B110" s="11" t="str">
        <f>CONCATENATE("          ", "6235", " - ", "COVID-19 EXPENSES")</f>
        <v xml:space="preserve">          6235 - COVID-19 EXPENSES</v>
      </c>
      <c r="C110" s="11"/>
      <c r="D110" s="6"/>
      <c r="E110" s="2"/>
      <c r="F110" s="7">
        <f t="shared" si="60"/>
        <v>0</v>
      </c>
      <c r="G110" s="2"/>
      <c r="H110" s="6"/>
      <c r="I110" s="2"/>
      <c r="J110" s="7">
        <f t="shared" si="61"/>
        <v>0</v>
      </c>
      <c r="K110" s="2"/>
      <c r="L110" s="6">
        <f t="shared" si="62"/>
        <v>0</v>
      </c>
      <c r="M110" s="2"/>
      <c r="N110" s="7">
        <f t="shared" si="63"/>
        <v>0</v>
      </c>
      <c r="O110" s="11"/>
      <c r="P110" s="6">
        <v>265.7</v>
      </c>
      <c r="Q110" s="2"/>
      <c r="R110" s="7">
        <f t="shared" si="64"/>
        <v>1.4421530536356095E-3</v>
      </c>
      <c r="S110" s="2"/>
      <c r="T110" s="6"/>
      <c r="U110" s="2"/>
      <c r="V110" s="7">
        <f t="shared" si="65"/>
        <v>0</v>
      </c>
      <c r="W110" s="2"/>
      <c r="X110" s="6">
        <f t="shared" si="66"/>
        <v>265.7</v>
      </c>
      <c r="Y110" s="2"/>
      <c r="Z110" s="7">
        <f t="shared" si="67"/>
        <v>0</v>
      </c>
    </row>
    <row r="111" spans="1:26" s="24" customFormat="1" hidden="1" outlineLevel="2" x14ac:dyDescent="0.25">
      <c r="A111" s="26"/>
      <c r="B111" s="11" t="str">
        <f>CONCATENATE("          ", "6237", " - ", "JANITORIAL SUPPLIES")</f>
        <v xml:space="preserve">          6237 - JANITORIAL SUPPLIES</v>
      </c>
      <c r="C111" s="11"/>
      <c r="D111" s="6"/>
      <c r="E111" s="2"/>
      <c r="F111" s="7">
        <f t="shared" si="60"/>
        <v>0</v>
      </c>
      <c r="G111" s="2"/>
      <c r="H111" s="6"/>
      <c r="I111" s="2"/>
      <c r="J111" s="7">
        <f t="shared" si="61"/>
        <v>0</v>
      </c>
      <c r="K111" s="2"/>
      <c r="L111" s="6">
        <f t="shared" si="62"/>
        <v>0</v>
      </c>
      <c r="M111" s="2"/>
      <c r="N111" s="7">
        <f t="shared" si="63"/>
        <v>0</v>
      </c>
      <c r="O111" s="11"/>
      <c r="P111" s="6">
        <v>191.74</v>
      </c>
      <c r="Q111" s="2"/>
      <c r="R111" s="7">
        <f t="shared" si="64"/>
        <v>1.0407166974184861E-3</v>
      </c>
      <c r="S111" s="2"/>
      <c r="T111" s="6">
        <v>287.72000000000003</v>
      </c>
      <c r="U111" s="2"/>
      <c r="V111" s="7">
        <f t="shared" si="65"/>
        <v>7.1410933561944954E-4</v>
      </c>
      <c r="W111" s="2"/>
      <c r="X111" s="6">
        <f t="shared" si="66"/>
        <v>-95.980000000000018</v>
      </c>
      <c r="Y111" s="2"/>
      <c r="Z111" s="7">
        <f t="shared" si="67"/>
        <v>-0.33358821076046158</v>
      </c>
    </row>
    <row r="112" spans="1:26" s="24" customFormat="1" hidden="1" outlineLevel="2" x14ac:dyDescent="0.25">
      <c r="A112" s="26"/>
      <c r="B112" s="11" t="str">
        <f>CONCATENATE("          ", "6241", " - ", "OFFICE EXPENSE")</f>
        <v xml:space="preserve">          6241 - OFFICE EXPENSE</v>
      </c>
      <c r="C112" s="11"/>
      <c r="D112" s="6">
        <v>5.95</v>
      </c>
      <c r="E112" s="2"/>
      <c r="F112" s="7">
        <f t="shared" si="60"/>
        <v>2.8928123094754924E-4</v>
      </c>
      <c r="G112" s="2"/>
      <c r="H112" s="6">
        <v>22.48</v>
      </c>
      <c r="I112" s="2"/>
      <c r="J112" s="7">
        <f t="shared" si="61"/>
        <v>5.1650032430614219E-4</v>
      </c>
      <c r="K112" s="2"/>
      <c r="L112" s="6">
        <f t="shared" si="62"/>
        <v>-16.53</v>
      </c>
      <c r="M112" s="2"/>
      <c r="N112" s="7">
        <f t="shared" si="63"/>
        <v>-0.73532028469750899</v>
      </c>
      <c r="O112" s="11"/>
      <c r="P112" s="6">
        <v>101.71</v>
      </c>
      <c r="Q112" s="2"/>
      <c r="R112" s="7">
        <f t="shared" si="64"/>
        <v>5.5205640604169299E-4</v>
      </c>
      <c r="S112" s="2"/>
      <c r="T112" s="6">
        <v>2044.93</v>
      </c>
      <c r="U112" s="2"/>
      <c r="V112" s="7">
        <f t="shared" si="65"/>
        <v>5.0754330727383595E-3</v>
      </c>
      <c r="W112" s="2"/>
      <c r="X112" s="6">
        <f t="shared" si="66"/>
        <v>-1943.22</v>
      </c>
      <c r="Y112" s="2"/>
      <c r="Z112" s="7">
        <f t="shared" si="67"/>
        <v>-0.95026235616867083</v>
      </c>
    </row>
    <row r="113" spans="1:26" s="24" customFormat="1" hidden="1" outlineLevel="2" x14ac:dyDescent="0.25">
      <c r="A113" s="26"/>
      <c r="B113" s="11" t="str">
        <f>CONCATENATE("          ", "6245", " - ", "PRINTING")</f>
        <v xml:space="preserve">          6245 - PRINTING</v>
      </c>
      <c r="C113" s="11"/>
      <c r="D113" s="6"/>
      <c r="E113" s="2"/>
      <c r="F113" s="7">
        <f t="shared" si="60"/>
        <v>0</v>
      </c>
      <c r="G113" s="2"/>
      <c r="H113" s="6"/>
      <c r="I113" s="2"/>
      <c r="J113" s="7">
        <f t="shared" si="61"/>
        <v>0</v>
      </c>
      <c r="K113" s="2"/>
      <c r="L113" s="6">
        <f t="shared" si="62"/>
        <v>0</v>
      </c>
      <c r="M113" s="2"/>
      <c r="N113" s="7">
        <f t="shared" si="63"/>
        <v>0</v>
      </c>
      <c r="O113" s="11"/>
      <c r="P113" s="6"/>
      <c r="Q113" s="2"/>
      <c r="R113" s="7">
        <f t="shared" si="64"/>
        <v>0</v>
      </c>
      <c r="S113" s="2"/>
      <c r="T113" s="6">
        <v>22.05</v>
      </c>
      <c r="U113" s="2"/>
      <c r="V113" s="7">
        <f t="shared" si="65"/>
        <v>5.4727203011291744E-5</v>
      </c>
      <c r="W113" s="2"/>
      <c r="X113" s="6">
        <f t="shared" si="66"/>
        <v>-22.05</v>
      </c>
      <c r="Y113" s="2"/>
      <c r="Z113" s="7">
        <f t="shared" si="67"/>
        <v>-1</v>
      </c>
    </row>
    <row r="114" spans="1:26" s="24" customFormat="1" hidden="1" outlineLevel="2" x14ac:dyDescent="0.25">
      <c r="A114" s="26"/>
      <c r="B114" s="11" t="str">
        <f>CONCATENATE("          ", "6247", " - ", "STORE SUPPLIES")</f>
        <v xml:space="preserve">          6247 - STORE SUPPLIES</v>
      </c>
      <c r="C114" s="11"/>
      <c r="D114" s="6"/>
      <c r="E114" s="2"/>
      <c r="F114" s="7">
        <f t="shared" si="60"/>
        <v>0</v>
      </c>
      <c r="G114" s="2"/>
      <c r="H114" s="6">
        <v>460.2</v>
      </c>
      <c r="I114" s="2"/>
      <c r="J114" s="7">
        <f t="shared" si="61"/>
        <v>1.057355201270848E-2</v>
      </c>
      <c r="K114" s="2"/>
      <c r="L114" s="6">
        <f t="shared" si="62"/>
        <v>-460.2</v>
      </c>
      <c r="M114" s="2"/>
      <c r="N114" s="7">
        <f t="shared" si="63"/>
        <v>-1</v>
      </c>
      <c r="O114" s="11"/>
      <c r="P114" s="6"/>
      <c r="Q114" s="2"/>
      <c r="R114" s="7">
        <f t="shared" si="64"/>
        <v>0</v>
      </c>
      <c r="S114" s="2"/>
      <c r="T114" s="6">
        <v>480.32</v>
      </c>
      <c r="U114" s="2"/>
      <c r="V114" s="7">
        <f t="shared" si="65"/>
        <v>1.1921347006976712E-3</v>
      </c>
      <c r="W114" s="2"/>
      <c r="X114" s="6">
        <f t="shared" si="66"/>
        <v>-480.32</v>
      </c>
      <c r="Y114" s="2"/>
      <c r="Z114" s="7">
        <f t="shared" si="67"/>
        <v>-1</v>
      </c>
    </row>
    <row r="115" spans="1:26" s="25" customFormat="1" outlineLevel="1" collapsed="1" x14ac:dyDescent="0.25">
      <c r="A115" s="27"/>
      <c r="B115" s="13" t="str">
        <f>CONCATENATE("     ","Telephone/Data Lines                              ")</f>
        <v xml:space="preserve">     Telephone/Data Lines                              </v>
      </c>
      <c r="C115" s="13"/>
      <c r="D115" s="1">
        <f>SUM(OSRRefD22_16x_0)</f>
        <v>30.44</v>
      </c>
      <c r="E115" s="1"/>
      <c r="F115" s="5">
        <f t="shared" ref="F115:F122" si="68">IF(D$12=0,0,D115/D$12)</f>
        <v>1.4799530537888065E-3</v>
      </c>
      <c r="G115" s="1"/>
      <c r="H115" s="1">
        <f>SUM(OSRRefH22_16x_0)</f>
        <v>649.07000000000005</v>
      </c>
      <c r="I115" s="1"/>
      <c r="J115" s="5">
        <f t="shared" ref="J115:J122" si="69">IF(H$12=0,0,H115/H$12)</f>
        <v>1.4913027824616893E-2</v>
      </c>
      <c r="K115" s="1"/>
      <c r="L115" s="1">
        <f t="shared" ref="L115:L122" si="70">+D115-H115</f>
        <v>-618.63</v>
      </c>
      <c r="M115" s="1"/>
      <c r="N115" s="5">
        <f t="shared" ref="N115:N122" si="71">IF(H115=0,0,L115/H115)</f>
        <v>-0.95310213074090611</v>
      </c>
      <c r="O115" s="13"/>
      <c r="P115" s="1">
        <f>SUM(OSRRefP22_16x_0)</f>
        <v>2327.64</v>
      </c>
      <c r="Q115" s="1"/>
      <c r="R115" s="5">
        <f t="shared" ref="R115:R122" si="72">IF(P$12=0,0,P115/P$12)</f>
        <v>1.2633846946798607E-2</v>
      </c>
      <c r="S115" s="1"/>
      <c r="T115" s="1">
        <f>SUM(OSRRefT22_16x_0)</f>
        <v>2623.17</v>
      </c>
      <c r="U115" s="1"/>
      <c r="V115" s="5">
        <f t="shared" ref="V115:V122" si="73">IF(T$12=0,0,T115/T$12)</f>
        <v>6.5106012300739299E-3</v>
      </c>
      <c r="W115" s="1"/>
      <c r="X115" s="1">
        <f t="shared" ref="X115:X122" si="74">+P115-T115</f>
        <v>-295.5300000000002</v>
      </c>
      <c r="Y115" s="1"/>
      <c r="Z115" s="5">
        <f t="shared" ref="Z115:Z122" si="75">IF(T115=0,0,X115/T115)</f>
        <v>-0.11266139823191032</v>
      </c>
    </row>
    <row r="116" spans="1:26" s="24" customFormat="1" hidden="1" outlineLevel="2" x14ac:dyDescent="0.25">
      <c r="A116" s="26"/>
      <c r="B116" s="11" t="str">
        <f>CONCATENATE("          ", "6309", " - ", "TELEPHONE")</f>
        <v xml:space="preserve">          6309 - TELEPHONE</v>
      </c>
      <c r="C116" s="11"/>
      <c r="D116" s="6">
        <v>30.44</v>
      </c>
      <c r="E116" s="2"/>
      <c r="F116" s="7">
        <f t="shared" si="68"/>
        <v>1.4799530537888065E-3</v>
      </c>
      <c r="G116" s="2"/>
      <c r="H116" s="6">
        <v>649.07000000000005</v>
      </c>
      <c r="I116" s="2"/>
      <c r="J116" s="7">
        <f t="shared" si="69"/>
        <v>1.4913027824616893E-2</v>
      </c>
      <c r="K116" s="2"/>
      <c r="L116" s="6">
        <f t="shared" si="70"/>
        <v>-618.63</v>
      </c>
      <c r="M116" s="2"/>
      <c r="N116" s="7">
        <f t="shared" si="71"/>
        <v>-0.95310213074090611</v>
      </c>
      <c r="O116" s="11"/>
      <c r="P116" s="6">
        <v>2327.64</v>
      </c>
      <c r="Q116" s="2"/>
      <c r="R116" s="7">
        <f t="shared" si="72"/>
        <v>1.2633846946798607E-2</v>
      </c>
      <c r="S116" s="2"/>
      <c r="T116" s="6">
        <v>2623.17</v>
      </c>
      <c r="U116" s="2"/>
      <c r="V116" s="7">
        <f t="shared" si="73"/>
        <v>6.5106012300739299E-3</v>
      </c>
      <c r="W116" s="2"/>
      <c r="X116" s="6">
        <f t="shared" si="74"/>
        <v>-295.5300000000002</v>
      </c>
      <c r="Y116" s="2"/>
      <c r="Z116" s="7">
        <f t="shared" si="75"/>
        <v>-0.11266139823191032</v>
      </c>
    </row>
    <row r="117" spans="1:26" s="25" customFormat="1" outlineLevel="1" collapsed="1" x14ac:dyDescent="0.25">
      <c r="A117" s="27"/>
      <c r="B117" s="13" t="str">
        <f>CONCATENATE("     ","Training                                          ")</f>
        <v xml:space="preserve">     Training                                          </v>
      </c>
      <c r="C117" s="13"/>
      <c r="D117" s="1">
        <f>SUM(OSRRefD22_17x_0)</f>
        <v>0</v>
      </c>
      <c r="E117" s="1"/>
      <c r="F117" s="5">
        <f t="shared" si="68"/>
        <v>0</v>
      </c>
      <c r="G117" s="1"/>
      <c r="H117" s="1">
        <f>SUM(OSRRefH22_17x_0)</f>
        <v>811.24</v>
      </c>
      <c r="I117" s="1"/>
      <c r="J117" s="5">
        <f t="shared" si="69"/>
        <v>1.8639044621446388E-2</v>
      </c>
      <c r="K117" s="1"/>
      <c r="L117" s="1">
        <f t="shared" si="70"/>
        <v>-811.24</v>
      </c>
      <c r="M117" s="1"/>
      <c r="N117" s="5">
        <f t="shared" si="71"/>
        <v>-1</v>
      </c>
      <c r="O117" s="13"/>
      <c r="P117" s="1">
        <f>SUM(OSRRefP22_17x_0)</f>
        <v>0</v>
      </c>
      <c r="Q117" s="1"/>
      <c r="R117" s="5">
        <f t="shared" si="72"/>
        <v>0</v>
      </c>
      <c r="S117" s="1"/>
      <c r="T117" s="1">
        <f>SUM(OSRRefT22_17x_0)</f>
        <v>811.24</v>
      </c>
      <c r="U117" s="1"/>
      <c r="V117" s="5">
        <f t="shared" si="73"/>
        <v>2.0134646789514883E-3</v>
      </c>
      <c r="W117" s="1"/>
      <c r="X117" s="1">
        <f t="shared" si="74"/>
        <v>-811.24</v>
      </c>
      <c r="Y117" s="1"/>
      <c r="Z117" s="5">
        <f t="shared" si="75"/>
        <v>-1</v>
      </c>
    </row>
    <row r="118" spans="1:26" s="24" customFormat="1" hidden="1" outlineLevel="2" x14ac:dyDescent="0.25">
      <c r="A118" s="26"/>
      <c r="B118" s="11" t="str">
        <f>CONCATENATE("          ", "6376", " - ", "TRAINING")</f>
        <v xml:space="preserve">          6376 - TRAINING</v>
      </c>
      <c r="C118" s="11"/>
      <c r="D118" s="6"/>
      <c r="E118" s="2"/>
      <c r="F118" s="7">
        <f t="shared" si="68"/>
        <v>0</v>
      </c>
      <c r="G118" s="2"/>
      <c r="H118" s="6">
        <v>811.24</v>
      </c>
      <c r="I118" s="2"/>
      <c r="J118" s="7">
        <f t="shared" si="69"/>
        <v>1.8639044621446388E-2</v>
      </c>
      <c r="K118" s="2"/>
      <c r="L118" s="6">
        <f t="shared" si="70"/>
        <v>-811.24</v>
      </c>
      <c r="M118" s="2"/>
      <c r="N118" s="7">
        <f t="shared" si="71"/>
        <v>-1</v>
      </c>
      <c r="O118" s="11"/>
      <c r="P118" s="6"/>
      <c r="Q118" s="2"/>
      <c r="R118" s="7">
        <f t="shared" si="72"/>
        <v>0</v>
      </c>
      <c r="S118" s="2"/>
      <c r="T118" s="6">
        <v>811.24</v>
      </c>
      <c r="U118" s="2"/>
      <c r="V118" s="7">
        <f t="shared" si="73"/>
        <v>2.0134646789514883E-3</v>
      </c>
      <c r="W118" s="2"/>
      <c r="X118" s="6">
        <f t="shared" si="74"/>
        <v>-811.24</v>
      </c>
      <c r="Y118" s="2"/>
      <c r="Z118" s="7">
        <f t="shared" si="75"/>
        <v>-1</v>
      </c>
    </row>
    <row r="119" spans="1:26" s="25" customFormat="1" outlineLevel="1" collapsed="1" x14ac:dyDescent="0.25">
      <c r="A119" s="27"/>
      <c r="B119" s="13" t="str">
        <f>CONCATENATE("     ","Travel                                            ")</f>
        <v xml:space="preserve">     Travel                                            </v>
      </c>
      <c r="C119" s="13"/>
      <c r="D119" s="1">
        <f>SUM(OSRRefD22_18x_0)</f>
        <v>0</v>
      </c>
      <c r="E119" s="1"/>
      <c r="F119" s="5">
        <f t="shared" si="68"/>
        <v>0</v>
      </c>
      <c r="G119" s="1"/>
      <c r="H119" s="1">
        <f>SUM(OSRRefH22_18x_0)</f>
        <v>35.29</v>
      </c>
      <c r="I119" s="1"/>
      <c r="J119" s="5">
        <f t="shared" si="69"/>
        <v>8.1082279558557647E-4</v>
      </c>
      <c r="K119" s="1"/>
      <c r="L119" s="1">
        <f t="shared" si="70"/>
        <v>-35.29</v>
      </c>
      <c r="M119" s="1"/>
      <c r="N119" s="5">
        <f t="shared" si="71"/>
        <v>-1</v>
      </c>
      <c r="O119" s="13"/>
      <c r="P119" s="1">
        <f>SUM(OSRRefP22_18x_0)</f>
        <v>381.34</v>
      </c>
      <c r="Q119" s="1"/>
      <c r="R119" s="5">
        <f t="shared" si="72"/>
        <v>2.0698180108144645E-3</v>
      </c>
      <c r="S119" s="1"/>
      <c r="T119" s="1">
        <f>SUM(OSRRefT22_18x_0)</f>
        <v>698.01</v>
      </c>
      <c r="U119" s="1"/>
      <c r="V119" s="5">
        <f t="shared" si="73"/>
        <v>1.7324324251207141E-3</v>
      </c>
      <c r="W119" s="1"/>
      <c r="X119" s="1">
        <f t="shared" si="74"/>
        <v>-316.67</v>
      </c>
      <c r="Y119" s="1"/>
      <c r="Z119" s="5">
        <f t="shared" si="75"/>
        <v>-0.45367544877580551</v>
      </c>
    </row>
    <row r="120" spans="1:26" s="24" customFormat="1" hidden="1" outlineLevel="2" x14ac:dyDescent="0.25">
      <c r="A120" s="26"/>
      <c r="B120" s="11" t="str">
        <f>CONCATENATE("          ", "6294", " - ", "TRAVEL OPERATIONAL")</f>
        <v xml:space="preserve">          6294 - TRAVEL OPERATIONAL</v>
      </c>
      <c r="C120" s="11"/>
      <c r="D120" s="6"/>
      <c r="E120" s="2"/>
      <c r="F120" s="7">
        <f t="shared" si="68"/>
        <v>0</v>
      </c>
      <c r="G120" s="2"/>
      <c r="H120" s="6">
        <v>35.29</v>
      </c>
      <c r="I120" s="2"/>
      <c r="J120" s="7">
        <f t="shared" si="69"/>
        <v>8.1082279558557647E-4</v>
      </c>
      <c r="K120" s="2"/>
      <c r="L120" s="6">
        <f t="shared" si="70"/>
        <v>-35.29</v>
      </c>
      <c r="M120" s="2"/>
      <c r="N120" s="7">
        <f t="shared" si="71"/>
        <v>-1</v>
      </c>
      <c r="O120" s="11"/>
      <c r="P120" s="6">
        <v>381.34</v>
      </c>
      <c r="Q120" s="2"/>
      <c r="R120" s="7">
        <f t="shared" si="72"/>
        <v>2.0698180108144645E-3</v>
      </c>
      <c r="S120" s="2"/>
      <c r="T120" s="6">
        <v>698.01</v>
      </c>
      <c r="U120" s="2"/>
      <c r="V120" s="7">
        <f t="shared" si="73"/>
        <v>1.7324324251207141E-3</v>
      </c>
      <c r="W120" s="2"/>
      <c r="X120" s="6">
        <f t="shared" si="74"/>
        <v>-316.67</v>
      </c>
      <c r="Y120" s="2"/>
      <c r="Z120" s="7">
        <f t="shared" si="75"/>
        <v>-0.45367544877580551</v>
      </c>
    </row>
    <row r="121" spans="1:26" s="25" customFormat="1" outlineLevel="1" collapsed="1" x14ac:dyDescent="0.25">
      <c r="A121" s="27"/>
      <c r="B121" s="13" t="str">
        <f>CONCATENATE("     ","Utilities                                         ")</f>
        <v xml:space="preserve">     Utilities                                         </v>
      </c>
      <c r="C121" s="13"/>
      <c r="D121" s="1">
        <f>SUM(OSRRefD22_19x_0)</f>
        <v>28.14</v>
      </c>
      <c r="E121" s="1"/>
      <c r="F121" s="5">
        <f t="shared" si="68"/>
        <v>1.3681300569519386E-3</v>
      </c>
      <c r="G121" s="1"/>
      <c r="H121" s="1">
        <f>SUM(OSRRefH22_19x_0)</f>
        <v>2392.9699999999998</v>
      </c>
      <c r="I121" s="1"/>
      <c r="J121" s="5">
        <f t="shared" si="69"/>
        <v>5.4980862146568908E-2</v>
      </c>
      <c r="K121" s="1"/>
      <c r="L121" s="1">
        <f t="shared" si="70"/>
        <v>-2364.83</v>
      </c>
      <c r="M121" s="1"/>
      <c r="N121" s="5">
        <f t="shared" si="71"/>
        <v>-0.98824055462458793</v>
      </c>
      <c r="O121" s="13"/>
      <c r="P121" s="1">
        <f>SUM(OSRRefP22_19x_0)</f>
        <v>205.15</v>
      </c>
      <c r="Q121" s="1"/>
      <c r="R121" s="5">
        <f t="shared" si="72"/>
        <v>1.1135028187931701E-3</v>
      </c>
      <c r="S121" s="1"/>
      <c r="T121" s="1">
        <f>SUM(OSRRefT22_19x_0)</f>
        <v>2853.79</v>
      </c>
      <c r="U121" s="1"/>
      <c r="V121" s="5">
        <f t="shared" si="73"/>
        <v>7.0829906885076762E-3</v>
      </c>
      <c r="W121" s="1"/>
      <c r="X121" s="1">
        <f t="shared" si="74"/>
        <v>-2648.64</v>
      </c>
      <c r="Y121" s="1"/>
      <c r="Z121" s="5">
        <f t="shared" si="75"/>
        <v>-0.9281131407706944</v>
      </c>
    </row>
    <row r="122" spans="1:26" s="24" customFormat="1" hidden="1" outlineLevel="2" x14ac:dyDescent="0.25">
      <c r="A122" s="26"/>
      <c r="B122" s="11" t="str">
        <f>CONCATENATE("          ", "6274", " - ", "UTILITIES")</f>
        <v xml:space="preserve">          6274 - UTILITIES</v>
      </c>
      <c r="C122" s="11"/>
      <c r="D122" s="6">
        <v>28.14</v>
      </c>
      <c r="E122" s="2"/>
      <c r="F122" s="7">
        <f t="shared" si="68"/>
        <v>1.3681300569519386E-3</v>
      </c>
      <c r="G122" s="2"/>
      <c r="H122" s="6">
        <v>2392.9699999999998</v>
      </c>
      <c r="I122" s="2"/>
      <c r="J122" s="7">
        <f t="shared" si="69"/>
        <v>5.4980862146568908E-2</v>
      </c>
      <c r="K122" s="2"/>
      <c r="L122" s="6">
        <f t="shared" si="70"/>
        <v>-2364.83</v>
      </c>
      <c r="M122" s="2"/>
      <c r="N122" s="7">
        <f t="shared" si="71"/>
        <v>-0.98824055462458793</v>
      </c>
      <c r="O122" s="11"/>
      <c r="P122" s="6">
        <v>205.15</v>
      </c>
      <c r="Q122" s="2"/>
      <c r="R122" s="7">
        <f t="shared" si="72"/>
        <v>1.1135028187931701E-3</v>
      </c>
      <c r="S122" s="2"/>
      <c r="T122" s="6">
        <v>2853.79</v>
      </c>
      <c r="U122" s="2"/>
      <c r="V122" s="7">
        <f t="shared" si="73"/>
        <v>7.0829906885076762E-3</v>
      </c>
      <c r="W122" s="2"/>
      <c r="X122" s="6">
        <f t="shared" si="74"/>
        <v>-2648.64</v>
      </c>
      <c r="Y122" s="2"/>
      <c r="Z122" s="7">
        <f t="shared" si="75"/>
        <v>-0.9281131407706944</v>
      </c>
    </row>
    <row r="123" spans="1:26" s="52" customFormat="1" x14ac:dyDescent="0.25">
      <c r="A123" s="37"/>
      <c r="B123" s="37"/>
      <c r="C123" s="37"/>
      <c r="D123" s="1"/>
      <c r="E123" s="1"/>
      <c r="F123" s="5"/>
      <c r="G123" s="1"/>
      <c r="H123" s="1"/>
      <c r="I123" s="1"/>
      <c r="J123" s="5"/>
      <c r="K123" s="1"/>
      <c r="L123" s="1"/>
      <c r="M123" s="1"/>
      <c r="N123" s="5"/>
      <c r="O123" s="37"/>
      <c r="P123" s="1"/>
      <c r="Q123" s="1"/>
      <c r="R123" s="5"/>
      <c r="S123" s="1"/>
      <c r="T123" s="1"/>
      <c r="U123" s="1"/>
      <c r="V123" s="5"/>
      <c r="W123" s="1"/>
      <c r="X123" s="1"/>
      <c r="Y123" s="1"/>
      <c r="Z123" s="5"/>
    </row>
    <row r="124" spans="1:26" s="23" customFormat="1" x14ac:dyDescent="0.25">
      <c r="A124" s="10"/>
      <c r="B124" s="28" t="s">
        <v>0</v>
      </c>
      <c r="C124" s="10"/>
      <c r="D124" s="4">
        <f>SUM(0)</f>
        <v>0</v>
      </c>
      <c r="E124" s="4"/>
      <c r="F124" s="12">
        <f>IF(D$12=0,0,D124/D$12)</f>
        <v>0</v>
      </c>
      <c r="G124" s="4"/>
      <c r="H124" s="4">
        <f>SUM(0)</f>
        <v>0</v>
      </c>
      <c r="I124" s="4"/>
      <c r="J124" s="12">
        <f>IF(H$12=0,0,H124/H$12)</f>
        <v>0</v>
      </c>
      <c r="K124" s="4"/>
      <c r="L124" s="4">
        <f>+D124-H124</f>
        <v>0</v>
      </c>
      <c r="M124" s="4"/>
      <c r="N124" s="12">
        <f>IF(H124=0,0,L124/H124)</f>
        <v>0</v>
      </c>
      <c r="O124" s="10"/>
      <c r="P124" s="4">
        <f>SUM(0)</f>
        <v>0</v>
      </c>
      <c r="Q124" s="4"/>
      <c r="R124" s="12">
        <f>IF(P$12=0,0,P124/P$12)</f>
        <v>0</v>
      </c>
      <c r="S124" s="4"/>
      <c r="T124" s="4">
        <f>SUM(0)</f>
        <v>0</v>
      </c>
      <c r="U124" s="4"/>
      <c r="V124" s="12">
        <f>IF(T$12=0,0,T124/T$12)</f>
        <v>0</v>
      </c>
      <c r="W124" s="4"/>
      <c r="X124" s="4">
        <f>+P124-T124</f>
        <v>0</v>
      </c>
      <c r="Y124" s="4"/>
      <c r="Z124" s="12">
        <f>IF(T124=0,0,X124/T124)</f>
        <v>0</v>
      </c>
    </row>
    <row r="125" spans="1:26" x14ac:dyDescent="0.25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25">
      <c r="A126" s="10"/>
      <c r="B126" s="29" t="s">
        <v>3</v>
      </c>
      <c r="C126" s="29"/>
      <c r="D126" s="22">
        <f>+D58-D60+D124</f>
        <v>-7940.32</v>
      </c>
      <c r="E126" s="14"/>
      <c r="F126" s="20">
        <f>IF(D$12=0,0,D126/D$12)</f>
        <v>-0.3860479905407469</v>
      </c>
      <c r="G126" s="14"/>
      <c r="H126" s="22">
        <f>+H58-H60+H124</f>
        <v>-16492.309999999998</v>
      </c>
      <c r="I126" s="14"/>
      <c r="J126" s="20">
        <f>IF(H$12=0,0,H126/H$12)</f>
        <v>-0.37892720033618466</v>
      </c>
      <c r="K126" s="16"/>
      <c r="L126" s="22">
        <f>+D126-H126</f>
        <v>8551.989999999998</v>
      </c>
      <c r="M126" s="16"/>
      <c r="N126" s="20">
        <f>IF(H126=0,0,L126/H126)</f>
        <v>-0.51854409721864303</v>
      </c>
      <c r="O126" s="28"/>
      <c r="P126" s="22">
        <f>+P58-P60+P124</f>
        <v>-69876.009999999951</v>
      </c>
      <c r="Q126" s="14"/>
      <c r="R126" s="20">
        <f>IF(P$12=0,0,P126/P$12)</f>
        <v>-0.37926948136007643</v>
      </c>
      <c r="S126" s="14"/>
      <c r="T126" s="22">
        <f>+T58-T60+T124</f>
        <v>-24728.829999999929</v>
      </c>
      <c r="U126" s="14"/>
      <c r="V126" s="20">
        <f>IF(T$12=0,0,T126/T$12)</f>
        <v>-6.1375950097130053E-2</v>
      </c>
      <c r="W126" s="16"/>
      <c r="X126" s="22">
        <f>+P126-T126</f>
        <v>-45147.180000000022</v>
      </c>
      <c r="Y126" s="16"/>
      <c r="Z126" s="20">
        <f>IF(T126=0,0,X126/T126)</f>
        <v>1.825690095325988</v>
      </c>
    </row>
    <row r="127" spans="1:26" x14ac:dyDescent="0.25">
      <c r="A127" s="9"/>
      <c r="B127" s="10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x14ac:dyDescent="0.25">
      <c r="A128" s="51"/>
      <c r="B128" s="10" t="s">
        <v>13</v>
      </c>
      <c r="C128" s="10"/>
      <c r="D128" s="4">
        <v>6775.33</v>
      </c>
      <c r="E128" s="4"/>
      <c r="F128" s="12">
        <f>IF(D$12=0,0,D128/D$12)</f>
        <v>0.32940769789510227</v>
      </c>
      <c r="G128" s="4"/>
      <c r="H128" s="4">
        <v>3585.6</v>
      </c>
      <c r="I128" s="4"/>
      <c r="J128" s="12">
        <f>IF(H$12=0,0,H128/H$12)</f>
        <v>8.2382720766552647E-2</v>
      </c>
      <c r="K128" s="4"/>
      <c r="L128" s="4">
        <f>+D128-H128</f>
        <v>3189.73</v>
      </c>
      <c r="M128" s="4"/>
      <c r="N128" s="12">
        <f>IF(H128=0,0,L128/H128)</f>
        <v>0.8895944890673807</v>
      </c>
      <c r="O128" s="10"/>
      <c r="P128" s="4">
        <v>36485.800000000003</v>
      </c>
      <c r="Q128" s="4"/>
      <c r="R128" s="12">
        <f>IF(P$12=0,0,P128/P$12)</f>
        <v>0.19803578428429855</v>
      </c>
      <c r="S128" s="4"/>
      <c r="T128" s="4">
        <v>41064.239999999998</v>
      </c>
      <c r="U128" s="4"/>
      <c r="V128" s="12">
        <f>IF(T$12=0,0,T128/T$12)</f>
        <v>0.10191977319657174</v>
      </c>
      <c r="W128" s="4"/>
      <c r="X128" s="4">
        <f>+P128-T128</f>
        <v>-4578.4399999999951</v>
      </c>
      <c r="Y128" s="4"/>
      <c r="Z128" s="12">
        <f>IF(T128=0,0,X128/T128)</f>
        <v>-0.11149457532880178</v>
      </c>
    </row>
    <row r="129" spans="1:26" x14ac:dyDescent="0.2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ht="15.75" thickBot="1" x14ac:dyDescent="0.3">
      <c r="A130" s="10"/>
      <c r="B130" s="29" t="s">
        <v>4</v>
      </c>
      <c r="C130" s="29"/>
      <c r="D130" s="35">
        <f>+D126-D128</f>
        <v>-14715.65</v>
      </c>
      <c r="E130" s="14"/>
      <c r="F130" s="36">
        <f>IF(D$12=0,0,D130/D$12)</f>
        <v>-0.71545568843584917</v>
      </c>
      <c r="G130" s="14"/>
      <c r="H130" s="35">
        <f>+H126-H128</f>
        <v>-20077.909999999996</v>
      </c>
      <c r="I130" s="14"/>
      <c r="J130" s="36">
        <f>IF(H$12=0,0,H130/H$12)</f>
        <v>-0.46130992110273727</v>
      </c>
      <c r="K130" s="16"/>
      <c r="L130" s="35">
        <f>D130-H130</f>
        <v>5362.2599999999966</v>
      </c>
      <c r="M130" s="16"/>
      <c r="N130" s="36">
        <f>IF(H130=0,0,L130/H130)</f>
        <v>-0.2670726186141883</v>
      </c>
      <c r="O130" s="28"/>
      <c r="P130" s="35">
        <f>+P126-P128</f>
        <v>-106361.80999999995</v>
      </c>
      <c r="Q130" s="14"/>
      <c r="R130" s="36">
        <f>IF(P$12=0,0,P130/P$12)</f>
        <v>-0.57730526564437501</v>
      </c>
      <c r="S130" s="14"/>
      <c r="T130" s="35">
        <f>+T126-T128</f>
        <v>-65793.06999999992</v>
      </c>
      <c r="U130" s="14"/>
      <c r="V130" s="36">
        <f>IF(T$12=0,0,T130/T$12)</f>
        <v>-0.16329572329370176</v>
      </c>
      <c r="W130" s="16"/>
      <c r="X130" s="35">
        <f>P130-T130</f>
        <v>-40568.740000000034</v>
      </c>
      <c r="Y130" s="16"/>
      <c r="Z130" s="36">
        <f>IF(T130=0,0,X130/T130)</f>
        <v>0.61661114156855856</v>
      </c>
    </row>
    <row r="131" spans="1:26" ht="15.75" thickTop="1" x14ac:dyDescent="0.25">
      <c r="A131" s="9"/>
      <c r="B131" s="9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ht="15.75" thickBot="1" x14ac:dyDescent="0.3">
      <c r="A133" s="10"/>
      <c r="B133" s="29" t="s">
        <v>5</v>
      </c>
      <c r="C133" s="29"/>
      <c r="D133" s="31">
        <f>SUM(D130:D132)</f>
        <v>-14715.65</v>
      </c>
      <c r="E133" s="14"/>
      <c r="F133" s="33">
        <f>IF(D$12=0,0,D133/D$12)</f>
        <v>-0.71545568843584917</v>
      </c>
      <c r="G133" s="14"/>
      <c r="H133" s="31">
        <f>SUM(H130:H132)</f>
        <v>-20077.909999999996</v>
      </c>
      <c r="I133" s="14"/>
      <c r="J133" s="33">
        <f>IF(H$12=0,0,H133/H$12)</f>
        <v>-0.46130992110273727</v>
      </c>
      <c r="K133" s="16"/>
      <c r="L133" s="31">
        <f>+D133-H133</f>
        <v>5362.2599999999966</v>
      </c>
      <c r="M133" s="16"/>
      <c r="N133" s="33">
        <f>IF(H133=0,0,L133/H133)</f>
        <v>-0.2670726186141883</v>
      </c>
      <c r="O133" s="28"/>
      <c r="P133" s="31">
        <f>SUM(P130:P132)</f>
        <v>-106361.80999999995</v>
      </c>
      <c r="Q133" s="14"/>
      <c r="R133" s="33">
        <f>IF(P$12=0,0,P133/P$12)</f>
        <v>-0.57730526564437501</v>
      </c>
      <c r="S133" s="14"/>
      <c r="T133" s="31">
        <f>SUM(T130:T132)</f>
        <v>-65793.06999999992</v>
      </c>
      <c r="U133" s="14"/>
      <c r="V133" s="33">
        <f>IF(T$12=0,0,T133/T$12)</f>
        <v>-0.16329572329370176</v>
      </c>
      <c r="W133" s="16"/>
      <c r="X133" s="31">
        <f>+P133-T133</f>
        <v>-40568.740000000034</v>
      </c>
      <c r="Y133" s="16"/>
      <c r="Z133" s="33">
        <f>IF(T133=0,0,X133/T133)</f>
        <v>0.61661114156855856</v>
      </c>
    </row>
    <row r="134" spans="1:26" ht="15.75" thickTop="1" x14ac:dyDescent="0.25">
      <c r="A134" s="9"/>
      <c r="C134" s="9"/>
      <c r="D134" s="18"/>
      <c r="E134" s="18"/>
      <c r="G134" s="18"/>
      <c r="H134" s="18"/>
      <c r="I134" s="18"/>
      <c r="J134" s="43"/>
      <c r="K134" s="18"/>
      <c r="L134" s="18"/>
      <c r="M134" s="18"/>
      <c r="P134" s="18"/>
      <c r="Q134" s="18"/>
      <c r="R134" s="43"/>
      <c r="S134" s="18"/>
      <c r="T134" s="18"/>
      <c r="U134" s="18"/>
      <c r="V134" s="43"/>
      <c r="W134" s="18"/>
      <c r="X134" s="18"/>
    </row>
    <row r="135" spans="1:26" x14ac:dyDescent="0.25">
      <c r="A135" s="9"/>
      <c r="B135" s="56">
        <v>44267.668417245368</v>
      </c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  <row r="136" spans="1:26" x14ac:dyDescent="0.25">
      <c r="A136" s="9"/>
      <c r="B136" s="54" t="s">
        <v>313</v>
      </c>
      <c r="D136" s="18"/>
      <c r="E136" s="18"/>
      <c r="G136" s="18"/>
      <c r="H136" s="18"/>
      <c r="I136" s="18"/>
      <c r="J136" s="43"/>
      <c r="K136" s="18"/>
      <c r="L136" s="18"/>
      <c r="M136" s="18"/>
      <c r="P136" s="18"/>
      <c r="Q136" s="18"/>
      <c r="R136" s="43"/>
      <c r="S136" s="18"/>
      <c r="T136" s="18"/>
      <c r="U136" s="18"/>
      <c r="V136" s="43"/>
      <c r="W136" s="18"/>
      <c r="X136" s="18"/>
    </row>
    <row r="137" spans="1:26" x14ac:dyDescent="0.25">
      <c r="A137" s="9"/>
      <c r="B137" s="58"/>
      <c r="D137" s="18"/>
      <c r="E137" s="18"/>
      <c r="G137" s="18"/>
      <c r="H137" s="18"/>
      <c r="I137" s="18"/>
      <c r="J137" s="43"/>
      <c r="K137" s="18"/>
      <c r="L137" s="18"/>
      <c r="M137" s="18"/>
      <c r="P137" s="18"/>
      <c r="Q137" s="18"/>
      <c r="R137" s="43"/>
      <c r="S137" s="18"/>
      <c r="T137" s="18"/>
      <c r="U137" s="18"/>
      <c r="V137" s="43"/>
      <c r="W137" s="18"/>
      <c r="X137" s="18"/>
    </row>
    <row r="138" spans="1:26" x14ac:dyDescent="0.25">
      <c r="D138" s="18"/>
      <c r="E138" s="18"/>
      <c r="G138" s="18"/>
      <c r="H138" s="18"/>
      <c r="I138" s="18"/>
      <c r="J138" s="43"/>
      <c r="K138" s="18"/>
      <c r="L138" s="18"/>
      <c r="M138" s="18"/>
      <c r="P138" s="18"/>
      <c r="Q138" s="18"/>
      <c r="R138" s="43"/>
      <c r="S138" s="18"/>
      <c r="T138" s="18"/>
      <c r="U138" s="18"/>
      <c r="V138" s="43"/>
      <c r="W138" s="18"/>
      <c r="X138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303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4441.8100000000013</v>
      </c>
      <c r="E12" s="4"/>
      <c r="F12" s="12"/>
      <c r="G12" s="4"/>
      <c r="H12" s="4">
        <f>SUM(OSRRefH13x_0)</f>
        <v>49550.77</v>
      </c>
      <c r="I12" s="4"/>
      <c r="J12" s="12"/>
      <c r="K12" s="4"/>
      <c r="L12" s="4">
        <f t="shared" ref="L12:L30" si="0">+D12-H12</f>
        <v>-45108.959999999992</v>
      </c>
      <c r="M12" s="4"/>
      <c r="N12" s="12">
        <f t="shared" ref="N12:N30" si="1">IF(H12=0,0,L12/H12)</f>
        <v>-0.91035840613576735</v>
      </c>
      <c r="O12" s="10"/>
      <c r="P12" s="4">
        <f>SUM(OSRRefP13x_0)</f>
        <v>108848.03</v>
      </c>
      <c r="Q12" s="4"/>
      <c r="R12" s="12"/>
      <c r="S12" s="4"/>
      <c r="T12" s="4">
        <f>SUM(OSRRefT13x_0)</f>
        <v>449700.64</v>
      </c>
      <c r="U12" s="4"/>
      <c r="V12" s="12"/>
      <c r="W12" s="4"/>
      <c r="X12" s="4">
        <f t="shared" ref="X12:X30" si="2">+P12-T12</f>
        <v>-340852.61</v>
      </c>
      <c r="Y12" s="4"/>
      <c r="Z12" s="12">
        <f t="shared" ref="Z12:Z30" si="3">IF(T12=0,0,X12/T12)</f>
        <v>-0.75795446944438405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-9.28</f>
        <v>-9.2799999999999994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-9.2799999999999994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--3560.25</f>
        <v>3560.25</v>
      </c>
      <c r="E14" s="2"/>
      <c r="F14" s="19"/>
      <c r="G14" s="2"/>
      <c r="H14" s="2">
        <f>--9101.46</f>
        <v>9101.4599999999991</v>
      </c>
      <c r="I14" s="2"/>
      <c r="J14" s="19"/>
      <c r="K14" s="2"/>
      <c r="L14" s="2">
        <f t="shared" si="0"/>
        <v>-5541.2099999999991</v>
      </c>
      <c r="M14" s="2"/>
      <c r="N14" s="19">
        <f t="shared" si="1"/>
        <v>-0.60882649596877858</v>
      </c>
      <c r="O14" s="11"/>
      <c r="P14" s="2">
        <f>--92066.22</f>
        <v>92066.22</v>
      </c>
      <c r="Q14" s="2"/>
      <c r="R14" s="19"/>
      <c r="S14" s="2"/>
      <c r="T14" s="2">
        <f>--173823.99</f>
        <v>173823.99</v>
      </c>
      <c r="U14" s="2"/>
      <c r="V14" s="19"/>
      <c r="W14" s="2"/>
      <c r="X14" s="2">
        <f t="shared" si="2"/>
        <v>-81757.76999999999</v>
      </c>
      <c r="Y14" s="2"/>
      <c r="Z14" s="19">
        <f t="shared" si="3"/>
        <v>-0.47034802273265036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--603.05</f>
        <v>603.04999999999995</v>
      </c>
      <c r="E15" s="2"/>
      <c r="F15" s="19"/>
      <c r="G15" s="2"/>
      <c r="H15" s="2">
        <f>--8240.96</f>
        <v>8240.9599999999991</v>
      </c>
      <c r="I15" s="2"/>
      <c r="J15" s="19"/>
      <c r="K15" s="2"/>
      <c r="L15" s="2">
        <f t="shared" si="0"/>
        <v>-7637.9099999999989</v>
      </c>
      <c r="M15" s="2"/>
      <c r="N15" s="19">
        <f t="shared" si="1"/>
        <v>-0.92682284588203312</v>
      </c>
      <c r="O15" s="11"/>
      <c r="P15" s="2">
        <f>--15148.63</f>
        <v>15148.63</v>
      </c>
      <c r="Q15" s="2"/>
      <c r="R15" s="19"/>
      <c r="S15" s="2"/>
      <c r="T15" s="2">
        <f>--62134.47</f>
        <v>62134.47</v>
      </c>
      <c r="U15" s="2"/>
      <c r="V15" s="19"/>
      <c r="W15" s="2"/>
      <c r="X15" s="2">
        <f t="shared" si="2"/>
        <v>-46985.840000000004</v>
      </c>
      <c r="Y15" s="2"/>
      <c r="Z15" s="19">
        <f t="shared" si="3"/>
        <v>-0.75619603740081798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--3.47</f>
        <v>3.47</v>
      </c>
      <c r="E16" s="2"/>
      <c r="F16" s="19"/>
      <c r="G16" s="2"/>
      <c r="H16" s="2">
        <f>--60.73</f>
        <v>60.73</v>
      </c>
      <c r="I16" s="2"/>
      <c r="J16" s="19"/>
      <c r="K16" s="2"/>
      <c r="L16" s="2">
        <f t="shared" si="0"/>
        <v>-57.26</v>
      </c>
      <c r="M16" s="2"/>
      <c r="N16" s="19">
        <f t="shared" si="1"/>
        <v>-0.9428618475218179</v>
      </c>
      <c r="O16" s="11"/>
      <c r="P16" s="2">
        <f>--37.78</f>
        <v>37.78</v>
      </c>
      <c r="Q16" s="2"/>
      <c r="R16" s="19"/>
      <c r="S16" s="2"/>
      <c r="T16" s="2">
        <f>--249.79</f>
        <v>249.79</v>
      </c>
      <c r="U16" s="2"/>
      <c r="V16" s="19"/>
      <c r="W16" s="2"/>
      <c r="X16" s="2">
        <f t="shared" si="2"/>
        <v>-212.01</v>
      </c>
      <c r="Y16" s="2"/>
      <c r="Z16" s="19">
        <f t="shared" si="3"/>
        <v>-0.84875295248008331</v>
      </c>
    </row>
    <row r="17" spans="1:26" s="24" customFormat="1" hidden="1" outlineLevel="1" x14ac:dyDescent="0.25">
      <c r="A17" s="44"/>
      <c r="B17" s="11" t="str">
        <f>CONCATENATE("          ", "4044", " - ", "TAXABLE SALES-ACCESSORIES")</f>
        <v xml:space="preserve">          4044 - TAXABLE SALES-ACCESSORIES</v>
      </c>
      <c r="C17" s="11"/>
      <c r="D17" s="2">
        <f t="shared" ref="D17:D19" si="4">0</f>
        <v>0</v>
      </c>
      <c r="E17" s="2"/>
      <c r="F17" s="19"/>
      <c r="G17" s="2"/>
      <c r="H17" s="2">
        <f>--235.18</f>
        <v>235.18</v>
      </c>
      <c r="I17" s="2"/>
      <c r="J17" s="19"/>
      <c r="K17" s="2"/>
      <c r="L17" s="2">
        <f t="shared" si="0"/>
        <v>-235.18</v>
      </c>
      <c r="M17" s="2"/>
      <c r="N17" s="19">
        <f t="shared" si="1"/>
        <v>-1</v>
      </c>
      <c r="O17" s="11"/>
      <c r="P17" s="2">
        <f t="shared" ref="P17:P19" si="5">0</f>
        <v>0</v>
      </c>
      <c r="Q17" s="2"/>
      <c r="R17" s="19"/>
      <c r="S17" s="2"/>
      <c r="T17" s="2">
        <f>--235.18</f>
        <v>235.18</v>
      </c>
      <c r="U17" s="2"/>
      <c r="V17" s="19"/>
      <c r="W17" s="2"/>
      <c r="X17" s="2">
        <f t="shared" si="2"/>
        <v>-235.18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"4047", " - ", "TAXABLE SALES-MISC")</f>
        <v xml:space="preserve">          4047 - TAXABLE SALES-MISC</v>
      </c>
      <c r="C18" s="11"/>
      <c r="D18" s="2">
        <f t="shared" si="4"/>
        <v>0</v>
      </c>
      <c r="E18" s="2"/>
      <c r="F18" s="19"/>
      <c r="G18" s="2"/>
      <c r="H18" s="2">
        <f>--208.95</f>
        <v>208.95</v>
      </c>
      <c r="I18" s="2"/>
      <c r="J18" s="19"/>
      <c r="K18" s="2"/>
      <c r="L18" s="2">
        <f t="shared" si="0"/>
        <v>-208.95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--2185.99</f>
        <v>2185.9899999999998</v>
      </c>
      <c r="U18" s="2"/>
      <c r="V18" s="19"/>
      <c r="W18" s="2"/>
      <c r="X18" s="2">
        <f t="shared" si="2"/>
        <v>-2185.9899999999998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"4092", " - ", "TAXABLE SALES-GRAD MERCH")</f>
        <v xml:space="preserve">          4092 - TAXABLE SALES-GRAD MERCH</v>
      </c>
      <c r="C19" s="11"/>
      <c r="D19" s="2">
        <f t="shared" si="4"/>
        <v>0</v>
      </c>
      <c r="E19" s="2"/>
      <c r="F19" s="19"/>
      <c r="G19" s="2"/>
      <c r="H19" s="2">
        <f t="shared" ref="H19:H20" si="6"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5"/>
        <v>0</v>
      </c>
      <c r="Q19" s="2"/>
      <c r="R19" s="19"/>
      <c r="S19" s="2"/>
      <c r="T19" s="2">
        <f>--7699.32</f>
        <v>7699.32</v>
      </c>
      <c r="U19" s="2"/>
      <c r="V19" s="19"/>
      <c r="W19" s="2"/>
      <c r="X19" s="2">
        <f t="shared" si="2"/>
        <v>-7699.32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"4095", " - ", "TAXABLE SALES-CUSTOMER SERVICE")</f>
        <v xml:space="preserve">          4095 - TAXABLE SALES-CUSTOMER SERVICE</v>
      </c>
      <c r="C20" s="11"/>
      <c r="D20" s="2">
        <f>--139.85</f>
        <v>139.85</v>
      </c>
      <c r="E20" s="2"/>
      <c r="F20" s="19"/>
      <c r="G20" s="2"/>
      <c r="H20" s="2">
        <f t="shared" si="6"/>
        <v>0</v>
      </c>
      <c r="I20" s="2"/>
      <c r="J20" s="19"/>
      <c r="K20" s="2"/>
      <c r="L20" s="2">
        <f t="shared" si="0"/>
        <v>139.85</v>
      </c>
      <c r="M20" s="2"/>
      <c r="N20" s="19">
        <f t="shared" si="1"/>
        <v>0</v>
      </c>
      <c r="O20" s="11"/>
      <c r="P20" s="2">
        <f>--139.85</f>
        <v>139.85</v>
      </c>
      <c r="Q20" s="2"/>
      <c r="R20" s="19"/>
      <c r="S20" s="2"/>
      <c r="T20" s="2">
        <f>--279.56</f>
        <v>279.56</v>
      </c>
      <c r="U20" s="2"/>
      <c r="V20" s="19"/>
      <c r="W20" s="2"/>
      <c r="X20" s="2">
        <f t="shared" si="2"/>
        <v>-139.71</v>
      </c>
      <c r="Y20" s="2"/>
      <c r="Z20" s="19">
        <f t="shared" si="3"/>
        <v>-0.49974960652453859</v>
      </c>
    </row>
    <row r="21" spans="1:26" s="24" customFormat="1" hidden="1" outlineLevel="1" x14ac:dyDescent="0.25">
      <c r="A21" s="44"/>
      <c r="B21" s="11" t="str">
        <f>CONCATENATE("          ", "4141", " - ", "NON-TAXABLE SALES-LOGO GIFTS")</f>
        <v xml:space="preserve">          4141 - NON-TAXABLE SALES-LOGO GIFTS</v>
      </c>
      <c r="C21" s="11"/>
      <c r="D21" s="2">
        <f>--50.39</f>
        <v>50.39</v>
      </c>
      <c r="E21" s="2"/>
      <c r="F21" s="19"/>
      <c r="G21" s="2"/>
      <c r="H21" s="2">
        <f>--6.8</f>
        <v>6.8</v>
      </c>
      <c r="I21" s="2"/>
      <c r="J21" s="19"/>
      <c r="K21" s="2"/>
      <c r="L21" s="2">
        <f t="shared" si="0"/>
        <v>43.59</v>
      </c>
      <c r="M21" s="2"/>
      <c r="N21" s="19">
        <f t="shared" si="1"/>
        <v>6.4102941176470596</v>
      </c>
      <c r="O21" s="11"/>
      <c r="P21" s="2">
        <f>--1278.64</f>
        <v>1278.6400000000001</v>
      </c>
      <c r="Q21" s="2"/>
      <c r="R21" s="19"/>
      <c r="S21" s="2"/>
      <c r="T21" s="2">
        <f>--857.95</f>
        <v>857.95</v>
      </c>
      <c r="U21" s="2"/>
      <c r="V21" s="19"/>
      <c r="W21" s="2"/>
      <c r="X21" s="2">
        <f t="shared" si="2"/>
        <v>420.69000000000005</v>
      </c>
      <c r="Y21" s="2"/>
      <c r="Z21" s="19">
        <f t="shared" si="3"/>
        <v>0.49034326009674228</v>
      </c>
    </row>
    <row r="22" spans="1:26" s="24" customFormat="1" hidden="1" outlineLevel="1" x14ac:dyDescent="0.25">
      <c r="A22" s="44"/>
      <c r="B22" s="11" t="str">
        <f>CONCATENATE("          ", "4142", " - ", "NON-TAXABLE SALES-EVERYDAY GIF")</f>
        <v xml:space="preserve">          4142 - NON-TAXABLE SALES-EVERYDAY GIF</v>
      </c>
      <c r="C22" s="11"/>
      <c r="D22" s="2">
        <f>0</f>
        <v>0</v>
      </c>
      <c r="E22" s="2"/>
      <c r="F22" s="19"/>
      <c r="G22" s="2"/>
      <c r="H22" s="2">
        <f>--764.8</f>
        <v>764.8</v>
      </c>
      <c r="I22" s="2"/>
      <c r="J22" s="19"/>
      <c r="K22" s="2"/>
      <c r="L22" s="2">
        <f t="shared" si="0"/>
        <v>-764.8</v>
      </c>
      <c r="M22" s="2"/>
      <c r="N22" s="19">
        <f t="shared" si="1"/>
        <v>-1</v>
      </c>
      <c r="O22" s="11"/>
      <c r="P22" s="2">
        <f>--1110.59</f>
        <v>1110.5899999999999</v>
      </c>
      <c r="Q22" s="2"/>
      <c r="R22" s="19"/>
      <c r="S22" s="2"/>
      <c r="T22" s="2">
        <f>--8924.02</f>
        <v>8924.02</v>
      </c>
      <c r="U22" s="2"/>
      <c r="V22" s="19"/>
      <c r="W22" s="2"/>
      <c r="X22" s="2">
        <f t="shared" si="2"/>
        <v>-7813.43</v>
      </c>
      <c r="Y22" s="2"/>
      <c r="Z22" s="19">
        <f t="shared" si="3"/>
        <v>-0.87555048061299723</v>
      </c>
    </row>
    <row r="23" spans="1:26" s="24" customFormat="1" hidden="1" outlineLevel="1" x14ac:dyDescent="0.25">
      <c r="A23" s="44"/>
      <c r="B23" s="11" t="str">
        <f>CONCATENATE("          ", "4146", " - ", "NON-TAXABLE SALES-COIN OP MACH")</f>
        <v xml:space="preserve">          4146 - NON-TAXABLE SALES-COIN OP MACH</v>
      </c>
      <c r="C23" s="11"/>
      <c r="D23" s="2">
        <f>--67.8</f>
        <v>67.8</v>
      </c>
      <c r="E23" s="2"/>
      <c r="F23" s="19"/>
      <c r="G23" s="2"/>
      <c r="H23" s="2">
        <f>--28849.25</f>
        <v>28849.25</v>
      </c>
      <c r="I23" s="2"/>
      <c r="J23" s="19"/>
      <c r="K23" s="2"/>
      <c r="L23" s="2">
        <f t="shared" si="0"/>
        <v>-28781.45</v>
      </c>
      <c r="M23" s="2"/>
      <c r="N23" s="19">
        <f t="shared" si="1"/>
        <v>-0.99764985224919189</v>
      </c>
      <c r="O23" s="11"/>
      <c r="P23" s="2">
        <f>--208.4</f>
        <v>208.4</v>
      </c>
      <c r="Q23" s="2"/>
      <c r="R23" s="19"/>
      <c r="S23" s="2"/>
      <c r="T23" s="2">
        <f>--192403.75</f>
        <v>192403.75</v>
      </c>
      <c r="U23" s="2"/>
      <c r="V23" s="19"/>
      <c r="W23" s="2"/>
      <c r="X23" s="2">
        <f t="shared" si="2"/>
        <v>-192195.35</v>
      </c>
      <c r="Y23" s="2"/>
      <c r="Z23" s="19">
        <f t="shared" si="3"/>
        <v>-0.99891686102791655</v>
      </c>
    </row>
    <row r="24" spans="1:26" s="24" customFormat="1" hidden="1" outlineLevel="1" x14ac:dyDescent="0.25">
      <c r="A24" s="44"/>
      <c r="B24" s="11" t="str">
        <f>CONCATENATE("          ", "4147", " - ", "NON-TAXABLE SALES-MISC")</f>
        <v xml:space="preserve">          4147 - NON-TAXABLE SALES-MISC</v>
      </c>
      <c r="C24" s="11"/>
      <c r="D24" s="2">
        <f>--17</f>
        <v>17</v>
      </c>
      <c r="E24" s="2"/>
      <c r="F24" s="19"/>
      <c r="G24" s="2"/>
      <c r="H24" s="2">
        <f>--2183.94</f>
        <v>2183.94</v>
      </c>
      <c r="I24" s="2"/>
      <c r="J24" s="19"/>
      <c r="K24" s="2"/>
      <c r="L24" s="2">
        <f t="shared" si="0"/>
        <v>-2166.94</v>
      </c>
      <c r="M24" s="2"/>
      <c r="N24" s="19">
        <f t="shared" si="1"/>
        <v>-0.99221590336730858</v>
      </c>
      <c r="O24" s="11"/>
      <c r="P24" s="2">
        <f>--132.5</f>
        <v>132.5</v>
      </c>
      <c r="Q24" s="2"/>
      <c r="R24" s="19"/>
      <c r="S24" s="2"/>
      <c r="T24" s="2">
        <f>--2502.84</f>
        <v>2502.84</v>
      </c>
      <c r="U24" s="2"/>
      <c r="V24" s="19"/>
      <c r="W24" s="2"/>
      <c r="X24" s="2">
        <f t="shared" si="2"/>
        <v>-2370.34</v>
      </c>
      <c r="Y24" s="2"/>
      <c r="Z24" s="19">
        <f t="shared" si="3"/>
        <v>-0.94706013968132197</v>
      </c>
    </row>
    <row r="25" spans="1:26" s="24" customFormat="1" hidden="1" outlineLevel="1" x14ac:dyDescent="0.25">
      <c r="A25" s="44"/>
      <c r="B25" s="11" t="str">
        <f>CONCATENATE("          ", "4241", " - ", "SALES RETURN TAXABLE-LOGO GIFT")</f>
        <v xml:space="preserve">          4241 - SALES RETURN TAXABLE-LOGO GIFT</v>
      </c>
      <c r="C25" s="11"/>
      <c r="D25" s="2">
        <f t="shared" ref="D25:D30" si="7">0</f>
        <v>0</v>
      </c>
      <c r="E25" s="2"/>
      <c r="F25" s="19"/>
      <c r="G25" s="2"/>
      <c r="H25" s="2">
        <f>-101.3</f>
        <v>-101.3</v>
      </c>
      <c r="I25" s="2"/>
      <c r="J25" s="19"/>
      <c r="K25" s="2"/>
      <c r="L25" s="2">
        <f t="shared" si="0"/>
        <v>101.3</v>
      </c>
      <c r="M25" s="2"/>
      <c r="N25" s="19">
        <f t="shared" si="1"/>
        <v>-1</v>
      </c>
      <c r="O25" s="11"/>
      <c r="P25" s="2">
        <f>-1254.1</f>
        <v>-1254.0999999999999</v>
      </c>
      <c r="Q25" s="2"/>
      <c r="R25" s="19"/>
      <c r="S25" s="2"/>
      <c r="T25" s="2">
        <f>-1059.4</f>
        <v>-1059.4000000000001</v>
      </c>
      <c r="U25" s="2"/>
      <c r="V25" s="19"/>
      <c r="W25" s="2"/>
      <c r="X25" s="2">
        <f t="shared" si="2"/>
        <v>-194.69999999999982</v>
      </c>
      <c r="Y25" s="2"/>
      <c r="Z25" s="19">
        <f t="shared" si="3"/>
        <v>0.18378327355106647</v>
      </c>
    </row>
    <row r="26" spans="1:26" s="24" customFormat="1" hidden="1" outlineLevel="1" x14ac:dyDescent="0.25">
      <c r="A26" s="44"/>
      <c r="B26" s="11" t="str">
        <f>CONCATENATE("          ", "4242", " - ", "SALES RETURN TAXABLE-EVERYDAY")</f>
        <v xml:space="preserve">          4242 - SALES RETURN TAXABLE-EVERYDAY</v>
      </c>
      <c r="C26" s="11"/>
      <c r="D26" s="2">
        <f t="shared" si="7"/>
        <v>0</v>
      </c>
      <c r="E26" s="2"/>
      <c r="F26" s="19"/>
      <c r="G26" s="2"/>
      <c r="H26" s="2">
        <f t="shared" ref="H26:H30" si="8"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ref="P26:P27" si="9">0</f>
        <v>0</v>
      </c>
      <c r="Q26" s="2"/>
      <c r="R26" s="19"/>
      <c r="S26" s="2"/>
      <c r="T26" s="2">
        <f>-70.2</f>
        <v>-70.2</v>
      </c>
      <c r="U26" s="2"/>
      <c r="V26" s="19"/>
      <c r="W26" s="2"/>
      <c r="X26" s="2">
        <f t="shared" si="2"/>
        <v>70.2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"4292", " - ", "SALES RETURN TAXABLE-GRAD MERC")</f>
        <v xml:space="preserve">          4292 - SALES RETURN TAXABLE-GRAD MERC</v>
      </c>
      <c r="C27" s="11"/>
      <c r="D27" s="2">
        <f t="shared" si="7"/>
        <v>0</v>
      </c>
      <c r="E27" s="2"/>
      <c r="F27" s="19"/>
      <c r="G27" s="2"/>
      <c r="H27" s="2">
        <f t="shared" si="8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 t="shared" si="9"/>
        <v>0</v>
      </c>
      <c r="Q27" s="2"/>
      <c r="R27" s="19"/>
      <c r="S27" s="2"/>
      <c r="T27" s="2">
        <f>-419.05</f>
        <v>-419.05</v>
      </c>
      <c r="U27" s="2"/>
      <c r="V27" s="19"/>
      <c r="W27" s="2"/>
      <c r="X27" s="2">
        <f t="shared" si="2"/>
        <v>419.05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"4341", " - ", "SALES RETURN NON TAXABLE-LOGO")</f>
        <v xml:space="preserve">          4341 - SALES RETURN NON TAXABLE-LOGO</v>
      </c>
      <c r="C28" s="11"/>
      <c r="D28" s="2">
        <f t="shared" si="7"/>
        <v>0</v>
      </c>
      <c r="E28" s="2"/>
      <c r="F28" s="19"/>
      <c r="G28" s="2"/>
      <c r="H28" s="2">
        <f t="shared" si="8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-11.2</f>
        <v>-11.2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-11.2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"4342", " - ", "SALES RETURN NON TAXABLE-EVERY")</f>
        <v xml:space="preserve">          4342 - SALES RETURN NON TAXABLE-EVERY</v>
      </c>
      <c r="C29" s="11"/>
      <c r="D29" s="2">
        <f t="shared" si="7"/>
        <v>0</v>
      </c>
      <c r="E29" s="2"/>
      <c r="F29" s="19"/>
      <c r="G29" s="2"/>
      <c r="H29" s="2">
        <f t="shared" si="8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 t="shared" ref="P29:P30" si="10">0</f>
        <v>0</v>
      </c>
      <c r="Q29" s="2"/>
      <c r="R29" s="19"/>
      <c r="S29" s="2"/>
      <c r="T29" s="2">
        <f>-39.42</f>
        <v>-39.42</v>
      </c>
      <c r="U29" s="2"/>
      <c r="V29" s="19"/>
      <c r="W29" s="2"/>
      <c r="X29" s="2">
        <f t="shared" si="2"/>
        <v>39.42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"4346", " - ", "SALES RETURN NON TAXABLE-COIN-")</f>
        <v xml:space="preserve">          4346 - SALES RETURN NON TAXABLE-COIN-</v>
      </c>
      <c r="C30" s="11"/>
      <c r="D30" s="2">
        <f t="shared" si="7"/>
        <v>0</v>
      </c>
      <c r="E30" s="2"/>
      <c r="F30" s="19"/>
      <c r="G30" s="2"/>
      <c r="H30" s="2">
        <f t="shared" si="8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 t="shared" si="10"/>
        <v>0</v>
      </c>
      <c r="Q30" s="2"/>
      <c r="R30" s="19"/>
      <c r="S30" s="2"/>
      <c r="T30" s="2">
        <f>-8.15</f>
        <v>-8.15</v>
      </c>
      <c r="U30" s="2"/>
      <c r="V30" s="19"/>
      <c r="W30" s="2"/>
      <c r="X30" s="2">
        <f t="shared" si="2"/>
        <v>8.15</v>
      </c>
      <c r="Y30" s="2"/>
      <c r="Z30" s="19">
        <f t="shared" si="3"/>
        <v>-1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8" t="s">
        <v>8</v>
      </c>
      <c r="C32" s="10"/>
      <c r="D32" s="4">
        <f>SUM(OSRRefD16x_0)</f>
        <v>0</v>
      </c>
      <c r="E32" s="4"/>
      <c r="F32" s="12">
        <f t="shared" ref="F32:F37" si="11">IF(D$12=0,0,D32/D$12)</f>
        <v>0</v>
      </c>
      <c r="G32" s="4"/>
      <c r="H32" s="4">
        <f>SUM(OSRRefH16x_0)</f>
        <v>-6.0000000000002274E-2</v>
      </c>
      <c r="I32" s="4"/>
      <c r="J32" s="12">
        <f t="shared" ref="J32:J37" si="12">IF(H$12=0,0,H32/H$12)</f>
        <v>-1.2108792658520196E-6</v>
      </c>
      <c r="K32" s="4"/>
      <c r="L32" s="4">
        <f t="shared" ref="L32:L37" si="13">+D32-H32</f>
        <v>6.0000000000002274E-2</v>
      </c>
      <c r="M32" s="4"/>
      <c r="N32" s="12">
        <f t="shared" ref="N32:N37" si="14">IF(H32=0,0,L32/H32)</f>
        <v>-1</v>
      </c>
      <c r="O32" s="10"/>
      <c r="P32" s="4">
        <f>SUM(OSRRefP16x_0)</f>
        <v>0</v>
      </c>
      <c r="Q32" s="4"/>
      <c r="R32" s="12">
        <f t="shared" ref="R32:R37" si="15">IF(P$12=0,0,P32/P$12)</f>
        <v>0</v>
      </c>
      <c r="S32" s="4"/>
      <c r="T32" s="4">
        <f>SUM(OSRRefT16x_0)</f>
        <v>3803.78</v>
      </c>
      <c r="U32" s="4"/>
      <c r="V32" s="12">
        <f t="shared" ref="V32:V37" si="16">IF(T$12=0,0,T32/T$12)</f>
        <v>8.458471395548825E-3</v>
      </c>
      <c r="W32" s="4"/>
      <c r="X32" s="4">
        <f t="shared" ref="X32:X37" si="17">+P32-T32</f>
        <v>-3803.78</v>
      </c>
      <c r="Y32" s="4"/>
      <c r="Z32" s="12">
        <f t="shared" ref="Z32:Z37" si="18">IF(T32=0,0,X32/T32)</f>
        <v>-1</v>
      </c>
    </row>
    <row r="33" spans="1:26" s="24" customFormat="1" hidden="1" outlineLevel="1" x14ac:dyDescent="0.25">
      <c r="A33" s="44"/>
      <c r="B33" s="11" t="str">
        <f>CONCATENATE("          ", "5092", " - ", "PURCHASES @ COST-GRAD MERCH")</f>
        <v xml:space="preserve">          5092 - PURCHASES @ COST-GRAD MERCH</v>
      </c>
      <c r="C33" s="11"/>
      <c r="D33" s="2"/>
      <c r="E33" s="2"/>
      <c r="F33" s="19">
        <f t="shared" si="11"/>
        <v>0</v>
      </c>
      <c r="G33" s="2"/>
      <c r="H33" s="2">
        <v>-137.06</v>
      </c>
      <c r="I33" s="2"/>
      <c r="J33" s="19">
        <f t="shared" si="12"/>
        <v>-2.7660518696278587E-3</v>
      </c>
      <c r="K33" s="2"/>
      <c r="L33" s="2">
        <f t="shared" si="13"/>
        <v>137.06</v>
      </c>
      <c r="M33" s="2"/>
      <c r="N33" s="19">
        <f t="shared" si="14"/>
        <v>-1</v>
      </c>
      <c r="O33" s="11"/>
      <c r="P33" s="2"/>
      <c r="Q33" s="2"/>
      <c r="R33" s="19">
        <f t="shared" si="15"/>
        <v>0</v>
      </c>
      <c r="S33" s="2"/>
      <c r="T33" s="2">
        <v>1970.15</v>
      </c>
      <c r="U33" s="2"/>
      <c r="V33" s="19">
        <f t="shared" si="16"/>
        <v>4.3810255640285506E-3</v>
      </c>
      <c r="W33" s="2"/>
      <c r="X33" s="2">
        <f t="shared" si="17"/>
        <v>-1970.15</v>
      </c>
      <c r="Y33" s="2"/>
      <c r="Z33" s="19">
        <f t="shared" si="18"/>
        <v>-1</v>
      </c>
    </row>
    <row r="34" spans="1:26" s="24" customFormat="1" hidden="1" outlineLevel="1" x14ac:dyDescent="0.25">
      <c r="A34" s="44"/>
      <c r="B34" s="11" t="str">
        <f>CONCATENATE("          ", "5095", " - ", "PURCHASES @ COST-CUSTOMER SERV")</f>
        <v xml:space="preserve">          5095 - PURCHASES @ COST-CUSTOMER SERV</v>
      </c>
      <c r="C34" s="11"/>
      <c r="D34" s="2"/>
      <c r="E34" s="2"/>
      <c r="F34" s="19">
        <f t="shared" si="11"/>
        <v>0</v>
      </c>
      <c r="G34" s="2"/>
      <c r="H34" s="2"/>
      <c r="I34" s="2"/>
      <c r="J34" s="19">
        <f t="shared" si="12"/>
        <v>0</v>
      </c>
      <c r="K34" s="2"/>
      <c r="L34" s="2">
        <f t="shared" si="13"/>
        <v>0</v>
      </c>
      <c r="M34" s="2"/>
      <c r="N34" s="19">
        <f t="shared" si="14"/>
        <v>0</v>
      </c>
      <c r="O34" s="11"/>
      <c r="P34" s="2"/>
      <c r="Q34" s="2"/>
      <c r="R34" s="19">
        <f t="shared" si="15"/>
        <v>0</v>
      </c>
      <c r="S34" s="2"/>
      <c r="T34" s="2">
        <v>11.85</v>
      </c>
      <c r="U34" s="2"/>
      <c r="V34" s="19">
        <f t="shared" si="16"/>
        <v>2.6350863098616001E-5</v>
      </c>
      <c r="W34" s="2"/>
      <c r="X34" s="2">
        <f t="shared" si="17"/>
        <v>-11.85</v>
      </c>
      <c r="Y34" s="2"/>
      <c r="Z34" s="19">
        <f t="shared" si="18"/>
        <v>-1</v>
      </c>
    </row>
    <row r="35" spans="1:26" s="24" customFormat="1" hidden="1" outlineLevel="1" x14ac:dyDescent="0.25">
      <c r="A35" s="44"/>
      <c r="B35" s="11" t="str">
        <f>CONCATENATE("          ", "5200", " - ", "PURCHASES OFFSET")</f>
        <v xml:space="preserve">          5200 - PURCHASES OFFSET</v>
      </c>
      <c r="C35" s="11"/>
      <c r="D35" s="2"/>
      <c r="E35" s="2"/>
      <c r="F35" s="19">
        <f t="shared" si="11"/>
        <v>0</v>
      </c>
      <c r="G35" s="2"/>
      <c r="H35" s="2">
        <v>137</v>
      </c>
      <c r="I35" s="2"/>
      <c r="J35" s="19">
        <f t="shared" si="12"/>
        <v>2.7648409903620066E-3</v>
      </c>
      <c r="K35" s="2"/>
      <c r="L35" s="2">
        <f t="shared" si="13"/>
        <v>-137</v>
      </c>
      <c r="M35" s="2"/>
      <c r="N35" s="19">
        <f t="shared" si="14"/>
        <v>-1</v>
      </c>
      <c r="O35" s="11"/>
      <c r="P35" s="2"/>
      <c r="Q35" s="2"/>
      <c r="R35" s="19">
        <f t="shared" si="15"/>
        <v>0</v>
      </c>
      <c r="S35" s="2"/>
      <c r="T35" s="2">
        <v>-2089</v>
      </c>
      <c r="U35" s="2"/>
      <c r="V35" s="19">
        <f t="shared" si="16"/>
        <v>-4.6453124905492683E-3</v>
      </c>
      <c r="W35" s="2"/>
      <c r="X35" s="2">
        <f t="shared" si="17"/>
        <v>2089</v>
      </c>
      <c r="Y35" s="2"/>
      <c r="Z35" s="19">
        <f t="shared" si="18"/>
        <v>-1</v>
      </c>
    </row>
    <row r="36" spans="1:26" s="24" customFormat="1" hidden="1" outlineLevel="1" x14ac:dyDescent="0.25">
      <c r="A36" s="44"/>
      <c r="B36" s="11" t="str">
        <f>CONCATENATE("          ", "5300", " - ", "COG$ OFFSET")</f>
        <v xml:space="preserve">          5300 - COG$ OFFSET</v>
      </c>
      <c r="C36" s="11"/>
      <c r="D36" s="2"/>
      <c r="E36" s="2"/>
      <c r="F36" s="19">
        <f t="shared" si="11"/>
        <v>0</v>
      </c>
      <c r="G36" s="2"/>
      <c r="H36" s="2"/>
      <c r="I36" s="2"/>
      <c r="J36" s="19">
        <f t="shared" si="12"/>
        <v>0</v>
      </c>
      <c r="K36" s="2"/>
      <c r="L36" s="2">
        <f t="shared" si="13"/>
        <v>0</v>
      </c>
      <c r="M36" s="2"/>
      <c r="N36" s="19">
        <f t="shared" si="14"/>
        <v>0</v>
      </c>
      <c r="O36" s="11"/>
      <c r="P36" s="2"/>
      <c r="Q36" s="2"/>
      <c r="R36" s="19">
        <f t="shared" si="15"/>
        <v>0</v>
      </c>
      <c r="S36" s="2"/>
      <c r="T36" s="2">
        <v>3805</v>
      </c>
      <c r="U36" s="2"/>
      <c r="V36" s="19">
        <f t="shared" si="16"/>
        <v>8.4611843114121427E-3</v>
      </c>
      <c r="W36" s="2"/>
      <c r="X36" s="2">
        <f t="shared" si="17"/>
        <v>-3805</v>
      </c>
      <c r="Y36" s="2"/>
      <c r="Z36" s="19">
        <f t="shared" si="18"/>
        <v>-1</v>
      </c>
    </row>
    <row r="37" spans="1:26" s="24" customFormat="1" hidden="1" outlineLevel="1" x14ac:dyDescent="0.25">
      <c r="A37" s="44"/>
      <c r="B37" s="11" t="str">
        <f>CONCATENATE("          ", "5592", " - ", "FREIGHT-IN-GRAD MERCH")</f>
        <v xml:space="preserve">          5592 - FREIGHT-IN-GRAD MERCH</v>
      </c>
      <c r="C37" s="11"/>
      <c r="D37" s="2"/>
      <c r="E37" s="2"/>
      <c r="F37" s="19">
        <f t="shared" si="11"/>
        <v>0</v>
      </c>
      <c r="G37" s="2"/>
      <c r="H37" s="2"/>
      <c r="I37" s="2"/>
      <c r="J37" s="19">
        <f t="shared" si="12"/>
        <v>0</v>
      </c>
      <c r="K37" s="2"/>
      <c r="L37" s="2">
        <f t="shared" si="13"/>
        <v>0</v>
      </c>
      <c r="M37" s="2"/>
      <c r="N37" s="19">
        <f t="shared" si="14"/>
        <v>0</v>
      </c>
      <c r="O37" s="11"/>
      <c r="P37" s="2"/>
      <c r="Q37" s="2"/>
      <c r="R37" s="19">
        <f t="shared" si="15"/>
        <v>0</v>
      </c>
      <c r="S37" s="2"/>
      <c r="T37" s="2">
        <v>105.78</v>
      </c>
      <c r="U37" s="2"/>
      <c r="V37" s="19">
        <f t="shared" si="16"/>
        <v>2.3522314755878489E-4</v>
      </c>
      <c r="W37" s="2"/>
      <c r="X37" s="2">
        <f t="shared" si="17"/>
        <v>-105.78</v>
      </c>
      <c r="Y37" s="2"/>
      <c r="Z37" s="19">
        <f t="shared" si="18"/>
        <v>-1</v>
      </c>
    </row>
    <row r="38" spans="1:26" x14ac:dyDescent="0.25">
      <c r="A38" s="9"/>
      <c r="B38" s="10"/>
      <c r="C38" s="10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O38" s="10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25">
      <c r="A39" s="10"/>
      <c r="B39" s="29" t="s">
        <v>6</v>
      </c>
      <c r="C39" s="29"/>
      <c r="D39" s="22">
        <f>D12-D32</f>
        <v>4441.8100000000013</v>
      </c>
      <c r="E39" s="14"/>
      <c r="F39" s="20">
        <f>IF(D$12=0,0,D39/D$12)</f>
        <v>1</v>
      </c>
      <c r="G39" s="14"/>
      <c r="H39" s="22">
        <f>H12-H32</f>
        <v>49550.829999999994</v>
      </c>
      <c r="I39" s="14"/>
      <c r="J39" s="20">
        <f>IF(H$12=0,0,H39/H$12)</f>
        <v>1.0000012108792657</v>
      </c>
      <c r="K39" s="16"/>
      <c r="L39" s="22">
        <f>+D39-H39</f>
        <v>-45109.01999999999</v>
      </c>
      <c r="M39" s="16"/>
      <c r="N39" s="20">
        <f>IF(H39=0,0,L39/H39)</f>
        <v>-0.91035851468078322</v>
      </c>
      <c r="O39" s="28"/>
      <c r="P39" s="22">
        <f>P12-P32</f>
        <v>108848.03</v>
      </c>
      <c r="Q39" s="14"/>
      <c r="R39" s="20">
        <f>IF(P$12=0,0,P39/P$12)</f>
        <v>1</v>
      </c>
      <c r="S39" s="14"/>
      <c r="T39" s="22">
        <f>T12-T32</f>
        <v>445896.86</v>
      </c>
      <c r="U39" s="14"/>
      <c r="V39" s="20">
        <f>IF(T$12=0,0,T39/T$12)</f>
        <v>0.99154152860445111</v>
      </c>
      <c r="W39" s="16"/>
      <c r="X39" s="22">
        <f>+P39-T39</f>
        <v>-337048.82999999996</v>
      </c>
      <c r="Y39" s="16"/>
      <c r="Z39" s="20">
        <f>IF(T39=0,0,X39/T39)</f>
        <v>-0.75588966919390277</v>
      </c>
    </row>
    <row r="40" spans="1:26" x14ac:dyDescent="0.25">
      <c r="A40" s="9"/>
      <c r="B40" s="10"/>
      <c r="C40" s="9"/>
      <c r="D40" s="1"/>
      <c r="E40" s="1"/>
      <c r="F40" s="5"/>
      <c r="G40" s="1"/>
      <c r="H40" s="1"/>
      <c r="I40" s="1"/>
      <c r="J40" s="5"/>
      <c r="K40" s="1"/>
      <c r="L40" s="1"/>
      <c r="M40" s="1"/>
      <c r="N40" s="5"/>
      <c r="O40" s="37"/>
      <c r="P40" s="1"/>
      <c r="Q40" s="1"/>
      <c r="R40" s="5"/>
      <c r="S40" s="1"/>
      <c r="T40" s="1"/>
      <c r="U40" s="1"/>
      <c r="V40" s="5"/>
      <c r="W40" s="1"/>
      <c r="X40" s="1"/>
      <c r="Y40" s="1"/>
      <c r="Z40" s="5"/>
    </row>
    <row r="41" spans="1:26" s="23" customFormat="1" x14ac:dyDescent="0.25">
      <c r="A41" s="10"/>
      <c r="B41" s="28" t="s">
        <v>9</v>
      </c>
      <c r="C41" s="10"/>
      <c r="D41" s="21">
        <f>SUM(OSRRefD22x_0)</f>
        <v>27592.660000000003</v>
      </c>
      <c r="E41" s="21"/>
      <c r="F41" s="32">
        <f t="shared" ref="F41:F50" si="19">IF(D$12=0,0,D41/D$12)</f>
        <v>6.2120306811862722</v>
      </c>
      <c r="G41" s="21"/>
      <c r="H41" s="21">
        <f>SUM(OSRRefH22x_0)</f>
        <v>50616.650000000016</v>
      </c>
      <c r="I41" s="21"/>
      <c r="J41" s="32">
        <f t="shared" ref="J41:J50" si="20">IF(H$12=0,0,H41/H$12)</f>
        <v>1.0215108665314387</v>
      </c>
      <c r="K41" s="4"/>
      <c r="L41" s="21">
        <f t="shared" ref="L41:L50" si="21">+D41-H41</f>
        <v>-23023.990000000013</v>
      </c>
      <c r="M41" s="4"/>
      <c r="N41" s="32">
        <f t="shared" ref="N41:N50" si="22">IF(H41=0,0,L41/H41)</f>
        <v>-0.45486988965093511</v>
      </c>
      <c r="O41" s="10"/>
      <c r="P41" s="21">
        <f>SUM(OSRRefP22x_0)</f>
        <v>237824.40999999995</v>
      </c>
      <c r="Q41" s="21"/>
      <c r="R41" s="32">
        <f t="shared" ref="R41:R50" si="23">IF(P$12=0,0,P41/P$12)</f>
        <v>2.1849215828710906</v>
      </c>
      <c r="S41" s="21"/>
      <c r="T41" s="21">
        <f>SUM(OSRRefT22x_0)</f>
        <v>368028.91000000009</v>
      </c>
      <c r="U41" s="21"/>
      <c r="V41" s="32">
        <f t="shared" ref="V41:V50" si="24">IF(T$12=0,0,T41/T$12)</f>
        <v>0.8183864492610019</v>
      </c>
      <c r="W41" s="4"/>
      <c r="X41" s="21">
        <f t="shared" ref="X41:X50" si="25">+P41-T41</f>
        <v>-130204.50000000015</v>
      </c>
      <c r="Y41" s="4"/>
      <c r="Z41" s="32">
        <f t="shared" ref="Z41:Z50" si="26">IF(T41=0,0,X41/T41)</f>
        <v>-0.35378878251711288</v>
      </c>
    </row>
    <row r="42" spans="1:26" s="25" customFormat="1" outlineLevel="1" collapsed="1" x14ac:dyDescent="0.25">
      <c r="A42" s="27"/>
      <c r="B42" s="13" t="str">
        <f>CONCATENATE("     ","*Benefits                                         ")</f>
        <v xml:space="preserve">     *Benefits                                         </v>
      </c>
      <c r="C42" s="13"/>
      <c r="D42" s="1">
        <f>SUM(OSRRefD22_0x_0)</f>
        <v>8802.75</v>
      </c>
      <c r="E42" s="1"/>
      <c r="F42" s="5">
        <f t="shared" si="19"/>
        <v>1.9817934580722718</v>
      </c>
      <c r="G42" s="1"/>
      <c r="H42" s="1">
        <f>SUM(OSRRefH22_0x_0)</f>
        <v>7695.3</v>
      </c>
      <c r="I42" s="1"/>
      <c r="J42" s="5">
        <f t="shared" si="20"/>
        <v>0.1553013202418449</v>
      </c>
      <c r="K42" s="1"/>
      <c r="L42" s="1">
        <f t="shared" si="21"/>
        <v>1107.4499999999998</v>
      </c>
      <c r="M42" s="1"/>
      <c r="N42" s="5">
        <f t="shared" si="22"/>
        <v>0.1439125180304861</v>
      </c>
      <c r="O42" s="13"/>
      <c r="P42" s="1">
        <f>SUM(OSRRefP22_0x_0)</f>
        <v>75487.97</v>
      </c>
      <c r="Q42" s="1"/>
      <c r="R42" s="5">
        <f t="shared" si="23"/>
        <v>0.69351709902328962</v>
      </c>
      <c r="S42" s="1"/>
      <c r="T42" s="1">
        <f>SUM(OSRRefT22_0x_0)</f>
        <v>64073.42</v>
      </c>
      <c r="U42" s="1"/>
      <c r="V42" s="5">
        <f t="shared" si="24"/>
        <v>0.14248016191393456</v>
      </c>
      <c r="W42" s="1"/>
      <c r="X42" s="1">
        <f t="shared" si="25"/>
        <v>11414.550000000003</v>
      </c>
      <c r="Y42" s="1"/>
      <c r="Z42" s="5">
        <f t="shared" si="26"/>
        <v>0.17814797462036525</v>
      </c>
    </row>
    <row r="43" spans="1:26" s="24" customFormat="1" hidden="1" outlineLevel="2" x14ac:dyDescent="0.25">
      <c r="A43" s="26"/>
      <c r="B43" s="11" t="str">
        <f>CONCATENATE("          ", "6111", " - ", "F.I.C.A.")</f>
        <v xml:space="preserve">          6111 - F.I.C.A.</v>
      </c>
      <c r="C43" s="11"/>
      <c r="D43" s="6">
        <v>1213.6400000000001</v>
      </c>
      <c r="E43" s="2"/>
      <c r="F43" s="7">
        <f t="shared" si="19"/>
        <v>0.27323095765014704</v>
      </c>
      <c r="G43" s="2"/>
      <c r="H43" s="6">
        <v>1185.19</v>
      </c>
      <c r="I43" s="2"/>
      <c r="J43" s="7">
        <f t="shared" si="20"/>
        <v>2.3918699951585014E-2</v>
      </c>
      <c r="K43" s="2"/>
      <c r="L43" s="6">
        <f t="shared" si="21"/>
        <v>28.450000000000045</v>
      </c>
      <c r="M43" s="2"/>
      <c r="N43" s="7">
        <f t="shared" si="22"/>
        <v>2.4004589981353238E-2</v>
      </c>
      <c r="O43" s="11"/>
      <c r="P43" s="6">
        <v>10254.049999999999</v>
      </c>
      <c r="Q43" s="2"/>
      <c r="R43" s="7">
        <f t="shared" si="23"/>
        <v>9.4205195996656985E-2</v>
      </c>
      <c r="S43" s="2"/>
      <c r="T43" s="6">
        <v>10391.93</v>
      </c>
      <c r="U43" s="2"/>
      <c r="V43" s="7">
        <f t="shared" si="24"/>
        <v>2.3108550612692035E-2</v>
      </c>
      <c r="W43" s="2"/>
      <c r="X43" s="6">
        <f t="shared" si="25"/>
        <v>-137.88000000000102</v>
      </c>
      <c r="Y43" s="2"/>
      <c r="Z43" s="7">
        <f t="shared" si="26"/>
        <v>-1.326798775588375E-2</v>
      </c>
    </row>
    <row r="44" spans="1:26" s="24" customFormat="1" hidden="1" outlineLevel="2" x14ac:dyDescent="0.25">
      <c r="A44" s="26"/>
      <c r="B44" s="11" t="str">
        <f>CONCATENATE("          ", "6112", " - ", "COMPENSATION INSURANCE")</f>
        <v xml:space="preserve">          6112 - COMPENSATION INSURANCE</v>
      </c>
      <c r="C44" s="11"/>
      <c r="D44" s="6">
        <v>313.57</v>
      </c>
      <c r="E44" s="2"/>
      <c r="F44" s="7">
        <f t="shared" si="19"/>
        <v>7.0595095242705089E-2</v>
      </c>
      <c r="G44" s="2"/>
      <c r="H44" s="6">
        <v>238.87</v>
      </c>
      <c r="I44" s="2"/>
      <c r="J44" s="7">
        <f t="shared" si="20"/>
        <v>4.8207121705676828E-3</v>
      </c>
      <c r="K44" s="2"/>
      <c r="L44" s="6">
        <f t="shared" si="21"/>
        <v>74.699999999999989</v>
      </c>
      <c r="M44" s="2"/>
      <c r="N44" s="7">
        <f t="shared" si="22"/>
        <v>0.31272240130614976</v>
      </c>
      <c r="O44" s="11"/>
      <c r="P44" s="6">
        <v>2718.6</v>
      </c>
      <c r="Q44" s="2"/>
      <c r="R44" s="7">
        <f t="shared" si="23"/>
        <v>2.49761065955902E-2</v>
      </c>
      <c r="S44" s="2"/>
      <c r="T44" s="6">
        <v>1691.44</v>
      </c>
      <c r="U44" s="2"/>
      <c r="V44" s="7">
        <f t="shared" si="24"/>
        <v>3.7612577113521565E-3</v>
      </c>
      <c r="W44" s="2"/>
      <c r="X44" s="6">
        <f t="shared" si="25"/>
        <v>1027.1599999999999</v>
      </c>
      <c r="Y44" s="2"/>
      <c r="Z44" s="7">
        <f t="shared" si="26"/>
        <v>0.60726954547604395</v>
      </c>
    </row>
    <row r="45" spans="1:26" s="24" customFormat="1" hidden="1" outlineLevel="2" x14ac:dyDescent="0.25">
      <c r="A45" s="26"/>
      <c r="B45" s="11" t="str">
        <f>CONCATENATE("          ", "6113", " - ", "GROUP INSURANCE")</f>
        <v xml:space="preserve">          6113 - GROUP INSURANCE</v>
      </c>
      <c r="C45" s="11"/>
      <c r="D45" s="6">
        <v>3421.48</v>
      </c>
      <c r="E45" s="2"/>
      <c r="F45" s="7">
        <f t="shared" si="19"/>
        <v>0.77028958915397083</v>
      </c>
      <c r="G45" s="2"/>
      <c r="H45" s="6">
        <v>3218.03</v>
      </c>
      <c r="I45" s="2"/>
      <c r="J45" s="7">
        <f t="shared" si="20"/>
        <v>6.4944096731493789E-2</v>
      </c>
      <c r="K45" s="2"/>
      <c r="L45" s="6">
        <f t="shared" si="21"/>
        <v>203.44999999999982</v>
      </c>
      <c r="M45" s="2"/>
      <c r="N45" s="7">
        <f t="shared" si="22"/>
        <v>6.3221909056161624E-2</v>
      </c>
      <c r="O45" s="11"/>
      <c r="P45" s="6">
        <v>29214.289999999997</v>
      </c>
      <c r="Q45" s="2"/>
      <c r="R45" s="7">
        <f t="shared" si="23"/>
        <v>0.26839521119491089</v>
      </c>
      <c r="S45" s="2"/>
      <c r="T45" s="6">
        <v>24124.76</v>
      </c>
      <c r="U45" s="2"/>
      <c r="V45" s="7">
        <f t="shared" si="24"/>
        <v>5.3646265657971932E-2</v>
      </c>
      <c r="W45" s="2"/>
      <c r="X45" s="6">
        <f t="shared" si="25"/>
        <v>5089.5299999999988</v>
      </c>
      <c r="Y45" s="2"/>
      <c r="Z45" s="7">
        <f t="shared" si="26"/>
        <v>0.21096707283305613</v>
      </c>
    </row>
    <row r="46" spans="1:26" s="24" customFormat="1" hidden="1" outlineLevel="2" x14ac:dyDescent="0.25">
      <c r="A46" s="26"/>
      <c r="B46" s="11" t="str">
        <f>CONCATENATE("          ", "6114", " - ", "STATE UNEMPLOYMENT INSURANCE")</f>
        <v xml:space="preserve">          6114 - STATE UNEMPLOYMENT INSURANCE</v>
      </c>
      <c r="C46" s="11"/>
      <c r="D46" s="6">
        <v>44.07</v>
      </c>
      <c r="E46" s="2"/>
      <c r="F46" s="7">
        <f t="shared" si="19"/>
        <v>9.9216310468029888E-3</v>
      </c>
      <c r="G46" s="2"/>
      <c r="H46" s="6">
        <v>47</v>
      </c>
      <c r="I46" s="2"/>
      <c r="J46" s="7">
        <f t="shared" si="20"/>
        <v>9.4852209158404605E-4</v>
      </c>
      <c r="K46" s="2"/>
      <c r="L46" s="6">
        <f t="shared" si="21"/>
        <v>-2.9299999999999997</v>
      </c>
      <c r="M46" s="2"/>
      <c r="N46" s="7">
        <f t="shared" si="22"/>
        <v>-6.2340425531914885E-2</v>
      </c>
      <c r="O46" s="11"/>
      <c r="P46" s="6">
        <v>382.06</v>
      </c>
      <c r="Q46" s="2"/>
      <c r="R46" s="7">
        <f t="shared" si="23"/>
        <v>3.5100313712613817E-3</v>
      </c>
      <c r="S46" s="2"/>
      <c r="T46" s="6">
        <v>410.79</v>
      </c>
      <c r="U46" s="2"/>
      <c r="V46" s="7">
        <f t="shared" si="24"/>
        <v>9.13474350403415E-4</v>
      </c>
      <c r="W46" s="2"/>
      <c r="X46" s="6">
        <f t="shared" si="25"/>
        <v>-28.730000000000018</v>
      </c>
      <c r="Y46" s="2"/>
      <c r="Z46" s="7">
        <f t="shared" si="26"/>
        <v>-6.993841135373309E-2</v>
      </c>
    </row>
    <row r="47" spans="1:26" s="24" customFormat="1" hidden="1" outlineLevel="2" x14ac:dyDescent="0.25">
      <c r="A47" s="26"/>
      <c r="B47" s="11" t="str">
        <f>CONCATENATE("          ", "6115", " - ", "P.E.R.S.")</f>
        <v xml:space="preserve">          6115 - P.E.R.S.</v>
      </c>
      <c r="C47" s="11"/>
      <c r="D47" s="6">
        <v>1614.45</v>
      </c>
      <c r="E47" s="2"/>
      <c r="F47" s="7">
        <f t="shared" si="19"/>
        <v>0.36346669488339206</v>
      </c>
      <c r="G47" s="2"/>
      <c r="H47" s="6">
        <v>1187.75</v>
      </c>
      <c r="I47" s="2"/>
      <c r="J47" s="7">
        <f t="shared" si="20"/>
        <v>2.3970364133594695E-2</v>
      </c>
      <c r="K47" s="2"/>
      <c r="L47" s="6">
        <f t="shared" si="21"/>
        <v>426.70000000000005</v>
      </c>
      <c r="M47" s="2"/>
      <c r="N47" s="7">
        <f t="shared" si="22"/>
        <v>0.35925068406651234</v>
      </c>
      <c r="O47" s="11"/>
      <c r="P47" s="6">
        <v>14100.34</v>
      </c>
      <c r="Q47" s="2"/>
      <c r="R47" s="7">
        <f t="shared" si="23"/>
        <v>0.12954152684251613</v>
      </c>
      <c r="S47" s="2"/>
      <c r="T47" s="6">
        <v>10924.91</v>
      </c>
      <c r="U47" s="2"/>
      <c r="V47" s="7">
        <f t="shared" si="24"/>
        <v>2.4293739052717381E-2</v>
      </c>
      <c r="W47" s="2"/>
      <c r="X47" s="6">
        <f t="shared" si="25"/>
        <v>3175.4300000000003</v>
      </c>
      <c r="Y47" s="2"/>
      <c r="Z47" s="7">
        <f t="shared" si="26"/>
        <v>0.2906596026878025</v>
      </c>
    </row>
    <row r="48" spans="1:26" s="24" customFormat="1" hidden="1" outlineLevel="2" x14ac:dyDescent="0.25">
      <c r="A48" s="26"/>
      <c r="B48" s="11" t="str">
        <f>CONCATENATE("          ", "6118", " - ", "VACATION")</f>
        <v xml:space="preserve">          6118 - VACATION</v>
      </c>
      <c r="C48" s="11"/>
      <c r="D48" s="6">
        <v>1216.0999999999999</v>
      </c>
      <c r="E48" s="2"/>
      <c r="F48" s="7">
        <f t="shared" si="19"/>
        <v>0.27378478593186101</v>
      </c>
      <c r="G48" s="2"/>
      <c r="H48" s="6">
        <v>969.46</v>
      </c>
      <c r="I48" s="2"/>
      <c r="J48" s="7">
        <f t="shared" si="20"/>
        <v>1.9564983551214242E-2</v>
      </c>
      <c r="K48" s="2"/>
      <c r="L48" s="6">
        <f t="shared" si="21"/>
        <v>246.63999999999987</v>
      </c>
      <c r="M48" s="2"/>
      <c r="N48" s="7">
        <f t="shared" si="22"/>
        <v>0.25440967136343928</v>
      </c>
      <c r="O48" s="11"/>
      <c r="P48" s="6">
        <v>10099.629999999999</v>
      </c>
      <c r="Q48" s="2"/>
      <c r="R48" s="7">
        <f t="shared" si="23"/>
        <v>9.2786520803362263E-2</v>
      </c>
      <c r="S48" s="2"/>
      <c r="T48" s="6">
        <v>8959.9699999999993</v>
      </c>
      <c r="U48" s="2"/>
      <c r="V48" s="7">
        <f t="shared" si="24"/>
        <v>1.9924298973646112E-2</v>
      </c>
      <c r="W48" s="2"/>
      <c r="X48" s="6">
        <f t="shared" si="25"/>
        <v>1139.6599999999999</v>
      </c>
      <c r="Y48" s="2"/>
      <c r="Z48" s="7">
        <f t="shared" si="26"/>
        <v>0.12719462230342288</v>
      </c>
    </row>
    <row r="49" spans="1:26" s="24" customFormat="1" hidden="1" outlineLevel="2" x14ac:dyDescent="0.25">
      <c r="A49" s="26"/>
      <c r="B49" s="11" t="str">
        <f>CONCATENATE("          ", "6119", " - ", "SICK LEAVE")</f>
        <v xml:space="preserve">          6119 - SICK LEAVE</v>
      </c>
      <c r="C49" s="11"/>
      <c r="D49" s="6">
        <v>738.5</v>
      </c>
      <c r="E49" s="2"/>
      <c r="F49" s="7">
        <f t="shared" si="19"/>
        <v>0.16626105123812135</v>
      </c>
      <c r="G49" s="2"/>
      <c r="H49" s="6">
        <v>556.53</v>
      </c>
      <c r="I49" s="2"/>
      <c r="J49" s="7">
        <f t="shared" si="20"/>
        <v>1.1231510630409981E-2</v>
      </c>
      <c r="K49" s="2"/>
      <c r="L49" s="6">
        <f t="shared" si="21"/>
        <v>181.97000000000003</v>
      </c>
      <c r="M49" s="2"/>
      <c r="N49" s="7">
        <f t="shared" si="22"/>
        <v>0.3269724902520979</v>
      </c>
      <c r="O49" s="11"/>
      <c r="P49" s="6">
        <v>6171.27</v>
      </c>
      <c r="Q49" s="2"/>
      <c r="R49" s="7">
        <f t="shared" si="23"/>
        <v>5.6696202953787959E-2</v>
      </c>
      <c r="S49" s="2"/>
      <c r="T49" s="6">
        <v>5297.92</v>
      </c>
      <c r="U49" s="2"/>
      <c r="V49" s="7">
        <f t="shared" si="24"/>
        <v>1.1780992795562844E-2</v>
      </c>
      <c r="W49" s="2"/>
      <c r="X49" s="6">
        <f t="shared" si="25"/>
        <v>873.35000000000036</v>
      </c>
      <c r="Y49" s="2"/>
      <c r="Z49" s="7">
        <f t="shared" si="26"/>
        <v>0.16484771381976329</v>
      </c>
    </row>
    <row r="50" spans="1:26" s="24" customFormat="1" hidden="1" outlineLevel="2" x14ac:dyDescent="0.25">
      <c r="A50" s="26"/>
      <c r="B50" s="11" t="str">
        <f>CONCATENATE("          ", "6156", " - ", "EMPLOYEE MEALS")</f>
        <v xml:space="preserve">          6156 - EMPLOYEE MEALS</v>
      </c>
      <c r="C50" s="11"/>
      <c r="D50" s="6">
        <v>240.94</v>
      </c>
      <c r="E50" s="2"/>
      <c r="F50" s="7">
        <f t="shared" si="19"/>
        <v>5.4243652925271439E-2</v>
      </c>
      <c r="G50" s="2"/>
      <c r="H50" s="6">
        <v>292.47000000000003</v>
      </c>
      <c r="I50" s="2"/>
      <c r="J50" s="7">
        <f t="shared" si="20"/>
        <v>5.9024309813954469E-3</v>
      </c>
      <c r="K50" s="2"/>
      <c r="L50" s="6">
        <f t="shared" si="21"/>
        <v>-51.53000000000003</v>
      </c>
      <c r="M50" s="2"/>
      <c r="N50" s="7">
        <f t="shared" si="22"/>
        <v>-0.17618901083871857</v>
      </c>
      <c r="O50" s="11"/>
      <c r="P50" s="6">
        <v>2547.73</v>
      </c>
      <c r="Q50" s="2"/>
      <c r="R50" s="7">
        <f t="shared" si="23"/>
        <v>2.3406303265203789E-2</v>
      </c>
      <c r="S50" s="2"/>
      <c r="T50" s="6">
        <v>2271.6999999999998</v>
      </c>
      <c r="U50" s="2"/>
      <c r="V50" s="7">
        <f t="shared" si="24"/>
        <v>5.0515827595886895E-3</v>
      </c>
      <c r="W50" s="2"/>
      <c r="X50" s="6">
        <f t="shared" si="25"/>
        <v>276.0300000000002</v>
      </c>
      <c r="Y50" s="2"/>
      <c r="Z50" s="7">
        <f t="shared" si="26"/>
        <v>0.12150812167099538</v>
      </c>
    </row>
    <row r="51" spans="1:26" s="25" customFormat="1" outlineLevel="1" collapsed="1" x14ac:dyDescent="0.25">
      <c r="A51" s="27"/>
      <c r="B51" s="13" t="str">
        <f>CONCATENATE("     ","*Payroll                                          ")</f>
        <v xml:space="preserve">     *Payroll                                          </v>
      </c>
      <c r="C51" s="13"/>
      <c r="D51" s="1">
        <f>SUM(OSRRefD22_1x_0)</f>
        <v>15744.670000000002</v>
      </c>
      <c r="E51" s="1"/>
      <c r="F51" s="5">
        <f t="shared" ref="F51:F55" si="27">IF(D$12=0,0,D51/D$12)</f>
        <v>3.5446518423795697</v>
      </c>
      <c r="G51" s="1"/>
      <c r="H51" s="1">
        <f>SUM(OSRRefH22_1x_0)</f>
        <v>16161.07</v>
      </c>
      <c r="I51" s="1"/>
      <c r="J51" s="5">
        <f t="shared" ref="J51:J55" si="28">IF(H$12=0,0,H51/H$12)</f>
        <v>0.32615174294970595</v>
      </c>
      <c r="K51" s="1"/>
      <c r="L51" s="1">
        <f t="shared" ref="L51:L55" si="29">+D51-H51</f>
        <v>-416.39999999999782</v>
      </c>
      <c r="M51" s="1"/>
      <c r="N51" s="5">
        <f t="shared" ref="N51:N55" si="30">IF(H51=0,0,L51/H51)</f>
        <v>-2.5765620716944968E-2</v>
      </c>
      <c r="O51" s="13"/>
      <c r="P51" s="1">
        <f>SUM(OSRRefP22_1x_0)</f>
        <v>123848.23999999999</v>
      </c>
      <c r="Q51" s="1"/>
      <c r="R51" s="5">
        <f t="shared" ref="R51:R55" si="31">IF(P$12=0,0,P51/P$12)</f>
        <v>1.1378087412330751</v>
      </c>
      <c r="S51" s="1"/>
      <c r="T51" s="1">
        <f>SUM(OSRRefT22_1x_0)</f>
        <v>142558.39000000001</v>
      </c>
      <c r="U51" s="1"/>
      <c r="V51" s="5">
        <f t="shared" ref="V51:V55" si="32">IF(T$12=0,0,T51/T$12)</f>
        <v>0.3170073095737645</v>
      </c>
      <c r="W51" s="1"/>
      <c r="X51" s="1">
        <f t="shared" ref="X51:X55" si="33">+P51-T51</f>
        <v>-18710.150000000023</v>
      </c>
      <c r="Y51" s="1"/>
      <c r="Z51" s="5">
        <f t="shared" ref="Z51:Z55" si="34">IF(T51=0,0,X51/T51)</f>
        <v>-0.13124551981823043</v>
      </c>
    </row>
    <row r="52" spans="1:26" s="24" customFormat="1" hidden="1" outlineLevel="2" x14ac:dyDescent="0.25">
      <c r="A52" s="26"/>
      <c r="B52" s="11" t="str">
        <f>CONCATENATE("          ", "6002", " - ", "STAFF SALARIES")</f>
        <v xml:space="preserve">          6002 - STAFF SALARIES</v>
      </c>
      <c r="C52" s="11"/>
      <c r="D52" s="6">
        <v>15262.950000000003</v>
      </c>
      <c r="E52" s="2"/>
      <c r="F52" s="7">
        <f t="shared" si="27"/>
        <v>3.4362005578806833</v>
      </c>
      <c r="G52" s="2"/>
      <c r="H52" s="6">
        <v>10285.75</v>
      </c>
      <c r="I52" s="2"/>
      <c r="J52" s="7">
        <f t="shared" si="28"/>
        <v>0.20758002347894897</v>
      </c>
      <c r="K52" s="2"/>
      <c r="L52" s="6">
        <f t="shared" si="29"/>
        <v>4977.2000000000025</v>
      </c>
      <c r="M52" s="2"/>
      <c r="N52" s="7">
        <f t="shared" si="30"/>
        <v>0.48389276426123545</v>
      </c>
      <c r="O52" s="11"/>
      <c r="P52" s="6">
        <v>118009.37999999999</v>
      </c>
      <c r="Q52" s="2"/>
      <c r="R52" s="7">
        <f t="shared" si="31"/>
        <v>1.0841664291030346</v>
      </c>
      <c r="S52" s="2"/>
      <c r="T52" s="6">
        <v>94652.36</v>
      </c>
      <c r="U52" s="2"/>
      <c r="V52" s="7">
        <f t="shared" si="32"/>
        <v>0.21047859749543607</v>
      </c>
      <c r="W52" s="2"/>
      <c r="X52" s="6">
        <f t="shared" si="33"/>
        <v>23357.01999999999</v>
      </c>
      <c r="Y52" s="2"/>
      <c r="Z52" s="7">
        <f t="shared" si="34"/>
        <v>0.24676637751029123</v>
      </c>
    </row>
    <row r="53" spans="1:26" s="24" customFormat="1" hidden="1" outlineLevel="2" x14ac:dyDescent="0.25">
      <c r="A53" s="26"/>
      <c r="B53" s="11" t="str">
        <f>CONCATENATE("          ", "6005", " - ", "TEMPORARY WAGES-HOURLY")</f>
        <v xml:space="preserve">          6005 - TEMPORARY WAGES-HOURLY</v>
      </c>
      <c r="C53" s="11"/>
      <c r="D53" s="6"/>
      <c r="E53" s="2"/>
      <c r="F53" s="7">
        <f t="shared" si="27"/>
        <v>0</v>
      </c>
      <c r="G53" s="2"/>
      <c r="H53" s="6">
        <v>2179.77</v>
      </c>
      <c r="I53" s="2"/>
      <c r="J53" s="7">
        <f t="shared" si="28"/>
        <v>4.3990638288769278E-2</v>
      </c>
      <c r="K53" s="2"/>
      <c r="L53" s="6">
        <f t="shared" si="29"/>
        <v>-2179.77</v>
      </c>
      <c r="M53" s="2"/>
      <c r="N53" s="7">
        <f t="shared" si="30"/>
        <v>-1</v>
      </c>
      <c r="O53" s="11"/>
      <c r="P53" s="6">
        <v>383.25</v>
      </c>
      <c r="Q53" s="2"/>
      <c r="R53" s="7">
        <f t="shared" si="31"/>
        <v>3.5209640450084398E-3</v>
      </c>
      <c r="S53" s="2"/>
      <c r="T53" s="6">
        <v>16323.689999999999</v>
      </c>
      <c r="U53" s="2"/>
      <c r="V53" s="7">
        <f t="shared" si="32"/>
        <v>3.6299014384324646E-2</v>
      </c>
      <c r="W53" s="2"/>
      <c r="X53" s="6">
        <f t="shared" si="33"/>
        <v>-15940.439999999999</v>
      </c>
      <c r="Y53" s="2"/>
      <c r="Z53" s="7">
        <f t="shared" si="34"/>
        <v>-0.97652185259582847</v>
      </c>
    </row>
    <row r="54" spans="1:26" s="24" customFormat="1" hidden="1" outlineLevel="2" x14ac:dyDescent="0.25">
      <c r="A54" s="26"/>
      <c r="B54" s="11" t="str">
        <f>CONCATENATE("          ", "6006", " - ", "TEMPORARY PART TIME")</f>
        <v xml:space="preserve">          6006 - TEMPORARY PART TIME</v>
      </c>
      <c r="C54" s="11"/>
      <c r="D54" s="6"/>
      <c r="E54" s="2"/>
      <c r="F54" s="7">
        <f t="shared" si="27"/>
        <v>0</v>
      </c>
      <c r="G54" s="2"/>
      <c r="H54" s="6">
        <v>1264.31</v>
      </c>
      <c r="I54" s="2"/>
      <c r="J54" s="7">
        <f t="shared" si="28"/>
        <v>2.5515446076821813E-2</v>
      </c>
      <c r="K54" s="2"/>
      <c r="L54" s="6">
        <f t="shared" si="29"/>
        <v>-1264.31</v>
      </c>
      <c r="M54" s="2"/>
      <c r="N54" s="7">
        <f t="shared" si="30"/>
        <v>-1</v>
      </c>
      <c r="O54" s="11"/>
      <c r="P54" s="6"/>
      <c r="Q54" s="2"/>
      <c r="R54" s="7">
        <f t="shared" si="31"/>
        <v>0</v>
      </c>
      <c r="S54" s="2"/>
      <c r="T54" s="6">
        <v>1441.99</v>
      </c>
      <c r="U54" s="2"/>
      <c r="V54" s="7">
        <f t="shared" si="32"/>
        <v>3.2065553653648346E-3</v>
      </c>
      <c r="W54" s="2"/>
      <c r="X54" s="6">
        <f t="shared" si="33"/>
        <v>-1441.99</v>
      </c>
      <c r="Y54" s="2"/>
      <c r="Z54" s="7">
        <f t="shared" si="34"/>
        <v>-1</v>
      </c>
    </row>
    <row r="55" spans="1:26" s="24" customFormat="1" hidden="1" outlineLevel="2" x14ac:dyDescent="0.25">
      <c r="A55" s="26"/>
      <c r="B55" s="11" t="str">
        <f>CONCATENATE("          ", "6007", " - ", "STUDENT HOURLY")</f>
        <v xml:space="preserve">          6007 - STUDENT HOURLY</v>
      </c>
      <c r="C55" s="11"/>
      <c r="D55" s="6">
        <v>481.72</v>
      </c>
      <c r="E55" s="2"/>
      <c r="F55" s="7">
        <f t="shared" si="27"/>
        <v>0.10845128449888669</v>
      </c>
      <c r="G55" s="2"/>
      <c r="H55" s="6">
        <v>2431.2399999999998</v>
      </c>
      <c r="I55" s="2"/>
      <c r="J55" s="7">
        <f t="shared" si="28"/>
        <v>4.9065635105165872E-2</v>
      </c>
      <c r="K55" s="2"/>
      <c r="L55" s="6">
        <f t="shared" si="29"/>
        <v>-1949.5199999999998</v>
      </c>
      <c r="M55" s="2"/>
      <c r="N55" s="7">
        <f t="shared" si="30"/>
        <v>-0.8018624241127984</v>
      </c>
      <c r="O55" s="11"/>
      <c r="P55" s="6">
        <v>5455.61</v>
      </c>
      <c r="Q55" s="2"/>
      <c r="R55" s="7">
        <f t="shared" si="31"/>
        <v>5.0121348085031943E-2</v>
      </c>
      <c r="S55" s="2"/>
      <c r="T55" s="6">
        <v>30140.350000000002</v>
      </c>
      <c r="U55" s="2"/>
      <c r="V55" s="7">
        <f t="shared" si="32"/>
        <v>6.7023142328638888E-2</v>
      </c>
      <c r="W55" s="2"/>
      <c r="X55" s="6">
        <f t="shared" si="33"/>
        <v>-24684.74</v>
      </c>
      <c r="Y55" s="2"/>
      <c r="Z55" s="7">
        <f t="shared" si="34"/>
        <v>-0.81899314374252452</v>
      </c>
    </row>
    <row r="56" spans="1:26" s="25" customFormat="1" outlineLevel="1" collapsed="1" x14ac:dyDescent="0.25">
      <c r="A56" s="27"/>
      <c r="B56" s="13" t="str">
        <f>CONCATENATE("     ","Advertising/Promo                                 ")</f>
        <v xml:space="preserve">     Advertising/Promo                                 </v>
      </c>
      <c r="C56" s="13"/>
      <c r="D56" s="1">
        <f>SUM(OSRRefD22_2x_0)</f>
        <v>0</v>
      </c>
      <c r="E56" s="1"/>
      <c r="F56" s="5">
        <f t="shared" ref="F56:F66" si="35">IF(D$12=0,0,D56/D$12)</f>
        <v>0</v>
      </c>
      <c r="G56" s="1"/>
      <c r="H56" s="1">
        <f>SUM(OSRRefH22_2x_0)</f>
        <v>1596.88</v>
      </c>
      <c r="I56" s="1"/>
      <c r="J56" s="5">
        <f t="shared" ref="J56:J66" si="36">IF(H$12=0,0,H56/H$12)</f>
        <v>3.2227148034228333E-2</v>
      </c>
      <c r="K56" s="1"/>
      <c r="L56" s="1">
        <f t="shared" ref="L56:L66" si="37">+D56-H56</f>
        <v>-1596.88</v>
      </c>
      <c r="M56" s="1"/>
      <c r="N56" s="5">
        <f t="shared" ref="N56:N66" si="38">IF(H56=0,0,L56/H56)</f>
        <v>-1</v>
      </c>
      <c r="O56" s="13"/>
      <c r="P56" s="1">
        <f>SUM(OSRRefP22_2x_0)</f>
        <v>0</v>
      </c>
      <c r="Q56" s="1"/>
      <c r="R56" s="5">
        <f t="shared" ref="R56:R66" si="39">IF(P$12=0,0,P56/P$12)</f>
        <v>0</v>
      </c>
      <c r="S56" s="1"/>
      <c r="T56" s="1">
        <f>SUM(OSRRefT22_2x_0)</f>
        <v>1490.42</v>
      </c>
      <c r="U56" s="1"/>
      <c r="V56" s="5">
        <f t="shared" ref="V56:V66" si="40">IF(T$12=0,0,T56/T$12)</f>
        <v>3.3142492303324276E-3</v>
      </c>
      <c r="W56" s="1"/>
      <c r="X56" s="1">
        <f t="shared" ref="X56:X66" si="41">+P56-T56</f>
        <v>-1490.42</v>
      </c>
      <c r="Y56" s="1"/>
      <c r="Z56" s="5">
        <f t="shared" ref="Z56:Z66" si="42">IF(T56=0,0,X56/T56)</f>
        <v>-1</v>
      </c>
    </row>
    <row r="57" spans="1:26" s="24" customFormat="1" hidden="1" outlineLevel="2" x14ac:dyDescent="0.25">
      <c r="A57" s="26"/>
      <c r="B57" s="11" t="str">
        <f>CONCATENATE("          ", "6362", " - ", "ADVERTISING EXPENSE")</f>
        <v xml:space="preserve">          6362 - ADVERTISING EXPENSE</v>
      </c>
      <c r="C57" s="11"/>
      <c r="D57" s="6"/>
      <c r="E57" s="2"/>
      <c r="F57" s="7">
        <f t="shared" si="35"/>
        <v>0</v>
      </c>
      <c r="G57" s="2"/>
      <c r="H57" s="6">
        <v>1596.88</v>
      </c>
      <c r="I57" s="2"/>
      <c r="J57" s="7">
        <f t="shared" si="36"/>
        <v>3.2227148034228333E-2</v>
      </c>
      <c r="K57" s="2"/>
      <c r="L57" s="6">
        <f t="shared" si="37"/>
        <v>-1596.88</v>
      </c>
      <c r="M57" s="2"/>
      <c r="N57" s="7">
        <f t="shared" si="38"/>
        <v>-1</v>
      </c>
      <c r="O57" s="11"/>
      <c r="P57" s="6"/>
      <c r="Q57" s="2"/>
      <c r="R57" s="7">
        <f t="shared" si="39"/>
        <v>0</v>
      </c>
      <c r="S57" s="2"/>
      <c r="T57" s="6">
        <v>1490.42</v>
      </c>
      <c r="U57" s="2"/>
      <c r="V57" s="7">
        <f t="shared" si="40"/>
        <v>3.3142492303324276E-3</v>
      </c>
      <c r="W57" s="2"/>
      <c r="X57" s="6">
        <f t="shared" si="41"/>
        <v>-1490.42</v>
      </c>
      <c r="Y57" s="2"/>
      <c r="Z57" s="7">
        <f t="shared" si="42"/>
        <v>-1</v>
      </c>
    </row>
    <row r="58" spans="1:26" s="25" customFormat="1" outlineLevel="1" collapsed="1" x14ac:dyDescent="0.25">
      <c r="A58" s="27"/>
      <c r="B58" s="13" t="str">
        <f>CONCATENATE("     ","Depreciation                                      ")</f>
        <v xml:space="preserve">     Depreciation                                      </v>
      </c>
      <c r="C58" s="13"/>
      <c r="D58" s="1">
        <f>SUM(OSRRefD22_3x_0)</f>
        <v>169.88</v>
      </c>
      <c r="E58" s="1"/>
      <c r="F58" s="5">
        <f t="shared" si="35"/>
        <v>3.8245670120964192E-2</v>
      </c>
      <c r="G58" s="1"/>
      <c r="H58" s="1">
        <f>SUM(OSRRefH22_3x_0)</f>
        <v>169.88</v>
      </c>
      <c r="I58" s="1"/>
      <c r="J58" s="5">
        <f t="shared" si="36"/>
        <v>3.4284028280488882E-3</v>
      </c>
      <c r="K58" s="1"/>
      <c r="L58" s="1">
        <f t="shared" si="37"/>
        <v>0</v>
      </c>
      <c r="M58" s="1"/>
      <c r="N58" s="5">
        <f t="shared" si="38"/>
        <v>0</v>
      </c>
      <c r="O58" s="13"/>
      <c r="P58" s="1">
        <f>SUM(OSRRefP22_3x_0)</f>
        <v>1359.04</v>
      </c>
      <c r="Q58" s="1"/>
      <c r="R58" s="5">
        <f t="shared" si="39"/>
        <v>1.248566464638818E-2</v>
      </c>
      <c r="S58" s="1"/>
      <c r="T58" s="1">
        <f>SUM(OSRRefT22_3x_0)</f>
        <v>509.64</v>
      </c>
      <c r="U58" s="1"/>
      <c r="V58" s="5">
        <f t="shared" si="40"/>
        <v>1.133287246377946E-3</v>
      </c>
      <c r="W58" s="1"/>
      <c r="X58" s="1">
        <f t="shared" si="41"/>
        <v>849.4</v>
      </c>
      <c r="Y58" s="1"/>
      <c r="Z58" s="5">
        <f t="shared" si="42"/>
        <v>1.6666666666666667</v>
      </c>
    </row>
    <row r="59" spans="1:26" s="24" customFormat="1" hidden="1" outlineLevel="2" x14ac:dyDescent="0.25">
      <c r="A59" s="26"/>
      <c r="B59" s="11" t="str">
        <f>CONCATENATE("          ", "6322", " - ", "EQUIPMENT DEPRECIATION EXPENSE")</f>
        <v xml:space="preserve">          6322 - EQUIPMENT DEPRECIATION EXPENSE</v>
      </c>
      <c r="C59" s="11"/>
      <c r="D59" s="6">
        <v>169.88</v>
      </c>
      <c r="E59" s="2"/>
      <c r="F59" s="7">
        <f t="shared" si="35"/>
        <v>3.8245670120964192E-2</v>
      </c>
      <c r="G59" s="2"/>
      <c r="H59" s="6">
        <v>169.88</v>
      </c>
      <c r="I59" s="2"/>
      <c r="J59" s="7">
        <f t="shared" si="36"/>
        <v>3.4284028280488882E-3</v>
      </c>
      <c r="K59" s="2"/>
      <c r="L59" s="6">
        <f t="shared" si="37"/>
        <v>0</v>
      </c>
      <c r="M59" s="2"/>
      <c r="N59" s="7">
        <f t="shared" si="38"/>
        <v>0</v>
      </c>
      <c r="O59" s="11"/>
      <c r="P59" s="6">
        <v>1359.04</v>
      </c>
      <c r="Q59" s="2"/>
      <c r="R59" s="7">
        <f t="shared" si="39"/>
        <v>1.248566464638818E-2</v>
      </c>
      <c r="S59" s="2"/>
      <c r="T59" s="6">
        <v>509.64</v>
      </c>
      <c r="U59" s="2"/>
      <c r="V59" s="7">
        <f t="shared" si="40"/>
        <v>1.133287246377946E-3</v>
      </c>
      <c r="W59" s="2"/>
      <c r="X59" s="6">
        <f t="shared" si="41"/>
        <v>849.4</v>
      </c>
      <c r="Y59" s="2"/>
      <c r="Z59" s="7">
        <f t="shared" si="42"/>
        <v>1.6666666666666667</v>
      </c>
    </row>
    <row r="60" spans="1:26" s="25" customFormat="1" outlineLevel="1" collapsed="1" x14ac:dyDescent="0.25">
      <c r="A60" s="27"/>
      <c r="B60" s="13" t="str">
        <f>CONCATENATE("     ","Discounts and Markdowns                           ")</f>
        <v xml:space="preserve">     Discounts and Markdowns                           </v>
      </c>
      <c r="C60" s="13"/>
      <c r="D60" s="1">
        <f>SUM(OSRRefD22_4x_0)</f>
        <v>0</v>
      </c>
      <c r="E60" s="1"/>
      <c r="F60" s="5">
        <f t="shared" si="35"/>
        <v>0</v>
      </c>
      <c r="G60" s="1"/>
      <c r="H60" s="1">
        <f>SUM(OSRRefH22_4x_0)</f>
        <v>60.33</v>
      </c>
      <c r="I60" s="1"/>
      <c r="J60" s="5">
        <f t="shared" si="36"/>
        <v>1.2175391018141594E-3</v>
      </c>
      <c r="K60" s="1"/>
      <c r="L60" s="1">
        <f t="shared" si="37"/>
        <v>-60.33</v>
      </c>
      <c r="M60" s="1"/>
      <c r="N60" s="5">
        <f t="shared" si="38"/>
        <v>-1</v>
      </c>
      <c r="O60" s="13"/>
      <c r="P60" s="1">
        <f>SUM(OSRRefP22_4x_0)</f>
        <v>0</v>
      </c>
      <c r="Q60" s="1"/>
      <c r="R60" s="5">
        <f t="shared" si="39"/>
        <v>0</v>
      </c>
      <c r="S60" s="1"/>
      <c r="T60" s="1">
        <f>SUM(OSRRefT22_4x_0)</f>
        <v>982.51</v>
      </c>
      <c r="U60" s="1"/>
      <c r="V60" s="5">
        <f t="shared" si="40"/>
        <v>2.1848089875967265E-3</v>
      </c>
      <c r="W60" s="1"/>
      <c r="X60" s="1">
        <f t="shared" si="41"/>
        <v>-982.51</v>
      </c>
      <c r="Y60" s="1"/>
      <c r="Z60" s="5">
        <f t="shared" si="42"/>
        <v>-1</v>
      </c>
    </row>
    <row r="61" spans="1:26" s="24" customFormat="1" hidden="1" outlineLevel="2" x14ac:dyDescent="0.25">
      <c r="A61" s="26"/>
      <c r="B61" s="11" t="str">
        <f>CONCATENATE("          ", "6382", " - ", "DISCOUNTS/MARK DOWNS")</f>
        <v xml:space="preserve">          6382 - DISCOUNTS/MARK DOWNS</v>
      </c>
      <c r="C61" s="11"/>
      <c r="D61" s="6"/>
      <c r="E61" s="2"/>
      <c r="F61" s="7">
        <f t="shared" si="35"/>
        <v>0</v>
      </c>
      <c r="G61" s="2"/>
      <c r="H61" s="6">
        <v>60.33</v>
      </c>
      <c r="I61" s="2"/>
      <c r="J61" s="7">
        <f t="shared" si="36"/>
        <v>1.2175391018141594E-3</v>
      </c>
      <c r="K61" s="2"/>
      <c r="L61" s="6">
        <f t="shared" si="37"/>
        <v>-60.33</v>
      </c>
      <c r="M61" s="2"/>
      <c r="N61" s="7">
        <f t="shared" si="38"/>
        <v>-1</v>
      </c>
      <c r="O61" s="11"/>
      <c r="P61" s="6"/>
      <c r="Q61" s="2"/>
      <c r="R61" s="7">
        <f t="shared" si="39"/>
        <v>0</v>
      </c>
      <c r="S61" s="2"/>
      <c r="T61" s="6">
        <v>982.51</v>
      </c>
      <c r="U61" s="2"/>
      <c r="V61" s="7">
        <f t="shared" si="40"/>
        <v>2.1848089875967265E-3</v>
      </c>
      <c r="W61" s="2"/>
      <c r="X61" s="6">
        <f t="shared" si="41"/>
        <v>-982.51</v>
      </c>
      <c r="Y61" s="2"/>
      <c r="Z61" s="7">
        <f t="shared" si="42"/>
        <v>-1</v>
      </c>
    </row>
    <row r="62" spans="1:26" s="25" customFormat="1" outlineLevel="1" collapsed="1" x14ac:dyDescent="0.25">
      <c r="A62" s="27"/>
      <c r="B62" s="13" t="str">
        <f>CONCATENATE("     ","Equipment Rental                                  ")</f>
        <v xml:space="preserve">     Equipment Rental                                  </v>
      </c>
      <c r="C62" s="13"/>
      <c r="D62" s="1">
        <f>SUM(OSRRefD22_5x_0)</f>
        <v>1205.6400000000001</v>
      </c>
      <c r="E62" s="1"/>
      <c r="F62" s="5">
        <f t="shared" si="35"/>
        <v>0.27142989006733736</v>
      </c>
      <c r="G62" s="1"/>
      <c r="H62" s="1">
        <f>SUM(OSRRefH22_5x_0)</f>
        <v>1205.6400000000001</v>
      </c>
      <c r="I62" s="1"/>
      <c r="J62" s="5">
        <f t="shared" si="36"/>
        <v>2.4331407968029562E-2</v>
      </c>
      <c r="K62" s="1"/>
      <c r="L62" s="1">
        <f t="shared" si="37"/>
        <v>0</v>
      </c>
      <c r="M62" s="1"/>
      <c r="N62" s="5">
        <f t="shared" si="38"/>
        <v>0</v>
      </c>
      <c r="O62" s="13"/>
      <c r="P62" s="1">
        <f>SUM(OSRRefP22_5x_0)</f>
        <v>9645.1200000000008</v>
      </c>
      <c r="Q62" s="1"/>
      <c r="R62" s="5">
        <f t="shared" si="39"/>
        <v>8.8610882530441762E-2</v>
      </c>
      <c r="S62" s="1"/>
      <c r="T62" s="1">
        <f>SUM(OSRRefT22_5x_0)</f>
        <v>12343.44</v>
      </c>
      <c r="U62" s="1"/>
      <c r="V62" s="5">
        <f t="shared" si="40"/>
        <v>2.7448126380251538E-2</v>
      </c>
      <c r="W62" s="1"/>
      <c r="X62" s="1">
        <f t="shared" si="41"/>
        <v>-2698.3199999999997</v>
      </c>
      <c r="Y62" s="1"/>
      <c r="Z62" s="5">
        <f t="shared" si="42"/>
        <v>-0.21860356594271935</v>
      </c>
    </row>
    <row r="63" spans="1:26" s="24" customFormat="1" hidden="1" outlineLevel="2" x14ac:dyDescent="0.25">
      <c r="A63" s="26"/>
      <c r="B63" s="11" t="str">
        <f>CONCATENATE("          ", "6351", " - ", "EQUIPMENT RENTAL")</f>
        <v xml:space="preserve">          6351 - EQUIPMENT RENTAL</v>
      </c>
      <c r="C63" s="11"/>
      <c r="D63" s="6">
        <v>1205.6400000000001</v>
      </c>
      <c r="E63" s="2"/>
      <c r="F63" s="7">
        <f t="shared" si="35"/>
        <v>0.27142989006733736</v>
      </c>
      <c r="G63" s="2"/>
      <c r="H63" s="6">
        <v>1205.6400000000001</v>
      </c>
      <c r="I63" s="2"/>
      <c r="J63" s="7">
        <f t="shared" si="36"/>
        <v>2.4331407968029562E-2</v>
      </c>
      <c r="K63" s="2"/>
      <c r="L63" s="6">
        <f t="shared" si="37"/>
        <v>0</v>
      </c>
      <c r="M63" s="2"/>
      <c r="N63" s="7">
        <f t="shared" si="38"/>
        <v>0</v>
      </c>
      <c r="O63" s="11"/>
      <c r="P63" s="6">
        <v>9645.1200000000008</v>
      </c>
      <c r="Q63" s="2"/>
      <c r="R63" s="7">
        <f t="shared" si="39"/>
        <v>8.8610882530441762E-2</v>
      </c>
      <c r="S63" s="2"/>
      <c r="T63" s="6">
        <v>12343.44</v>
      </c>
      <c r="U63" s="2"/>
      <c r="V63" s="7">
        <f t="shared" si="40"/>
        <v>2.7448126380251538E-2</v>
      </c>
      <c r="W63" s="2"/>
      <c r="X63" s="6">
        <f t="shared" si="41"/>
        <v>-2698.3199999999997</v>
      </c>
      <c r="Y63" s="2"/>
      <c r="Z63" s="7">
        <f t="shared" si="42"/>
        <v>-0.21860356594271935</v>
      </c>
    </row>
    <row r="64" spans="1:26" s="25" customFormat="1" outlineLevel="1" collapsed="1" x14ac:dyDescent="0.25">
      <c r="A64" s="27"/>
      <c r="B64" s="13" t="str">
        <f>CONCATENATE("     ","Freight out/Postage                               ")</f>
        <v xml:space="preserve">     Freight out/Postage                               </v>
      </c>
      <c r="C64" s="13"/>
      <c r="D64" s="1">
        <f>SUM(OSRRefD22_6x_0)</f>
        <v>2803.1500000000015</v>
      </c>
      <c r="E64" s="1"/>
      <c r="F64" s="5">
        <f t="shared" si="35"/>
        <v>0.6310828243441301</v>
      </c>
      <c r="G64" s="1"/>
      <c r="H64" s="1">
        <f>SUM(OSRRefH22_6x_0)</f>
        <v>2968.41</v>
      </c>
      <c r="I64" s="1"/>
      <c r="J64" s="5">
        <f t="shared" si="36"/>
        <v>5.9906435359127617E-2</v>
      </c>
      <c r="K64" s="1"/>
      <c r="L64" s="1">
        <f t="shared" si="37"/>
        <v>-165.2599999999984</v>
      </c>
      <c r="M64" s="1"/>
      <c r="N64" s="5">
        <f t="shared" si="38"/>
        <v>-5.5672902328181888E-2</v>
      </c>
      <c r="O64" s="13"/>
      <c r="P64" s="1">
        <f>SUM(OSRRefP22_6x_0)</f>
        <v>-45422.41</v>
      </c>
      <c r="Q64" s="1"/>
      <c r="R64" s="5">
        <f t="shared" si="39"/>
        <v>-0.41730116750849788</v>
      </c>
      <c r="S64" s="1"/>
      <c r="T64" s="1">
        <f>SUM(OSRRefT22_6x_0)</f>
        <v>-16720.010000000002</v>
      </c>
      <c r="U64" s="1"/>
      <c r="V64" s="5">
        <f t="shared" si="40"/>
        <v>-3.7180311773627898E-2</v>
      </c>
      <c r="W64" s="1"/>
      <c r="X64" s="1">
        <f t="shared" si="41"/>
        <v>-28702.400000000001</v>
      </c>
      <c r="Y64" s="1"/>
      <c r="Z64" s="5">
        <f t="shared" si="42"/>
        <v>1.7166496909989886</v>
      </c>
    </row>
    <row r="65" spans="1:26" s="24" customFormat="1" hidden="1" outlineLevel="2" x14ac:dyDescent="0.25">
      <c r="A65" s="26"/>
      <c r="B65" s="11" t="str">
        <f>CONCATENATE("          ", "6305", " - ", "FREIGHT OUT")</f>
        <v xml:space="preserve">          6305 - FREIGHT OUT</v>
      </c>
      <c r="C65" s="11"/>
      <c r="D65" s="6">
        <v>24817.48</v>
      </c>
      <c r="E65" s="2"/>
      <c r="F65" s="7">
        <f t="shared" si="35"/>
        <v>5.5872448393785401</v>
      </c>
      <c r="G65" s="2"/>
      <c r="H65" s="6">
        <v>8629.18</v>
      </c>
      <c r="I65" s="2"/>
      <c r="J65" s="7">
        <f t="shared" si="36"/>
        <v>0.17414825238840892</v>
      </c>
      <c r="K65" s="2"/>
      <c r="L65" s="6">
        <f t="shared" si="37"/>
        <v>16188.3</v>
      </c>
      <c r="M65" s="2"/>
      <c r="N65" s="7">
        <f t="shared" si="38"/>
        <v>1.8759951698770914</v>
      </c>
      <c r="O65" s="11"/>
      <c r="P65" s="6">
        <v>150896.71</v>
      </c>
      <c r="Q65" s="2"/>
      <c r="R65" s="7">
        <f t="shared" si="39"/>
        <v>1.3863063024659241</v>
      </c>
      <c r="S65" s="2"/>
      <c r="T65" s="6">
        <v>33600.86</v>
      </c>
      <c r="U65" s="2"/>
      <c r="V65" s="7">
        <f t="shared" si="40"/>
        <v>7.4718283700908231E-2</v>
      </c>
      <c r="W65" s="2"/>
      <c r="X65" s="6">
        <f t="shared" si="41"/>
        <v>117295.84999999999</v>
      </c>
      <c r="Y65" s="2"/>
      <c r="Z65" s="7">
        <f t="shared" si="42"/>
        <v>3.4908585673104793</v>
      </c>
    </row>
    <row r="66" spans="1:26" s="24" customFormat="1" hidden="1" outlineLevel="2" x14ac:dyDescent="0.25">
      <c r="A66" s="26"/>
      <c r="B66" s="11" t="str">
        <f>CONCATENATE("          ", "6307", " - ", "POSTAGE")</f>
        <v xml:space="preserve">          6307 - POSTAGE</v>
      </c>
      <c r="C66" s="11"/>
      <c r="D66" s="6">
        <v>-22014.329999999998</v>
      </c>
      <c r="E66" s="2"/>
      <c r="F66" s="7">
        <f t="shared" si="35"/>
        <v>-4.9561620150344101</v>
      </c>
      <c r="G66" s="2"/>
      <c r="H66" s="6">
        <v>-5660.77</v>
      </c>
      <c r="I66" s="2"/>
      <c r="J66" s="7">
        <f t="shared" si="36"/>
        <v>-0.1142418170292813</v>
      </c>
      <c r="K66" s="2"/>
      <c r="L66" s="6">
        <f t="shared" si="37"/>
        <v>-16353.559999999998</v>
      </c>
      <c r="M66" s="2"/>
      <c r="N66" s="7">
        <f t="shared" si="38"/>
        <v>2.8889285379904139</v>
      </c>
      <c r="O66" s="11"/>
      <c r="P66" s="6">
        <v>-196319.12</v>
      </c>
      <c r="Q66" s="2"/>
      <c r="R66" s="7">
        <f t="shared" si="39"/>
        <v>-1.803607469974422</v>
      </c>
      <c r="S66" s="2"/>
      <c r="T66" s="6">
        <v>-50320.87</v>
      </c>
      <c r="U66" s="2"/>
      <c r="V66" s="7">
        <f t="shared" si="40"/>
        <v>-0.11189859547453614</v>
      </c>
      <c r="W66" s="2"/>
      <c r="X66" s="6">
        <f t="shared" si="41"/>
        <v>-145998.25</v>
      </c>
      <c r="Y66" s="2"/>
      <c r="Z66" s="7">
        <f t="shared" si="42"/>
        <v>2.9013459028033495</v>
      </c>
    </row>
    <row r="67" spans="1:26" s="25" customFormat="1" outlineLevel="1" collapsed="1" x14ac:dyDescent="0.25">
      <c r="A67" s="27"/>
      <c r="B67" s="13" t="str">
        <f>CONCATENATE("     ","General                                           ")</f>
        <v xml:space="preserve">     General                                           </v>
      </c>
      <c r="C67" s="13"/>
      <c r="D67" s="1">
        <f>SUM(OSRRefD22_7x_0)</f>
        <v>0</v>
      </c>
      <c r="E67" s="1"/>
      <c r="F67" s="5">
        <f t="shared" ref="F67:F74" si="43">IF(D$12=0,0,D67/D$12)</f>
        <v>0</v>
      </c>
      <c r="G67" s="1"/>
      <c r="H67" s="1">
        <f>SUM(OSRRefH22_7x_0)</f>
        <v>0</v>
      </c>
      <c r="I67" s="1"/>
      <c r="J67" s="5">
        <f t="shared" ref="J67:J74" si="44">IF(H$12=0,0,H67/H$12)</f>
        <v>0</v>
      </c>
      <c r="K67" s="1"/>
      <c r="L67" s="1">
        <f t="shared" ref="L67:L74" si="45">+D67-H67</f>
        <v>0</v>
      </c>
      <c r="M67" s="1"/>
      <c r="N67" s="5">
        <f t="shared" ref="N67:N74" si="46">IF(H67=0,0,L67/H67)</f>
        <v>0</v>
      </c>
      <c r="O67" s="13"/>
      <c r="P67" s="1">
        <f>SUM(OSRRefP22_7x_0)</f>
        <v>0</v>
      </c>
      <c r="Q67" s="1"/>
      <c r="R67" s="5">
        <f t="shared" ref="R67:R74" si="47">IF(P$12=0,0,P67/P$12)</f>
        <v>0</v>
      </c>
      <c r="S67" s="1"/>
      <c r="T67" s="1">
        <f>SUM(OSRRefT22_7x_0)</f>
        <v>155.16999999999999</v>
      </c>
      <c r="U67" s="1"/>
      <c r="V67" s="5">
        <f t="shared" ref="V67:V74" si="48">IF(T$12=0,0,T67/T$12)</f>
        <v>3.4505176599259452E-4</v>
      </c>
      <c r="W67" s="1"/>
      <c r="X67" s="1">
        <f t="shared" ref="X67:X74" si="49">+P67-T67</f>
        <v>-155.16999999999999</v>
      </c>
      <c r="Y67" s="1"/>
      <c r="Z67" s="5">
        <f t="shared" ref="Z67:Z74" si="50">IF(T67=0,0,X67/T67)</f>
        <v>-1</v>
      </c>
    </row>
    <row r="68" spans="1:26" s="24" customFormat="1" hidden="1" outlineLevel="2" x14ac:dyDescent="0.25">
      <c r="A68" s="26"/>
      <c r="B68" s="11" t="str">
        <f>CONCATENATE("          ", "6279", " - ", "GENERAL EXPENSE")</f>
        <v xml:space="preserve">          6279 - GENERAL EXPENSE</v>
      </c>
      <c r="C68" s="11"/>
      <c r="D68" s="6"/>
      <c r="E68" s="2"/>
      <c r="F68" s="7">
        <f t="shared" si="43"/>
        <v>0</v>
      </c>
      <c r="G68" s="2"/>
      <c r="H68" s="6"/>
      <c r="I68" s="2"/>
      <c r="J68" s="7">
        <f t="shared" si="44"/>
        <v>0</v>
      </c>
      <c r="K68" s="2"/>
      <c r="L68" s="6">
        <f t="shared" si="45"/>
        <v>0</v>
      </c>
      <c r="M68" s="2"/>
      <c r="N68" s="7">
        <f t="shared" si="46"/>
        <v>0</v>
      </c>
      <c r="O68" s="11"/>
      <c r="P68" s="6"/>
      <c r="Q68" s="2"/>
      <c r="R68" s="7">
        <f t="shared" si="47"/>
        <v>0</v>
      </c>
      <c r="S68" s="2"/>
      <c r="T68" s="6">
        <v>155.16999999999999</v>
      </c>
      <c r="U68" s="2"/>
      <c r="V68" s="7">
        <f t="shared" si="48"/>
        <v>3.4505176599259452E-4</v>
      </c>
      <c r="W68" s="2"/>
      <c r="X68" s="6">
        <f t="shared" si="49"/>
        <v>-155.16999999999999</v>
      </c>
      <c r="Y68" s="2"/>
      <c r="Z68" s="7">
        <f t="shared" si="50"/>
        <v>-1</v>
      </c>
    </row>
    <row r="69" spans="1:26" s="25" customFormat="1" outlineLevel="1" collapsed="1" x14ac:dyDescent="0.25">
      <c r="A69" s="27"/>
      <c r="B69" s="13" t="str">
        <f>CONCATENATE("     ","Inventory Adjustment                              ")</f>
        <v xml:space="preserve">     Inventory Adjustment                              </v>
      </c>
      <c r="C69" s="13"/>
      <c r="D69" s="1">
        <f>SUM(OSRRefD22_8x_0)</f>
        <v>0</v>
      </c>
      <c r="E69" s="1"/>
      <c r="F69" s="5">
        <f t="shared" si="43"/>
        <v>0</v>
      </c>
      <c r="G69" s="1"/>
      <c r="H69" s="1">
        <f>SUM(OSRRefH22_8x_0)</f>
        <v>100</v>
      </c>
      <c r="I69" s="1"/>
      <c r="J69" s="5">
        <f t="shared" si="44"/>
        <v>2.0181321097532895E-3</v>
      </c>
      <c r="K69" s="1"/>
      <c r="L69" s="1">
        <f t="shared" si="45"/>
        <v>-100</v>
      </c>
      <c r="M69" s="1"/>
      <c r="N69" s="5">
        <f t="shared" si="46"/>
        <v>-1</v>
      </c>
      <c r="O69" s="13"/>
      <c r="P69" s="1">
        <f>SUM(OSRRefP22_8x_0)</f>
        <v>0</v>
      </c>
      <c r="Q69" s="1"/>
      <c r="R69" s="5">
        <f t="shared" si="47"/>
        <v>0</v>
      </c>
      <c r="S69" s="1"/>
      <c r="T69" s="1">
        <f>SUM(OSRRefT22_8x_0)</f>
        <v>700</v>
      </c>
      <c r="U69" s="1"/>
      <c r="V69" s="5">
        <f t="shared" si="48"/>
        <v>1.5565910691165571E-3</v>
      </c>
      <c r="W69" s="1"/>
      <c r="X69" s="1">
        <f t="shared" si="49"/>
        <v>-700</v>
      </c>
      <c r="Y69" s="1"/>
      <c r="Z69" s="5">
        <f t="shared" si="50"/>
        <v>-1</v>
      </c>
    </row>
    <row r="70" spans="1:26" s="24" customFormat="1" hidden="1" outlineLevel="2" x14ac:dyDescent="0.25">
      <c r="A70" s="26"/>
      <c r="B70" s="11" t="str">
        <f>CONCATENATE("          ", "6408", " - ", "INVENTORY ADJUSTMENT")</f>
        <v xml:space="preserve">          6408 - INVENTORY ADJUSTMENT</v>
      </c>
      <c r="C70" s="11"/>
      <c r="D70" s="6"/>
      <c r="E70" s="2"/>
      <c r="F70" s="7">
        <f t="shared" si="43"/>
        <v>0</v>
      </c>
      <c r="G70" s="2"/>
      <c r="H70" s="6">
        <v>100</v>
      </c>
      <c r="I70" s="2"/>
      <c r="J70" s="7">
        <f t="shared" si="44"/>
        <v>2.0181321097532895E-3</v>
      </c>
      <c r="K70" s="2"/>
      <c r="L70" s="6">
        <f t="shared" si="45"/>
        <v>-100</v>
      </c>
      <c r="M70" s="2"/>
      <c r="N70" s="7">
        <f t="shared" si="46"/>
        <v>-1</v>
      </c>
      <c r="O70" s="11"/>
      <c r="P70" s="6"/>
      <c r="Q70" s="2"/>
      <c r="R70" s="7">
        <f t="shared" si="47"/>
        <v>0</v>
      </c>
      <c r="S70" s="2"/>
      <c r="T70" s="6">
        <v>700</v>
      </c>
      <c r="U70" s="2"/>
      <c r="V70" s="7">
        <f t="shared" si="48"/>
        <v>1.5565910691165571E-3</v>
      </c>
      <c r="W70" s="2"/>
      <c r="X70" s="6">
        <f t="shared" si="49"/>
        <v>-700</v>
      </c>
      <c r="Y70" s="2"/>
      <c r="Z70" s="7">
        <f t="shared" si="50"/>
        <v>-1</v>
      </c>
    </row>
    <row r="71" spans="1:26" s="25" customFormat="1" outlineLevel="1" collapsed="1" x14ac:dyDescent="0.25">
      <c r="A71" s="27"/>
      <c r="B71" s="13" t="str">
        <f>CONCATENATE("     ","Repair and Maintenance                            ")</f>
        <v xml:space="preserve">     Repair and Maintenance                            </v>
      </c>
      <c r="C71" s="13"/>
      <c r="D71" s="1">
        <f>SUM(OSRRefD22_9x_0)</f>
        <v>472.97</v>
      </c>
      <c r="E71" s="1"/>
      <c r="F71" s="5">
        <f t="shared" si="43"/>
        <v>0.10648136683018856</v>
      </c>
      <c r="G71" s="1"/>
      <c r="H71" s="1">
        <f>SUM(OSRRefH22_9x_0)</f>
        <v>4780.78</v>
      </c>
      <c r="I71" s="1"/>
      <c r="J71" s="5">
        <f t="shared" si="44"/>
        <v>9.6482456276663311E-2</v>
      </c>
      <c r="K71" s="1"/>
      <c r="L71" s="1">
        <f t="shared" si="45"/>
        <v>-4307.8099999999995</v>
      </c>
      <c r="M71" s="1"/>
      <c r="N71" s="5">
        <f t="shared" si="46"/>
        <v>-0.90106844489811277</v>
      </c>
      <c r="O71" s="13"/>
      <c r="P71" s="1">
        <f>SUM(OSRRefP22_9x_0)</f>
        <v>30905.56</v>
      </c>
      <c r="Q71" s="1"/>
      <c r="R71" s="5">
        <f t="shared" si="47"/>
        <v>0.28393311298330343</v>
      </c>
      <c r="S71" s="1"/>
      <c r="T71" s="1">
        <f>SUM(OSRRefT22_9x_0)</f>
        <v>50546.039999999994</v>
      </c>
      <c r="U71" s="1"/>
      <c r="V71" s="5">
        <f t="shared" si="48"/>
        <v>0.11239930634744036</v>
      </c>
      <c r="W71" s="1"/>
      <c r="X71" s="1">
        <f t="shared" si="49"/>
        <v>-19640.479999999992</v>
      </c>
      <c r="Y71" s="1"/>
      <c r="Z71" s="5">
        <f t="shared" si="50"/>
        <v>-0.38856614682376689</v>
      </c>
    </row>
    <row r="72" spans="1:26" s="24" customFormat="1" hidden="1" outlineLevel="2" x14ac:dyDescent="0.25">
      <c r="A72" s="26"/>
      <c r="B72" s="11" t="str">
        <f>CONCATENATE("          ", "6371", " - ", "COMPUTER SOFTWARE MAINTENANCE")</f>
        <v xml:space="preserve">          6371 - COMPUTER SOFTWARE MAINTENANCE</v>
      </c>
      <c r="C72" s="11"/>
      <c r="D72" s="6"/>
      <c r="E72" s="2"/>
      <c r="F72" s="7">
        <f t="shared" si="43"/>
        <v>0</v>
      </c>
      <c r="G72" s="2"/>
      <c r="H72" s="6"/>
      <c r="I72" s="2"/>
      <c r="J72" s="7">
        <f t="shared" si="44"/>
        <v>0</v>
      </c>
      <c r="K72" s="2"/>
      <c r="L72" s="6">
        <f t="shared" si="45"/>
        <v>0</v>
      </c>
      <c r="M72" s="2"/>
      <c r="N72" s="7">
        <f t="shared" si="46"/>
        <v>0</v>
      </c>
      <c r="O72" s="11"/>
      <c r="P72" s="6">
        <v>7.69</v>
      </c>
      <c r="Q72" s="2"/>
      <c r="R72" s="7">
        <f t="shared" si="47"/>
        <v>7.0648958920064981E-5</v>
      </c>
      <c r="S72" s="2"/>
      <c r="T72" s="6"/>
      <c r="U72" s="2"/>
      <c r="V72" s="7">
        <f t="shared" si="48"/>
        <v>0</v>
      </c>
      <c r="W72" s="2"/>
      <c r="X72" s="6">
        <f t="shared" si="49"/>
        <v>7.69</v>
      </c>
      <c r="Y72" s="2"/>
      <c r="Z72" s="7">
        <f t="shared" si="50"/>
        <v>0</v>
      </c>
    </row>
    <row r="73" spans="1:26" s="24" customFormat="1" hidden="1" outlineLevel="2" x14ac:dyDescent="0.25">
      <c r="A73" s="26"/>
      <c r="B73" s="11" t="str">
        <f>CONCATENATE("          ", "6373", " - ", "MAINTENANCE CONTRACTS")</f>
        <v xml:space="preserve">          6373 - MAINTENANCE CONTRACTS</v>
      </c>
      <c r="C73" s="11"/>
      <c r="D73" s="6">
        <v>472.97</v>
      </c>
      <c r="E73" s="2"/>
      <c r="F73" s="7">
        <f t="shared" si="43"/>
        <v>0.10648136683018856</v>
      </c>
      <c r="G73" s="2"/>
      <c r="H73" s="6">
        <v>4780.78</v>
      </c>
      <c r="I73" s="2"/>
      <c r="J73" s="7">
        <f t="shared" si="44"/>
        <v>9.6482456276663311E-2</v>
      </c>
      <c r="K73" s="2"/>
      <c r="L73" s="6">
        <f t="shared" si="45"/>
        <v>-4307.8099999999995</v>
      </c>
      <c r="M73" s="2"/>
      <c r="N73" s="7">
        <f t="shared" si="46"/>
        <v>-0.90106844489811277</v>
      </c>
      <c r="O73" s="11"/>
      <c r="P73" s="6">
        <v>30897.870000000003</v>
      </c>
      <c r="Q73" s="2"/>
      <c r="R73" s="7">
        <f t="shared" si="47"/>
        <v>0.28386246402438337</v>
      </c>
      <c r="S73" s="2"/>
      <c r="T73" s="6">
        <v>49660.579999999994</v>
      </c>
      <c r="U73" s="2"/>
      <c r="V73" s="7">
        <f t="shared" si="48"/>
        <v>0.11043030759306902</v>
      </c>
      <c r="W73" s="2"/>
      <c r="X73" s="6">
        <f t="shared" si="49"/>
        <v>-18762.709999999992</v>
      </c>
      <c r="Y73" s="2"/>
      <c r="Z73" s="7">
        <f t="shared" si="50"/>
        <v>-0.37781898640732736</v>
      </c>
    </row>
    <row r="74" spans="1:26" s="24" customFormat="1" hidden="1" outlineLevel="2" x14ac:dyDescent="0.25">
      <c r="A74" s="26"/>
      <c r="B74" s="11" t="str">
        <f>CONCATENATE("          ", "6375", " - ", "OUTSIDE REPAIRS &amp; MAINTENANCE")</f>
        <v xml:space="preserve">          6375 - OUTSIDE REPAIRS &amp; MAINTENANCE</v>
      </c>
      <c r="C74" s="11"/>
      <c r="D74" s="6"/>
      <c r="E74" s="2"/>
      <c r="F74" s="7">
        <f t="shared" si="43"/>
        <v>0</v>
      </c>
      <c r="G74" s="2"/>
      <c r="H74" s="6"/>
      <c r="I74" s="2"/>
      <c r="J74" s="7">
        <f t="shared" si="44"/>
        <v>0</v>
      </c>
      <c r="K74" s="2"/>
      <c r="L74" s="6">
        <f t="shared" si="45"/>
        <v>0</v>
      </c>
      <c r="M74" s="2"/>
      <c r="N74" s="7">
        <f t="shared" si="46"/>
        <v>0</v>
      </c>
      <c r="O74" s="11"/>
      <c r="P74" s="6"/>
      <c r="Q74" s="2"/>
      <c r="R74" s="7">
        <f t="shared" si="47"/>
        <v>0</v>
      </c>
      <c r="S74" s="2"/>
      <c r="T74" s="6">
        <v>885.46</v>
      </c>
      <c r="U74" s="2"/>
      <c r="V74" s="7">
        <f t="shared" si="48"/>
        <v>1.9689987543713523E-3</v>
      </c>
      <c r="W74" s="2"/>
      <c r="X74" s="6">
        <f t="shared" si="49"/>
        <v>-885.46</v>
      </c>
      <c r="Y74" s="2"/>
      <c r="Z74" s="7">
        <f t="shared" si="50"/>
        <v>-1</v>
      </c>
    </row>
    <row r="75" spans="1:26" s="25" customFormat="1" outlineLevel="1" collapsed="1" x14ac:dyDescent="0.25">
      <c r="A75" s="27"/>
      <c r="B75" s="13" t="str">
        <f>CONCATENATE("     ","Royalty &amp; Commissions                             ")</f>
        <v xml:space="preserve">     Royalty &amp; Commissions                             </v>
      </c>
      <c r="C75" s="13"/>
      <c r="D75" s="1">
        <f>SUM(OSRRefD22_10x_0)</f>
        <v>468.34</v>
      </c>
      <c r="E75" s="1"/>
      <c r="F75" s="5">
        <f t="shared" ref="F75:F83" si="51">IF(D$12=0,0,D75/D$12)</f>
        <v>0.10543899896663744</v>
      </c>
      <c r="G75" s="1"/>
      <c r="H75" s="1">
        <f>SUM(OSRRefH22_10x_0)</f>
        <v>8561.32</v>
      </c>
      <c r="I75" s="1"/>
      <c r="J75" s="5">
        <f t="shared" ref="J75:J83" si="52">IF(H$12=0,0,H75/H$12)</f>
        <v>0.17277874793873033</v>
      </c>
      <c r="K75" s="1"/>
      <c r="L75" s="1">
        <f t="shared" ref="L75:L83" si="53">+D75-H75</f>
        <v>-8092.98</v>
      </c>
      <c r="M75" s="1"/>
      <c r="N75" s="5">
        <f t="shared" ref="N75:N83" si="54">IF(H75=0,0,L75/H75)</f>
        <v>-0.9452958188690529</v>
      </c>
      <c r="O75" s="13"/>
      <c r="P75" s="1">
        <f>SUM(OSRRefP22_10x_0)</f>
        <v>10636.41</v>
      </c>
      <c r="Q75" s="1"/>
      <c r="R75" s="5">
        <f t="shared" ref="R75:R83" si="55">IF(P$12=0,0,P75/P$12)</f>
        <v>9.7717983504157127E-2</v>
      </c>
      <c r="S75" s="1"/>
      <c r="T75" s="1">
        <f>SUM(OSRRefT22_10x_0)</f>
        <v>72961.88</v>
      </c>
      <c r="U75" s="1"/>
      <c r="V75" s="5">
        <f t="shared" ref="V75:V83" si="56">IF(T$12=0,0,T75/T$12)</f>
        <v>0.16224544399136279</v>
      </c>
      <c r="W75" s="1"/>
      <c r="X75" s="1">
        <f t="shared" ref="X75:X83" si="57">+P75-T75</f>
        <v>-62325.47</v>
      </c>
      <c r="Y75" s="1"/>
      <c r="Z75" s="5">
        <f t="shared" ref="Z75:Z83" si="58">IF(T75=0,0,X75/T75)</f>
        <v>-0.85421962811265273</v>
      </c>
    </row>
    <row r="76" spans="1:26" s="24" customFormat="1" hidden="1" outlineLevel="2" x14ac:dyDescent="0.25">
      <c r="A76" s="26"/>
      <c r="B76" s="11" t="str">
        <f>CONCATENATE("          ", "6259", " - ", "ROYALTY &amp; COMMISSIONS")</f>
        <v xml:space="preserve">          6259 - ROYALTY &amp; COMMISSIONS</v>
      </c>
      <c r="C76" s="11"/>
      <c r="D76" s="6">
        <v>468.34</v>
      </c>
      <c r="E76" s="2"/>
      <c r="F76" s="7">
        <f t="shared" si="51"/>
        <v>0.10543899896663744</v>
      </c>
      <c r="G76" s="2"/>
      <c r="H76" s="6">
        <v>8561.32</v>
      </c>
      <c r="I76" s="2"/>
      <c r="J76" s="7">
        <f t="shared" si="52"/>
        <v>0.17277874793873033</v>
      </c>
      <c r="K76" s="2"/>
      <c r="L76" s="6">
        <f t="shared" si="53"/>
        <v>-8092.98</v>
      </c>
      <c r="M76" s="2"/>
      <c r="N76" s="7">
        <f t="shared" si="54"/>
        <v>-0.9452958188690529</v>
      </c>
      <c r="O76" s="11"/>
      <c r="P76" s="6">
        <v>10636.41</v>
      </c>
      <c r="Q76" s="2"/>
      <c r="R76" s="7">
        <f t="shared" si="55"/>
        <v>9.7717983504157127E-2</v>
      </c>
      <c r="S76" s="2"/>
      <c r="T76" s="6">
        <v>72961.88</v>
      </c>
      <c r="U76" s="2"/>
      <c r="V76" s="7">
        <f t="shared" si="56"/>
        <v>0.16224544399136279</v>
      </c>
      <c r="W76" s="2"/>
      <c r="X76" s="6">
        <f t="shared" si="57"/>
        <v>-62325.47</v>
      </c>
      <c r="Y76" s="2"/>
      <c r="Z76" s="7">
        <f t="shared" si="58"/>
        <v>-0.85421962811265273</v>
      </c>
    </row>
    <row r="77" spans="1:26" s="25" customFormat="1" outlineLevel="1" collapsed="1" x14ac:dyDescent="0.25">
      <c r="A77" s="27"/>
      <c r="B77" s="13" t="str">
        <f>CONCATENATE("     ","Supplies                                          ")</f>
        <v xml:space="preserve">     Supplies                                          </v>
      </c>
      <c r="C77" s="13"/>
      <c r="D77" s="1">
        <f>SUM(OSRRefD22_11x_0)</f>
        <v>-2156.8399999999997</v>
      </c>
      <c r="E77" s="1"/>
      <c r="F77" s="5">
        <f t="shared" si="51"/>
        <v>-0.48557682566341176</v>
      </c>
      <c r="G77" s="1"/>
      <c r="H77" s="1">
        <f>SUM(OSRRefH22_11x_0)</f>
        <v>7110.1399999999994</v>
      </c>
      <c r="I77" s="1"/>
      <c r="J77" s="5">
        <f t="shared" si="52"/>
        <v>0.14349201838841252</v>
      </c>
      <c r="K77" s="1"/>
      <c r="L77" s="1">
        <f t="shared" si="53"/>
        <v>-9266.98</v>
      </c>
      <c r="M77" s="1"/>
      <c r="N77" s="5">
        <f t="shared" si="54"/>
        <v>-1.3033470508316292</v>
      </c>
      <c r="O77" s="13"/>
      <c r="P77" s="1">
        <f>SUM(OSRRefP22_11x_0)</f>
        <v>29928.16</v>
      </c>
      <c r="Q77" s="1"/>
      <c r="R77" s="5">
        <f t="shared" si="55"/>
        <v>0.27495362111744237</v>
      </c>
      <c r="S77" s="1"/>
      <c r="T77" s="1">
        <f>SUM(OSRRefT22_11x_0)</f>
        <v>36706.9</v>
      </c>
      <c r="U77" s="1"/>
      <c r="V77" s="5">
        <f t="shared" si="56"/>
        <v>8.1625189592792219E-2</v>
      </c>
      <c r="W77" s="1"/>
      <c r="X77" s="1">
        <f t="shared" si="57"/>
        <v>-6778.7400000000016</v>
      </c>
      <c r="Y77" s="1"/>
      <c r="Z77" s="5">
        <f t="shared" si="58"/>
        <v>-0.18467209162310086</v>
      </c>
    </row>
    <row r="78" spans="1:26" s="24" customFormat="1" hidden="1" outlineLevel="2" x14ac:dyDescent="0.25">
      <c r="A78" s="26"/>
      <c r="B78" s="11" t="str">
        <f>CONCATENATE("          ", "6234", " - ", "EXPENDABLE SUPPLIES &amp; EQUIPMEN")</f>
        <v xml:space="preserve">          6234 - EXPENDABLE SUPPLIES &amp; EQUIPMEN</v>
      </c>
      <c r="C78" s="11"/>
      <c r="D78" s="6"/>
      <c r="E78" s="2"/>
      <c r="F78" s="7">
        <f t="shared" si="51"/>
        <v>0</v>
      </c>
      <c r="G78" s="2"/>
      <c r="H78" s="6"/>
      <c r="I78" s="2"/>
      <c r="J78" s="7">
        <f t="shared" si="52"/>
        <v>0</v>
      </c>
      <c r="K78" s="2"/>
      <c r="L78" s="6">
        <f t="shared" si="53"/>
        <v>0</v>
      </c>
      <c r="M78" s="2"/>
      <c r="N78" s="7">
        <f t="shared" si="54"/>
        <v>0</v>
      </c>
      <c r="O78" s="11"/>
      <c r="P78" s="6"/>
      <c r="Q78" s="2"/>
      <c r="R78" s="7">
        <f t="shared" si="55"/>
        <v>0</v>
      </c>
      <c r="S78" s="2"/>
      <c r="T78" s="6">
        <v>1017.27</v>
      </c>
      <c r="U78" s="2"/>
      <c r="V78" s="7">
        <f t="shared" si="56"/>
        <v>2.262104852686E-3</v>
      </c>
      <c r="W78" s="2"/>
      <c r="X78" s="6">
        <f t="shared" si="57"/>
        <v>-1017.27</v>
      </c>
      <c r="Y78" s="2"/>
      <c r="Z78" s="7">
        <f t="shared" si="58"/>
        <v>-1</v>
      </c>
    </row>
    <row r="79" spans="1:26" s="24" customFormat="1" hidden="1" outlineLevel="2" x14ac:dyDescent="0.25">
      <c r="A79" s="26"/>
      <c r="B79" s="11" t="str">
        <f>CONCATENATE("          ", "6235", " - ", "COVID-19 EXPENSES")</f>
        <v xml:space="preserve">          6235 - COVID-19 EXPENSES</v>
      </c>
      <c r="C79" s="11"/>
      <c r="D79" s="6"/>
      <c r="E79" s="2"/>
      <c r="F79" s="7">
        <f t="shared" si="51"/>
        <v>0</v>
      </c>
      <c r="G79" s="2"/>
      <c r="H79" s="6"/>
      <c r="I79" s="2"/>
      <c r="J79" s="7">
        <f t="shared" si="52"/>
        <v>0</v>
      </c>
      <c r="K79" s="2"/>
      <c r="L79" s="6">
        <f t="shared" si="53"/>
        <v>0</v>
      </c>
      <c r="M79" s="2"/>
      <c r="N79" s="7">
        <f t="shared" si="54"/>
        <v>0</v>
      </c>
      <c r="O79" s="11"/>
      <c r="P79" s="6">
        <v>310.91000000000003</v>
      </c>
      <c r="Q79" s="2"/>
      <c r="R79" s="7">
        <f t="shared" si="55"/>
        <v>2.8563677266368534E-3</v>
      </c>
      <c r="S79" s="2"/>
      <c r="T79" s="6"/>
      <c r="U79" s="2"/>
      <c r="V79" s="7">
        <f t="shared" si="56"/>
        <v>0</v>
      </c>
      <c r="W79" s="2"/>
      <c r="X79" s="6">
        <f t="shared" si="57"/>
        <v>310.91000000000003</v>
      </c>
      <c r="Y79" s="2"/>
      <c r="Z79" s="7">
        <f t="shared" si="58"/>
        <v>0</v>
      </c>
    </row>
    <row r="80" spans="1:26" s="24" customFormat="1" hidden="1" outlineLevel="2" x14ac:dyDescent="0.25">
      <c r="A80" s="26"/>
      <c r="B80" s="11" t="str">
        <f>CONCATENATE("          ", "6241", " - ", "OFFICE EXPENSE")</f>
        <v xml:space="preserve">          6241 - OFFICE EXPENSE</v>
      </c>
      <c r="C80" s="11"/>
      <c r="D80" s="6">
        <v>7.71</v>
      </c>
      <c r="E80" s="2"/>
      <c r="F80" s="7">
        <f t="shared" si="51"/>
        <v>1.735778882932858E-3</v>
      </c>
      <c r="G80" s="2"/>
      <c r="H80" s="6">
        <v>10.039999999999999</v>
      </c>
      <c r="I80" s="2"/>
      <c r="J80" s="7">
        <f t="shared" si="52"/>
        <v>2.0262046381923026E-4</v>
      </c>
      <c r="K80" s="2"/>
      <c r="L80" s="6">
        <f t="shared" si="53"/>
        <v>-2.3299999999999992</v>
      </c>
      <c r="M80" s="2"/>
      <c r="N80" s="7">
        <f t="shared" si="54"/>
        <v>-0.23207171314741029</v>
      </c>
      <c r="O80" s="11"/>
      <c r="P80" s="6">
        <v>4604.57</v>
      </c>
      <c r="Q80" s="2"/>
      <c r="R80" s="7">
        <f t="shared" si="55"/>
        <v>4.2302740802934141E-2</v>
      </c>
      <c r="S80" s="2"/>
      <c r="T80" s="6">
        <v>1704.33</v>
      </c>
      <c r="U80" s="2"/>
      <c r="V80" s="7">
        <f t="shared" si="56"/>
        <v>3.7899212240391738E-3</v>
      </c>
      <c r="W80" s="2"/>
      <c r="X80" s="6">
        <f t="shared" si="57"/>
        <v>2900.24</v>
      </c>
      <c r="Y80" s="2"/>
      <c r="Z80" s="7">
        <f t="shared" si="58"/>
        <v>1.7016892268516073</v>
      </c>
    </row>
    <row r="81" spans="1:26" s="24" customFormat="1" hidden="1" outlineLevel="2" x14ac:dyDescent="0.25">
      <c r="A81" s="26"/>
      <c r="B81" s="11" t="str">
        <f>CONCATENATE("          ", "6243", " - ", "PAPER SUPPLIES")</f>
        <v xml:space="preserve">          6243 - PAPER SUPPLIES</v>
      </c>
      <c r="C81" s="11"/>
      <c r="D81" s="6"/>
      <c r="E81" s="2"/>
      <c r="F81" s="7">
        <f t="shared" si="51"/>
        <v>0</v>
      </c>
      <c r="G81" s="2"/>
      <c r="H81" s="6">
        <v>-285.27999999999997</v>
      </c>
      <c r="I81" s="2"/>
      <c r="J81" s="7">
        <f t="shared" si="52"/>
        <v>-5.7573272827041834E-3</v>
      </c>
      <c r="K81" s="2"/>
      <c r="L81" s="6">
        <f t="shared" si="53"/>
        <v>285.27999999999997</v>
      </c>
      <c r="M81" s="2"/>
      <c r="N81" s="7">
        <f t="shared" si="54"/>
        <v>-1</v>
      </c>
      <c r="O81" s="11"/>
      <c r="P81" s="6">
        <v>6173.4</v>
      </c>
      <c r="Q81" s="2"/>
      <c r="R81" s="7">
        <f t="shared" si="55"/>
        <v>5.6715771521083105E-2</v>
      </c>
      <c r="S81" s="2"/>
      <c r="T81" s="6">
        <v>11567.55</v>
      </c>
      <c r="U81" s="2"/>
      <c r="V81" s="7">
        <f t="shared" si="56"/>
        <v>2.5722778602227471E-2</v>
      </c>
      <c r="W81" s="2"/>
      <c r="X81" s="6">
        <f t="shared" si="57"/>
        <v>-5394.15</v>
      </c>
      <c r="Y81" s="2"/>
      <c r="Z81" s="7">
        <f t="shared" si="58"/>
        <v>-0.46631741379981068</v>
      </c>
    </row>
    <row r="82" spans="1:26" s="24" customFormat="1" hidden="1" outlineLevel="2" x14ac:dyDescent="0.25">
      <c r="A82" s="26"/>
      <c r="B82" s="11" t="str">
        <f>CONCATENATE("          ", "6245", " - ", "PRINTING")</f>
        <v xml:space="preserve">          6245 - PRINTING</v>
      </c>
      <c r="C82" s="11"/>
      <c r="D82" s="6">
        <v>398.67</v>
      </c>
      <c r="E82" s="2"/>
      <c r="F82" s="7">
        <f t="shared" si="51"/>
        <v>8.9753951654843386E-2</v>
      </c>
      <c r="G82" s="2"/>
      <c r="H82" s="6">
        <v>3266.4</v>
      </c>
      <c r="I82" s="2"/>
      <c r="J82" s="7">
        <f t="shared" si="52"/>
        <v>6.5920267232981444E-2</v>
      </c>
      <c r="K82" s="2"/>
      <c r="L82" s="6">
        <f t="shared" si="53"/>
        <v>-2867.73</v>
      </c>
      <c r="M82" s="2"/>
      <c r="N82" s="7">
        <f t="shared" si="54"/>
        <v>-0.87794819985304917</v>
      </c>
      <c r="O82" s="11"/>
      <c r="P82" s="6">
        <v>838.28</v>
      </c>
      <c r="Q82" s="2"/>
      <c r="R82" s="7">
        <f t="shared" si="55"/>
        <v>7.7013796207427918E-3</v>
      </c>
      <c r="S82" s="2"/>
      <c r="T82" s="6">
        <v>5273.67</v>
      </c>
      <c r="U82" s="2"/>
      <c r="V82" s="7">
        <f t="shared" si="56"/>
        <v>1.1727068033525592E-2</v>
      </c>
      <c r="W82" s="2"/>
      <c r="X82" s="6">
        <f t="shared" si="57"/>
        <v>-4435.3900000000003</v>
      </c>
      <c r="Y82" s="2"/>
      <c r="Z82" s="7">
        <f t="shared" si="58"/>
        <v>-0.84104428225505201</v>
      </c>
    </row>
    <row r="83" spans="1:26" s="24" customFormat="1" hidden="1" outlineLevel="2" x14ac:dyDescent="0.25">
      <c r="A83" s="26"/>
      <c r="B83" s="11" t="str">
        <f>CONCATENATE("          ", "6247", " - ", "STORE SUPPLIES")</f>
        <v xml:space="preserve">          6247 - STORE SUPPLIES</v>
      </c>
      <c r="C83" s="11"/>
      <c r="D83" s="6">
        <v>-2563.2199999999998</v>
      </c>
      <c r="E83" s="2"/>
      <c r="F83" s="7">
        <f t="shared" si="51"/>
        <v>-0.57706655620118807</v>
      </c>
      <c r="G83" s="2"/>
      <c r="H83" s="6">
        <v>4118.9799999999996</v>
      </c>
      <c r="I83" s="2"/>
      <c r="J83" s="7">
        <f t="shared" si="52"/>
        <v>8.3126457974316031E-2</v>
      </c>
      <c r="K83" s="2"/>
      <c r="L83" s="6">
        <f t="shared" si="53"/>
        <v>-6682.1999999999989</v>
      </c>
      <c r="M83" s="2"/>
      <c r="N83" s="7">
        <f t="shared" si="54"/>
        <v>-1.6222948399846564</v>
      </c>
      <c r="O83" s="11"/>
      <c r="P83" s="6">
        <v>18001</v>
      </c>
      <c r="Q83" s="2"/>
      <c r="R83" s="7">
        <f t="shared" si="55"/>
        <v>0.16537736144604548</v>
      </c>
      <c r="S83" s="2"/>
      <c r="T83" s="6">
        <v>17144.080000000002</v>
      </c>
      <c r="U83" s="2"/>
      <c r="V83" s="7">
        <f t="shared" si="56"/>
        <v>3.8123316880313979E-2</v>
      </c>
      <c r="W83" s="2"/>
      <c r="X83" s="6">
        <f t="shared" si="57"/>
        <v>856.91999999999825</v>
      </c>
      <c r="Y83" s="2"/>
      <c r="Z83" s="7">
        <f t="shared" si="58"/>
        <v>4.9983434515004491E-2</v>
      </c>
    </row>
    <row r="84" spans="1:26" s="25" customFormat="1" outlineLevel="1" collapsed="1" x14ac:dyDescent="0.25">
      <c r="A84" s="27"/>
      <c r="B84" s="13" t="str">
        <f>CONCATENATE("     ","Telephone/Data Lines                              ")</f>
        <v xml:space="preserve">     Telephone/Data Lines                              </v>
      </c>
      <c r="C84" s="13"/>
      <c r="D84" s="1">
        <f>SUM(OSRRefD22_12x_0)</f>
        <v>82.1</v>
      </c>
      <c r="E84" s="1"/>
      <c r="F84" s="5">
        <f t="shared" ref="F84:F89" si="59">IF(D$12=0,0,D84/D$12)</f>
        <v>1.8483456068584647E-2</v>
      </c>
      <c r="G84" s="1"/>
      <c r="H84" s="1">
        <f>SUM(OSRRefH22_12x_0)</f>
        <v>206.9</v>
      </c>
      <c r="I84" s="1"/>
      <c r="J84" s="5">
        <f t="shared" ref="J84:J89" si="60">IF(H$12=0,0,H84/H$12)</f>
        <v>4.1755153350795564E-3</v>
      </c>
      <c r="K84" s="1"/>
      <c r="L84" s="1">
        <f t="shared" ref="L84:L89" si="61">+D84-H84</f>
        <v>-124.80000000000001</v>
      </c>
      <c r="M84" s="1"/>
      <c r="N84" s="5">
        <f t="shared" ref="N84:N89" si="62">IF(H84=0,0,L84/H84)</f>
        <v>-0.60318994683421945</v>
      </c>
      <c r="O84" s="13"/>
      <c r="P84" s="1">
        <f>SUM(OSRRefP22_12x_0)</f>
        <v>1421.3</v>
      </c>
      <c r="Q84" s="1"/>
      <c r="R84" s="5">
        <f t="shared" ref="R84:R89" si="63">IF(P$12=0,0,P84/P$12)</f>
        <v>1.3057654787137626E-2</v>
      </c>
      <c r="S84" s="1"/>
      <c r="T84" s="1">
        <f>SUM(OSRRefT22_12x_0)</f>
        <v>1623.4</v>
      </c>
      <c r="U84" s="1"/>
      <c r="V84" s="5">
        <f t="shared" ref="V84:V89" si="64">IF(T$12=0,0,T84/T$12)</f>
        <v>3.6099570594340272E-3</v>
      </c>
      <c r="W84" s="1"/>
      <c r="X84" s="1">
        <f t="shared" ref="X84:X89" si="65">+P84-T84</f>
        <v>-202.10000000000014</v>
      </c>
      <c r="Y84" s="1"/>
      <c r="Z84" s="5">
        <f t="shared" ref="Z84:Z89" si="66">IF(T84=0,0,X84/T84)</f>
        <v>-0.1244918073179747</v>
      </c>
    </row>
    <row r="85" spans="1:26" s="24" customFormat="1" hidden="1" outlineLevel="2" x14ac:dyDescent="0.25">
      <c r="A85" s="26"/>
      <c r="B85" s="11" t="str">
        <f>CONCATENATE("          ", "6309", " - ", "TELEPHONE")</f>
        <v xml:space="preserve">          6309 - TELEPHONE</v>
      </c>
      <c r="C85" s="11"/>
      <c r="D85" s="6">
        <v>82.1</v>
      </c>
      <c r="E85" s="2"/>
      <c r="F85" s="7">
        <f t="shared" si="59"/>
        <v>1.8483456068584647E-2</v>
      </c>
      <c r="G85" s="2"/>
      <c r="H85" s="6">
        <v>206.9</v>
      </c>
      <c r="I85" s="2"/>
      <c r="J85" s="7">
        <f t="shared" si="60"/>
        <v>4.1755153350795564E-3</v>
      </c>
      <c r="K85" s="2"/>
      <c r="L85" s="6">
        <f t="shared" si="61"/>
        <v>-124.80000000000001</v>
      </c>
      <c r="M85" s="2"/>
      <c r="N85" s="7">
        <f t="shared" si="62"/>
        <v>-0.60318994683421945</v>
      </c>
      <c r="O85" s="11"/>
      <c r="P85" s="6">
        <v>1421.3</v>
      </c>
      <c r="Q85" s="2"/>
      <c r="R85" s="7">
        <f t="shared" si="63"/>
        <v>1.3057654787137626E-2</v>
      </c>
      <c r="S85" s="2"/>
      <c r="T85" s="6">
        <v>1623.4</v>
      </c>
      <c r="U85" s="2"/>
      <c r="V85" s="7">
        <f t="shared" si="64"/>
        <v>3.6099570594340272E-3</v>
      </c>
      <c r="W85" s="2"/>
      <c r="X85" s="6">
        <f t="shared" si="65"/>
        <v>-202.10000000000014</v>
      </c>
      <c r="Y85" s="2"/>
      <c r="Z85" s="7">
        <f t="shared" si="66"/>
        <v>-0.1244918073179747</v>
      </c>
    </row>
    <row r="86" spans="1:26" s="25" customFormat="1" outlineLevel="1" collapsed="1" x14ac:dyDescent="0.25">
      <c r="A86" s="27"/>
      <c r="B86" s="13" t="str">
        <f>CONCATENATE("     ","Training                                          ")</f>
        <v xml:space="preserve">     Training                                          </v>
      </c>
      <c r="C86" s="13"/>
      <c r="D86" s="1">
        <f>SUM(OSRRefD22_13x_0)</f>
        <v>0</v>
      </c>
      <c r="E86" s="1"/>
      <c r="F86" s="5">
        <f t="shared" si="59"/>
        <v>0</v>
      </c>
      <c r="G86" s="1"/>
      <c r="H86" s="1">
        <f>SUM(OSRRefH22_13x_0)</f>
        <v>0</v>
      </c>
      <c r="I86" s="1"/>
      <c r="J86" s="5">
        <f t="shared" si="60"/>
        <v>0</v>
      </c>
      <c r="K86" s="1"/>
      <c r="L86" s="1">
        <f t="shared" si="61"/>
        <v>0</v>
      </c>
      <c r="M86" s="1"/>
      <c r="N86" s="5">
        <f t="shared" si="62"/>
        <v>0</v>
      </c>
      <c r="O86" s="13"/>
      <c r="P86" s="1">
        <f>SUM(OSRRefP22_13x_0)</f>
        <v>0</v>
      </c>
      <c r="Q86" s="1"/>
      <c r="R86" s="5">
        <f t="shared" si="63"/>
        <v>0</v>
      </c>
      <c r="S86" s="1"/>
      <c r="T86" s="1">
        <f>SUM(OSRRefT22_13x_0)</f>
        <v>97.71</v>
      </c>
      <c r="U86" s="1"/>
      <c r="V86" s="5">
        <f t="shared" si="64"/>
        <v>2.1727787623339827E-4</v>
      </c>
      <c r="W86" s="1"/>
      <c r="X86" s="1">
        <f t="shared" si="65"/>
        <v>-97.71</v>
      </c>
      <c r="Y86" s="1"/>
      <c r="Z86" s="5">
        <f t="shared" si="66"/>
        <v>-1</v>
      </c>
    </row>
    <row r="87" spans="1:26" s="24" customFormat="1" hidden="1" outlineLevel="2" x14ac:dyDescent="0.25">
      <c r="A87" s="26"/>
      <c r="B87" s="11" t="str">
        <f>CONCATENATE("          ", "6376", " - ", "TRAINING")</f>
        <v xml:space="preserve">          6376 - TRAINING</v>
      </c>
      <c r="C87" s="11"/>
      <c r="D87" s="6"/>
      <c r="E87" s="2"/>
      <c r="F87" s="7">
        <f t="shared" si="59"/>
        <v>0</v>
      </c>
      <c r="G87" s="2"/>
      <c r="H87" s="6"/>
      <c r="I87" s="2"/>
      <c r="J87" s="7">
        <f t="shared" si="60"/>
        <v>0</v>
      </c>
      <c r="K87" s="2"/>
      <c r="L87" s="6">
        <f t="shared" si="61"/>
        <v>0</v>
      </c>
      <c r="M87" s="2"/>
      <c r="N87" s="7">
        <f t="shared" si="62"/>
        <v>0</v>
      </c>
      <c r="O87" s="11"/>
      <c r="P87" s="6"/>
      <c r="Q87" s="2"/>
      <c r="R87" s="7">
        <f t="shared" si="63"/>
        <v>0</v>
      </c>
      <c r="S87" s="2"/>
      <c r="T87" s="6">
        <v>97.71</v>
      </c>
      <c r="U87" s="2"/>
      <c r="V87" s="7">
        <f t="shared" si="64"/>
        <v>2.1727787623339827E-4</v>
      </c>
      <c r="W87" s="2"/>
      <c r="X87" s="6">
        <f t="shared" si="65"/>
        <v>-97.71</v>
      </c>
      <c r="Y87" s="2"/>
      <c r="Z87" s="7">
        <f t="shared" si="66"/>
        <v>-1</v>
      </c>
    </row>
    <row r="88" spans="1:26" s="25" customFormat="1" outlineLevel="1" collapsed="1" x14ac:dyDescent="0.25">
      <c r="A88" s="27"/>
      <c r="B88" s="13" t="str">
        <f>CONCATENATE("     ","Utilities                                         ")</f>
        <v xml:space="preserve">     Utilities                                         </v>
      </c>
      <c r="C88" s="13"/>
      <c r="D88" s="1">
        <f>SUM(OSRRefD22_14x_0)</f>
        <v>0</v>
      </c>
      <c r="E88" s="1"/>
      <c r="F88" s="5">
        <f t="shared" si="59"/>
        <v>0</v>
      </c>
      <c r="G88" s="1"/>
      <c r="H88" s="1">
        <f>SUM(OSRRefH22_14x_0)</f>
        <v>0</v>
      </c>
      <c r="I88" s="1"/>
      <c r="J88" s="5">
        <f t="shared" si="60"/>
        <v>0</v>
      </c>
      <c r="K88" s="1"/>
      <c r="L88" s="1">
        <f t="shared" si="61"/>
        <v>0</v>
      </c>
      <c r="M88" s="1"/>
      <c r="N88" s="5">
        <f t="shared" si="62"/>
        <v>0</v>
      </c>
      <c r="O88" s="13"/>
      <c r="P88" s="1">
        <f>SUM(OSRRefP22_14x_0)</f>
        <v>15.02</v>
      </c>
      <c r="Q88" s="1"/>
      <c r="R88" s="5">
        <f t="shared" si="63"/>
        <v>1.3799055435362496E-4</v>
      </c>
      <c r="S88" s="1"/>
      <c r="T88" s="1">
        <f>SUM(OSRRefT22_14x_0)</f>
        <v>0</v>
      </c>
      <c r="U88" s="1"/>
      <c r="V88" s="5">
        <f t="shared" si="64"/>
        <v>0</v>
      </c>
      <c r="W88" s="1"/>
      <c r="X88" s="1">
        <f t="shared" si="65"/>
        <v>15.02</v>
      </c>
      <c r="Y88" s="1"/>
      <c r="Z88" s="5">
        <f t="shared" si="66"/>
        <v>0</v>
      </c>
    </row>
    <row r="89" spans="1:26" s="24" customFormat="1" hidden="1" outlineLevel="2" x14ac:dyDescent="0.25">
      <c r="A89" s="26"/>
      <c r="B89" s="11" t="str">
        <f>CONCATENATE("          ", "6274", " - ", "UTILITIES")</f>
        <v xml:space="preserve">          6274 - UTILITIES</v>
      </c>
      <c r="C89" s="11"/>
      <c r="D89" s="6"/>
      <c r="E89" s="2"/>
      <c r="F89" s="7">
        <f t="shared" si="59"/>
        <v>0</v>
      </c>
      <c r="G89" s="2"/>
      <c r="H89" s="6"/>
      <c r="I89" s="2"/>
      <c r="J89" s="7">
        <f t="shared" si="60"/>
        <v>0</v>
      </c>
      <c r="K89" s="2"/>
      <c r="L89" s="6">
        <f t="shared" si="61"/>
        <v>0</v>
      </c>
      <c r="M89" s="2"/>
      <c r="N89" s="7">
        <f t="shared" si="62"/>
        <v>0</v>
      </c>
      <c r="O89" s="11"/>
      <c r="P89" s="6">
        <v>15.02</v>
      </c>
      <c r="Q89" s="2"/>
      <c r="R89" s="7">
        <f t="shared" si="63"/>
        <v>1.3799055435362496E-4</v>
      </c>
      <c r="S89" s="2"/>
      <c r="T89" s="6"/>
      <c r="U89" s="2"/>
      <c r="V89" s="7">
        <f t="shared" si="64"/>
        <v>0</v>
      </c>
      <c r="W89" s="2"/>
      <c r="X89" s="6">
        <f t="shared" si="65"/>
        <v>15.02</v>
      </c>
      <c r="Y89" s="2"/>
      <c r="Z89" s="7">
        <f t="shared" si="66"/>
        <v>0</v>
      </c>
    </row>
    <row r="90" spans="1:26" s="52" customFormat="1" x14ac:dyDescent="0.25">
      <c r="A90" s="37"/>
      <c r="B90" s="37"/>
      <c r="C90" s="37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7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collapsed="1" x14ac:dyDescent="0.25">
      <c r="A91" s="10"/>
      <c r="B91" s="28" t="s">
        <v>0</v>
      </c>
      <c r="C91" s="10"/>
      <c r="D91" s="4">
        <f>SUM(OSRRefD25x_0)</f>
        <v>6782</v>
      </c>
      <c r="E91" s="4"/>
      <c r="F91" s="12">
        <f t="shared" ref="F91:F97" si="67">IF(D$12=0,0,D91/D$12)</f>
        <v>1.5268550433269317</v>
      </c>
      <c r="G91" s="4"/>
      <c r="H91" s="4">
        <f>SUM(OSRRefH25x_0)</f>
        <v>36712.33</v>
      </c>
      <c r="I91" s="4"/>
      <c r="J91" s="12">
        <f t="shared" ref="J91:J97" si="68">IF(H$12=0,0,H91/H$12)</f>
        <v>0.74090331996858982</v>
      </c>
      <c r="K91" s="4"/>
      <c r="L91" s="4">
        <f t="shared" ref="L91:L97" si="69">+D91-H91</f>
        <v>-29930.33</v>
      </c>
      <c r="M91" s="4"/>
      <c r="N91" s="12">
        <f t="shared" ref="N91:N97" si="70">IF(H91=0,0,L91/H91)</f>
        <v>-0.81526642411418726</v>
      </c>
      <c r="O91" s="10"/>
      <c r="P91" s="4">
        <f>SUM(OSRRefP25x_0)</f>
        <v>54256</v>
      </c>
      <c r="Q91" s="4"/>
      <c r="R91" s="12">
        <f t="shared" ref="R91:R97" si="71">IF(P$12=0,0,P91/P$12)</f>
        <v>0.49845642589948574</v>
      </c>
      <c r="S91" s="4"/>
      <c r="T91" s="4">
        <f>SUM(OSRRefT25x_0)</f>
        <v>218885.83000000002</v>
      </c>
      <c r="U91" s="4"/>
      <c r="V91" s="12">
        <f t="shared" ref="V91:V97" si="72">IF(T$12=0,0,T91/T$12)</f>
        <v>0.48673675447737857</v>
      </c>
      <c r="W91" s="4"/>
      <c r="X91" s="4">
        <f t="shared" ref="X91:X97" si="73">+P91-T91</f>
        <v>-164629.83000000002</v>
      </c>
      <c r="Y91" s="4"/>
      <c r="Z91" s="12">
        <f t="shared" ref="Z91:Z97" si="74">IF(T91=0,0,X91/T91)</f>
        <v>-0.75212648530057891</v>
      </c>
    </row>
    <row r="92" spans="1:26" s="24" customFormat="1" hidden="1" outlineLevel="1" x14ac:dyDescent="0.25">
      <c r="A92" s="44"/>
      <c r="B92" s="11" t="str">
        <f>CONCATENATE("          ", "4098", " - ", "TAXABLE SALES-GRAD RENTALS")</f>
        <v xml:space="preserve">          4098 - TAXABLE SALES-GRAD RENTALS</v>
      </c>
      <c r="C92" s="11"/>
      <c r="D92" s="2">
        <f t="shared" ref="D92:D94" si="75">0</f>
        <v>0</v>
      </c>
      <c r="E92" s="2"/>
      <c r="F92" s="19">
        <f t="shared" si="67"/>
        <v>0</v>
      </c>
      <c r="G92" s="2"/>
      <c r="H92" s="2">
        <f>--110</f>
        <v>110</v>
      </c>
      <c r="I92" s="2"/>
      <c r="J92" s="19">
        <f t="shared" si="68"/>
        <v>2.2199453207286187E-3</v>
      </c>
      <c r="K92" s="2"/>
      <c r="L92" s="2">
        <f t="shared" si="69"/>
        <v>-110</v>
      </c>
      <c r="M92" s="2"/>
      <c r="N92" s="19">
        <f t="shared" si="70"/>
        <v>-1</v>
      </c>
      <c r="O92" s="11"/>
      <c r="P92" s="2">
        <f t="shared" ref="P92:P94" si="76">0</f>
        <v>0</v>
      </c>
      <c r="Q92" s="2"/>
      <c r="R92" s="19">
        <f t="shared" si="71"/>
        <v>0</v>
      </c>
      <c r="S92" s="2"/>
      <c r="T92" s="2">
        <f>--2056.85</f>
        <v>2056.85</v>
      </c>
      <c r="U92" s="2"/>
      <c r="V92" s="19">
        <f t="shared" si="72"/>
        <v>4.5738204864462723E-3</v>
      </c>
      <c r="W92" s="2"/>
      <c r="X92" s="2">
        <f t="shared" si="73"/>
        <v>-2056.85</v>
      </c>
      <c r="Y92" s="2"/>
      <c r="Z92" s="19">
        <f t="shared" si="74"/>
        <v>-1</v>
      </c>
    </row>
    <row r="93" spans="1:26" s="24" customFormat="1" hidden="1" outlineLevel="1" x14ac:dyDescent="0.25">
      <c r="A93" s="44"/>
      <c r="B93" s="11" t="str">
        <f>CONCATENATE("          ", "4197", " - ", "NON-TAXABLE SALES-RETURNED CHE")</f>
        <v xml:space="preserve">          4197 - NON-TAXABLE SALES-RETURNED CHE</v>
      </c>
      <c r="C93" s="11"/>
      <c r="D93" s="2">
        <f t="shared" si="75"/>
        <v>0</v>
      </c>
      <c r="E93" s="2"/>
      <c r="F93" s="19">
        <f t="shared" si="67"/>
        <v>0</v>
      </c>
      <c r="G93" s="2"/>
      <c r="H93" s="2">
        <f t="shared" ref="H93:H94" si="77">0</f>
        <v>0</v>
      </c>
      <c r="I93" s="2"/>
      <c r="J93" s="19">
        <f t="shared" si="68"/>
        <v>0</v>
      </c>
      <c r="K93" s="2"/>
      <c r="L93" s="2">
        <f t="shared" si="69"/>
        <v>0</v>
      </c>
      <c r="M93" s="2"/>
      <c r="N93" s="19">
        <f t="shared" si="70"/>
        <v>0</v>
      </c>
      <c r="O93" s="11"/>
      <c r="P93" s="2">
        <f t="shared" si="76"/>
        <v>0</v>
      </c>
      <c r="Q93" s="2"/>
      <c r="R93" s="19">
        <f t="shared" si="71"/>
        <v>0</v>
      </c>
      <c r="S93" s="2"/>
      <c r="T93" s="2">
        <f>--30</f>
        <v>30</v>
      </c>
      <c r="U93" s="2"/>
      <c r="V93" s="19">
        <f t="shared" si="72"/>
        <v>6.6711045819281019E-5</v>
      </c>
      <c r="W93" s="2"/>
      <c r="X93" s="2">
        <f t="shared" si="73"/>
        <v>-30</v>
      </c>
      <c r="Y93" s="2"/>
      <c r="Z93" s="19">
        <f t="shared" si="74"/>
        <v>-1</v>
      </c>
    </row>
    <row r="94" spans="1:26" s="24" customFormat="1" hidden="1" outlineLevel="1" x14ac:dyDescent="0.25">
      <c r="A94" s="44"/>
      <c r="B94" s="11" t="str">
        <f>CONCATENATE("          ", "4198", " - ", "NON-TAXABLE SALES-GRAD RENTALS")</f>
        <v xml:space="preserve">          4198 - NON-TAXABLE SALES-GRAD RENTALS</v>
      </c>
      <c r="C94" s="11"/>
      <c r="D94" s="2">
        <f t="shared" si="75"/>
        <v>0</v>
      </c>
      <c r="E94" s="2"/>
      <c r="F94" s="19">
        <f t="shared" si="67"/>
        <v>0</v>
      </c>
      <c r="G94" s="2"/>
      <c r="H94" s="2">
        <f t="shared" si="77"/>
        <v>0</v>
      </c>
      <c r="I94" s="2"/>
      <c r="J94" s="19">
        <f t="shared" si="68"/>
        <v>0</v>
      </c>
      <c r="K94" s="2"/>
      <c r="L94" s="2">
        <f t="shared" si="69"/>
        <v>0</v>
      </c>
      <c r="M94" s="2"/>
      <c r="N94" s="19">
        <f t="shared" si="70"/>
        <v>0</v>
      </c>
      <c r="O94" s="11"/>
      <c r="P94" s="2">
        <f t="shared" si="76"/>
        <v>0</v>
      </c>
      <c r="Q94" s="2"/>
      <c r="R94" s="19">
        <f t="shared" si="71"/>
        <v>0</v>
      </c>
      <c r="S94" s="2"/>
      <c r="T94" s="2">
        <f>--3732.1</f>
        <v>3732.1</v>
      </c>
      <c r="U94" s="2"/>
      <c r="V94" s="19">
        <f t="shared" si="72"/>
        <v>8.2990764700712899E-3</v>
      </c>
      <c r="W94" s="2"/>
      <c r="X94" s="2">
        <f t="shared" si="73"/>
        <v>-3732.1</v>
      </c>
      <c r="Y94" s="2"/>
      <c r="Z94" s="19">
        <f t="shared" si="74"/>
        <v>-1</v>
      </c>
    </row>
    <row r="95" spans="1:26" s="24" customFormat="1" hidden="1" outlineLevel="1" x14ac:dyDescent="0.25">
      <c r="A95" s="44"/>
      <c r="B95" s="11" t="str">
        <f>CONCATENATE("          ", "9150", " - ", "MISC. INCOME")</f>
        <v xml:space="preserve">          9150 - MISC. INCOME</v>
      </c>
      <c r="C95" s="11"/>
      <c r="D95" s="2">
        <f>--6782</f>
        <v>6782</v>
      </c>
      <c r="E95" s="2"/>
      <c r="F95" s="19">
        <f t="shared" si="67"/>
        <v>1.5268550433269317</v>
      </c>
      <c r="G95" s="2"/>
      <c r="H95" s="2">
        <f>--13269</f>
        <v>13269</v>
      </c>
      <c r="I95" s="2"/>
      <c r="J95" s="19">
        <f t="shared" si="68"/>
        <v>0.26778594964316399</v>
      </c>
      <c r="K95" s="2"/>
      <c r="L95" s="2">
        <f t="shared" si="69"/>
        <v>-6487</v>
      </c>
      <c r="M95" s="2"/>
      <c r="N95" s="19">
        <f t="shared" si="70"/>
        <v>-0.48888386464692141</v>
      </c>
      <c r="O95" s="11"/>
      <c r="P95" s="2">
        <f>--54256</f>
        <v>54256</v>
      </c>
      <c r="Q95" s="2"/>
      <c r="R95" s="19">
        <f t="shared" si="71"/>
        <v>0.49845642589948574</v>
      </c>
      <c r="S95" s="2"/>
      <c r="T95" s="2">
        <f>--106152</f>
        <v>106152</v>
      </c>
      <c r="U95" s="2"/>
      <c r="V95" s="19">
        <f t="shared" si="72"/>
        <v>0.23605036452694397</v>
      </c>
      <c r="W95" s="2"/>
      <c r="X95" s="2">
        <f t="shared" si="73"/>
        <v>-51896</v>
      </c>
      <c r="Y95" s="2"/>
      <c r="Z95" s="19">
        <f t="shared" si="74"/>
        <v>-0.48888386464692141</v>
      </c>
    </row>
    <row r="96" spans="1:26" s="24" customFormat="1" hidden="1" outlineLevel="1" x14ac:dyDescent="0.25">
      <c r="A96" s="44"/>
      <c r="B96" s="11" t="str">
        <f>CONCATENATE("          ", "9160", " - ", "MISC. INCOME")</f>
        <v xml:space="preserve">          9160 - MISC. INCOME</v>
      </c>
      <c r="C96" s="11"/>
      <c r="D96" s="2">
        <f t="shared" ref="D96:D97" si="78">0</f>
        <v>0</v>
      </c>
      <c r="E96" s="2"/>
      <c r="F96" s="19">
        <f t="shared" si="67"/>
        <v>0</v>
      </c>
      <c r="G96" s="2"/>
      <c r="H96" s="2">
        <f>0</f>
        <v>0</v>
      </c>
      <c r="I96" s="2"/>
      <c r="J96" s="19">
        <f t="shared" si="68"/>
        <v>0</v>
      </c>
      <c r="K96" s="2"/>
      <c r="L96" s="2">
        <f t="shared" si="69"/>
        <v>0</v>
      </c>
      <c r="M96" s="2"/>
      <c r="N96" s="19">
        <f t="shared" si="70"/>
        <v>0</v>
      </c>
      <c r="O96" s="11"/>
      <c r="P96" s="2">
        <f t="shared" ref="P96:P97" si="79">0</f>
        <v>0</v>
      </c>
      <c r="Q96" s="2"/>
      <c r="R96" s="19">
        <f t="shared" si="71"/>
        <v>0</v>
      </c>
      <c r="S96" s="2"/>
      <c r="T96" s="2">
        <f>--22475</f>
        <v>22475</v>
      </c>
      <c r="U96" s="2"/>
      <c r="V96" s="19">
        <f t="shared" si="72"/>
        <v>4.997769182627803E-2</v>
      </c>
      <c r="W96" s="2"/>
      <c r="X96" s="2">
        <f t="shared" si="73"/>
        <v>-22475</v>
      </c>
      <c r="Y96" s="2"/>
      <c r="Z96" s="19">
        <f t="shared" si="74"/>
        <v>-1</v>
      </c>
    </row>
    <row r="97" spans="1:26" s="24" customFormat="1" hidden="1" outlineLevel="1" x14ac:dyDescent="0.25">
      <c r="A97" s="44"/>
      <c r="B97" s="11" t="str">
        <f>CONCATENATE("          ", "9163", " - ", "MISC. INCOME")</f>
        <v xml:space="preserve">          9163 - MISC. INCOME</v>
      </c>
      <c r="C97" s="11"/>
      <c r="D97" s="2">
        <f t="shared" si="78"/>
        <v>0</v>
      </c>
      <c r="E97" s="2"/>
      <c r="F97" s="19">
        <f t="shared" si="67"/>
        <v>0</v>
      </c>
      <c r="G97" s="2"/>
      <c r="H97" s="2">
        <f>--23333.33</f>
        <v>23333.33</v>
      </c>
      <c r="I97" s="2"/>
      <c r="J97" s="19">
        <f t="shared" si="68"/>
        <v>0.47089742500469728</v>
      </c>
      <c r="K97" s="2"/>
      <c r="L97" s="2">
        <f t="shared" si="69"/>
        <v>-23333.33</v>
      </c>
      <c r="M97" s="2"/>
      <c r="N97" s="19">
        <f t="shared" si="70"/>
        <v>-1</v>
      </c>
      <c r="O97" s="11"/>
      <c r="P97" s="2">
        <f t="shared" si="79"/>
        <v>0</v>
      </c>
      <c r="Q97" s="2"/>
      <c r="R97" s="19">
        <f t="shared" si="71"/>
        <v>0</v>
      </c>
      <c r="S97" s="2"/>
      <c r="T97" s="2">
        <f>--84439.88</f>
        <v>84439.88</v>
      </c>
      <c r="U97" s="2"/>
      <c r="V97" s="19">
        <f t="shared" si="72"/>
        <v>0.18776909012181972</v>
      </c>
      <c r="W97" s="2"/>
      <c r="X97" s="2">
        <f t="shared" si="73"/>
        <v>-84439.88</v>
      </c>
      <c r="Y97" s="2"/>
      <c r="Z97" s="19">
        <f t="shared" si="74"/>
        <v>-1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10"/>
      <c r="B99" s="29" t="s">
        <v>3</v>
      </c>
      <c r="C99" s="29"/>
      <c r="D99" s="22">
        <f>+D39-D41+D91</f>
        <v>-16368.850000000002</v>
      </c>
      <c r="E99" s="14"/>
      <c r="F99" s="20">
        <f>IF(D$12=0,0,D99/D$12)</f>
        <v>-3.6851756378593405</v>
      </c>
      <c r="G99" s="14"/>
      <c r="H99" s="22">
        <f>+H39-H41+H91</f>
        <v>35646.50999999998</v>
      </c>
      <c r="I99" s="14"/>
      <c r="J99" s="20">
        <f>IF(H$12=0,0,H99/H$12)</f>
        <v>0.71939366431641694</v>
      </c>
      <c r="K99" s="16"/>
      <c r="L99" s="22">
        <f>+D99-H99</f>
        <v>-52015.359999999986</v>
      </c>
      <c r="M99" s="16"/>
      <c r="N99" s="20">
        <f>IF(H99=0,0,L99/H99)</f>
        <v>-1.4591992315657274</v>
      </c>
      <c r="O99" s="28"/>
      <c r="P99" s="22">
        <f>+P39-P41+P91</f>
        <v>-74720.379999999946</v>
      </c>
      <c r="Q99" s="14"/>
      <c r="R99" s="20">
        <f>IF(P$12=0,0,P99/P$12)</f>
        <v>-0.68646515697160482</v>
      </c>
      <c r="S99" s="14"/>
      <c r="T99" s="22">
        <f>+T39-T41+T91</f>
        <v>296753.77999999991</v>
      </c>
      <c r="U99" s="14"/>
      <c r="V99" s="20">
        <f>IF(T$12=0,0,T99/T$12)</f>
        <v>0.65989183382082783</v>
      </c>
      <c r="W99" s="16"/>
      <c r="X99" s="22">
        <f>+P99-T99</f>
        <v>-371474.15999999986</v>
      </c>
      <c r="Y99" s="16"/>
      <c r="Z99" s="20">
        <f>IF(T99=0,0,X99/T99)</f>
        <v>-1.2517925129715279</v>
      </c>
    </row>
    <row r="100" spans="1:26" x14ac:dyDescent="0.25">
      <c r="A100" s="9"/>
      <c r="B100" s="10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51"/>
      <c r="B101" s="10" t="s">
        <v>13</v>
      </c>
      <c r="C101" s="10"/>
      <c r="D101" s="4">
        <v>2603.31</v>
      </c>
      <c r="E101" s="4"/>
      <c r="F101" s="12">
        <f>IF(D$12=0,0,D101/D$12)</f>
        <v>0.58609215612554322</v>
      </c>
      <c r="G101" s="4"/>
      <c r="H101" s="4">
        <v>4103.43</v>
      </c>
      <c r="I101" s="4"/>
      <c r="J101" s="12">
        <f>IF(H$12=0,0,H101/H$12)</f>
        <v>8.2812638431249419E-2</v>
      </c>
      <c r="K101" s="4"/>
      <c r="L101" s="4">
        <f>+D101-H101</f>
        <v>-1500.1200000000003</v>
      </c>
      <c r="M101" s="4"/>
      <c r="N101" s="12">
        <f>IF(H101=0,0,L101/H101)</f>
        <v>-0.36557709038536063</v>
      </c>
      <c r="O101" s="10"/>
      <c r="P101" s="4">
        <v>21555.8</v>
      </c>
      <c r="Q101" s="4"/>
      <c r="R101" s="12">
        <f>IF(P$12=0,0,P101/P$12)</f>
        <v>0.1980357384511231</v>
      </c>
      <c r="S101" s="4"/>
      <c r="T101" s="4">
        <v>45833.39</v>
      </c>
      <c r="U101" s="4"/>
      <c r="V101" s="12">
        <f>IF(T$12=0,0,T101/T$12)</f>
        <v>0.10191977934476588</v>
      </c>
      <c r="W101" s="4"/>
      <c r="X101" s="4">
        <f>+P101-T101</f>
        <v>-24277.59</v>
      </c>
      <c r="Y101" s="4"/>
      <c r="Z101" s="12">
        <f>IF(T101=0,0,X101/T101)</f>
        <v>-0.52969221783507614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9" t="s">
        <v>4</v>
      </c>
      <c r="C103" s="29"/>
      <c r="D103" s="35">
        <f>+D99-D101</f>
        <v>-18972.160000000003</v>
      </c>
      <c r="E103" s="14"/>
      <c r="F103" s="36">
        <f>IF(D$12=0,0,D103/D$12)</f>
        <v>-4.271267793984884</v>
      </c>
      <c r="G103" s="14"/>
      <c r="H103" s="35">
        <f>+H99-H101</f>
        <v>31543.07999999998</v>
      </c>
      <c r="I103" s="14"/>
      <c r="J103" s="36">
        <f>IF(H$12=0,0,H103/H$12)</f>
        <v>0.63658102588516752</v>
      </c>
      <c r="K103" s="16"/>
      <c r="L103" s="35">
        <f>D103-H103</f>
        <v>-50515.239999999983</v>
      </c>
      <c r="M103" s="16"/>
      <c r="N103" s="36">
        <f>IF(H103=0,0,L103/H103)</f>
        <v>-1.6014682142644288</v>
      </c>
      <c r="O103" s="28"/>
      <c r="P103" s="35">
        <f>+P99-P101</f>
        <v>-96276.179999999949</v>
      </c>
      <c r="Q103" s="14"/>
      <c r="R103" s="36">
        <f>IF(P$12=0,0,P103/P$12)</f>
        <v>-0.88450089542272792</v>
      </c>
      <c r="S103" s="14"/>
      <c r="T103" s="35">
        <f>+T99-T101</f>
        <v>250920.3899999999</v>
      </c>
      <c r="U103" s="14"/>
      <c r="V103" s="36">
        <f>IF(T$12=0,0,T103/T$12)</f>
        <v>0.55797205447606191</v>
      </c>
      <c r="W103" s="16"/>
      <c r="X103" s="35">
        <f>P103-T103</f>
        <v>-347196.56999999983</v>
      </c>
      <c r="Y103" s="16"/>
      <c r="Z103" s="36">
        <f>IF(T103=0,0,X103/T103)</f>
        <v>-1.3836921343857307</v>
      </c>
    </row>
    <row r="104" spans="1:26" ht="15.75" thickTop="1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9" t="s">
        <v>5</v>
      </c>
      <c r="C106" s="29"/>
      <c r="D106" s="31">
        <f>SUM(D103:D105)</f>
        <v>-18972.160000000003</v>
      </c>
      <c r="E106" s="14"/>
      <c r="F106" s="33">
        <f>IF(D$12=0,0,D106/D$12)</f>
        <v>-4.271267793984884</v>
      </c>
      <c r="G106" s="14"/>
      <c r="H106" s="31">
        <f>SUM(H103:H105)</f>
        <v>31543.07999999998</v>
      </c>
      <c r="I106" s="14"/>
      <c r="J106" s="33">
        <f>IF(H$12=0,0,H106/H$12)</f>
        <v>0.63658102588516752</v>
      </c>
      <c r="K106" s="16"/>
      <c r="L106" s="31">
        <f>+D106-H106</f>
        <v>-50515.239999999983</v>
      </c>
      <c r="M106" s="16"/>
      <c r="N106" s="33">
        <f>IF(H106=0,0,L106/H106)</f>
        <v>-1.6014682142644288</v>
      </c>
      <c r="O106" s="28"/>
      <c r="P106" s="31">
        <f>SUM(P103:P105)</f>
        <v>-96276.179999999949</v>
      </c>
      <c r="Q106" s="14"/>
      <c r="R106" s="33">
        <f>IF(P$12=0,0,P106/P$12)</f>
        <v>-0.88450089542272792</v>
      </c>
      <c r="S106" s="14"/>
      <c r="T106" s="31">
        <f>SUM(T103:T105)</f>
        <v>250920.3899999999</v>
      </c>
      <c r="U106" s="14"/>
      <c r="V106" s="33">
        <f>IF(T$12=0,0,T106/T$12)</f>
        <v>0.55797205447606191</v>
      </c>
      <c r="W106" s="16"/>
      <c r="X106" s="31">
        <f>+P106-T106</f>
        <v>-347196.56999999983</v>
      </c>
      <c r="Y106" s="16"/>
      <c r="Z106" s="33">
        <f>IF(T106=0,0,X106/T106)</f>
        <v>-1.3836921343857307</v>
      </c>
    </row>
    <row r="107" spans="1:26" ht="15.75" thickTop="1" x14ac:dyDescent="0.25">
      <c r="A107" s="9"/>
      <c r="C107" s="9"/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A108" s="9"/>
      <c r="B108" s="56">
        <v>44267.667903819442</v>
      </c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25">
      <c r="A109" s="9"/>
      <c r="B109" s="54" t="s">
        <v>313</v>
      </c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A110" s="9"/>
      <c r="B110" s="58"/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","316", " - ", "Campus Copy Center")</f>
        <v>Department 316 - Campus Copy Center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4441.8100000000013</v>
      </c>
      <c r="E12" s="4"/>
      <c r="F12" s="12"/>
      <c r="G12" s="4"/>
      <c r="H12" s="4">
        <f>SUM(OSRRefH13x_0)</f>
        <v>49550.77</v>
      </c>
      <c r="I12" s="4"/>
      <c r="J12" s="12"/>
      <c r="K12" s="4"/>
      <c r="L12" s="4">
        <f t="shared" ref="L12:L28" si="0">+D12-H12</f>
        <v>-45108.959999999992</v>
      </c>
      <c r="M12" s="4"/>
      <c r="N12" s="12">
        <f t="shared" ref="N12:N28" si="1">IF(H12=0,0,L12/H12)</f>
        <v>-0.91035840613576735</v>
      </c>
      <c r="O12" s="10"/>
      <c r="P12" s="4">
        <f>SUM(OSRRefP13x_0)</f>
        <v>108848.03</v>
      </c>
      <c r="Q12" s="4"/>
      <c r="R12" s="12"/>
      <c r="S12" s="4"/>
      <c r="T12" s="4">
        <f>SUM(OSRRefT13x_0)</f>
        <v>442140.81</v>
      </c>
      <c r="U12" s="4"/>
      <c r="V12" s="12"/>
      <c r="W12" s="4"/>
      <c r="X12" s="4">
        <f t="shared" ref="X12:X28" si="2">+P12-T12</f>
        <v>-333292.78000000003</v>
      </c>
      <c r="Y12" s="4"/>
      <c r="Z12" s="12">
        <f t="shared" ref="Z12:Z28" si="3">IF(T12=0,0,X12/T12)</f>
        <v>-0.75381591669857395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-9.28</f>
        <v>-9.2799999999999994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-9.2799999999999994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--3560.25</f>
        <v>3560.25</v>
      </c>
      <c r="E14" s="2"/>
      <c r="F14" s="19"/>
      <c r="G14" s="2"/>
      <c r="H14" s="2">
        <f>--9101.46</f>
        <v>9101.4599999999991</v>
      </c>
      <c r="I14" s="2"/>
      <c r="J14" s="19"/>
      <c r="K14" s="2"/>
      <c r="L14" s="2">
        <f t="shared" si="0"/>
        <v>-5541.2099999999991</v>
      </c>
      <c r="M14" s="2"/>
      <c r="N14" s="19">
        <f t="shared" si="1"/>
        <v>-0.60882649596877858</v>
      </c>
      <c r="O14" s="11"/>
      <c r="P14" s="2">
        <f>--92066.22</f>
        <v>92066.22</v>
      </c>
      <c r="Q14" s="2"/>
      <c r="R14" s="19"/>
      <c r="S14" s="2"/>
      <c r="T14" s="2">
        <f>--173823.99</f>
        <v>173823.99</v>
      </c>
      <c r="U14" s="2"/>
      <c r="V14" s="19"/>
      <c r="W14" s="2"/>
      <c r="X14" s="2">
        <f t="shared" si="2"/>
        <v>-81757.76999999999</v>
      </c>
      <c r="Y14" s="2"/>
      <c r="Z14" s="19">
        <f t="shared" si="3"/>
        <v>-0.47034802273265036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--603.05</f>
        <v>603.04999999999995</v>
      </c>
      <c r="E15" s="2"/>
      <c r="F15" s="19"/>
      <c r="G15" s="2"/>
      <c r="H15" s="2">
        <f>--8240.96</f>
        <v>8240.9599999999991</v>
      </c>
      <c r="I15" s="2"/>
      <c r="J15" s="19"/>
      <c r="K15" s="2"/>
      <c r="L15" s="2">
        <f t="shared" si="0"/>
        <v>-7637.9099999999989</v>
      </c>
      <c r="M15" s="2"/>
      <c r="N15" s="19">
        <f t="shared" si="1"/>
        <v>-0.92682284588203312</v>
      </c>
      <c r="O15" s="11"/>
      <c r="P15" s="2">
        <f>--15148.63</f>
        <v>15148.63</v>
      </c>
      <c r="Q15" s="2"/>
      <c r="R15" s="19"/>
      <c r="S15" s="2"/>
      <c r="T15" s="2">
        <f>--62134.47</f>
        <v>62134.47</v>
      </c>
      <c r="U15" s="2"/>
      <c r="V15" s="19"/>
      <c r="W15" s="2"/>
      <c r="X15" s="2">
        <f t="shared" si="2"/>
        <v>-46985.840000000004</v>
      </c>
      <c r="Y15" s="2"/>
      <c r="Z15" s="19">
        <f t="shared" si="3"/>
        <v>-0.75619603740081798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--3.47</f>
        <v>3.47</v>
      </c>
      <c r="E16" s="2"/>
      <c r="F16" s="19"/>
      <c r="G16" s="2"/>
      <c r="H16" s="2">
        <f>--60.73</f>
        <v>60.73</v>
      </c>
      <c r="I16" s="2"/>
      <c r="J16" s="19"/>
      <c r="K16" s="2"/>
      <c r="L16" s="2">
        <f t="shared" si="0"/>
        <v>-57.26</v>
      </c>
      <c r="M16" s="2"/>
      <c r="N16" s="19">
        <f t="shared" si="1"/>
        <v>-0.9428618475218179</v>
      </c>
      <c r="O16" s="11"/>
      <c r="P16" s="2">
        <f>--37.78</f>
        <v>37.78</v>
      </c>
      <c r="Q16" s="2"/>
      <c r="R16" s="19"/>
      <c r="S16" s="2"/>
      <c r="T16" s="2">
        <f>--249.79</f>
        <v>249.79</v>
      </c>
      <c r="U16" s="2"/>
      <c r="V16" s="19"/>
      <c r="W16" s="2"/>
      <c r="X16" s="2">
        <f t="shared" si="2"/>
        <v>-212.01</v>
      </c>
      <c r="Y16" s="2"/>
      <c r="Z16" s="19">
        <f t="shared" si="3"/>
        <v>-0.84875295248008331</v>
      </c>
    </row>
    <row r="17" spans="1:26" s="24" customFormat="1" hidden="1" outlineLevel="1" x14ac:dyDescent="0.25">
      <c r="A17" s="44"/>
      <c r="B17" s="11" t="str">
        <f>CONCATENATE("          ", "4044", " - ", "TAXABLE SALES-ACCESSORIES")</f>
        <v xml:space="preserve">          4044 - TAXABLE SALES-ACCESSORIES</v>
      </c>
      <c r="C17" s="11"/>
      <c r="D17" s="2">
        <f t="shared" ref="D17:D18" si="4">0</f>
        <v>0</v>
      </c>
      <c r="E17" s="2"/>
      <c r="F17" s="19"/>
      <c r="G17" s="2"/>
      <c r="H17" s="2">
        <f>--235.18</f>
        <v>235.18</v>
      </c>
      <c r="I17" s="2"/>
      <c r="J17" s="19"/>
      <c r="K17" s="2"/>
      <c r="L17" s="2">
        <f t="shared" si="0"/>
        <v>-235.18</v>
      </c>
      <c r="M17" s="2"/>
      <c r="N17" s="19">
        <f t="shared" si="1"/>
        <v>-1</v>
      </c>
      <c r="O17" s="11"/>
      <c r="P17" s="2">
        <f t="shared" ref="P17:P18" si="5">0</f>
        <v>0</v>
      </c>
      <c r="Q17" s="2"/>
      <c r="R17" s="19"/>
      <c r="S17" s="2"/>
      <c r="T17" s="2">
        <f>--235.18</f>
        <v>235.18</v>
      </c>
      <c r="U17" s="2"/>
      <c r="V17" s="19"/>
      <c r="W17" s="2"/>
      <c r="X17" s="2">
        <f t="shared" si="2"/>
        <v>-235.18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"4047", " - ", "TAXABLE SALES-MISC")</f>
        <v xml:space="preserve">          4047 - TAXABLE SALES-MISC</v>
      </c>
      <c r="C18" s="11"/>
      <c r="D18" s="2">
        <f t="shared" si="4"/>
        <v>0</v>
      </c>
      <c r="E18" s="2"/>
      <c r="F18" s="19"/>
      <c r="G18" s="2"/>
      <c r="H18" s="2">
        <f>--208.95</f>
        <v>208.95</v>
      </c>
      <c r="I18" s="2"/>
      <c r="J18" s="19"/>
      <c r="K18" s="2"/>
      <c r="L18" s="2">
        <f t="shared" si="0"/>
        <v>-208.95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--2185.99</f>
        <v>2185.9899999999998</v>
      </c>
      <c r="U18" s="2"/>
      <c r="V18" s="19"/>
      <c r="W18" s="2"/>
      <c r="X18" s="2">
        <f t="shared" si="2"/>
        <v>-2185.9899999999998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"4095", " - ", "TAXABLE SALES-CUSTOMER SERVICE")</f>
        <v xml:space="preserve">          4095 - TAXABLE SALES-CUSTOMER SERVICE</v>
      </c>
      <c r="C19" s="11"/>
      <c r="D19" s="2">
        <f>--139.85</f>
        <v>139.85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139.85</v>
      </c>
      <c r="M19" s="2"/>
      <c r="N19" s="19">
        <f t="shared" si="1"/>
        <v>0</v>
      </c>
      <c r="O19" s="11"/>
      <c r="P19" s="2">
        <f>--139.85</f>
        <v>139.85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139.85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"4141", " - ", "NON-TAXABLE SALES-LOGO GIFTS")</f>
        <v xml:space="preserve">          4141 - NON-TAXABLE SALES-LOGO GIFTS</v>
      </c>
      <c r="C20" s="11"/>
      <c r="D20" s="2">
        <f>--50.39</f>
        <v>50.39</v>
      </c>
      <c r="E20" s="2"/>
      <c r="F20" s="19"/>
      <c r="G20" s="2"/>
      <c r="H20" s="2">
        <f>--6.8</f>
        <v>6.8</v>
      </c>
      <c r="I20" s="2"/>
      <c r="J20" s="19"/>
      <c r="K20" s="2"/>
      <c r="L20" s="2">
        <f t="shared" si="0"/>
        <v>43.59</v>
      </c>
      <c r="M20" s="2"/>
      <c r="N20" s="19">
        <f t="shared" si="1"/>
        <v>6.4102941176470596</v>
      </c>
      <c r="O20" s="11"/>
      <c r="P20" s="2">
        <f>--1278.64</f>
        <v>1278.6400000000001</v>
      </c>
      <c r="Q20" s="2"/>
      <c r="R20" s="19"/>
      <c r="S20" s="2"/>
      <c r="T20" s="2">
        <f>--857.95</f>
        <v>857.95</v>
      </c>
      <c r="U20" s="2"/>
      <c r="V20" s="19"/>
      <c r="W20" s="2"/>
      <c r="X20" s="2">
        <f t="shared" si="2"/>
        <v>420.69000000000005</v>
      </c>
      <c r="Y20" s="2"/>
      <c r="Z20" s="19">
        <f t="shared" si="3"/>
        <v>0.49034326009674228</v>
      </c>
    </row>
    <row r="21" spans="1:26" s="24" customFormat="1" hidden="1" outlineLevel="1" x14ac:dyDescent="0.25">
      <c r="A21" s="44"/>
      <c r="B21" s="11" t="str">
        <f>CONCATENATE("          ", "4142", " - ", "NON-TAXABLE SALES-EVERYDAY GIF")</f>
        <v xml:space="preserve">          4142 - NON-TAXABLE SALES-EVERYDAY GIF</v>
      </c>
      <c r="C21" s="11"/>
      <c r="D21" s="2">
        <f>0</f>
        <v>0</v>
      </c>
      <c r="E21" s="2"/>
      <c r="F21" s="19"/>
      <c r="G21" s="2"/>
      <c r="H21" s="2">
        <f>--764.8</f>
        <v>764.8</v>
      </c>
      <c r="I21" s="2"/>
      <c r="J21" s="19"/>
      <c r="K21" s="2"/>
      <c r="L21" s="2">
        <f t="shared" si="0"/>
        <v>-764.8</v>
      </c>
      <c r="M21" s="2"/>
      <c r="N21" s="19">
        <f t="shared" si="1"/>
        <v>-1</v>
      </c>
      <c r="O21" s="11"/>
      <c r="P21" s="2">
        <f>--1110.59</f>
        <v>1110.5899999999999</v>
      </c>
      <c r="Q21" s="2"/>
      <c r="R21" s="19"/>
      <c r="S21" s="2"/>
      <c r="T21" s="2">
        <f>--8924.02</f>
        <v>8924.02</v>
      </c>
      <c r="U21" s="2"/>
      <c r="V21" s="19"/>
      <c r="W21" s="2"/>
      <c r="X21" s="2">
        <f t="shared" si="2"/>
        <v>-7813.43</v>
      </c>
      <c r="Y21" s="2"/>
      <c r="Z21" s="19">
        <f t="shared" si="3"/>
        <v>-0.87555048061299723</v>
      </c>
    </row>
    <row r="22" spans="1:26" s="24" customFormat="1" hidden="1" outlineLevel="1" x14ac:dyDescent="0.25">
      <c r="A22" s="44"/>
      <c r="B22" s="11" t="str">
        <f>CONCATENATE("          ", "4146", " - ", "NON-TAXABLE SALES-COIN OP MACH")</f>
        <v xml:space="preserve">          4146 - NON-TAXABLE SALES-COIN OP MACH</v>
      </c>
      <c r="C22" s="11"/>
      <c r="D22" s="2">
        <f>--67.8</f>
        <v>67.8</v>
      </c>
      <c r="E22" s="2"/>
      <c r="F22" s="19"/>
      <c r="G22" s="2"/>
      <c r="H22" s="2">
        <f>--28849.25</f>
        <v>28849.25</v>
      </c>
      <c r="I22" s="2"/>
      <c r="J22" s="19"/>
      <c r="K22" s="2"/>
      <c r="L22" s="2">
        <f t="shared" si="0"/>
        <v>-28781.45</v>
      </c>
      <c r="M22" s="2"/>
      <c r="N22" s="19">
        <f t="shared" si="1"/>
        <v>-0.99764985224919189</v>
      </c>
      <c r="O22" s="11"/>
      <c r="P22" s="2">
        <f>--208.4</f>
        <v>208.4</v>
      </c>
      <c r="Q22" s="2"/>
      <c r="R22" s="19"/>
      <c r="S22" s="2"/>
      <c r="T22" s="2">
        <f>--192403.75</f>
        <v>192403.75</v>
      </c>
      <c r="U22" s="2"/>
      <c r="V22" s="19"/>
      <c r="W22" s="2"/>
      <c r="X22" s="2">
        <f t="shared" si="2"/>
        <v>-192195.35</v>
      </c>
      <c r="Y22" s="2"/>
      <c r="Z22" s="19">
        <f t="shared" si="3"/>
        <v>-0.99891686102791655</v>
      </c>
    </row>
    <row r="23" spans="1:26" s="24" customFormat="1" hidden="1" outlineLevel="1" x14ac:dyDescent="0.25">
      <c r="A23" s="44"/>
      <c r="B23" s="11" t="str">
        <f>CONCATENATE("          ", "4147", " - ", "NON-TAXABLE SALES-MISC")</f>
        <v xml:space="preserve">          4147 - NON-TAXABLE SALES-MISC</v>
      </c>
      <c r="C23" s="11"/>
      <c r="D23" s="2">
        <f>--17</f>
        <v>17</v>
      </c>
      <c r="E23" s="2"/>
      <c r="F23" s="19"/>
      <c r="G23" s="2"/>
      <c r="H23" s="2">
        <f>--2183.94</f>
        <v>2183.94</v>
      </c>
      <c r="I23" s="2"/>
      <c r="J23" s="19"/>
      <c r="K23" s="2"/>
      <c r="L23" s="2">
        <f t="shared" si="0"/>
        <v>-2166.94</v>
      </c>
      <c r="M23" s="2"/>
      <c r="N23" s="19">
        <f t="shared" si="1"/>
        <v>-0.99221590336730858</v>
      </c>
      <c r="O23" s="11"/>
      <c r="P23" s="2">
        <f>--132.5</f>
        <v>132.5</v>
      </c>
      <c r="Q23" s="2"/>
      <c r="R23" s="19"/>
      <c r="S23" s="2"/>
      <c r="T23" s="2">
        <f>--2502.84</f>
        <v>2502.84</v>
      </c>
      <c r="U23" s="2"/>
      <c r="V23" s="19"/>
      <c r="W23" s="2"/>
      <c r="X23" s="2">
        <f t="shared" si="2"/>
        <v>-2370.34</v>
      </c>
      <c r="Y23" s="2"/>
      <c r="Z23" s="19">
        <f t="shared" si="3"/>
        <v>-0.94706013968132197</v>
      </c>
    </row>
    <row r="24" spans="1:26" s="24" customFormat="1" hidden="1" outlineLevel="1" x14ac:dyDescent="0.25">
      <c r="A24" s="44"/>
      <c r="B24" s="11" t="str">
        <f>CONCATENATE("          ", "4241", " - ", "SALES RETURN TAXABLE-LOGO GIFT")</f>
        <v xml:space="preserve">          4241 - SALES RETURN TAXABLE-LOGO GIFT</v>
      </c>
      <c r="C24" s="11"/>
      <c r="D24" s="2">
        <f t="shared" ref="D24:D28" si="6">0</f>
        <v>0</v>
      </c>
      <c r="E24" s="2"/>
      <c r="F24" s="19"/>
      <c r="G24" s="2"/>
      <c r="H24" s="2">
        <f>-101.3</f>
        <v>-101.3</v>
      </c>
      <c r="I24" s="2"/>
      <c r="J24" s="19"/>
      <c r="K24" s="2"/>
      <c r="L24" s="2">
        <f t="shared" si="0"/>
        <v>101.3</v>
      </c>
      <c r="M24" s="2"/>
      <c r="N24" s="19">
        <f t="shared" si="1"/>
        <v>-1</v>
      </c>
      <c r="O24" s="11"/>
      <c r="P24" s="2">
        <f>-1254.1</f>
        <v>-1254.0999999999999</v>
      </c>
      <c r="Q24" s="2"/>
      <c r="R24" s="19"/>
      <c r="S24" s="2"/>
      <c r="T24" s="2">
        <f>-1059.4</f>
        <v>-1059.4000000000001</v>
      </c>
      <c r="U24" s="2"/>
      <c r="V24" s="19"/>
      <c r="W24" s="2"/>
      <c r="X24" s="2">
        <f t="shared" si="2"/>
        <v>-194.69999999999982</v>
      </c>
      <c r="Y24" s="2"/>
      <c r="Z24" s="19">
        <f t="shared" si="3"/>
        <v>0.18378327355106647</v>
      </c>
    </row>
    <row r="25" spans="1:26" s="24" customFormat="1" hidden="1" outlineLevel="1" x14ac:dyDescent="0.25">
      <c r="A25" s="44"/>
      <c r="B25" s="11" t="str">
        <f>CONCATENATE("          ", "4242", " - ", "SALES RETURN TAXABLE-EVERYDAY")</f>
        <v xml:space="preserve">          4242 - SALES RETURN TAXABLE-EVERYDAY</v>
      </c>
      <c r="C25" s="11"/>
      <c r="D25" s="2">
        <f t="shared" si="6"/>
        <v>0</v>
      </c>
      <c r="E25" s="2"/>
      <c r="F25" s="19"/>
      <c r="G25" s="2"/>
      <c r="H25" s="2">
        <f t="shared" ref="H25:H28" si="7"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0</f>
        <v>0</v>
      </c>
      <c r="Q25" s="2"/>
      <c r="R25" s="19"/>
      <c r="S25" s="2"/>
      <c r="T25" s="2">
        <f>-70.2</f>
        <v>-70.2</v>
      </c>
      <c r="U25" s="2"/>
      <c r="V25" s="19"/>
      <c r="W25" s="2"/>
      <c r="X25" s="2">
        <f t="shared" si="2"/>
        <v>70.2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"4341", " - ", "SALES RETURN NON TAXABLE-LOGO")</f>
        <v xml:space="preserve">          4341 - SALES RETURN NON TAXABLE-LOGO</v>
      </c>
      <c r="C26" s="11"/>
      <c r="D26" s="2">
        <f t="shared" si="6"/>
        <v>0</v>
      </c>
      <c r="E26" s="2"/>
      <c r="F26" s="19"/>
      <c r="G26" s="2"/>
      <c r="H26" s="2">
        <f t="shared" si="7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-11.2</f>
        <v>-11.2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-11.2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"4342", " - ", "SALES RETURN NON TAXABLE-EVERY")</f>
        <v xml:space="preserve">          4342 - SALES RETURN NON TAXABLE-EVERY</v>
      </c>
      <c r="C27" s="11"/>
      <c r="D27" s="2">
        <f t="shared" si="6"/>
        <v>0</v>
      </c>
      <c r="E27" s="2"/>
      <c r="F27" s="19"/>
      <c r="G27" s="2"/>
      <c r="H27" s="2">
        <f t="shared" si="7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 t="shared" ref="P27:P28" si="8">0</f>
        <v>0</v>
      </c>
      <c r="Q27" s="2"/>
      <c r="R27" s="19"/>
      <c r="S27" s="2"/>
      <c r="T27" s="2">
        <f>-39.42</f>
        <v>-39.42</v>
      </c>
      <c r="U27" s="2"/>
      <c r="V27" s="19"/>
      <c r="W27" s="2"/>
      <c r="X27" s="2">
        <f t="shared" si="2"/>
        <v>39.42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"4346", " - ", "SALES RETURN NON TAXABLE-COIN-")</f>
        <v xml:space="preserve">          4346 - SALES RETURN NON TAXABLE-COIN-</v>
      </c>
      <c r="C28" s="11"/>
      <c r="D28" s="2">
        <f t="shared" si="6"/>
        <v>0</v>
      </c>
      <c r="E28" s="2"/>
      <c r="F28" s="19"/>
      <c r="G28" s="2"/>
      <c r="H28" s="2">
        <f t="shared" si="7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 t="shared" si="8"/>
        <v>0</v>
      </c>
      <c r="Q28" s="2"/>
      <c r="R28" s="19"/>
      <c r="S28" s="2"/>
      <c r="T28" s="2">
        <f>-8.15</f>
        <v>-8.15</v>
      </c>
      <c r="U28" s="2"/>
      <c r="V28" s="19"/>
      <c r="W28" s="2"/>
      <c r="X28" s="2">
        <f t="shared" si="2"/>
        <v>8.15</v>
      </c>
      <c r="Y28" s="2"/>
      <c r="Z28" s="19">
        <f t="shared" si="3"/>
        <v>-1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8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9" t="s">
        <v>6</v>
      </c>
      <c r="C32" s="29"/>
      <c r="D32" s="22">
        <f>D12-D30</f>
        <v>4441.8100000000013</v>
      </c>
      <c r="E32" s="14"/>
      <c r="F32" s="20">
        <f>IF(D$12=0,0,D32/D$12)</f>
        <v>1</v>
      </c>
      <c r="G32" s="14"/>
      <c r="H32" s="22">
        <f>H12-H30</f>
        <v>49550.77</v>
      </c>
      <c r="I32" s="14"/>
      <c r="J32" s="20">
        <f>IF(H$12=0,0,H32/H$12)</f>
        <v>1</v>
      </c>
      <c r="K32" s="16"/>
      <c r="L32" s="22">
        <f>+D32-H32</f>
        <v>-45108.959999999992</v>
      </c>
      <c r="M32" s="16"/>
      <c r="N32" s="20">
        <f>IF(H32=0,0,L32/H32)</f>
        <v>-0.91035840613576735</v>
      </c>
      <c r="O32" s="28"/>
      <c r="P32" s="22">
        <f>P12-P30</f>
        <v>108848.03</v>
      </c>
      <c r="Q32" s="14"/>
      <c r="R32" s="20">
        <f>IF(P$12=0,0,P32/P$12)</f>
        <v>1</v>
      </c>
      <c r="S32" s="14"/>
      <c r="T32" s="22">
        <f>T12-T30</f>
        <v>442140.81</v>
      </c>
      <c r="U32" s="14"/>
      <c r="V32" s="20">
        <f>IF(T$12=0,0,T32/T$12)</f>
        <v>1</v>
      </c>
      <c r="W32" s="16"/>
      <c r="X32" s="22">
        <f>+P32-T32</f>
        <v>-333292.78000000003</v>
      </c>
      <c r="Y32" s="16"/>
      <c r="Z32" s="20">
        <f>IF(T32=0,0,X32/T32)</f>
        <v>-0.75381591669857395</v>
      </c>
    </row>
    <row r="33" spans="1:26" x14ac:dyDescent="0.25">
      <c r="A33" s="9"/>
      <c r="B33" s="10"/>
      <c r="C33" s="9"/>
      <c r="D33" s="1"/>
      <c r="E33" s="1"/>
      <c r="F33" s="5"/>
      <c r="G33" s="1"/>
      <c r="H33" s="1"/>
      <c r="I33" s="1"/>
      <c r="J33" s="5"/>
      <c r="K33" s="1"/>
      <c r="L33" s="1"/>
      <c r="M33" s="1"/>
      <c r="N33" s="5"/>
      <c r="O33" s="37"/>
      <c r="P33" s="1"/>
      <c r="Q33" s="1"/>
      <c r="R33" s="5"/>
      <c r="S33" s="1"/>
      <c r="T33" s="1"/>
      <c r="U33" s="1"/>
      <c r="V33" s="5"/>
      <c r="W33" s="1"/>
      <c r="X33" s="1"/>
      <c r="Y33" s="1"/>
      <c r="Z33" s="5"/>
    </row>
    <row r="34" spans="1:26" s="23" customFormat="1" x14ac:dyDescent="0.25">
      <c r="A34" s="10"/>
      <c r="B34" s="28" t="s">
        <v>9</v>
      </c>
      <c r="C34" s="10"/>
      <c r="D34" s="21">
        <f>SUM(OSRRefD22x_0)</f>
        <v>27592.660000000003</v>
      </c>
      <c r="E34" s="21"/>
      <c r="F34" s="32">
        <f t="shared" ref="F34:F43" si="9">IF(D$12=0,0,D34/D$12)</f>
        <v>6.2120306811862722</v>
      </c>
      <c r="G34" s="21"/>
      <c r="H34" s="21">
        <f>SUM(OSRRefH22x_0)</f>
        <v>43732.360000000015</v>
      </c>
      <c r="I34" s="21"/>
      <c r="J34" s="32">
        <f t="shared" ref="J34:J43" si="10">IF(H$12=0,0,H34/H$12)</f>
        <v>0.88257679951290402</v>
      </c>
      <c r="K34" s="4"/>
      <c r="L34" s="21">
        <f t="shared" ref="L34:L43" si="11">+D34-H34</f>
        <v>-16139.700000000012</v>
      </c>
      <c r="M34" s="4"/>
      <c r="N34" s="32">
        <f t="shared" ref="N34:N43" si="12">IF(H34=0,0,L34/H34)</f>
        <v>-0.36905623204418891</v>
      </c>
      <c r="O34" s="10"/>
      <c r="P34" s="21">
        <f>SUM(OSRRefP22x_0)</f>
        <v>237824.40999999995</v>
      </c>
      <c r="Q34" s="21"/>
      <c r="R34" s="32">
        <f t="shared" ref="R34:R43" si="13">IF(P$12=0,0,P34/P$12)</f>
        <v>2.1849215828710906</v>
      </c>
      <c r="S34" s="21"/>
      <c r="T34" s="21">
        <f>SUM(OSRRefT22x_0)</f>
        <v>372293.31</v>
      </c>
      <c r="U34" s="21"/>
      <c r="V34" s="32">
        <f t="shared" ref="V34:V43" si="14">IF(T$12=0,0,T34/T$12)</f>
        <v>0.84202430895261626</v>
      </c>
      <c r="W34" s="4"/>
      <c r="X34" s="21">
        <f t="shared" ref="X34:X43" si="15">+P34-T34</f>
        <v>-134468.90000000005</v>
      </c>
      <c r="Y34" s="4"/>
      <c r="Z34" s="32">
        <f t="shared" ref="Z34:Z43" si="16">IF(T34=0,0,X34/T34)</f>
        <v>-0.36119075037904941</v>
      </c>
    </row>
    <row r="35" spans="1:26" s="25" customFormat="1" outlineLevel="1" collapsed="1" x14ac:dyDescent="0.25">
      <c r="A35" s="27"/>
      <c r="B35" s="13" t="str">
        <f>CONCATENATE("     ","*Benefits                                         ")</f>
        <v xml:space="preserve">     *Benefits                                         </v>
      </c>
      <c r="C35" s="13"/>
      <c r="D35" s="1">
        <f>SUM(OSRRefD22_0x_0)</f>
        <v>8802.75</v>
      </c>
      <c r="E35" s="1"/>
      <c r="F35" s="5">
        <f t="shared" si="9"/>
        <v>1.9817934580722718</v>
      </c>
      <c r="G35" s="1"/>
      <c r="H35" s="1">
        <f>SUM(OSRRefH22_0x_0)</f>
        <v>7695.3</v>
      </c>
      <c r="I35" s="1"/>
      <c r="J35" s="5">
        <f t="shared" si="10"/>
        <v>0.1553013202418449</v>
      </c>
      <c r="K35" s="1"/>
      <c r="L35" s="1">
        <f t="shared" si="11"/>
        <v>1107.4499999999998</v>
      </c>
      <c r="M35" s="1"/>
      <c r="N35" s="5">
        <f t="shared" si="12"/>
        <v>0.1439125180304861</v>
      </c>
      <c r="O35" s="13"/>
      <c r="P35" s="1">
        <f>SUM(OSRRefP22_0x_0)</f>
        <v>75487.97</v>
      </c>
      <c r="Q35" s="1"/>
      <c r="R35" s="5">
        <f t="shared" si="13"/>
        <v>0.69351709902328962</v>
      </c>
      <c r="S35" s="1"/>
      <c r="T35" s="1">
        <f>SUM(OSRRefT22_0x_0)</f>
        <v>63252.130000000005</v>
      </c>
      <c r="U35" s="1"/>
      <c r="V35" s="5">
        <f t="shared" si="14"/>
        <v>0.14305879160984938</v>
      </c>
      <c r="W35" s="1"/>
      <c r="X35" s="1">
        <f t="shared" si="15"/>
        <v>12235.839999999997</v>
      </c>
      <c r="Y35" s="1"/>
      <c r="Z35" s="5">
        <f t="shared" si="16"/>
        <v>0.19344550136098176</v>
      </c>
    </row>
    <row r="36" spans="1:26" s="24" customFormat="1" hidden="1" outlineLevel="2" x14ac:dyDescent="0.25">
      <c r="A36" s="26"/>
      <c r="B36" s="11" t="str">
        <f>CONCATENATE("          ", "6111", " - ", "F.I.C.A.")</f>
        <v xml:space="preserve">          6111 - F.I.C.A.</v>
      </c>
      <c r="C36" s="11"/>
      <c r="D36" s="6">
        <v>1213.6400000000001</v>
      </c>
      <c r="E36" s="2"/>
      <c r="F36" s="7">
        <f t="shared" si="9"/>
        <v>0.27323095765014704</v>
      </c>
      <c r="G36" s="2"/>
      <c r="H36" s="6">
        <v>1185.19</v>
      </c>
      <c r="I36" s="2"/>
      <c r="J36" s="7">
        <f t="shared" si="10"/>
        <v>2.3918699951585014E-2</v>
      </c>
      <c r="K36" s="2"/>
      <c r="L36" s="6">
        <f t="shared" si="11"/>
        <v>28.450000000000045</v>
      </c>
      <c r="M36" s="2"/>
      <c r="N36" s="7">
        <f t="shared" si="12"/>
        <v>2.4004589981353238E-2</v>
      </c>
      <c r="O36" s="11"/>
      <c r="P36" s="6">
        <v>10254.049999999999</v>
      </c>
      <c r="Q36" s="2"/>
      <c r="R36" s="7">
        <f t="shared" si="13"/>
        <v>9.4205195996656985E-2</v>
      </c>
      <c r="S36" s="2"/>
      <c r="T36" s="6">
        <v>10236.27</v>
      </c>
      <c r="U36" s="2"/>
      <c r="V36" s="7">
        <f t="shared" si="14"/>
        <v>2.3151606385305171E-2</v>
      </c>
      <c r="W36" s="2"/>
      <c r="X36" s="6">
        <f t="shared" si="15"/>
        <v>17.779999999998836</v>
      </c>
      <c r="Y36" s="2"/>
      <c r="Z36" s="7">
        <f t="shared" si="16"/>
        <v>1.7369608265509638E-3</v>
      </c>
    </row>
    <row r="37" spans="1:26" s="24" customFormat="1" hidden="1" outlineLevel="2" x14ac:dyDescent="0.25">
      <c r="A37" s="26"/>
      <c r="B37" s="11" t="str">
        <f>CONCATENATE("          ", "6112", " - ", "COMPENSATION INSURANCE")</f>
        <v xml:space="preserve">          6112 - COMPENSATION INSURANCE</v>
      </c>
      <c r="C37" s="11"/>
      <c r="D37" s="6">
        <v>313.57</v>
      </c>
      <c r="E37" s="2"/>
      <c r="F37" s="7">
        <f t="shared" si="9"/>
        <v>7.0595095242705089E-2</v>
      </c>
      <c r="G37" s="2"/>
      <c r="H37" s="6">
        <v>238.87</v>
      </c>
      <c r="I37" s="2"/>
      <c r="J37" s="7">
        <f t="shared" si="10"/>
        <v>4.8207121705676828E-3</v>
      </c>
      <c r="K37" s="2"/>
      <c r="L37" s="6">
        <f t="shared" si="11"/>
        <v>74.699999999999989</v>
      </c>
      <c r="M37" s="2"/>
      <c r="N37" s="7">
        <f t="shared" si="12"/>
        <v>0.31272240130614976</v>
      </c>
      <c r="O37" s="11"/>
      <c r="P37" s="6">
        <v>2718.6</v>
      </c>
      <c r="Q37" s="2"/>
      <c r="R37" s="7">
        <f t="shared" si="13"/>
        <v>2.49761065955902E-2</v>
      </c>
      <c r="S37" s="2"/>
      <c r="T37" s="6">
        <v>1669.39</v>
      </c>
      <c r="U37" s="2"/>
      <c r="V37" s="7">
        <f t="shared" si="14"/>
        <v>3.7756976109036399E-3</v>
      </c>
      <c r="W37" s="2"/>
      <c r="X37" s="6">
        <f t="shared" si="15"/>
        <v>1049.2099999999998</v>
      </c>
      <c r="Y37" s="2"/>
      <c r="Z37" s="7">
        <f t="shared" si="16"/>
        <v>0.6284990325807629</v>
      </c>
    </row>
    <row r="38" spans="1:26" s="24" customFormat="1" hidden="1" outlineLevel="2" x14ac:dyDescent="0.25">
      <c r="A38" s="26"/>
      <c r="B38" s="11" t="str">
        <f>CONCATENATE("          ", "6113", " - ", "GROUP INSURANCE")</f>
        <v xml:space="preserve">          6113 - GROUP INSURANCE</v>
      </c>
      <c r="C38" s="11"/>
      <c r="D38" s="6">
        <v>3421.48</v>
      </c>
      <c r="E38" s="2"/>
      <c r="F38" s="7">
        <f t="shared" si="9"/>
        <v>0.77028958915397083</v>
      </c>
      <c r="G38" s="2"/>
      <c r="H38" s="6">
        <v>3218.03</v>
      </c>
      <c r="I38" s="2"/>
      <c r="J38" s="7">
        <f t="shared" si="10"/>
        <v>6.4944096731493789E-2</v>
      </c>
      <c r="K38" s="2"/>
      <c r="L38" s="6">
        <f t="shared" si="11"/>
        <v>203.44999999999982</v>
      </c>
      <c r="M38" s="2"/>
      <c r="N38" s="7">
        <f t="shared" si="12"/>
        <v>6.3221909056161624E-2</v>
      </c>
      <c r="O38" s="11"/>
      <c r="P38" s="6">
        <v>29214.289999999997</v>
      </c>
      <c r="Q38" s="2"/>
      <c r="R38" s="7">
        <f t="shared" si="13"/>
        <v>0.26839521119491089</v>
      </c>
      <c r="S38" s="2"/>
      <c r="T38" s="6">
        <v>23819.5</v>
      </c>
      <c r="U38" s="2"/>
      <c r="V38" s="7">
        <f t="shared" si="14"/>
        <v>5.3873108885832098E-2</v>
      </c>
      <c r="W38" s="2"/>
      <c r="X38" s="6">
        <f t="shared" si="15"/>
        <v>5394.7899999999972</v>
      </c>
      <c r="Y38" s="2"/>
      <c r="Z38" s="7">
        <f t="shared" si="16"/>
        <v>0.22648628224773809</v>
      </c>
    </row>
    <row r="39" spans="1:26" s="24" customFormat="1" hidden="1" outlineLevel="2" x14ac:dyDescent="0.25">
      <c r="A39" s="26"/>
      <c r="B39" s="11" t="str">
        <f>CONCATENATE("          ", "6114", " - ", "STATE UNEMPLOYMENT INSURANCE")</f>
        <v xml:space="preserve">          6114 - STATE UNEMPLOYMENT INSURANCE</v>
      </c>
      <c r="C39" s="11"/>
      <c r="D39" s="6">
        <v>44.07</v>
      </c>
      <c r="E39" s="2"/>
      <c r="F39" s="7">
        <f t="shared" si="9"/>
        <v>9.9216310468029888E-3</v>
      </c>
      <c r="G39" s="2"/>
      <c r="H39" s="6">
        <v>47</v>
      </c>
      <c r="I39" s="2"/>
      <c r="J39" s="7">
        <f t="shared" si="10"/>
        <v>9.4852209158404605E-4</v>
      </c>
      <c r="K39" s="2"/>
      <c r="L39" s="6">
        <f t="shared" si="11"/>
        <v>-2.9299999999999997</v>
      </c>
      <c r="M39" s="2"/>
      <c r="N39" s="7">
        <f t="shared" si="12"/>
        <v>-6.2340425531914885E-2</v>
      </c>
      <c r="O39" s="11"/>
      <c r="P39" s="6">
        <v>382.06</v>
      </c>
      <c r="Q39" s="2"/>
      <c r="R39" s="7">
        <f t="shared" si="13"/>
        <v>3.5100313712613817E-3</v>
      </c>
      <c r="S39" s="2"/>
      <c r="T39" s="6">
        <v>405.79</v>
      </c>
      <c r="U39" s="2"/>
      <c r="V39" s="7">
        <f t="shared" si="14"/>
        <v>9.1778454017850115E-4</v>
      </c>
      <c r="W39" s="2"/>
      <c r="X39" s="6">
        <f t="shared" si="15"/>
        <v>-23.730000000000018</v>
      </c>
      <c r="Y39" s="2"/>
      <c r="Z39" s="7">
        <f t="shared" si="16"/>
        <v>-5.847852337415909E-2</v>
      </c>
    </row>
    <row r="40" spans="1:26" s="24" customFormat="1" hidden="1" outlineLevel="2" x14ac:dyDescent="0.25">
      <c r="A40" s="26"/>
      <c r="B40" s="11" t="str">
        <f>CONCATENATE("          ", "6115", " - ", "P.E.R.S.")</f>
        <v xml:space="preserve">          6115 - P.E.R.S.</v>
      </c>
      <c r="C40" s="11"/>
      <c r="D40" s="6">
        <v>1614.45</v>
      </c>
      <c r="E40" s="2"/>
      <c r="F40" s="7">
        <f t="shared" si="9"/>
        <v>0.36346669488339206</v>
      </c>
      <c r="G40" s="2"/>
      <c r="H40" s="6">
        <v>1187.75</v>
      </c>
      <c r="I40" s="2"/>
      <c r="J40" s="7">
        <f t="shared" si="10"/>
        <v>2.3970364133594695E-2</v>
      </c>
      <c r="K40" s="2"/>
      <c r="L40" s="6">
        <f t="shared" si="11"/>
        <v>426.70000000000005</v>
      </c>
      <c r="M40" s="2"/>
      <c r="N40" s="7">
        <f t="shared" si="12"/>
        <v>0.35925068406651234</v>
      </c>
      <c r="O40" s="11"/>
      <c r="P40" s="6">
        <v>14100.34</v>
      </c>
      <c r="Q40" s="2"/>
      <c r="R40" s="7">
        <f t="shared" si="13"/>
        <v>0.12954152684251613</v>
      </c>
      <c r="S40" s="2"/>
      <c r="T40" s="6">
        <v>10790.79</v>
      </c>
      <c r="U40" s="2"/>
      <c r="V40" s="7">
        <f t="shared" si="14"/>
        <v>2.4405776974082083E-2</v>
      </c>
      <c r="W40" s="2"/>
      <c r="X40" s="6">
        <f t="shared" si="15"/>
        <v>3309.5499999999993</v>
      </c>
      <c r="Y40" s="2"/>
      <c r="Z40" s="7">
        <f t="shared" si="16"/>
        <v>0.30670136292152839</v>
      </c>
    </row>
    <row r="41" spans="1:26" s="24" customFormat="1" hidden="1" outlineLevel="2" x14ac:dyDescent="0.25">
      <c r="A41" s="26"/>
      <c r="B41" s="11" t="str">
        <f>CONCATENATE("          ", "6118", " - ", "VACATION")</f>
        <v xml:space="preserve">          6118 - VACATION</v>
      </c>
      <c r="C41" s="11"/>
      <c r="D41" s="6">
        <v>1216.0999999999999</v>
      </c>
      <c r="E41" s="2"/>
      <c r="F41" s="7">
        <f t="shared" si="9"/>
        <v>0.27378478593186101</v>
      </c>
      <c r="G41" s="2"/>
      <c r="H41" s="6">
        <v>969.46</v>
      </c>
      <c r="I41" s="2"/>
      <c r="J41" s="7">
        <f t="shared" si="10"/>
        <v>1.9564983551214242E-2</v>
      </c>
      <c r="K41" s="2"/>
      <c r="L41" s="6">
        <f t="shared" si="11"/>
        <v>246.63999999999987</v>
      </c>
      <c r="M41" s="2"/>
      <c r="N41" s="7">
        <f t="shared" si="12"/>
        <v>0.25440967136343928</v>
      </c>
      <c r="O41" s="11"/>
      <c r="P41" s="6">
        <v>10099.629999999999</v>
      </c>
      <c r="Q41" s="2"/>
      <c r="R41" s="7">
        <f t="shared" si="13"/>
        <v>9.2786520803362263E-2</v>
      </c>
      <c r="S41" s="2"/>
      <c r="T41" s="6">
        <v>8849.33</v>
      </c>
      <c r="U41" s="2"/>
      <c r="V41" s="7">
        <f t="shared" si="14"/>
        <v>2.0014732410699659E-2</v>
      </c>
      <c r="W41" s="2"/>
      <c r="X41" s="6">
        <f t="shared" si="15"/>
        <v>1250.2999999999993</v>
      </c>
      <c r="Y41" s="2"/>
      <c r="Z41" s="7">
        <f t="shared" si="16"/>
        <v>0.14128753250246057</v>
      </c>
    </row>
    <row r="42" spans="1:26" s="24" customFormat="1" hidden="1" outlineLevel="2" x14ac:dyDescent="0.25">
      <c r="A42" s="26"/>
      <c r="B42" s="11" t="str">
        <f>CONCATENATE("          ", "6119", " - ", "SICK LEAVE")</f>
        <v xml:space="preserve">          6119 - SICK LEAVE</v>
      </c>
      <c r="C42" s="11"/>
      <c r="D42" s="6">
        <v>738.5</v>
      </c>
      <c r="E42" s="2"/>
      <c r="F42" s="7">
        <f t="shared" si="9"/>
        <v>0.16626105123812135</v>
      </c>
      <c r="G42" s="2"/>
      <c r="H42" s="6">
        <v>556.53</v>
      </c>
      <c r="I42" s="2"/>
      <c r="J42" s="7">
        <f t="shared" si="10"/>
        <v>1.1231510630409981E-2</v>
      </c>
      <c r="K42" s="2"/>
      <c r="L42" s="6">
        <f t="shared" si="11"/>
        <v>181.97000000000003</v>
      </c>
      <c r="M42" s="2"/>
      <c r="N42" s="7">
        <f t="shared" si="12"/>
        <v>0.3269724902520979</v>
      </c>
      <c r="O42" s="11"/>
      <c r="P42" s="6">
        <v>6171.27</v>
      </c>
      <c r="Q42" s="2"/>
      <c r="R42" s="7">
        <f t="shared" si="13"/>
        <v>5.6696202953787959E-2</v>
      </c>
      <c r="S42" s="2"/>
      <c r="T42" s="6">
        <v>5209.3599999999997</v>
      </c>
      <c r="U42" s="2"/>
      <c r="V42" s="7">
        <f t="shared" si="14"/>
        <v>1.1782128865236392E-2</v>
      </c>
      <c r="W42" s="2"/>
      <c r="X42" s="6">
        <f t="shared" si="15"/>
        <v>961.91000000000076</v>
      </c>
      <c r="Y42" s="2"/>
      <c r="Z42" s="7">
        <f t="shared" si="16"/>
        <v>0.18465032172858101</v>
      </c>
    </row>
    <row r="43" spans="1:26" s="24" customFormat="1" hidden="1" outlineLevel="2" x14ac:dyDescent="0.25">
      <c r="A43" s="26"/>
      <c r="B43" s="11" t="str">
        <f>CONCATENATE("          ", "6156", " - ", "EMPLOYEE MEALS")</f>
        <v xml:space="preserve">          6156 - EMPLOYEE MEALS</v>
      </c>
      <c r="C43" s="11"/>
      <c r="D43" s="6">
        <v>240.94</v>
      </c>
      <c r="E43" s="2"/>
      <c r="F43" s="7">
        <f t="shared" si="9"/>
        <v>5.4243652925271439E-2</v>
      </c>
      <c r="G43" s="2"/>
      <c r="H43" s="6">
        <v>292.47000000000003</v>
      </c>
      <c r="I43" s="2"/>
      <c r="J43" s="7">
        <f t="shared" si="10"/>
        <v>5.9024309813954469E-3</v>
      </c>
      <c r="K43" s="2"/>
      <c r="L43" s="6">
        <f t="shared" si="11"/>
        <v>-51.53000000000003</v>
      </c>
      <c r="M43" s="2"/>
      <c r="N43" s="7">
        <f t="shared" si="12"/>
        <v>-0.17618901083871857</v>
      </c>
      <c r="O43" s="11"/>
      <c r="P43" s="6">
        <v>2547.73</v>
      </c>
      <c r="Q43" s="2"/>
      <c r="R43" s="7">
        <f t="shared" si="13"/>
        <v>2.3406303265203789E-2</v>
      </c>
      <c r="S43" s="2"/>
      <c r="T43" s="6">
        <v>2271.6999999999998</v>
      </c>
      <c r="U43" s="2"/>
      <c r="V43" s="7">
        <f t="shared" si="14"/>
        <v>5.1379559376118203E-3</v>
      </c>
      <c r="W43" s="2"/>
      <c r="X43" s="6">
        <f t="shared" si="15"/>
        <v>276.0300000000002</v>
      </c>
      <c r="Y43" s="2"/>
      <c r="Z43" s="7">
        <f t="shared" si="16"/>
        <v>0.12150812167099538</v>
      </c>
    </row>
    <row r="44" spans="1:26" s="25" customFormat="1" outlineLevel="1" collapsed="1" x14ac:dyDescent="0.25">
      <c r="A44" s="27"/>
      <c r="B44" s="13" t="str">
        <f>CONCATENATE("     ","*Payroll                                          ")</f>
        <v xml:space="preserve">     *Payroll                                          </v>
      </c>
      <c r="C44" s="13"/>
      <c r="D44" s="1">
        <f>SUM(OSRRefD22_1x_0)</f>
        <v>15744.670000000002</v>
      </c>
      <c r="E44" s="1"/>
      <c r="F44" s="5">
        <f t="shared" ref="F44:F48" si="17">IF(D$12=0,0,D44/D$12)</f>
        <v>3.5446518423795697</v>
      </c>
      <c r="G44" s="1"/>
      <c r="H44" s="1">
        <f>SUM(OSRRefH22_1x_0)</f>
        <v>16161.07</v>
      </c>
      <c r="I44" s="1"/>
      <c r="J44" s="5">
        <f t="shared" ref="J44:J48" si="18">IF(H$12=0,0,H44/H$12)</f>
        <v>0.32615174294970595</v>
      </c>
      <c r="K44" s="1"/>
      <c r="L44" s="1">
        <f t="shared" ref="L44:L48" si="19">+D44-H44</f>
        <v>-416.39999999999782</v>
      </c>
      <c r="M44" s="1"/>
      <c r="N44" s="5">
        <f t="shared" ref="N44:N48" si="20">IF(H44=0,0,L44/H44)</f>
        <v>-2.5765620716944968E-2</v>
      </c>
      <c r="O44" s="13"/>
      <c r="P44" s="1">
        <f>SUM(OSRRefP22_1x_0)</f>
        <v>123848.23999999999</v>
      </c>
      <c r="Q44" s="1"/>
      <c r="R44" s="5">
        <f t="shared" ref="R44:R48" si="21">IF(P$12=0,0,P44/P$12)</f>
        <v>1.1378087412330751</v>
      </c>
      <c r="S44" s="1"/>
      <c r="T44" s="1">
        <f>SUM(OSRRefT22_1x_0)</f>
        <v>140571.65</v>
      </c>
      <c r="U44" s="1"/>
      <c r="V44" s="5">
        <f t="shared" ref="V44:V48" si="22">IF(T$12=0,0,T44/T$12)</f>
        <v>0.31793412148496314</v>
      </c>
      <c r="W44" s="1"/>
      <c r="X44" s="1">
        <f t="shared" ref="X44:X48" si="23">+P44-T44</f>
        <v>-16723.410000000003</v>
      </c>
      <c r="Y44" s="1"/>
      <c r="Z44" s="5">
        <f t="shared" ref="Z44:Z48" si="24">IF(T44=0,0,X44/T44)</f>
        <v>-0.11896716016351806</v>
      </c>
    </row>
    <row r="45" spans="1:26" s="24" customFormat="1" hidden="1" outlineLevel="2" x14ac:dyDescent="0.25">
      <c r="A45" s="26"/>
      <c r="B45" s="11" t="str">
        <f>CONCATENATE("          ", "6002", " - ", "STAFF SALARIES")</f>
        <v xml:space="preserve">          6002 - STAFF SALARIES</v>
      </c>
      <c r="C45" s="11"/>
      <c r="D45" s="6">
        <v>15262.950000000003</v>
      </c>
      <c r="E45" s="2"/>
      <c r="F45" s="7">
        <f t="shared" si="17"/>
        <v>3.4362005578806833</v>
      </c>
      <c r="G45" s="2"/>
      <c r="H45" s="6">
        <v>10285.75</v>
      </c>
      <c r="I45" s="2"/>
      <c r="J45" s="7">
        <f t="shared" si="18"/>
        <v>0.20758002347894897</v>
      </c>
      <c r="K45" s="2"/>
      <c r="L45" s="6">
        <f t="shared" si="19"/>
        <v>4977.2000000000025</v>
      </c>
      <c r="M45" s="2"/>
      <c r="N45" s="7">
        <f t="shared" si="20"/>
        <v>0.48389276426123545</v>
      </c>
      <c r="O45" s="11"/>
      <c r="P45" s="6">
        <v>118009.37999999999</v>
      </c>
      <c r="Q45" s="2"/>
      <c r="R45" s="7">
        <f t="shared" si="21"/>
        <v>1.0841664291030346</v>
      </c>
      <c r="S45" s="2"/>
      <c r="T45" s="6">
        <v>92780.36</v>
      </c>
      <c r="U45" s="2"/>
      <c r="V45" s="7">
        <f t="shared" si="22"/>
        <v>0.20984346593113629</v>
      </c>
      <c r="W45" s="2"/>
      <c r="X45" s="6">
        <f t="shared" si="23"/>
        <v>25229.01999999999</v>
      </c>
      <c r="Y45" s="2"/>
      <c r="Z45" s="7">
        <f t="shared" si="24"/>
        <v>0.27192198866225559</v>
      </c>
    </row>
    <row r="46" spans="1:26" s="24" customFormat="1" hidden="1" outlineLevel="2" x14ac:dyDescent="0.25">
      <c r="A46" s="26"/>
      <c r="B46" s="11" t="str">
        <f>CONCATENATE("          ", "6005", " - ", "TEMPORARY WAGES-HOURLY")</f>
        <v xml:space="preserve">          6005 - TEMPORARY WAGES-HOURLY</v>
      </c>
      <c r="C46" s="11"/>
      <c r="D46" s="6"/>
      <c r="E46" s="2"/>
      <c r="F46" s="7">
        <f t="shared" si="17"/>
        <v>0</v>
      </c>
      <c r="G46" s="2"/>
      <c r="H46" s="6">
        <v>2179.77</v>
      </c>
      <c r="I46" s="2"/>
      <c r="J46" s="7">
        <f t="shared" si="18"/>
        <v>4.3990638288769278E-2</v>
      </c>
      <c r="K46" s="2"/>
      <c r="L46" s="6">
        <f t="shared" si="19"/>
        <v>-2179.77</v>
      </c>
      <c r="M46" s="2"/>
      <c r="N46" s="7">
        <f t="shared" si="20"/>
        <v>-1</v>
      </c>
      <c r="O46" s="11"/>
      <c r="P46" s="6">
        <v>383.25</v>
      </c>
      <c r="Q46" s="2"/>
      <c r="R46" s="7">
        <f t="shared" si="21"/>
        <v>3.5209640450084398E-3</v>
      </c>
      <c r="S46" s="2"/>
      <c r="T46" s="6">
        <v>16323.689999999999</v>
      </c>
      <c r="U46" s="2"/>
      <c r="V46" s="7">
        <f t="shared" si="22"/>
        <v>3.6919663670042124E-2</v>
      </c>
      <c r="W46" s="2"/>
      <c r="X46" s="6">
        <f t="shared" si="23"/>
        <v>-15940.439999999999</v>
      </c>
      <c r="Y46" s="2"/>
      <c r="Z46" s="7">
        <f t="shared" si="24"/>
        <v>-0.97652185259582847</v>
      </c>
    </row>
    <row r="47" spans="1:26" s="24" customFormat="1" hidden="1" outlineLevel="2" x14ac:dyDescent="0.25">
      <c r="A47" s="26"/>
      <c r="B47" s="11" t="str">
        <f>CONCATENATE("          ", "6006", " - ", "TEMPORARY PART TIME")</f>
        <v xml:space="preserve">          6006 - TEMPORARY PART TIME</v>
      </c>
      <c r="C47" s="11"/>
      <c r="D47" s="6"/>
      <c r="E47" s="2"/>
      <c r="F47" s="7">
        <f t="shared" si="17"/>
        <v>0</v>
      </c>
      <c r="G47" s="2"/>
      <c r="H47" s="6">
        <v>1264.31</v>
      </c>
      <c r="I47" s="2"/>
      <c r="J47" s="7">
        <f t="shared" si="18"/>
        <v>2.5515446076821813E-2</v>
      </c>
      <c r="K47" s="2"/>
      <c r="L47" s="6">
        <f t="shared" si="19"/>
        <v>-1264.31</v>
      </c>
      <c r="M47" s="2"/>
      <c r="N47" s="7">
        <f t="shared" si="20"/>
        <v>-1</v>
      </c>
      <c r="O47" s="11"/>
      <c r="P47" s="6"/>
      <c r="Q47" s="2"/>
      <c r="R47" s="7">
        <f t="shared" si="21"/>
        <v>0</v>
      </c>
      <c r="S47" s="2"/>
      <c r="T47" s="6">
        <v>1384.62</v>
      </c>
      <c r="U47" s="2"/>
      <c r="V47" s="7">
        <f t="shared" si="22"/>
        <v>3.1316267774512828E-3</v>
      </c>
      <c r="W47" s="2"/>
      <c r="X47" s="6">
        <f t="shared" si="23"/>
        <v>-1384.62</v>
      </c>
      <c r="Y47" s="2"/>
      <c r="Z47" s="7">
        <f t="shared" si="24"/>
        <v>-1</v>
      </c>
    </row>
    <row r="48" spans="1:26" s="24" customFormat="1" hidden="1" outlineLevel="2" x14ac:dyDescent="0.25">
      <c r="A48" s="26"/>
      <c r="B48" s="11" t="str">
        <f>CONCATENATE("          ", "6007", " - ", "STUDENT HOURLY")</f>
        <v xml:space="preserve">          6007 - STUDENT HOURLY</v>
      </c>
      <c r="C48" s="11"/>
      <c r="D48" s="6">
        <v>481.72</v>
      </c>
      <c r="E48" s="2"/>
      <c r="F48" s="7">
        <f t="shared" si="17"/>
        <v>0.10845128449888669</v>
      </c>
      <c r="G48" s="2"/>
      <c r="H48" s="6">
        <v>2431.2399999999998</v>
      </c>
      <c r="I48" s="2"/>
      <c r="J48" s="7">
        <f t="shared" si="18"/>
        <v>4.9065635105165872E-2</v>
      </c>
      <c r="K48" s="2"/>
      <c r="L48" s="6">
        <f t="shared" si="19"/>
        <v>-1949.5199999999998</v>
      </c>
      <c r="M48" s="2"/>
      <c r="N48" s="7">
        <f t="shared" si="20"/>
        <v>-0.8018624241127984</v>
      </c>
      <c r="O48" s="11"/>
      <c r="P48" s="6">
        <v>5455.61</v>
      </c>
      <c r="Q48" s="2"/>
      <c r="R48" s="7">
        <f t="shared" si="21"/>
        <v>5.0121348085031943E-2</v>
      </c>
      <c r="S48" s="2"/>
      <c r="T48" s="6">
        <v>30082.979999999996</v>
      </c>
      <c r="U48" s="2"/>
      <c r="V48" s="7">
        <f t="shared" si="22"/>
        <v>6.8039365106333419E-2</v>
      </c>
      <c r="W48" s="2"/>
      <c r="X48" s="6">
        <f t="shared" si="23"/>
        <v>-24627.369999999995</v>
      </c>
      <c r="Y48" s="2"/>
      <c r="Z48" s="7">
        <f t="shared" si="24"/>
        <v>-0.81864795309507232</v>
      </c>
    </row>
    <row r="49" spans="1:26" s="25" customFormat="1" outlineLevel="1" collapsed="1" x14ac:dyDescent="0.25">
      <c r="A49" s="27"/>
      <c r="B49" s="13" t="str">
        <f>CONCATENATE("     ","Advertising/Promo                                 ")</f>
        <v xml:space="preserve">     Advertising/Promo                                 </v>
      </c>
      <c r="C49" s="13"/>
      <c r="D49" s="1">
        <f>SUM(OSRRefD22_2x_0)</f>
        <v>0</v>
      </c>
      <c r="E49" s="1"/>
      <c r="F49" s="5">
        <f t="shared" ref="F49:F59" si="25">IF(D$12=0,0,D49/D$12)</f>
        <v>0</v>
      </c>
      <c r="G49" s="1"/>
      <c r="H49" s="1">
        <f>SUM(OSRRefH22_2x_0)</f>
        <v>0</v>
      </c>
      <c r="I49" s="1"/>
      <c r="J49" s="5">
        <f t="shared" ref="J49:J59" si="26">IF(H$12=0,0,H49/H$12)</f>
        <v>0</v>
      </c>
      <c r="K49" s="1"/>
      <c r="L49" s="1">
        <f t="shared" ref="L49:L59" si="27">+D49-H49</f>
        <v>0</v>
      </c>
      <c r="M49" s="1"/>
      <c r="N49" s="5">
        <f t="shared" ref="N49:N59" si="28">IF(H49=0,0,L49/H49)</f>
        <v>0</v>
      </c>
      <c r="O49" s="13"/>
      <c r="P49" s="1">
        <f>SUM(OSRRefP22_2x_0)</f>
        <v>0</v>
      </c>
      <c r="Q49" s="1"/>
      <c r="R49" s="5">
        <f t="shared" ref="R49:R59" si="29">IF(P$12=0,0,P49/P$12)</f>
        <v>0</v>
      </c>
      <c r="S49" s="1"/>
      <c r="T49" s="1">
        <f>SUM(OSRRefT22_2x_0)</f>
        <v>751</v>
      </c>
      <c r="U49" s="1"/>
      <c r="V49" s="5">
        <f t="shared" ref="V49:V59" si="30">IF(T$12=0,0,T49/T$12)</f>
        <v>1.6985539063901385E-3</v>
      </c>
      <c r="W49" s="1"/>
      <c r="X49" s="1">
        <f t="shared" ref="X49:X59" si="31">+P49-T49</f>
        <v>-751</v>
      </c>
      <c r="Y49" s="1"/>
      <c r="Z49" s="5">
        <f t="shared" ref="Z49:Z59" si="32">IF(T49=0,0,X49/T49)</f>
        <v>-1</v>
      </c>
    </row>
    <row r="50" spans="1:26" s="24" customFormat="1" hidden="1" outlineLevel="2" x14ac:dyDescent="0.25">
      <c r="A50" s="26"/>
      <c r="B50" s="11" t="str">
        <f>CONCATENATE("          ", "6362", " - ", "ADVERTISING EXPENSE")</f>
        <v xml:space="preserve">          6362 - ADVERTISING EXPENSE</v>
      </c>
      <c r="C50" s="11"/>
      <c r="D50" s="6"/>
      <c r="E50" s="2"/>
      <c r="F50" s="7">
        <f t="shared" si="25"/>
        <v>0</v>
      </c>
      <c r="G50" s="2"/>
      <c r="H50" s="6"/>
      <c r="I50" s="2"/>
      <c r="J50" s="7">
        <f t="shared" si="26"/>
        <v>0</v>
      </c>
      <c r="K50" s="2"/>
      <c r="L50" s="6">
        <f t="shared" si="27"/>
        <v>0</v>
      </c>
      <c r="M50" s="2"/>
      <c r="N50" s="7">
        <f t="shared" si="28"/>
        <v>0</v>
      </c>
      <c r="O50" s="11"/>
      <c r="P50" s="6"/>
      <c r="Q50" s="2"/>
      <c r="R50" s="7">
        <f t="shared" si="29"/>
        <v>0</v>
      </c>
      <c r="S50" s="2"/>
      <c r="T50" s="6">
        <v>751</v>
      </c>
      <c r="U50" s="2"/>
      <c r="V50" s="7">
        <f t="shared" si="30"/>
        <v>1.6985539063901385E-3</v>
      </c>
      <c r="W50" s="2"/>
      <c r="X50" s="6">
        <f t="shared" si="31"/>
        <v>-751</v>
      </c>
      <c r="Y50" s="2"/>
      <c r="Z50" s="7">
        <f t="shared" si="32"/>
        <v>-1</v>
      </c>
    </row>
    <row r="51" spans="1:26" s="25" customFormat="1" outlineLevel="1" collapsed="1" x14ac:dyDescent="0.25">
      <c r="A51" s="27"/>
      <c r="B51" s="13" t="str">
        <f>CONCATENATE("     ","Depreciation                                      ")</f>
        <v xml:space="preserve">     Depreciation                                      </v>
      </c>
      <c r="C51" s="13"/>
      <c r="D51" s="1">
        <f>SUM(OSRRefD22_3x_0)</f>
        <v>169.88</v>
      </c>
      <c r="E51" s="1"/>
      <c r="F51" s="5">
        <f t="shared" si="25"/>
        <v>3.8245670120964192E-2</v>
      </c>
      <c r="G51" s="1"/>
      <c r="H51" s="1">
        <f>SUM(OSRRefH22_3x_0)</f>
        <v>169.88</v>
      </c>
      <c r="I51" s="1"/>
      <c r="J51" s="5">
        <f t="shared" si="26"/>
        <v>3.4284028280488882E-3</v>
      </c>
      <c r="K51" s="1"/>
      <c r="L51" s="1">
        <f t="shared" si="27"/>
        <v>0</v>
      </c>
      <c r="M51" s="1"/>
      <c r="N51" s="5">
        <f t="shared" si="28"/>
        <v>0</v>
      </c>
      <c r="O51" s="13"/>
      <c r="P51" s="1">
        <f>SUM(OSRRefP22_3x_0)</f>
        <v>1359.04</v>
      </c>
      <c r="Q51" s="1"/>
      <c r="R51" s="5">
        <f t="shared" si="29"/>
        <v>1.248566464638818E-2</v>
      </c>
      <c r="S51" s="1"/>
      <c r="T51" s="1">
        <f>SUM(OSRRefT22_3x_0)</f>
        <v>509.64</v>
      </c>
      <c r="U51" s="1"/>
      <c r="V51" s="5">
        <f t="shared" si="30"/>
        <v>1.1526644645175369E-3</v>
      </c>
      <c r="W51" s="1"/>
      <c r="X51" s="1">
        <f t="shared" si="31"/>
        <v>849.4</v>
      </c>
      <c r="Y51" s="1"/>
      <c r="Z51" s="5">
        <f t="shared" si="32"/>
        <v>1.6666666666666667</v>
      </c>
    </row>
    <row r="52" spans="1:26" s="24" customFormat="1" hidden="1" outlineLevel="2" x14ac:dyDescent="0.25">
      <c r="A52" s="26"/>
      <c r="B52" s="11" t="str">
        <f>CONCATENATE("          ", "6322", " - ", "EQUIPMENT DEPRECIATION EXPENSE")</f>
        <v xml:space="preserve">          6322 - EQUIPMENT DEPRECIATION EXPENSE</v>
      </c>
      <c r="C52" s="11"/>
      <c r="D52" s="6">
        <v>169.88</v>
      </c>
      <c r="E52" s="2"/>
      <c r="F52" s="7">
        <f t="shared" si="25"/>
        <v>3.8245670120964192E-2</v>
      </c>
      <c r="G52" s="2"/>
      <c r="H52" s="6">
        <v>169.88</v>
      </c>
      <c r="I52" s="2"/>
      <c r="J52" s="7">
        <f t="shared" si="26"/>
        <v>3.4284028280488882E-3</v>
      </c>
      <c r="K52" s="2"/>
      <c r="L52" s="6">
        <f t="shared" si="27"/>
        <v>0</v>
      </c>
      <c r="M52" s="2"/>
      <c r="N52" s="7">
        <f t="shared" si="28"/>
        <v>0</v>
      </c>
      <c r="O52" s="11"/>
      <c r="P52" s="6">
        <v>1359.04</v>
      </c>
      <c r="Q52" s="2"/>
      <c r="R52" s="7">
        <f t="shared" si="29"/>
        <v>1.248566464638818E-2</v>
      </c>
      <c r="S52" s="2"/>
      <c r="T52" s="6">
        <v>509.64</v>
      </c>
      <c r="U52" s="2"/>
      <c r="V52" s="7">
        <f t="shared" si="30"/>
        <v>1.1526644645175369E-3</v>
      </c>
      <c r="W52" s="2"/>
      <c r="X52" s="6">
        <f t="shared" si="31"/>
        <v>849.4</v>
      </c>
      <c r="Y52" s="2"/>
      <c r="Z52" s="7">
        <f t="shared" si="32"/>
        <v>1.6666666666666667</v>
      </c>
    </row>
    <row r="53" spans="1:26" s="25" customFormat="1" outlineLevel="1" collapsed="1" x14ac:dyDescent="0.25">
      <c r="A53" s="27"/>
      <c r="B53" s="13" t="str">
        <f>CONCATENATE("     ","Discounts and Markdowns                           ")</f>
        <v xml:space="preserve">     Discounts and Markdowns                           </v>
      </c>
      <c r="C53" s="13"/>
      <c r="D53" s="1">
        <f>SUM(OSRRefD22_4x_0)</f>
        <v>0</v>
      </c>
      <c r="E53" s="1"/>
      <c r="F53" s="5">
        <f t="shared" si="25"/>
        <v>0</v>
      </c>
      <c r="G53" s="1"/>
      <c r="H53" s="1">
        <f>SUM(OSRRefH22_4x_0)</f>
        <v>60.33</v>
      </c>
      <c r="I53" s="1"/>
      <c r="J53" s="5">
        <f t="shared" si="26"/>
        <v>1.2175391018141594E-3</v>
      </c>
      <c r="K53" s="1"/>
      <c r="L53" s="1">
        <f t="shared" si="27"/>
        <v>-60.33</v>
      </c>
      <c r="M53" s="1"/>
      <c r="N53" s="5">
        <f t="shared" si="28"/>
        <v>-1</v>
      </c>
      <c r="O53" s="13"/>
      <c r="P53" s="1">
        <f>SUM(OSRRefP22_4x_0)</f>
        <v>0</v>
      </c>
      <c r="Q53" s="1"/>
      <c r="R53" s="5">
        <f t="shared" si="29"/>
        <v>0</v>
      </c>
      <c r="S53" s="1"/>
      <c r="T53" s="1">
        <f>SUM(OSRRefT22_4x_0)</f>
        <v>695.22</v>
      </c>
      <c r="U53" s="1"/>
      <c r="V53" s="5">
        <f t="shared" si="30"/>
        <v>1.5723950023975395E-3</v>
      </c>
      <c r="W53" s="1"/>
      <c r="X53" s="1">
        <f t="shared" si="31"/>
        <v>-695.22</v>
      </c>
      <c r="Y53" s="1"/>
      <c r="Z53" s="5">
        <f t="shared" si="32"/>
        <v>-1</v>
      </c>
    </row>
    <row r="54" spans="1:26" s="24" customFormat="1" hidden="1" outlineLevel="2" x14ac:dyDescent="0.25">
      <c r="A54" s="26"/>
      <c r="B54" s="11" t="str">
        <f>CONCATENATE("          ", "6382", " - ", "DISCOUNTS/MARK DOWNS")</f>
        <v xml:space="preserve">          6382 - DISCOUNTS/MARK DOWNS</v>
      </c>
      <c r="C54" s="11"/>
      <c r="D54" s="6"/>
      <c r="E54" s="2"/>
      <c r="F54" s="7">
        <f t="shared" si="25"/>
        <v>0</v>
      </c>
      <c r="G54" s="2"/>
      <c r="H54" s="6">
        <v>60.33</v>
      </c>
      <c r="I54" s="2"/>
      <c r="J54" s="7">
        <f t="shared" si="26"/>
        <v>1.2175391018141594E-3</v>
      </c>
      <c r="K54" s="2"/>
      <c r="L54" s="6">
        <f t="shared" si="27"/>
        <v>-60.33</v>
      </c>
      <c r="M54" s="2"/>
      <c r="N54" s="7">
        <f t="shared" si="28"/>
        <v>-1</v>
      </c>
      <c r="O54" s="11"/>
      <c r="P54" s="6"/>
      <c r="Q54" s="2"/>
      <c r="R54" s="7">
        <f t="shared" si="29"/>
        <v>0</v>
      </c>
      <c r="S54" s="2"/>
      <c r="T54" s="6">
        <v>695.22</v>
      </c>
      <c r="U54" s="2"/>
      <c r="V54" s="7">
        <f t="shared" si="30"/>
        <v>1.5723950023975395E-3</v>
      </c>
      <c r="W54" s="2"/>
      <c r="X54" s="6">
        <f t="shared" si="31"/>
        <v>-695.22</v>
      </c>
      <c r="Y54" s="2"/>
      <c r="Z54" s="7">
        <f t="shared" si="32"/>
        <v>-1</v>
      </c>
    </row>
    <row r="55" spans="1:26" s="25" customFormat="1" outlineLevel="1" collapsed="1" x14ac:dyDescent="0.25">
      <c r="A55" s="27"/>
      <c r="B55" s="13" t="str">
        <f>CONCATENATE("     ","Equipment Rental                                  ")</f>
        <v xml:space="preserve">     Equipment Rental                                  </v>
      </c>
      <c r="C55" s="13"/>
      <c r="D55" s="1">
        <f>SUM(OSRRefD22_5x_0)</f>
        <v>1205.6400000000001</v>
      </c>
      <c r="E55" s="1"/>
      <c r="F55" s="5">
        <f t="shared" si="25"/>
        <v>0.27142989006733736</v>
      </c>
      <c r="G55" s="1"/>
      <c r="H55" s="1">
        <f>SUM(OSRRefH22_5x_0)</f>
        <v>1205.6400000000001</v>
      </c>
      <c r="I55" s="1"/>
      <c r="J55" s="5">
        <f t="shared" si="26"/>
        <v>2.4331407968029562E-2</v>
      </c>
      <c r="K55" s="1"/>
      <c r="L55" s="1">
        <f t="shared" si="27"/>
        <v>0</v>
      </c>
      <c r="M55" s="1"/>
      <c r="N55" s="5">
        <f t="shared" si="28"/>
        <v>0</v>
      </c>
      <c r="O55" s="13"/>
      <c r="P55" s="1">
        <f>SUM(OSRRefP22_5x_0)</f>
        <v>9645.1200000000008</v>
      </c>
      <c r="Q55" s="1"/>
      <c r="R55" s="5">
        <f t="shared" si="29"/>
        <v>8.8610882530441762E-2</v>
      </c>
      <c r="S55" s="1"/>
      <c r="T55" s="1">
        <f>SUM(OSRRefT22_5x_0)</f>
        <v>12343.44</v>
      </c>
      <c r="U55" s="1"/>
      <c r="V55" s="5">
        <f t="shared" si="30"/>
        <v>2.7917441052319962E-2</v>
      </c>
      <c r="W55" s="1"/>
      <c r="X55" s="1">
        <f t="shared" si="31"/>
        <v>-2698.3199999999997</v>
      </c>
      <c r="Y55" s="1"/>
      <c r="Z55" s="5">
        <f t="shared" si="32"/>
        <v>-0.21860356594271935</v>
      </c>
    </row>
    <row r="56" spans="1:26" s="24" customFormat="1" hidden="1" outlineLevel="2" x14ac:dyDescent="0.25">
      <c r="A56" s="26"/>
      <c r="B56" s="11" t="str">
        <f>CONCATENATE("          ", "6351", " - ", "EQUIPMENT RENTAL")</f>
        <v xml:space="preserve">          6351 - EQUIPMENT RENTAL</v>
      </c>
      <c r="C56" s="11"/>
      <c r="D56" s="6">
        <v>1205.6400000000001</v>
      </c>
      <c r="E56" s="2"/>
      <c r="F56" s="7">
        <f t="shared" si="25"/>
        <v>0.27142989006733736</v>
      </c>
      <c r="G56" s="2"/>
      <c r="H56" s="6">
        <v>1205.6400000000001</v>
      </c>
      <c r="I56" s="2"/>
      <c r="J56" s="7">
        <f t="shared" si="26"/>
        <v>2.4331407968029562E-2</v>
      </c>
      <c r="K56" s="2"/>
      <c r="L56" s="6">
        <f t="shared" si="27"/>
        <v>0</v>
      </c>
      <c r="M56" s="2"/>
      <c r="N56" s="7">
        <f t="shared" si="28"/>
        <v>0</v>
      </c>
      <c r="O56" s="11"/>
      <c r="P56" s="6">
        <v>9645.1200000000008</v>
      </c>
      <c r="Q56" s="2"/>
      <c r="R56" s="7">
        <f t="shared" si="29"/>
        <v>8.8610882530441762E-2</v>
      </c>
      <c r="S56" s="2"/>
      <c r="T56" s="6">
        <v>12343.44</v>
      </c>
      <c r="U56" s="2"/>
      <c r="V56" s="7">
        <f t="shared" si="30"/>
        <v>2.7917441052319962E-2</v>
      </c>
      <c r="W56" s="2"/>
      <c r="X56" s="6">
        <f t="shared" si="31"/>
        <v>-2698.3199999999997</v>
      </c>
      <c r="Y56" s="2"/>
      <c r="Z56" s="7">
        <f t="shared" si="32"/>
        <v>-0.21860356594271935</v>
      </c>
    </row>
    <row r="57" spans="1:26" s="25" customFormat="1" outlineLevel="1" collapsed="1" x14ac:dyDescent="0.25">
      <c r="A57" s="27"/>
      <c r="B57" s="13" t="str">
        <f>CONCATENATE("     ","Freight out/Postage                               ")</f>
        <v xml:space="preserve">     Freight out/Postage                               </v>
      </c>
      <c r="C57" s="13"/>
      <c r="D57" s="1">
        <f>SUM(OSRRefD22_6x_0)</f>
        <v>2803.1500000000015</v>
      </c>
      <c r="E57" s="1"/>
      <c r="F57" s="5">
        <f t="shared" si="25"/>
        <v>0.6310828243441301</v>
      </c>
      <c r="G57" s="1"/>
      <c r="H57" s="1">
        <f>SUM(OSRRefH22_6x_0)</f>
        <v>0</v>
      </c>
      <c r="I57" s="1"/>
      <c r="J57" s="5">
        <f t="shared" si="26"/>
        <v>0</v>
      </c>
      <c r="K57" s="1"/>
      <c r="L57" s="1">
        <f t="shared" si="27"/>
        <v>2803.1500000000015</v>
      </c>
      <c r="M57" s="1"/>
      <c r="N57" s="5">
        <f t="shared" si="28"/>
        <v>0</v>
      </c>
      <c r="O57" s="13"/>
      <c r="P57" s="1">
        <f>SUM(OSRRefP22_6x_0)</f>
        <v>-45422.41</v>
      </c>
      <c r="Q57" s="1"/>
      <c r="R57" s="5">
        <f t="shared" si="29"/>
        <v>-0.41730116750849788</v>
      </c>
      <c r="S57" s="1"/>
      <c r="T57" s="1">
        <f>SUM(OSRRefT22_6x_0)</f>
        <v>9.1300000000000008</v>
      </c>
      <c r="U57" s="1"/>
      <c r="V57" s="5">
        <f t="shared" si="30"/>
        <v>2.0649530180215666E-5</v>
      </c>
      <c r="W57" s="1"/>
      <c r="X57" s="1">
        <f t="shared" si="31"/>
        <v>-45431.54</v>
      </c>
      <c r="Y57" s="1"/>
      <c r="Z57" s="5">
        <f t="shared" si="32"/>
        <v>-4976.0722891566265</v>
      </c>
    </row>
    <row r="58" spans="1:26" s="24" customFormat="1" hidden="1" outlineLevel="2" x14ac:dyDescent="0.25">
      <c r="A58" s="26"/>
      <c r="B58" s="11" t="str">
        <f>CONCATENATE("          ", "6305", " - ", "FREIGHT OUT")</f>
        <v xml:space="preserve">          6305 - FREIGHT OUT</v>
      </c>
      <c r="C58" s="11"/>
      <c r="D58" s="6">
        <v>24817.48</v>
      </c>
      <c r="E58" s="2"/>
      <c r="F58" s="7">
        <f t="shared" si="25"/>
        <v>5.5872448393785401</v>
      </c>
      <c r="G58" s="2"/>
      <c r="H58" s="6"/>
      <c r="I58" s="2"/>
      <c r="J58" s="7">
        <f t="shared" si="26"/>
        <v>0</v>
      </c>
      <c r="K58" s="2"/>
      <c r="L58" s="6">
        <f t="shared" si="27"/>
        <v>24817.48</v>
      </c>
      <c r="M58" s="2"/>
      <c r="N58" s="7">
        <f t="shared" si="28"/>
        <v>0</v>
      </c>
      <c r="O58" s="11"/>
      <c r="P58" s="6">
        <v>150896.71</v>
      </c>
      <c r="Q58" s="2"/>
      <c r="R58" s="7">
        <f t="shared" si="29"/>
        <v>1.3863063024659241</v>
      </c>
      <c r="S58" s="2"/>
      <c r="T58" s="6">
        <v>9.1300000000000008</v>
      </c>
      <c r="U58" s="2"/>
      <c r="V58" s="7">
        <f t="shared" si="30"/>
        <v>2.0649530180215666E-5</v>
      </c>
      <c r="W58" s="2"/>
      <c r="X58" s="6">
        <f t="shared" si="31"/>
        <v>150887.57999999999</v>
      </c>
      <c r="Y58" s="2"/>
      <c r="Z58" s="7">
        <f t="shared" si="32"/>
        <v>16526.569550930995</v>
      </c>
    </row>
    <row r="59" spans="1:26" s="24" customFormat="1" hidden="1" outlineLevel="2" x14ac:dyDescent="0.25">
      <c r="A59" s="26"/>
      <c r="B59" s="11" t="str">
        <f>CONCATENATE("          ", "6307", " - ", "POSTAGE")</f>
        <v xml:space="preserve">          6307 - POSTAGE</v>
      </c>
      <c r="C59" s="11"/>
      <c r="D59" s="6">
        <v>-22014.329999999998</v>
      </c>
      <c r="E59" s="2"/>
      <c r="F59" s="7">
        <f t="shared" si="25"/>
        <v>-4.9561620150344101</v>
      </c>
      <c r="G59" s="2"/>
      <c r="H59" s="6"/>
      <c r="I59" s="2"/>
      <c r="J59" s="7">
        <f t="shared" si="26"/>
        <v>0</v>
      </c>
      <c r="K59" s="2"/>
      <c r="L59" s="6">
        <f t="shared" si="27"/>
        <v>-22014.329999999998</v>
      </c>
      <c r="M59" s="2"/>
      <c r="N59" s="7">
        <f t="shared" si="28"/>
        <v>0</v>
      </c>
      <c r="O59" s="11"/>
      <c r="P59" s="6">
        <v>-196319.12</v>
      </c>
      <c r="Q59" s="2"/>
      <c r="R59" s="7">
        <f t="shared" si="29"/>
        <v>-1.803607469974422</v>
      </c>
      <c r="S59" s="2"/>
      <c r="T59" s="6"/>
      <c r="U59" s="2"/>
      <c r="V59" s="7">
        <f t="shared" si="30"/>
        <v>0</v>
      </c>
      <c r="W59" s="2"/>
      <c r="X59" s="6">
        <f t="shared" si="31"/>
        <v>-196319.12</v>
      </c>
      <c r="Y59" s="2"/>
      <c r="Z59" s="7">
        <f t="shared" si="32"/>
        <v>0</v>
      </c>
    </row>
    <row r="60" spans="1:26" s="25" customFormat="1" outlineLevel="1" collapsed="1" x14ac:dyDescent="0.25">
      <c r="A60" s="27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SUM(OSRRefD22_7x_0)</f>
        <v>0</v>
      </c>
      <c r="E60" s="1"/>
      <c r="F60" s="5">
        <f t="shared" ref="F60:F65" si="33">IF(D$12=0,0,D60/D$12)</f>
        <v>0</v>
      </c>
      <c r="G60" s="1"/>
      <c r="H60" s="1">
        <f>SUM(OSRRefH22_7x_0)</f>
        <v>0</v>
      </c>
      <c r="I60" s="1"/>
      <c r="J60" s="5">
        <f t="shared" ref="J60:J65" si="34">IF(H$12=0,0,H60/H$12)</f>
        <v>0</v>
      </c>
      <c r="K60" s="1"/>
      <c r="L60" s="1">
        <f t="shared" ref="L60:L65" si="35">+D60-H60</f>
        <v>0</v>
      </c>
      <c r="M60" s="1"/>
      <c r="N60" s="5">
        <f t="shared" ref="N60:N65" si="36">IF(H60=0,0,L60/H60)</f>
        <v>0</v>
      </c>
      <c r="O60" s="13"/>
      <c r="P60" s="1">
        <f>SUM(OSRRefP22_7x_0)</f>
        <v>0</v>
      </c>
      <c r="Q60" s="1"/>
      <c r="R60" s="5">
        <f t="shared" ref="R60:R65" si="37">IF(P$12=0,0,P60/P$12)</f>
        <v>0</v>
      </c>
      <c r="S60" s="1"/>
      <c r="T60" s="1">
        <f>SUM(OSRRefT22_7x_0)</f>
        <v>75</v>
      </c>
      <c r="U60" s="1"/>
      <c r="V60" s="5">
        <f t="shared" ref="V60:V65" si="38">IF(T$12=0,0,T60/T$12)</f>
        <v>1.6962921834788334E-4</v>
      </c>
      <c r="W60" s="1"/>
      <c r="X60" s="1">
        <f t="shared" ref="X60:X65" si="39">+P60-T60</f>
        <v>-75</v>
      </c>
      <c r="Y60" s="1"/>
      <c r="Z60" s="5">
        <f t="shared" ref="Z60:Z65" si="40">IF(T60=0,0,X60/T60)</f>
        <v>-1</v>
      </c>
    </row>
    <row r="61" spans="1:26" s="24" customFormat="1" hidden="1" outlineLevel="2" x14ac:dyDescent="0.25">
      <c r="A61" s="26"/>
      <c r="B61" s="11" t="str">
        <f>CONCATENATE("          ", "6279", " - ", "GENERAL EXPENSE")</f>
        <v xml:space="preserve">          6279 - GENERAL EXPENSE</v>
      </c>
      <c r="C61" s="11"/>
      <c r="D61" s="6"/>
      <c r="E61" s="2"/>
      <c r="F61" s="7">
        <f t="shared" si="33"/>
        <v>0</v>
      </c>
      <c r="G61" s="2"/>
      <c r="H61" s="6"/>
      <c r="I61" s="2"/>
      <c r="J61" s="7">
        <f t="shared" si="34"/>
        <v>0</v>
      </c>
      <c r="K61" s="2"/>
      <c r="L61" s="6">
        <f t="shared" si="35"/>
        <v>0</v>
      </c>
      <c r="M61" s="2"/>
      <c r="N61" s="7">
        <f t="shared" si="36"/>
        <v>0</v>
      </c>
      <c r="O61" s="11"/>
      <c r="P61" s="6"/>
      <c r="Q61" s="2"/>
      <c r="R61" s="7">
        <f t="shared" si="37"/>
        <v>0</v>
      </c>
      <c r="S61" s="2"/>
      <c r="T61" s="6">
        <v>75</v>
      </c>
      <c r="U61" s="2"/>
      <c r="V61" s="7">
        <f t="shared" si="38"/>
        <v>1.6962921834788334E-4</v>
      </c>
      <c r="W61" s="2"/>
      <c r="X61" s="6">
        <f t="shared" si="39"/>
        <v>-75</v>
      </c>
      <c r="Y61" s="2"/>
      <c r="Z61" s="7">
        <f t="shared" si="40"/>
        <v>-1</v>
      </c>
    </row>
    <row r="62" spans="1:26" s="25" customFormat="1" outlineLevel="1" collapsed="1" x14ac:dyDescent="0.25">
      <c r="A62" s="27"/>
      <c r="B62" s="13" t="str">
        <f>CONCATENATE("     ","Repair and Maintenance                            ")</f>
        <v xml:space="preserve">     Repair and Maintenance                            </v>
      </c>
      <c r="C62" s="13"/>
      <c r="D62" s="1">
        <f>SUM(OSRRefD22_8x_0)</f>
        <v>472.97</v>
      </c>
      <c r="E62" s="1"/>
      <c r="F62" s="5">
        <f t="shared" si="33"/>
        <v>0.10648136683018856</v>
      </c>
      <c r="G62" s="1"/>
      <c r="H62" s="1">
        <f>SUM(OSRRefH22_8x_0)</f>
        <v>4780.78</v>
      </c>
      <c r="I62" s="1"/>
      <c r="J62" s="5">
        <f t="shared" si="34"/>
        <v>9.6482456276663311E-2</v>
      </c>
      <c r="K62" s="1"/>
      <c r="L62" s="1">
        <f t="shared" si="35"/>
        <v>-4307.8099999999995</v>
      </c>
      <c r="M62" s="1"/>
      <c r="N62" s="5">
        <f t="shared" si="36"/>
        <v>-0.90106844489811277</v>
      </c>
      <c r="O62" s="13"/>
      <c r="P62" s="1">
        <f>SUM(OSRRefP22_8x_0)</f>
        <v>30905.56</v>
      </c>
      <c r="Q62" s="1"/>
      <c r="R62" s="5">
        <f t="shared" si="37"/>
        <v>0.28393311298330343</v>
      </c>
      <c r="S62" s="1"/>
      <c r="T62" s="1">
        <f>SUM(OSRRefT22_8x_0)</f>
        <v>50546.039999999994</v>
      </c>
      <c r="U62" s="1"/>
      <c r="V62" s="5">
        <f t="shared" si="38"/>
        <v>0.11432113674374458</v>
      </c>
      <c r="W62" s="1"/>
      <c r="X62" s="1">
        <f t="shared" si="39"/>
        <v>-19640.479999999992</v>
      </c>
      <c r="Y62" s="1"/>
      <c r="Z62" s="5">
        <f t="shared" si="40"/>
        <v>-0.38856614682376689</v>
      </c>
    </row>
    <row r="63" spans="1:26" s="24" customFormat="1" hidden="1" outlineLevel="2" x14ac:dyDescent="0.25">
      <c r="A63" s="26"/>
      <c r="B63" s="11" t="str">
        <f>CONCATENATE("          ", "6371", " - ", "COMPUTER SOFTWARE MAINTENANCE")</f>
        <v xml:space="preserve">          6371 - COMPUTER SOFTWARE MAINTENANCE</v>
      </c>
      <c r="C63" s="11"/>
      <c r="D63" s="6"/>
      <c r="E63" s="2"/>
      <c r="F63" s="7">
        <f t="shared" si="33"/>
        <v>0</v>
      </c>
      <c r="G63" s="2"/>
      <c r="H63" s="6"/>
      <c r="I63" s="2"/>
      <c r="J63" s="7">
        <f t="shared" si="34"/>
        <v>0</v>
      </c>
      <c r="K63" s="2"/>
      <c r="L63" s="6">
        <f t="shared" si="35"/>
        <v>0</v>
      </c>
      <c r="M63" s="2"/>
      <c r="N63" s="7">
        <f t="shared" si="36"/>
        <v>0</v>
      </c>
      <c r="O63" s="11"/>
      <c r="P63" s="6">
        <v>7.69</v>
      </c>
      <c r="Q63" s="2"/>
      <c r="R63" s="7">
        <f t="shared" si="37"/>
        <v>7.0648958920064981E-5</v>
      </c>
      <c r="S63" s="2"/>
      <c r="T63" s="6"/>
      <c r="U63" s="2"/>
      <c r="V63" s="7">
        <f t="shared" si="38"/>
        <v>0</v>
      </c>
      <c r="W63" s="2"/>
      <c r="X63" s="6">
        <f t="shared" si="39"/>
        <v>7.69</v>
      </c>
      <c r="Y63" s="2"/>
      <c r="Z63" s="7">
        <f t="shared" si="40"/>
        <v>0</v>
      </c>
    </row>
    <row r="64" spans="1:26" s="24" customFormat="1" hidden="1" outlineLevel="2" x14ac:dyDescent="0.25">
      <c r="A64" s="26"/>
      <c r="B64" s="11" t="str">
        <f>CONCATENATE("          ", "6373", " - ", "MAINTENANCE CONTRACTS")</f>
        <v xml:space="preserve">          6373 - MAINTENANCE CONTRACTS</v>
      </c>
      <c r="C64" s="11"/>
      <c r="D64" s="6">
        <v>472.97</v>
      </c>
      <c r="E64" s="2"/>
      <c r="F64" s="7">
        <f t="shared" si="33"/>
        <v>0.10648136683018856</v>
      </c>
      <c r="G64" s="2"/>
      <c r="H64" s="6">
        <v>4780.78</v>
      </c>
      <c r="I64" s="2"/>
      <c r="J64" s="7">
        <f t="shared" si="34"/>
        <v>9.6482456276663311E-2</v>
      </c>
      <c r="K64" s="2"/>
      <c r="L64" s="6">
        <f t="shared" si="35"/>
        <v>-4307.8099999999995</v>
      </c>
      <c r="M64" s="2"/>
      <c r="N64" s="7">
        <f t="shared" si="36"/>
        <v>-0.90106844489811277</v>
      </c>
      <c r="O64" s="11"/>
      <c r="P64" s="6">
        <v>30897.870000000003</v>
      </c>
      <c r="Q64" s="2"/>
      <c r="R64" s="7">
        <f t="shared" si="37"/>
        <v>0.28386246402438337</v>
      </c>
      <c r="S64" s="2"/>
      <c r="T64" s="6">
        <v>49660.579999999994</v>
      </c>
      <c r="U64" s="2"/>
      <c r="V64" s="7">
        <f t="shared" si="38"/>
        <v>0.11231847157470036</v>
      </c>
      <c r="W64" s="2"/>
      <c r="X64" s="6">
        <f t="shared" si="39"/>
        <v>-18762.709999999992</v>
      </c>
      <c r="Y64" s="2"/>
      <c r="Z64" s="7">
        <f t="shared" si="40"/>
        <v>-0.37781898640732736</v>
      </c>
    </row>
    <row r="65" spans="1:26" s="24" customFormat="1" hidden="1" outlineLevel="2" x14ac:dyDescent="0.25">
      <c r="A65" s="26"/>
      <c r="B65" s="11" t="str">
        <f>CONCATENATE("          ", "6375", " - ", "OUTSIDE REPAIRS &amp; MAINTENANCE")</f>
        <v xml:space="preserve">          6375 - OUTSIDE REPAIRS &amp; MAINTENANCE</v>
      </c>
      <c r="C65" s="11"/>
      <c r="D65" s="6"/>
      <c r="E65" s="2"/>
      <c r="F65" s="7">
        <f t="shared" si="33"/>
        <v>0</v>
      </c>
      <c r="G65" s="2"/>
      <c r="H65" s="6"/>
      <c r="I65" s="2"/>
      <c r="J65" s="7">
        <f t="shared" si="34"/>
        <v>0</v>
      </c>
      <c r="K65" s="2"/>
      <c r="L65" s="6">
        <f t="shared" si="35"/>
        <v>0</v>
      </c>
      <c r="M65" s="2"/>
      <c r="N65" s="7">
        <f t="shared" si="36"/>
        <v>0</v>
      </c>
      <c r="O65" s="11"/>
      <c r="P65" s="6"/>
      <c r="Q65" s="2"/>
      <c r="R65" s="7">
        <f t="shared" si="37"/>
        <v>0</v>
      </c>
      <c r="S65" s="2"/>
      <c r="T65" s="6">
        <v>885.46</v>
      </c>
      <c r="U65" s="2"/>
      <c r="V65" s="7">
        <f t="shared" si="38"/>
        <v>2.0026651690442238E-3</v>
      </c>
      <c r="W65" s="2"/>
      <c r="X65" s="6">
        <f t="shared" si="39"/>
        <v>-885.46</v>
      </c>
      <c r="Y65" s="2"/>
      <c r="Z65" s="7">
        <f t="shared" si="40"/>
        <v>-1</v>
      </c>
    </row>
    <row r="66" spans="1:26" s="25" customFormat="1" outlineLevel="1" collapsed="1" x14ac:dyDescent="0.25">
      <c r="A66" s="27"/>
      <c r="B66" s="13" t="str">
        <f>CONCATENATE("     ","Royalty &amp; Commissions                             ")</f>
        <v xml:space="preserve">     Royalty &amp; Commissions                             </v>
      </c>
      <c r="C66" s="13"/>
      <c r="D66" s="1">
        <f>SUM(OSRRefD22_9x_0)</f>
        <v>468.34</v>
      </c>
      <c r="E66" s="1"/>
      <c r="F66" s="5">
        <f t="shared" ref="F66:F74" si="41">IF(D$12=0,0,D66/D$12)</f>
        <v>0.10543899896663744</v>
      </c>
      <c r="G66" s="1"/>
      <c r="H66" s="1">
        <f>SUM(OSRRefH22_9x_0)</f>
        <v>8561.32</v>
      </c>
      <c r="I66" s="1"/>
      <c r="J66" s="5">
        <f t="shared" ref="J66:J74" si="42">IF(H$12=0,0,H66/H$12)</f>
        <v>0.17277874793873033</v>
      </c>
      <c r="K66" s="1"/>
      <c r="L66" s="1">
        <f t="shared" ref="L66:L74" si="43">+D66-H66</f>
        <v>-8092.98</v>
      </c>
      <c r="M66" s="1"/>
      <c r="N66" s="5">
        <f t="shared" ref="N66:N74" si="44">IF(H66=0,0,L66/H66)</f>
        <v>-0.9452958188690529</v>
      </c>
      <c r="O66" s="13"/>
      <c r="P66" s="1">
        <f>SUM(OSRRefP22_9x_0)</f>
        <v>10636.41</v>
      </c>
      <c r="Q66" s="1"/>
      <c r="R66" s="5">
        <f t="shared" ref="R66:R74" si="45">IF(P$12=0,0,P66/P$12)</f>
        <v>9.7717983504157127E-2</v>
      </c>
      <c r="S66" s="1"/>
      <c r="T66" s="1">
        <f>SUM(OSRRefT22_9x_0)</f>
        <v>72961.88</v>
      </c>
      <c r="U66" s="1"/>
      <c r="V66" s="5">
        <f t="shared" ref="V66:V74" si="46">IF(T$12=0,0,T66/T$12)</f>
        <v>0.16501955564789417</v>
      </c>
      <c r="W66" s="1"/>
      <c r="X66" s="1">
        <f t="shared" ref="X66:X74" si="47">+P66-T66</f>
        <v>-62325.47</v>
      </c>
      <c r="Y66" s="1"/>
      <c r="Z66" s="5">
        <f t="shared" ref="Z66:Z74" si="48">IF(T66=0,0,X66/T66)</f>
        <v>-0.85421962811265273</v>
      </c>
    </row>
    <row r="67" spans="1:26" s="24" customFormat="1" hidden="1" outlineLevel="2" x14ac:dyDescent="0.25">
      <c r="A67" s="26"/>
      <c r="B67" s="11" t="str">
        <f>CONCATENATE("          ", "6259", " - ", "ROYALTY &amp; COMMISSIONS")</f>
        <v xml:space="preserve">          6259 - ROYALTY &amp; COMMISSIONS</v>
      </c>
      <c r="C67" s="11"/>
      <c r="D67" s="6">
        <v>468.34</v>
      </c>
      <c r="E67" s="2"/>
      <c r="F67" s="7">
        <f t="shared" si="41"/>
        <v>0.10543899896663744</v>
      </c>
      <c r="G67" s="2"/>
      <c r="H67" s="6">
        <v>8561.32</v>
      </c>
      <c r="I67" s="2"/>
      <c r="J67" s="7">
        <f t="shared" si="42"/>
        <v>0.17277874793873033</v>
      </c>
      <c r="K67" s="2"/>
      <c r="L67" s="6">
        <f t="shared" si="43"/>
        <v>-8092.98</v>
      </c>
      <c r="M67" s="2"/>
      <c r="N67" s="7">
        <f t="shared" si="44"/>
        <v>-0.9452958188690529</v>
      </c>
      <c r="O67" s="11"/>
      <c r="P67" s="6">
        <v>10636.41</v>
      </c>
      <c r="Q67" s="2"/>
      <c r="R67" s="7">
        <f t="shared" si="45"/>
        <v>9.7717983504157127E-2</v>
      </c>
      <c r="S67" s="2"/>
      <c r="T67" s="6">
        <v>72961.88</v>
      </c>
      <c r="U67" s="2"/>
      <c r="V67" s="7">
        <f t="shared" si="46"/>
        <v>0.16501955564789417</v>
      </c>
      <c r="W67" s="2"/>
      <c r="X67" s="6">
        <f t="shared" si="47"/>
        <v>-62325.47</v>
      </c>
      <c r="Y67" s="2"/>
      <c r="Z67" s="7">
        <f t="shared" si="48"/>
        <v>-0.85421962811265273</v>
      </c>
    </row>
    <row r="68" spans="1:26" s="25" customFormat="1" outlineLevel="1" collapsed="1" x14ac:dyDescent="0.25">
      <c r="A68" s="27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SUM(OSRRefD22_10x_0)</f>
        <v>-2156.8399999999997</v>
      </c>
      <c r="E68" s="1"/>
      <c r="F68" s="5">
        <f t="shared" si="41"/>
        <v>-0.48557682566341176</v>
      </c>
      <c r="G68" s="1"/>
      <c r="H68" s="1">
        <f>SUM(OSRRefH22_10x_0)</f>
        <v>4945.3900000000003</v>
      </c>
      <c r="I68" s="1"/>
      <c r="J68" s="5">
        <f t="shared" si="42"/>
        <v>9.9804503542528206E-2</v>
      </c>
      <c r="K68" s="1"/>
      <c r="L68" s="1">
        <f t="shared" si="43"/>
        <v>-7102.23</v>
      </c>
      <c r="M68" s="1"/>
      <c r="N68" s="5">
        <f t="shared" si="44"/>
        <v>-1.4361314274506154</v>
      </c>
      <c r="O68" s="13"/>
      <c r="P68" s="1">
        <f>SUM(OSRRefP22_10x_0)</f>
        <v>29928.16</v>
      </c>
      <c r="Q68" s="1"/>
      <c r="R68" s="5">
        <f t="shared" si="45"/>
        <v>0.27495362111744237</v>
      </c>
      <c r="S68" s="1"/>
      <c r="T68" s="1">
        <f>SUM(OSRRefT22_10x_0)</f>
        <v>29361.47</v>
      </c>
      <c r="U68" s="1"/>
      <c r="V68" s="5">
        <f t="shared" si="46"/>
        <v>6.6407509408597687E-2</v>
      </c>
      <c r="W68" s="1"/>
      <c r="X68" s="1">
        <f t="shared" si="47"/>
        <v>566.68999999999869</v>
      </c>
      <c r="Y68" s="1"/>
      <c r="Z68" s="5">
        <f t="shared" si="48"/>
        <v>1.9300464179756623E-2</v>
      </c>
    </row>
    <row r="69" spans="1:26" s="24" customFormat="1" hidden="1" outlineLevel="2" x14ac:dyDescent="0.25">
      <c r="A69" s="26"/>
      <c r="B69" s="11" t="str">
        <f>CONCATENATE("          ", "6234", " - ", "EXPENDABLE SUPPLIES &amp; EQUIPMEN")</f>
        <v xml:space="preserve">          6234 - EXPENDABLE SUPPLIES &amp; EQUIPMEN</v>
      </c>
      <c r="C69" s="11"/>
      <c r="D69" s="6"/>
      <c r="E69" s="2"/>
      <c r="F69" s="7">
        <f t="shared" si="41"/>
        <v>0</v>
      </c>
      <c r="G69" s="2"/>
      <c r="H69" s="6"/>
      <c r="I69" s="2"/>
      <c r="J69" s="7">
        <f t="shared" si="42"/>
        <v>0</v>
      </c>
      <c r="K69" s="2"/>
      <c r="L69" s="6">
        <f t="shared" si="43"/>
        <v>0</v>
      </c>
      <c r="M69" s="2"/>
      <c r="N69" s="7">
        <f t="shared" si="44"/>
        <v>0</v>
      </c>
      <c r="O69" s="11"/>
      <c r="P69" s="6"/>
      <c r="Q69" s="2"/>
      <c r="R69" s="7">
        <f t="shared" si="45"/>
        <v>0</v>
      </c>
      <c r="S69" s="2"/>
      <c r="T69" s="6">
        <v>1017.27</v>
      </c>
      <c r="U69" s="2"/>
      <c r="V69" s="7">
        <f t="shared" si="46"/>
        <v>2.3007828659833505E-3</v>
      </c>
      <c r="W69" s="2"/>
      <c r="X69" s="6">
        <f t="shared" si="47"/>
        <v>-1017.27</v>
      </c>
      <c r="Y69" s="2"/>
      <c r="Z69" s="7">
        <f t="shared" si="48"/>
        <v>-1</v>
      </c>
    </row>
    <row r="70" spans="1:26" s="24" customFormat="1" hidden="1" outlineLevel="2" x14ac:dyDescent="0.25">
      <c r="A70" s="26"/>
      <c r="B70" s="11" t="str">
        <f>CONCATENATE("          ", "6235", " - ", "COVID-19 EXPENSES")</f>
        <v xml:space="preserve">          6235 - COVID-19 EXPENSES</v>
      </c>
      <c r="C70" s="11"/>
      <c r="D70" s="6"/>
      <c r="E70" s="2"/>
      <c r="F70" s="7">
        <f t="shared" si="41"/>
        <v>0</v>
      </c>
      <c r="G70" s="2"/>
      <c r="H70" s="6"/>
      <c r="I70" s="2"/>
      <c r="J70" s="7">
        <f t="shared" si="42"/>
        <v>0</v>
      </c>
      <c r="K70" s="2"/>
      <c r="L70" s="6">
        <f t="shared" si="43"/>
        <v>0</v>
      </c>
      <c r="M70" s="2"/>
      <c r="N70" s="7">
        <f t="shared" si="44"/>
        <v>0</v>
      </c>
      <c r="O70" s="11"/>
      <c r="P70" s="6">
        <v>310.91000000000003</v>
      </c>
      <c r="Q70" s="2"/>
      <c r="R70" s="7">
        <f t="shared" si="45"/>
        <v>2.8563677266368534E-3</v>
      </c>
      <c r="S70" s="2"/>
      <c r="T70" s="6"/>
      <c r="U70" s="2"/>
      <c r="V70" s="7">
        <f t="shared" si="46"/>
        <v>0</v>
      </c>
      <c r="W70" s="2"/>
      <c r="X70" s="6">
        <f t="shared" si="47"/>
        <v>310.91000000000003</v>
      </c>
      <c r="Y70" s="2"/>
      <c r="Z70" s="7">
        <f t="shared" si="48"/>
        <v>0</v>
      </c>
    </row>
    <row r="71" spans="1:26" s="24" customFormat="1" hidden="1" outlineLevel="2" x14ac:dyDescent="0.25">
      <c r="A71" s="26"/>
      <c r="B71" s="11" t="str">
        <f>CONCATENATE("          ", "6241", " - ", "OFFICE EXPENSE")</f>
        <v xml:space="preserve">          6241 - OFFICE EXPENSE</v>
      </c>
      <c r="C71" s="11"/>
      <c r="D71" s="6">
        <v>7.71</v>
      </c>
      <c r="E71" s="2"/>
      <c r="F71" s="7">
        <f t="shared" si="41"/>
        <v>1.735778882932858E-3</v>
      </c>
      <c r="G71" s="2"/>
      <c r="H71" s="6">
        <v>10.039999999999999</v>
      </c>
      <c r="I71" s="2"/>
      <c r="J71" s="7">
        <f t="shared" si="42"/>
        <v>2.0262046381923026E-4</v>
      </c>
      <c r="K71" s="2"/>
      <c r="L71" s="6">
        <f t="shared" si="43"/>
        <v>-2.3299999999999992</v>
      </c>
      <c r="M71" s="2"/>
      <c r="N71" s="7">
        <f t="shared" si="44"/>
        <v>-0.23207171314741029</v>
      </c>
      <c r="O71" s="11"/>
      <c r="P71" s="6">
        <v>4604.57</v>
      </c>
      <c r="Q71" s="2"/>
      <c r="R71" s="7">
        <f t="shared" si="45"/>
        <v>4.2302740802934141E-2</v>
      </c>
      <c r="S71" s="2"/>
      <c r="T71" s="6">
        <v>1578.06</v>
      </c>
      <c r="U71" s="2"/>
      <c r="V71" s="7">
        <f t="shared" si="46"/>
        <v>3.5691344574141437E-3</v>
      </c>
      <c r="W71" s="2"/>
      <c r="X71" s="6">
        <f t="shared" si="47"/>
        <v>3026.5099999999998</v>
      </c>
      <c r="Y71" s="2"/>
      <c r="Z71" s="7">
        <f t="shared" si="48"/>
        <v>1.9178675082062786</v>
      </c>
    </row>
    <row r="72" spans="1:26" s="24" customFormat="1" hidden="1" outlineLevel="2" x14ac:dyDescent="0.25">
      <c r="A72" s="26"/>
      <c r="B72" s="11" t="str">
        <f>CONCATENATE("          ", "6243", " - ", "PAPER SUPPLIES")</f>
        <v xml:space="preserve">          6243 - PAPER SUPPLIES</v>
      </c>
      <c r="C72" s="11"/>
      <c r="D72" s="6"/>
      <c r="E72" s="2"/>
      <c r="F72" s="7">
        <f t="shared" si="41"/>
        <v>0</v>
      </c>
      <c r="G72" s="2"/>
      <c r="H72" s="6">
        <v>-285.27999999999997</v>
      </c>
      <c r="I72" s="2"/>
      <c r="J72" s="7">
        <f t="shared" si="42"/>
        <v>-5.7573272827041834E-3</v>
      </c>
      <c r="K72" s="2"/>
      <c r="L72" s="6">
        <f t="shared" si="43"/>
        <v>285.27999999999997</v>
      </c>
      <c r="M72" s="2"/>
      <c r="N72" s="7">
        <f t="shared" si="44"/>
        <v>-1</v>
      </c>
      <c r="O72" s="11"/>
      <c r="P72" s="6">
        <v>6173.4</v>
      </c>
      <c r="Q72" s="2"/>
      <c r="R72" s="7">
        <f t="shared" si="45"/>
        <v>5.6715771521083105E-2</v>
      </c>
      <c r="S72" s="2"/>
      <c r="T72" s="6">
        <v>11567.55</v>
      </c>
      <c r="U72" s="2"/>
      <c r="V72" s="7">
        <f t="shared" si="46"/>
        <v>2.6162592862667436E-2</v>
      </c>
      <c r="W72" s="2"/>
      <c r="X72" s="6">
        <f t="shared" si="47"/>
        <v>-5394.15</v>
      </c>
      <c r="Y72" s="2"/>
      <c r="Z72" s="7">
        <f t="shared" si="48"/>
        <v>-0.46631741379981068</v>
      </c>
    </row>
    <row r="73" spans="1:26" s="24" customFormat="1" hidden="1" outlineLevel="2" x14ac:dyDescent="0.25">
      <c r="A73" s="26"/>
      <c r="B73" s="11" t="str">
        <f>CONCATENATE("          ", "6245", " - ", "PRINTING")</f>
        <v xml:space="preserve">          6245 - PRINTING</v>
      </c>
      <c r="C73" s="11"/>
      <c r="D73" s="6">
        <v>398.67</v>
      </c>
      <c r="E73" s="2"/>
      <c r="F73" s="7">
        <f t="shared" si="41"/>
        <v>8.9753951654843386E-2</v>
      </c>
      <c r="G73" s="2"/>
      <c r="H73" s="6">
        <v>3266.4</v>
      </c>
      <c r="I73" s="2"/>
      <c r="J73" s="7">
        <f t="shared" si="42"/>
        <v>6.5920267232981444E-2</v>
      </c>
      <c r="K73" s="2"/>
      <c r="L73" s="6">
        <f t="shared" si="43"/>
        <v>-2867.73</v>
      </c>
      <c r="M73" s="2"/>
      <c r="N73" s="7">
        <f t="shared" si="44"/>
        <v>-0.87794819985304917</v>
      </c>
      <c r="O73" s="11"/>
      <c r="P73" s="6">
        <v>838.28</v>
      </c>
      <c r="Q73" s="2"/>
      <c r="R73" s="7">
        <f t="shared" si="45"/>
        <v>7.7013796207427918E-3</v>
      </c>
      <c r="S73" s="2"/>
      <c r="T73" s="6">
        <v>5273.67</v>
      </c>
      <c r="U73" s="2"/>
      <c r="V73" s="7">
        <f t="shared" si="46"/>
        <v>1.1927580265662426E-2</v>
      </c>
      <c r="W73" s="2"/>
      <c r="X73" s="6">
        <f t="shared" si="47"/>
        <v>-4435.3900000000003</v>
      </c>
      <c r="Y73" s="2"/>
      <c r="Z73" s="7">
        <f t="shared" si="48"/>
        <v>-0.84104428225505201</v>
      </c>
    </row>
    <row r="74" spans="1:26" s="24" customFormat="1" hidden="1" outlineLevel="2" x14ac:dyDescent="0.25">
      <c r="A74" s="26"/>
      <c r="B74" s="11" t="str">
        <f>CONCATENATE("          ", "6247", " - ", "STORE SUPPLIES")</f>
        <v xml:space="preserve">          6247 - STORE SUPPLIES</v>
      </c>
      <c r="C74" s="11"/>
      <c r="D74" s="6">
        <v>-2563.2199999999998</v>
      </c>
      <c r="E74" s="2"/>
      <c r="F74" s="7">
        <f t="shared" si="41"/>
        <v>-0.57706655620118807</v>
      </c>
      <c r="G74" s="2"/>
      <c r="H74" s="6">
        <v>1954.23</v>
      </c>
      <c r="I74" s="2"/>
      <c r="J74" s="7">
        <f t="shared" si="42"/>
        <v>3.9438943128431714E-2</v>
      </c>
      <c r="K74" s="2"/>
      <c r="L74" s="6">
        <f t="shared" si="43"/>
        <v>-4517.45</v>
      </c>
      <c r="M74" s="2"/>
      <c r="N74" s="7">
        <f t="shared" si="44"/>
        <v>-2.3116265741494093</v>
      </c>
      <c r="O74" s="11"/>
      <c r="P74" s="6">
        <v>18001</v>
      </c>
      <c r="Q74" s="2"/>
      <c r="R74" s="7">
        <f t="shared" si="45"/>
        <v>0.16537736144604548</v>
      </c>
      <c r="S74" s="2"/>
      <c r="T74" s="6">
        <v>9924.92</v>
      </c>
      <c r="U74" s="2"/>
      <c r="V74" s="7">
        <f t="shared" si="46"/>
        <v>2.2447418956870323E-2</v>
      </c>
      <c r="W74" s="2"/>
      <c r="X74" s="6">
        <f t="shared" si="47"/>
        <v>8076.08</v>
      </c>
      <c r="Y74" s="2"/>
      <c r="Z74" s="7">
        <f t="shared" si="48"/>
        <v>0.81371739016536149</v>
      </c>
    </row>
    <row r="75" spans="1:26" s="25" customFormat="1" outlineLevel="1" collapsed="1" x14ac:dyDescent="0.25">
      <c r="A75" s="27"/>
      <c r="B75" s="13" t="str">
        <f>CONCATENATE("     ","Telephone/Data Lines                              ")</f>
        <v xml:space="preserve">     Telephone/Data Lines                              </v>
      </c>
      <c r="C75" s="13"/>
      <c r="D75" s="1">
        <f>SUM(OSRRefD22_11x_0)</f>
        <v>82.1</v>
      </c>
      <c r="E75" s="1"/>
      <c r="F75" s="5">
        <f t="shared" ref="F75:F80" si="49">IF(D$12=0,0,D75/D$12)</f>
        <v>1.8483456068584647E-2</v>
      </c>
      <c r="G75" s="1"/>
      <c r="H75" s="1">
        <f>SUM(OSRRefH22_11x_0)</f>
        <v>152.65</v>
      </c>
      <c r="I75" s="1"/>
      <c r="J75" s="5">
        <f t="shared" ref="J75:J80" si="50">IF(H$12=0,0,H75/H$12)</f>
        <v>3.0806786655383964E-3</v>
      </c>
      <c r="K75" s="1"/>
      <c r="L75" s="1">
        <f t="shared" ref="L75:L80" si="51">+D75-H75</f>
        <v>-70.550000000000011</v>
      </c>
      <c r="M75" s="1"/>
      <c r="N75" s="5">
        <f t="shared" ref="N75:N80" si="52">IF(H75=0,0,L75/H75)</f>
        <v>-0.46216835899115627</v>
      </c>
      <c r="O75" s="13"/>
      <c r="P75" s="1">
        <f>SUM(OSRRefP22_11x_0)</f>
        <v>1421.3</v>
      </c>
      <c r="Q75" s="1"/>
      <c r="R75" s="5">
        <f t="shared" ref="R75:R80" si="53">IF(P$12=0,0,P75/P$12)</f>
        <v>1.3057654787137626E-2</v>
      </c>
      <c r="S75" s="1"/>
      <c r="T75" s="1">
        <f>SUM(OSRRefT22_11x_0)</f>
        <v>1119</v>
      </c>
      <c r="U75" s="1"/>
      <c r="V75" s="5">
        <f t="shared" ref="V75:V80" si="54">IF(T$12=0,0,T75/T$12)</f>
        <v>2.5308679377504194E-3</v>
      </c>
      <c r="W75" s="1"/>
      <c r="X75" s="1">
        <f t="shared" ref="X75:X80" si="55">+P75-T75</f>
        <v>302.29999999999995</v>
      </c>
      <c r="Y75" s="1"/>
      <c r="Z75" s="5">
        <f t="shared" ref="Z75:Z80" si="56">IF(T75=0,0,X75/T75)</f>
        <v>0.27015192135835564</v>
      </c>
    </row>
    <row r="76" spans="1:26" s="24" customFormat="1" hidden="1" outlineLevel="2" x14ac:dyDescent="0.25">
      <c r="A76" s="26"/>
      <c r="B76" s="11" t="str">
        <f>CONCATENATE("          ", "6309", " - ", "TELEPHONE")</f>
        <v xml:space="preserve">          6309 - TELEPHONE</v>
      </c>
      <c r="C76" s="11"/>
      <c r="D76" s="6">
        <v>82.1</v>
      </c>
      <c r="E76" s="2"/>
      <c r="F76" s="7">
        <f t="shared" si="49"/>
        <v>1.8483456068584647E-2</v>
      </c>
      <c r="G76" s="2"/>
      <c r="H76" s="6">
        <v>152.65</v>
      </c>
      <c r="I76" s="2"/>
      <c r="J76" s="7">
        <f t="shared" si="50"/>
        <v>3.0806786655383964E-3</v>
      </c>
      <c r="K76" s="2"/>
      <c r="L76" s="6">
        <f t="shared" si="51"/>
        <v>-70.550000000000011</v>
      </c>
      <c r="M76" s="2"/>
      <c r="N76" s="7">
        <f t="shared" si="52"/>
        <v>-0.46216835899115627</v>
      </c>
      <c r="O76" s="11"/>
      <c r="P76" s="6">
        <v>1421.3</v>
      </c>
      <c r="Q76" s="2"/>
      <c r="R76" s="7">
        <f t="shared" si="53"/>
        <v>1.3057654787137626E-2</v>
      </c>
      <c r="S76" s="2"/>
      <c r="T76" s="6">
        <v>1119</v>
      </c>
      <c r="U76" s="2"/>
      <c r="V76" s="7">
        <f t="shared" si="54"/>
        <v>2.5308679377504194E-3</v>
      </c>
      <c r="W76" s="2"/>
      <c r="X76" s="6">
        <f t="shared" si="55"/>
        <v>302.29999999999995</v>
      </c>
      <c r="Y76" s="2"/>
      <c r="Z76" s="7">
        <f t="shared" si="56"/>
        <v>0.27015192135835564</v>
      </c>
    </row>
    <row r="77" spans="1:26" s="25" customFormat="1" outlineLevel="1" collapsed="1" x14ac:dyDescent="0.25">
      <c r="A77" s="27"/>
      <c r="B77" s="13" t="str">
        <f>CONCATENATE("     ","Training                                          ")</f>
        <v xml:space="preserve">     Training                                          </v>
      </c>
      <c r="C77" s="13"/>
      <c r="D77" s="1">
        <f>SUM(OSRRefD22_12x_0)</f>
        <v>0</v>
      </c>
      <c r="E77" s="1"/>
      <c r="F77" s="5">
        <f t="shared" si="49"/>
        <v>0</v>
      </c>
      <c r="G77" s="1"/>
      <c r="H77" s="1">
        <f>SUM(OSRRefH22_12x_0)</f>
        <v>0</v>
      </c>
      <c r="I77" s="1"/>
      <c r="J77" s="5">
        <f t="shared" si="50"/>
        <v>0</v>
      </c>
      <c r="K77" s="1"/>
      <c r="L77" s="1">
        <f t="shared" si="51"/>
        <v>0</v>
      </c>
      <c r="M77" s="1"/>
      <c r="N77" s="5">
        <f t="shared" si="52"/>
        <v>0</v>
      </c>
      <c r="O77" s="13"/>
      <c r="P77" s="1">
        <f>SUM(OSRRefP22_12x_0)</f>
        <v>0</v>
      </c>
      <c r="Q77" s="1"/>
      <c r="R77" s="5">
        <f t="shared" si="53"/>
        <v>0</v>
      </c>
      <c r="S77" s="1"/>
      <c r="T77" s="1">
        <f>SUM(OSRRefT22_12x_0)</f>
        <v>97.71</v>
      </c>
      <c r="U77" s="1"/>
      <c r="V77" s="5">
        <f t="shared" si="54"/>
        <v>2.209929456636224E-4</v>
      </c>
      <c r="W77" s="1"/>
      <c r="X77" s="1">
        <f t="shared" si="55"/>
        <v>-97.71</v>
      </c>
      <c r="Y77" s="1"/>
      <c r="Z77" s="5">
        <f t="shared" si="56"/>
        <v>-1</v>
      </c>
    </row>
    <row r="78" spans="1:26" s="24" customFormat="1" hidden="1" outlineLevel="2" x14ac:dyDescent="0.25">
      <c r="A78" s="26"/>
      <c r="B78" s="11" t="str">
        <f>CONCATENATE("          ", "6376", " - ", "TRAINING")</f>
        <v xml:space="preserve">          6376 - TRAINING</v>
      </c>
      <c r="C78" s="11"/>
      <c r="D78" s="6"/>
      <c r="E78" s="2"/>
      <c r="F78" s="7">
        <f t="shared" si="49"/>
        <v>0</v>
      </c>
      <c r="G78" s="2"/>
      <c r="H78" s="6"/>
      <c r="I78" s="2"/>
      <c r="J78" s="7">
        <f t="shared" si="50"/>
        <v>0</v>
      </c>
      <c r="K78" s="2"/>
      <c r="L78" s="6">
        <f t="shared" si="51"/>
        <v>0</v>
      </c>
      <c r="M78" s="2"/>
      <c r="N78" s="7">
        <f t="shared" si="52"/>
        <v>0</v>
      </c>
      <c r="O78" s="11"/>
      <c r="P78" s="6"/>
      <c r="Q78" s="2"/>
      <c r="R78" s="7">
        <f t="shared" si="53"/>
        <v>0</v>
      </c>
      <c r="S78" s="2"/>
      <c r="T78" s="6">
        <v>97.71</v>
      </c>
      <c r="U78" s="2"/>
      <c r="V78" s="7">
        <f t="shared" si="54"/>
        <v>2.209929456636224E-4</v>
      </c>
      <c r="W78" s="2"/>
      <c r="X78" s="6">
        <f t="shared" si="55"/>
        <v>-97.71</v>
      </c>
      <c r="Y78" s="2"/>
      <c r="Z78" s="7">
        <f t="shared" si="56"/>
        <v>-1</v>
      </c>
    </row>
    <row r="79" spans="1:26" s="25" customFormat="1" outlineLevel="1" collapsed="1" x14ac:dyDescent="0.25">
      <c r="A79" s="27"/>
      <c r="B79" s="13" t="str">
        <f>CONCATENATE("     ","Utilities                                         ")</f>
        <v xml:space="preserve">     Utilities                                         </v>
      </c>
      <c r="C79" s="13"/>
      <c r="D79" s="1">
        <f>SUM(OSRRefD22_13x_0)</f>
        <v>0</v>
      </c>
      <c r="E79" s="1"/>
      <c r="F79" s="5">
        <f t="shared" si="49"/>
        <v>0</v>
      </c>
      <c r="G79" s="1"/>
      <c r="H79" s="1">
        <f>SUM(OSRRefH22_13x_0)</f>
        <v>0</v>
      </c>
      <c r="I79" s="1"/>
      <c r="J79" s="5">
        <f t="shared" si="50"/>
        <v>0</v>
      </c>
      <c r="K79" s="1"/>
      <c r="L79" s="1">
        <f t="shared" si="51"/>
        <v>0</v>
      </c>
      <c r="M79" s="1"/>
      <c r="N79" s="5">
        <f t="shared" si="52"/>
        <v>0</v>
      </c>
      <c r="O79" s="13"/>
      <c r="P79" s="1">
        <f>SUM(OSRRefP22_13x_0)</f>
        <v>15.02</v>
      </c>
      <c r="Q79" s="1"/>
      <c r="R79" s="5">
        <f t="shared" si="53"/>
        <v>1.3799055435362496E-4</v>
      </c>
      <c r="S79" s="1"/>
      <c r="T79" s="1">
        <f>SUM(OSRRefT22_13x_0)</f>
        <v>0</v>
      </c>
      <c r="U79" s="1"/>
      <c r="V79" s="5">
        <f t="shared" si="54"/>
        <v>0</v>
      </c>
      <c r="W79" s="1"/>
      <c r="X79" s="1">
        <f t="shared" si="55"/>
        <v>15.02</v>
      </c>
      <c r="Y79" s="1"/>
      <c r="Z79" s="5">
        <f t="shared" si="56"/>
        <v>0</v>
      </c>
    </row>
    <row r="80" spans="1:26" s="24" customFormat="1" hidden="1" outlineLevel="2" x14ac:dyDescent="0.25">
      <c r="A80" s="26"/>
      <c r="B80" s="11" t="str">
        <f>CONCATENATE("          ", "6274", " - ", "UTILITIES")</f>
        <v xml:space="preserve">          6274 - UTILITIES</v>
      </c>
      <c r="C80" s="11"/>
      <c r="D80" s="6"/>
      <c r="E80" s="2"/>
      <c r="F80" s="7">
        <f t="shared" si="49"/>
        <v>0</v>
      </c>
      <c r="G80" s="2"/>
      <c r="H80" s="6"/>
      <c r="I80" s="2"/>
      <c r="J80" s="7">
        <f t="shared" si="50"/>
        <v>0</v>
      </c>
      <c r="K80" s="2"/>
      <c r="L80" s="6">
        <f t="shared" si="51"/>
        <v>0</v>
      </c>
      <c r="M80" s="2"/>
      <c r="N80" s="7">
        <f t="shared" si="52"/>
        <v>0</v>
      </c>
      <c r="O80" s="11"/>
      <c r="P80" s="6">
        <v>15.02</v>
      </c>
      <c r="Q80" s="2"/>
      <c r="R80" s="7">
        <f t="shared" si="53"/>
        <v>1.3799055435362496E-4</v>
      </c>
      <c r="S80" s="2"/>
      <c r="T80" s="6"/>
      <c r="U80" s="2"/>
      <c r="V80" s="7">
        <f t="shared" si="54"/>
        <v>0</v>
      </c>
      <c r="W80" s="2"/>
      <c r="X80" s="6">
        <f t="shared" si="55"/>
        <v>15.02</v>
      </c>
      <c r="Y80" s="2"/>
      <c r="Z80" s="7">
        <f t="shared" si="56"/>
        <v>0</v>
      </c>
    </row>
    <row r="81" spans="1:26" s="52" customFormat="1" x14ac:dyDescent="0.25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collapsed="1" x14ac:dyDescent="0.25">
      <c r="A82" s="10"/>
      <c r="B82" s="28" t="s">
        <v>0</v>
      </c>
      <c r="C82" s="10"/>
      <c r="D82" s="4">
        <f>SUM(OSRRefD25x_0)</f>
        <v>6782</v>
      </c>
      <c r="E82" s="4"/>
      <c r="F82" s="12">
        <f t="shared" ref="F82:F83" si="57">IF(D$12=0,0,D82/D$12)</f>
        <v>1.5268550433269317</v>
      </c>
      <c r="G82" s="4"/>
      <c r="H82" s="4">
        <f>SUM(OSRRefH25x_0)</f>
        <v>13269</v>
      </c>
      <c r="I82" s="4"/>
      <c r="J82" s="12">
        <f t="shared" ref="J82:J83" si="58">IF(H$12=0,0,H82/H$12)</f>
        <v>0.26778594964316399</v>
      </c>
      <c r="K82" s="4"/>
      <c r="L82" s="4">
        <f t="shared" ref="L82:L83" si="59">+D82-H82</f>
        <v>-6487</v>
      </c>
      <c r="M82" s="4"/>
      <c r="N82" s="12">
        <f t="shared" ref="N82:N83" si="60">IF(H82=0,0,L82/H82)</f>
        <v>-0.48888386464692141</v>
      </c>
      <c r="O82" s="10"/>
      <c r="P82" s="4">
        <f>SUM(OSRRefP25x_0)</f>
        <v>54256</v>
      </c>
      <c r="Q82" s="4"/>
      <c r="R82" s="12">
        <f t="shared" ref="R82:R83" si="61">IF(P$12=0,0,P82/P$12)</f>
        <v>0.49845642589948574</v>
      </c>
      <c r="S82" s="4"/>
      <c r="T82" s="4">
        <f>SUM(OSRRefT25x_0)</f>
        <v>106152</v>
      </c>
      <c r="U82" s="4"/>
      <c r="V82" s="12">
        <f t="shared" ref="V82:V83" si="62">IF(T$12=0,0,T82/T$12)</f>
        <v>0.24008641048086016</v>
      </c>
      <c r="W82" s="4"/>
      <c r="X82" s="4">
        <f t="shared" ref="X82:X83" si="63">+P82-T82</f>
        <v>-51896</v>
      </c>
      <c r="Y82" s="4"/>
      <c r="Z82" s="12">
        <f t="shared" ref="Z82:Z83" si="64">IF(T82=0,0,X82/T82)</f>
        <v>-0.48888386464692141</v>
      </c>
    </row>
    <row r="83" spans="1:26" s="24" customFormat="1" hidden="1" outlineLevel="1" x14ac:dyDescent="0.25">
      <c r="A83" s="44"/>
      <c r="B83" s="11" t="str">
        <f>CONCATENATE("          ", "9150", " - ", "MISC. INCOME")</f>
        <v xml:space="preserve">          9150 - MISC. INCOME</v>
      </c>
      <c r="C83" s="11"/>
      <c r="D83" s="2">
        <f>--6782</f>
        <v>6782</v>
      </c>
      <c r="E83" s="2"/>
      <c r="F83" s="19">
        <f t="shared" si="57"/>
        <v>1.5268550433269317</v>
      </c>
      <c r="G83" s="2"/>
      <c r="H83" s="2">
        <f>--13269</f>
        <v>13269</v>
      </c>
      <c r="I83" s="2"/>
      <c r="J83" s="19">
        <f t="shared" si="58"/>
        <v>0.26778594964316399</v>
      </c>
      <c r="K83" s="2"/>
      <c r="L83" s="2">
        <f t="shared" si="59"/>
        <v>-6487</v>
      </c>
      <c r="M83" s="2"/>
      <c r="N83" s="19">
        <f t="shared" si="60"/>
        <v>-0.48888386464692141</v>
      </c>
      <c r="O83" s="11"/>
      <c r="P83" s="2">
        <f>--54256</f>
        <v>54256</v>
      </c>
      <c r="Q83" s="2"/>
      <c r="R83" s="19">
        <f t="shared" si="61"/>
        <v>0.49845642589948574</v>
      </c>
      <c r="S83" s="2"/>
      <c r="T83" s="2">
        <f>--106152</f>
        <v>106152</v>
      </c>
      <c r="U83" s="2"/>
      <c r="V83" s="19">
        <f t="shared" si="62"/>
        <v>0.24008641048086016</v>
      </c>
      <c r="W83" s="2"/>
      <c r="X83" s="2">
        <f t="shared" si="63"/>
        <v>-51896</v>
      </c>
      <c r="Y83" s="2"/>
      <c r="Z83" s="19">
        <f t="shared" si="64"/>
        <v>-0.48888386464692141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9" t="s">
        <v>3</v>
      </c>
      <c r="C85" s="29"/>
      <c r="D85" s="22">
        <f>+D32-D34+D82</f>
        <v>-16368.850000000002</v>
      </c>
      <c r="E85" s="14"/>
      <c r="F85" s="20">
        <f>IF(D$12=0,0,D85/D$12)</f>
        <v>-3.6851756378593405</v>
      </c>
      <c r="G85" s="14"/>
      <c r="H85" s="22">
        <f>+H32-H34+H82</f>
        <v>19087.409999999982</v>
      </c>
      <c r="I85" s="14"/>
      <c r="J85" s="20">
        <f>IF(H$12=0,0,H85/H$12)</f>
        <v>0.38520915013025997</v>
      </c>
      <c r="K85" s="16"/>
      <c r="L85" s="22">
        <f>+D85-H85</f>
        <v>-35456.25999999998</v>
      </c>
      <c r="M85" s="16"/>
      <c r="N85" s="20">
        <f>IF(H85=0,0,L85/H85)</f>
        <v>-1.8575731332852397</v>
      </c>
      <c r="O85" s="28"/>
      <c r="P85" s="22">
        <f>+P32-P34+P82</f>
        <v>-74720.379999999946</v>
      </c>
      <c r="Q85" s="14"/>
      <c r="R85" s="20">
        <f>IF(P$12=0,0,P85/P$12)</f>
        <v>-0.68646515697160482</v>
      </c>
      <c r="S85" s="14"/>
      <c r="T85" s="22">
        <f>+T32-T34+T82</f>
        <v>175999.5</v>
      </c>
      <c r="U85" s="14"/>
      <c r="V85" s="20">
        <f>IF(T$12=0,0,T85/T$12)</f>
        <v>0.39806210152824389</v>
      </c>
      <c r="W85" s="16"/>
      <c r="X85" s="22">
        <f>+P85-T85</f>
        <v>-250719.87999999995</v>
      </c>
      <c r="Y85" s="16"/>
      <c r="Z85" s="20">
        <f>IF(T85=0,0,X85/T85)</f>
        <v>-1.4245488197409648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1"/>
      <c r="B87" s="10" t="s">
        <v>13</v>
      </c>
      <c r="C87" s="10"/>
      <c r="D87" s="4">
        <v>2603.31</v>
      </c>
      <c r="E87" s="4"/>
      <c r="F87" s="12">
        <f>IF(D$12=0,0,D87/D$12)</f>
        <v>0.58609215612554322</v>
      </c>
      <c r="G87" s="4"/>
      <c r="H87" s="4">
        <v>4121.3100000000004</v>
      </c>
      <c r="I87" s="4"/>
      <c r="J87" s="12">
        <f>IF(H$12=0,0,H87/H$12)</f>
        <v>8.3173480452473303E-2</v>
      </c>
      <c r="K87" s="4"/>
      <c r="L87" s="4">
        <f>+D87-H87</f>
        <v>-1518.0000000000005</v>
      </c>
      <c r="M87" s="4"/>
      <c r="N87" s="12">
        <f>IF(H87=0,0,L87/H87)</f>
        <v>-0.36832948746879035</v>
      </c>
      <c r="O87" s="10"/>
      <c r="P87" s="4">
        <v>21555.8</v>
      </c>
      <c r="Q87" s="4"/>
      <c r="R87" s="12">
        <f>IF(P$12=0,0,P87/P$12)</f>
        <v>0.1980357384511231</v>
      </c>
      <c r="S87" s="4"/>
      <c r="T87" s="4">
        <v>45062.89</v>
      </c>
      <c r="U87" s="4"/>
      <c r="V87" s="12">
        <f>IF(T$12=0,0,T87/T$12)</f>
        <v>0.10191977076262199</v>
      </c>
      <c r="W87" s="4"/>
      <c r="X87" s="4">
        <f>+P87-T87</f>
        <v>-23507.09</v>
      </c>
      <c r="Y87" s="4"/>
      <c r="Z87" s="12">
        <f>IF(T87=0,0,X87/T87)</f>
        <v>-0.52165074188539617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4</v>
      </c>
      <c r="C89" s="29"/>
      <c r="D89" s="35">
        <f>+D85-D87</f>
        <v>-18972.160000000003</v>
      </c>
      <c r="E89" s="14"/>
      <c r="F89" s="36">
        <f>IF(D$12=0,0,D89/D$12)</f>
        <v>-4.271267793984884</v>
      </c>
      <c r="G89" s="14"/>
      <c r="H89" s="35">
        <f>+H85-H87</f>
        <v>14966.09999999998</v>
      </c>
      <c r="I89" s="14"/>
      <c r="J89" s="36">
        <f>IF(H$12=0,0,H89/H$12)</f>
        <v>0.30203566967778667</v>
      </c>
      <c r="K89" s="16"/>
      <c r="L89" s="35">
        <f>D89-H89</f>
        <v>-33938.25999999998</v>
      </c>
      <c r="M89" s="16"/>
      <c r="N89" s="36">
        <f>IF(H89=0,0,L89/H89)</f>
        <v>-2.2676756135532989</v>
      </c>
      <c r="O89" s="28"/>
      <c r="P89" s="35">
        <f>+P85-P87</f>
        <v>-96276.179999999949</v>
      </c>
      <c r="Q89" s="14"/>
      <c r="R89" s="36">
        <f>IF(P$12=0,0,P89/P$12)</f>
        <v>-0.88450089542272792</v>
      </c>
      <c r="S89" s="14"/>
      <c r="T89" s="35">
        <f>+T85-T87</f>
        <v>130936.61</v>
      </c>
      <c r="U89" s="14"/>
      <c r="V89" s="36">
        <f>IF(T$12=0,0,T89/T$12)</f>
        <v>0.29614233076562191</v>
      </c>
      <c r="W89" s="16"/>
      <c r="X89" s="35">
        <f>P89-T89</f>
        <v>-227212.78999999995</v>
      </c>
      <c r="Y89" s="16"/>
      <c r="Z89" s="36">
        <f>IF(T89=0,0,X89/T89)</f>
        <v>-1.7352884727961106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9" t="s">
        <v>5</v>
      </c>
      <c r="C92" s="29"/>
      <c r="D92" s="31">
        <f>SUM(D89:D91)</f>
        <v>-18972.160000000003</v>
      </c>
      <c r="E92" s="14"/>
      <c r="F92" s="33">
        <f>IF(D$12=0,0,D92/D$12)</f>
        <v>-4.271267793984884</v>
      </c>
      <c r="G92" s="14"/>
      <c r="H92" s="31">
        <f>SUM(H89:H91)</f>
        <v>14966.09999999998</v>
      </c>
      <c r="I92" s="14"/>
      <c r="J92" s="33">
        <f>IF(H$12=0,0,H92/H$12)</f>
        <v>0.30203566967778667</v>
      </c>
      <c r="K92" s="16"/>
      <c r="L92" s="31">
        <f>+D92-H92</f>
        <v>-33938.25999999998</v>
      </c>
      <c r="M92" s="16"/>
      <c r="N92" s="33">
        <f>IF(H92=0,0,L92/H92)</f>
        <v>-2.2676756135532989</v>
      </c>
      <c r="O92" s="28"/>
      <c r="P92" s="31">
        <f>SUM(P89:P91)</f>
        <v>-96276.179999999949</v>
      </c>
      <c r="Q92" s="14"/>
      <c r="R92" s="33">
        <f>IF(P$12=0,0,P92/P$12)</f>
        <v>-0.88450089542272792</v>
      </c>
      <c r="S92" s="14"/>
      <c r="T92" s="31">
        <f>SUM(T89:T91)</f>
        <v>130936.61</v>
      </c>
      <c r="U92" s="14"/>
      <c r="V92" s="33">
        <f>IF(T$12=0,0,T92/T$12)</f>
        <v>0.29614233076562191</v>
      </c>
      <c r="W92" s="16"/>
      <c r="X92" s="31">
        <f>+P92-T92</f>
        <v>-227212.78999999995</v>
      </c>
      <c r="Y92" s="16"/>
      <c r="Z92" s="33">
        <f>IF(T92=0,0,X92/T92)</f>
        <v>-1.7352884727961106</v>
      </c>
    </row>
    <row r="93" spans="1:26" ht="15.75" thickTop="1" x14ac:dyDescent="0.25">
      <c r="A93" s="9"/>
      <c r="C93" s="9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56">
        <v>44267.668290624999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54" t="s">
        <v>313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8"/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4:24" x14ac:dyDescent="0.25"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","320", " - ", "Customer Service (old)")</f>
        <v>Department 320 - Customer Service (old)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0</v>
      </c>
      <c r="M12" s="4"/>
      <c r="N12" s="12">
        <f t="shared" ref="N12:N15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7559.83</v>
      </c>
      <c r="U12" s="4"/>
      <c r="V12" s="12"/>
      <c r="W12" s="4"/>
      <c r="X12" s="4">
        <f t="shared" ref="X12:X15" si="2">+P12-T12</f>
        <v>-7559.83</v>
      </c>
      <c r="Y12" s="4"/>
      <c r="Z12" s="12">
        <f t="shared" ref="Z12:Z15" si="3">IF(T12=0,0,X12/T12)</f>
        <v>-1</v>
      </c>
    </row>
    <row r="13" spans="1:26" s="24" customFormat="1" hidden="1" outlineLevel="1" x14ac:dyDescent="0.25">
      <c r="A13" s="44"/>
      <c r="B13" s="11" t="str">
        <f>CONCATENATE("          ", "4092", " - ", "TAXABLE SALES-GRAD MERCH")</f>
        <v xml:space="preserve">          4092 - TAXABLE SALES-GRAD MERCH</v>
      </c>
      <c r="C13" s="11"/>
      <c r="D13" s="2">
        <f t="shared" ref="D13:D15" si="4">0</f>
        <v>0</v>
      </c>
      <c r="E13" s="2"/>
      <c r="F13" s="19"/>
      <c r="G13" s="2"/>
      <c r="H13" s="2">
        <f t="shared" ref="H13:H15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5" si="6">0</f>
        <v>0</v>
      </c>
      <c r="Q13" s="2"/>
      <c r="R13" s="19"/>
      <c r="S13" s="2"/>
      <c r="T13" s="2">
        <f>--7699.32</f>
        <v>7699.32</v>
      </c>
      <c r="U13" s="2"/>
      <c r="V13" s="19"/>
      <c r="W13" s="2"/>
      <c r="X13" s="2">
        <f t="shared" si="2"/>
        <v>-7699.32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"4095", " - ", "TAXABLE SALES-CUSTOMER SERVICE")</f>
        <v xml:space="preserve">          4095 - TAXABLE SALES-CUSTOMER SERVICE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6"/>
        <v>0</v>
      </c>
      <c r="Q14" s="2"/>
      <c r="R14" s="19"/>
      <c r="S14" s="2"/>
      <c r="T14" s="2">
        <f>--279.56</f>
        <v>279.56</v>
      </c>
      <c r="U14" s="2"/>
      <c r="V14" s="19"/>
      <c r="W14" s="2"/>
      <c r="X14" s="2">
        <f t="shared" si="2"/>
        <v>-279.56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"4292", " - ", "SALES RETURN TAXABLE-GRAD MERC")</f>
        <v xml:space="preserve">          4292 - SALES RETURN TAXABLE-GRAD MERC</v>
      </c>
      <c r="C15" s="11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6"/>
        <v>0</v>
      </c>
      <c r="Q15" s="2"/>
      <c r="R15" s="19"/>
      <c r="S15" s="2"/>
      <c r="T15" s="2">
        <f>-419.05</f>
        <v>-419.05</v>
      </c>
      <c r="U15" s="2"/>
      <c r="V15" s="19"/>
      <c r="W15" s="2"/>
      <c r="X15" s="2">
        <f t="shared" si="2"/>
        <v>419.05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0</v>
      </c>
      <c r="E17" s="4"/>
      <c r="F17" s="12">
        <f t="shared" ref="F17:F22" si="7">IF(D$12=0,0,D17/D$12)</f>
        <v>0</v>
      </c>
      <c r="G17" s="4"/>
      <c r="H17" s="4">
        <f>SUM(OSRRefH16x_0)</f>
        <v>-6.0000000000002274E-2</v>
      </c>
      <c r="I17" s="4"/>
      <c r="J17" s="12">
        <f t="shared" ref="J17:J22" si="8">IF(H$12=0,0,H17/H$12)</f>
        <v>0</v>
      </c>
      <c r="K17" s="4"/>
      <c r="L17" s="4">
        <f t="shared" ref="L17:L22" si="9">+D17-H17</f>
        <v>6.0000000000002274E-2</v>
      </c>
      <c r="M17" s="4"/>
      <c r="N17" s="12">
        <f t="shared" ref="N17:N22" si="10">IF(H17=0,0,L17/H17)</f>
        <v>-1</v>
      </c>
      <c r="O17" s="10"/>
      <c r="P17" s="4">
        <f>SUM(OSRRefP16x_0)</f>
        <v>0</v>
      </c>
      <c r="Q17" s="4"/>
      <c r="R17" s="12">
        <f t="shared" ref="R17:R22" si="11">IF(P$12=0,0,P17/P$12)</f>
        <v>0</v>
      </c>
      <c r="S17" s="4"/>
      <c r="T17" s="4">
        <f>SUM(OSRRefT16x_0)</f>
        <v>3803.78</v>
      </c>
      <c r="U17" s="4"/>
      <c r="V17" s="12">
        <f t="shared" ref="V17:V22" si="12">IF(T$12=0,0,T17/T$12)</f>
        <v>0.50315681701837212</v>
      </c>
      <c r="W17" s="4"/>
      <c r="X17" s="4">
        <f t="shared" ref="X17:X22" si="13">+P17-T17</f>
        <v>-3803.78</v>
      </c>
      <c r="Y17" s="4"/>
      <c r="Z17" s="12">
        <f t="shared" ref="Z17:Z22" si="14">IF(T17=0,0,X17/T17)</f>
        <v>-1</v>
      </c>
    </row>
    <row r="18" spans="1:26" s="24" customFormat="1" hidden="1" outlineLevel="1" x14ac:dyDescent="0.25">
      <c r="A18" s="44"/>
      <c r="B18" s="11" t="str">
        <f>CONCATENATE("          ", "5092", " - ", "PURCHASES @ COST-GRAD MERCH")</f>
        <v xml:space="preserve">          5092 - PURCHASES @ COST-GRAD MERCH</v>
      </c>
      <c r="C18" s="11"/>
      <c r="D18" s="2"/>
      <c r="E18" s="2"/>
      <c r="F18" s="19">
        <f t="shared" si="7"/>
        <v>0</v>
      </c>
      <c r="G18" s="2"/>
      <c r="H18" s="2">
        <v>-137.06</v>
      </c>
      <c r="I18" s="2"/>
      <c r="J18" s="19">
        <f t="shared" si="8"/>
        <v>0</v>
      </c>
      <c r="K18" s="2"/>
      <c r="L18" s="2">
        <f t="shared" si="9"/>
        <v>137.06</v>
      </c>
      <c r="M18" s="2"/>
      <c r="N18" s="19">
        <f t="shared" si="10"/>
        <v>-1</v>
      </c>
      <c r="O18" s="11"/>
      <c r="P18" s="2"/>
      <c r="Q18" s="2"/>
      <c r="R18" s="19">
        <f t="shared" si="11"/>
        <v>0</v>
      </c>
      <c r="S18" s="2"/>
      <c r="T18" s="2">
        <v>1970.15</v>
      </c>
      <c r="U18" s="2"/>
      <c r="V18" s="19">
        <f t="shared" si="12"/>
        <v>0.26060771207818167</v>
      </c>
      <c r="W18" s="2"/>
      <c r="X18" s="2">
        <f t="shared" si="13"/>
        <v>-1970.15</v>
      </c>
      <c r="Y18" s="2"/>
      <c r="Z18" s="19">
        <f t="shared" si="14"/>
        <v>-1</v>
      </c>
    </row>
    <row r="19" spans="1:26" s="24" customFormat="1" hidden="1" outlineLevel="1" x14ac:dyDescent="0.25">
      <c r="A19" s="44"/>
      <c r="B19" s="11" t="str">
        <f>CONCATENATE("          ", "5095", " - ", "PURCHASES @ COST-CUSTOMER SERV")</f>
        <v xml:space="preserve">          5095 - PURCHASES @ COST-CUSTOMER SERV</v>
      </c>
      <c r="C19" s="11"/>
      <c r="D19" s="2"/>
      <c r="E19" s="2"/>
      <c r="F19" s="19">
        <f t="shared" si="7"/>
        <v>0</v>
      </c>
      <c r="G19" s="2"/>
      <c r="H19" s="2"/>
      <c r="I19" s="2"/>
      <c r="J19" s="19">
        <f t="shared" si="8"/>
        <v>0</v>
      </c>
      <c r="K19" s="2"/>
      <c r="L19" s="2">
        <f t="shared" si="9"/>
        <v>0</v>
      </c>
      <c r="M19" s="2"/>
      <c r="N19" s="19">
        <f t="shared" si="10"/>
        <v>0</v>
      </c>
      <c r="O19" s="11"/>
      <c r="P19" s="2"/>
      <c r="Q19" s="2"/>
      <c r="R19" s="19">
        <f t="shared" si="11"/>
        <v>0</v>
      </c>
      <c r="S19" s="2"/>
      <c r="T19" s="2">
        <v>11.85</v>
      </c>
      <c r="U19" s="2"/>
      <c r="V19" s="19">
        <f t="shared" si="12"/>
        <v>1.5674955653764702E-3</v>
      </c>
      <c r="W19" s="2"/>
      <c r="X19" s="2">
        <f t="shared" si="13"/>
        <v>-11.85</v>
      </c>
      <c r="Y19" s="2"/>
      <c r="Z19" s="19">
        <f t="shared" si="14"/>
        <v>-1</v>
      </c>
    </row>
    <row r="20" spans="1:26" s="24" customFormat="1" hidden="1" outlineLevel="1" x14ac:dyDescent="0.25">
      <c r="A20" s="44"/>
      <c r="B20" s="11" t="str">
        <f>CONCATENATE("          ", "5200", " - ", "PURCHASES OFFSET")</f>
        <v xml:space="preserve">          5200 - PURCHASES OFFSET</v>
      </c>
      <c r="C20" s="11"/>
      <c r="D20" s="2"/>
      <c r="E20" s="2"/>
      <c r="F20" s="19">
        <f t="shared" si="7"/>
        <v>0</v>
      </c>
      <c r="G20" s="2"/>
      <c r="H20" s="2">
        <v>137</v>
      </c>
      <c r="I20" s="2"/>
      <c r="J20" s="19">
        <f t="shared" si="8"/>
        <v>0</v>
      </c>
      <c r="K20" s="2"/>
      <c r="L20" s="2">
        <f t="shared" si="9"/>
        <v>-137</v>
      </c>
      <c r="M20" s="2"/>
      <c r="N20" s="19">
        <f t="shared" si="10"/>
        <v>-1</v>
      </c>
      <c r="O20" s="11"/>
      <c r="P20" s="2"/>
      <c r="Q20" s="2"/>
      <c r="R20" s="19">
        <f t="shared" si="11"/>
        <v>0</v>
      </c>
      <c r="S20" s="2"/>
      <c r="T20" s="2">
        <v>-2089</v>
      </c>
      <c r="U20" s="2"/>
      <c r="V20" s="19">
        <f t="shared" si="12"/>
        <v>-0.27632896506932036</v>
      </c>
      <c r="W20" s="2"/>
      <c r="X20" s="2">
        <f t="shared" si="13"/>
        <v>2089</v>
      </c>
      <c r="Y20" s="2"/>
      <c r="Z20" s="19">
        <f t="shared" si="14"/>
        <v>-1</v>
      </c>
    </row>
    <row r="21" spans="1:26" s="24" customFormat="1" hidden="1" outlineLevel="1" x14ac:dyDescent="0.25">
      <c r="A21" s="44"/>
      <c r="B21" s="11" t="str">
        <f>CONCATENATE("          ", "5300", " - ", "COG$ OFFSET")</f>
        <v xml:space="preserve">          5300 - COG$ OFFSET</v>
      </c>
      <c r="C21" s="11"/>
      <c r="D21" s="2"/>
      <c r="E21" s="2"/>
      <c r="F21" s="19">
        <f t="shared" si="7"/>
        <v>0</v>
      </c>
      <c r="G21" s="2"/>
      <c r="H21" s="2"/>
      <c r="I21" s="2"/>
      <c r="J21" s="19">
        <f t="shared" si="8"/>
        <v>0</v>
      </c>
      <c r="K21" s="2"/>
      <c r="L21" s="2">
        <f t="shared" si="9"/>
        <v>0</v>
      </c>
      <c r="M21" s="2"/>
      <c r="N21" s="19">
        <f t="shared" si="10"/>
        <v>0</v>
      </c>
      <c r="O21" s="11"/>
      <c r="P21" s="2"/>
      <c r="Q21" s="2"/>
      <c r="R21" s="19">
        <f t="shared" si="11"/>
        <v>0</v>
      </c>
      <c r="S21" s="2"/>
      <c r="T21" s="2">
        <v>3805</v>
      </c>
      <c r="U21" s="2"/>
      <c r="V21" s="19">
        <f t="shared" si="12"/>
        <v>0.50331819630864716</v>
      </c>
      <c r="W21" s="2"/>
      <c r="X21" s="2">
        <f t="shared" si="13"/>
        <v>-3805</v>
      </c>
      <c r="Y21" s="2"/>
      <c r="Z21" s="19">
        <f t="shared" si="14"/>
        <v>-1</v>
      </c>
    </row>
    <row r="22" spans="1:26" s="24" customFormat="1" hidden="1" outlineLevel="1" x14ac:dyDescent="0.25">
      <c r="A22" s="44"/>
      <c r="B22" s="11" t="str">
        <f>CONCATENATE("          ", "5592", " - ", "FREIGHT-IN-GRAD MERCH")</f>
        <v xml:space="preserve">          5592 - FREIGHT-IN-GRAD MERCH</v>
      </c>
      <c r="C22" s="11"/>
      <c r="D22" s="2"/>
      <c r="E22" s="2"/>
      <c r="F22" s="19">
        <f t="shared" si="7"/>
        <v>0</v>
      </c>
      <c r="G22" s="2"/>
      <c r="H22" s="2"/>
      <c r="I22" s="2"/>
      <c r="J22" s="19">
        <f t="shared" si="8"/>
        <v>0</v>
      </c>
      <c r="K22" s="2"/>
      <c r="L22" s="2">
        <f t="shared" si="9"/>
        <v>0</v>
      </c>
      <c r="M22" s="2"/>
      <c r="N22" s="19">
        <f t="shared" si="10"/>
        <v>0</v>
      </c>
      <c r="O22" s="11"/>
      <c r="P22" s="2"/>
      <c r="Q22" s="2"/>
      <c r="R22" s="19">
        <f t="shared" si="11"/>
        <v>0</v>
      </c>
      <c r="S22" s="2"/>
      <c r="T22" s="2">
        <v>105.78</v>
      </c>
      <c r="U22" s="2"/>
      <c r="V22" s="19">
        <f t="shared" si="12"/>
        <v>1.3992378135487173E-2</v>
      </c>
      <c r="W22" s="2"/>
      <c r="X22" s="2">
        <f t="shared" si="13"/>
        <v>-105.78</v>
      </c>
      <c r="Y22" s="2"/>
      <c r="Z22" s="19">
        <f t="shared" si="14"/>
        <v>-1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9" t="s">
        <v>6</v>
      </c>
      <c r="C24" s="29"/>
      <c r="D24" s="22">
        <f>D12-D17</f>
        <v>0</v>
      </c>
      <c r="E24" s="14"/>
      <c r="F24" s="20">
        <f>IF(D$12=0,0,D24/D$12)</f>
        <v>0</v>
      </c>
      <c r="G24" s="14"/>
      <c r="H24" s="22">
        <f>H12-H17</f>
        <v>6.0000000000002274E-2</v>
      </c>
      <c r="I24" s="14"/>
      <c r="J24" s="20">
        <f>IF(H$12=0,0,H24/H$12)</f>
        <v>0</v>
      </c>
      <c r="K24" s="16"/>
      <c r="L24" s="22">
        <f>+D24-H24</f>
        <v>-6.0000000000002274E-2</v>
      </c>
      <c r="M24" s="16"/>
      <c r="N24" s="20">
        <f>IF(H24=0,0,L24/H24)</f>
        <v>-1</v>
      </c>
      <c r="O24" s="28"/>
      <c r="P24" s="22">
        <f>P12-P17</f>
        <v>0</v>
      </c>
      <c r="Q24" s="14"/>
      <c r="R24" s="20">
        <f>IF(P$12=0,0,P24/P$12)</f>
        <v>0</v>
      </c>
      <c r="S24" s="14"/>
      <c r="T24" s="22">
        <f>T12-T17</f>
        <v>3756.0499999999997</v>
      </c>
      <c r="U24" s="14"/>
      <c r="V24" s="20">
        <f>IF(T$12=0,0,T24/T$12)</f>
        <v>0.49684318298162788</v>
      </c>
      <c r="W24" s="16"/>
      <c r="X24" s="22">
        <f>+P24-T24</f>
        <v>-3756.0499999999997</v>
      </c>
      <c r="Y24" s="16"/>
      <c r="Z24" s="20">
        <f>IF(T24=0,0,X24/T24)</f>
        <v>-1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8" t="s">
        <v>9</v>
      </c>
      <c r="C26" s="10"/>
      <c r="D26" s="21">
        <f>SUM(OSRRefD22x_0)</f>
        <v>0</v>
      </c>
      <c r="E26" s="21"/>
      <c r="F26" s="32">
        <f t="shared" ref="F26:F34" si="15">IF(D$12=0,0,D26/D$12)</f>
        <v>0</v>
      </c>
      <c r="G26" s="21"/>
      <c r="H26" s="21">
        <f>SUM(OSRRefH22x_0)</f>
        <v>6884.2900000000009</v>
      </c>
      <c r="I26" s="21"/>
      <c r="J26" s="32">
        <f t="shared" ref="J26:J34" si="16">IF(H$12=0,0,H26/H$12)</f>
        <v>0</v>
      </c>
      <c r="K26" s="4"/>
      <c r="L26" s="21">
        <f t="shared" ref="L26:L34" si="17">+D26-H26</f>
        <v>-6884.2900000000009</v>
      </c>
      <c r="M26" s="4"/>
      <c r="N26" s="32">
        <f t="shared" ref="N26:N34" si="18">IF(H26=0,0,L26/H26)</f>
        <v>-1</v>
      </c>
      <c r="O26" s="10"/>
      <c r="P26" s="21">
        <f>SUM(OSRRefP22x_0)</f>
        <v>0</v>
      </c>
      <c r="Q26" s="21"/>
      <c r="R26" s="32">
        <f t="shared" ref="R26:R34" si="19">IF(P$12=0,0,P26/P$12)</f>
        <v>0</v>
      </c>
      <c r="S26" s="21"/>
      <c r="T26" s="21">
        <f>SUM(OSRRefT22x_0)</f>
        <v>-4264.4000000000087</v>
      </c>
      <c r="U26" s="21"/>
      <c r="V26" s="32">
        <f t="shared" ref="V26:V34" si="20">IF(T$12=0,0,T26/T$12)</f>
        <v>-0.56408675856467783</v>
      </c>
      <c r="W26" s="4"/>
      <c r="X26" s="21">
        <f t="shared" ref="X26:X34" si="21">+P26-T26</f>
        <v>4264.4000000000087</v>
      </c>
      <c r="Y26" s="4"/>
      <c r="Z26" s="32">
        <f t="shared" ref="Z26:Z34" si="22">IF(T26=0,0,X26/T26)</f>
        <v>-1</v>
      </c>
    </row>
    <row r="27" spans="1:26" s="25" customFormat="1" outlineLevel="1" collapsed="1" x14ac:dyDescent="0.25">
      <c r="A27" s="27"/>
      <c r="B27" s="13" t="str">
        <f>CONCATENATE("     ","*Benefits                                         ")</f>
        <v xml:space="preserve">     *Benefits                                         </v>
      </c>
      <c r="C27" s="13"/>
      <c r="D27" s="1">
        <f>SUM(OSRRefD22_0x_0)</f>
        <v>0</v>
      </c>
      <c r="E27" s="1"/>
      <c r="F27" s="5">
        <f t="shared" si="15"/>
        <v>0</v>
      </c>
      <c r="G27" s="1"/>
      <c r="H27" s="1">
        <f>SUM(OSRRefH22_0x_0)</f>
        <v>0</v>
      </c>
      <c r="I27" s="1"/>
      <c r="J27" s="5">
        <f t="shared" si="16"/>
        <v>0</v>
      </c>
      <c r="K27" s="1"/>
      <c r="L27" s="1">
        <f t="shared" si="17"/>
        <v>0</v>
      </c>
      <c r="M27" s="1"/>
      <c r="N27" s="5">
        <f t="shared" si="18"/>
        <v>0</v>
      </c>
      <c r="O27" s="13"/>
      <c r="P27" s="1">
        <f>SUM(OSRRefP22_0x_0)</f>
        <v>0</v>
      </c>
      <c r="Q27" s="1"/>
      <c r="R27" s="5">
        <f t="shared" si="19"/>
        <v>0</v>
      </c>
      <c r="S27" s="1"/>
      <c r="T27" s="1">
        <f>SUM(OSRRefT22_0x_0)</f>
        <v>821.29</v>
      </c>
      <c r="U27" s="1"/>
      <c r="V27" s="5">
        <f t="shared" si="20"/>
        <v>0.10863868631966592</v>
      </c>
      <c r="W27" s="1"/>
      <c r="X27" s="1">
        <f t="shared" si="21"/>
        <v>-821.29</v>
      </c>
      <c r="Y27" s="1"/>
      <c r="Z27" s="5">
        <f t="shared" si="22"/>
        <v>-1</v>
      </c>
    </row>
    <row r="28" spans="1:26" s="24" customFormat="1" hidden="1" outlineLevel="2" x14ac:dyDescent="0.25">
      <c r="A28" s="26"/>
      <c r="B28" s="11" t="str">
        <f>CONCATENATE("          ", "6111", " - ", "F.I.C.A.")</f>
        <v xml:space="preserve">          6111 - F.I.C.A.</v>
      </c>
      <c r="C28" s="11"/>
      <c r="D28" s="6"/>
      <c r="E28" s="2"/>
      <c r="F28" s="7">
        <f t="shared" si="15"/>
        <v>0</v>
      </c>
      <c r="G28" s="2"/>
      <c r="H28" s="6"/>
      <c r="I28" s="2"/>
      <c r="J28" s="7">
        <f t="shared" si="16"/>
        <v>0</v>
      </c>
      <c r="K28" s="2"/>
      <c r="L28" s="6">
        <f t="shared" si="17"/>
        <v>0</v>
      </c>
      <c r="M28" s="2"/>
      <c r="N28" s="7">
        <f t="shared" si="18"/>
        <v>0</v>
      </c>
      <c r="O28" s="11"/>
      <c r="P28" s="6"/>
      <c r="Q28" s="2"/>
      <c r="R28" s="7">
        <f t="shared" si="19"/>
        <v>0</v>
      </c>
      <c r="S28" s="2"/>
      <c r="T28" s="6">
        <v>155.66</v>
      </c>
      <c r="U28" s="2"/>
      <c r="V28" s="7">
        <f t="shared" si="20"/>
        <v>2.059041010181446E-2</v>
      </c>
      <c r="W28" s="2"/>
      <c r="X28" s="6">
        <f t="shared" si="21"/>
        <v>-155.66</v>
      </c>
      <c r="Y28" s="2"/>
      <c r="Z28" s="7">
        <f t="shared" si="22"/>
        <v>-1</v>
      </c>
    </row>
    <row r="29" spans="1:26" s="24" customFormat="1" hidden="1" outlineLevel="2" x14ac:dyDescent="0.25">
      <c r="A29" s="26"/>
      <c r="B29" s="11" t="str">
        <f>CONCATENATE("          ", "6112", " - ", "COMPENSATION INSURANCE")</f>
        <v xml:space="preserve">          6112 - COMPENSATION INSURANCE</v>
      </c>
      <c r="C29" s="11"/>
      <c r="D29" s="6"/>
      <c r="E29" s="2"/>
      <c r="F29" s="7">
        <f t="shared" si="15"/>
        <v>0</v>
      </c>
      <c r="G29" s="2"/>
      <c r="H29" s="6"/>
      <c r="I29" s="2"/>
      <c r="J29" s="7">
        <f t="shared" si="16"/>
        <v>0</v>
      </c>
      <c r="K29" s="2"/>
      <c r="L29" s="6">
        <f t="shared" si="17"/>
        <v>0</v>
      </c>
      <c r="M29" s="2"/>
      <c r="N29" s="7">
        <f t="shared" si="18"/>
        <v>0</v>
      </c>
      <c r="O29" s="11"/>
      <c r="P29" s="6"/>
      <c r="Q29" s="2"/>
      <c r="R29" s="7">
        <f t="shared" si="19"/>
        <v>0</v>
      </c>
      <c r="S29" s="2"/>
      <c r="T29" s="6">
        <v>22.05</v>
      </c>
      <c r="U29" s="2"/>
      <c r="V29" s="7">
        <f t="shared" si="20"/>
        <v>2.91673225456128E-3</v>
      </c>
      <c r="W29" s="2"/>
      <c r="X29" s="6">
        <f t="shared" si="21"/>
        <v>-22.05</v>
      </c>
      <c r="Y29" s="2"/>
      <c r="Z29" s="7">
        <f t="shared" si="22"/>
        <v>-1</v>
      </c>
    </row>
    <row r="30" spans="1:26" s="24" customFormat="1" hidden="1" outlineLevel="2" x14ac:dyDescent="0.25">
      <c r="A30" s="26"/>
      <c r="B30" s="11" t="str">
        <f>CONCATENATE("          ", "6113", " - ", "GROUP INSURANCE")</f>
        <v xml:space="preserve">          6113 - GROUP INSURANCE</v>
      </c>
      <c r="C30" s="11"/>
      <c r="D30" s="6"/>
      <c r="E30" s="2"/>
      <c r="F30" s="7">
        <f t="shared" si="15"/>
        <v>0</v>
      </c>
      <c r="G30" s="2"/>
      <c r="H30" s="6"/>
      <c r="I30" s="2"/>
      <c r="J30" s="7">
        <f t="shared" si="16"/>
        <v>0</v>
      </c>
      <c r="K30" s="2"/>
      <c r="L30" s="6">
        <f t="shared" si="17"/>
        <v>0</v>
      </c>
      <c r="M30" s="2"/>
      <c r="N30" s="7">
        <f t="shared" si="18"/>
        <v>0</v>
      </c>
      <c r="O30" s="11"/>
      <c r="P30" s="6"/>
      <c r="Q30" s="2"/>
      <c r="R30" s="7">
        <f t="shared" si="19"/>
        <v>0</v>
      </c>
      <c r="S30" s="2"/>
      <c r="T30" s="6">
        <v>305.26</v>
      </c>
      <c r="U30" s="2"/>
      <c r="V30" s="7">
        <f t="shared" si="20"/>
        <v>4.0379214876525002E-2</v>
      </c>
      <c r="W30" s="2"/>
      <c r="X30" s="6">
        <f t="shared" si="21"/>
        <v>-305.26</v>
      </c>
      <c r="Y30" s="2"/>
      <c r="Z30" s="7">
        <f t="shared" si="22"/>
        <v>-1</v>
      </c>
    </row>
    <row r="31" spans="1:26" s="24" customFormat="1" hidden="1" outlineLevel="2" x14ac:dyDescent="0.25">
      <c r="A31" s="26"/>
      <c r="B31" s="11" t="str">
        <f>CONCATENATE("          ", "6114", " - ", "STATE UNEMPLOYMENT INSURANCE")</f>
        <v xml:space="preserve">          6114 - STATE UNEMPLOYMENT INSURANCE</v>
      </c>
      <c r="C31" s="11"/>
      <c r="D31" s="6"/>
      <c r="E31" s="2"/>
      <c r="F31" s="7">
        <f t="shared" si="15"/>
        <v>0</v>
      </c>
      <c r="G31" s="2"/>
      <c r="H31" s="6"/>
      <c r="I31" s="2"/>
      <c r="J31" s="7">
        <f t="shared" si="16"/>
        <v>0</v>
      </c>
      <c r="K31" s="2"/>
      <c r="L31" s="6">
        <f t="shared" si="17"/>
        <v>0</v>
      </c>
      <c r="M31" s="2"/>
      <c r="N31" s="7">
        <f t="shared" si="18"/>
        <v>0</v>
      </c>
      <c r="O31" s="11"/>
      <c r="P31" s="6"/>
      <c r="Q31" s="2"/>
      <c r="R31" s="7">
        <f t="shared" si="19"/>
        <v>0</v>
      </c>
      <c r="S31" s="2"/>
      <c r="T31" s="6">
        <v>5</v>
      </c>
      <c r="U31" s="2"/>
      <c r="V31" s="7">
        <f t="shared" si="20"/>
        <v>6.6139053391412242E-4</v>
      </c>
      <c r="W31" s="2"/>
      <c r="X31" s="6">
        <f t="shared" si="21"/>
        <v>-5</v>
      </c>
      <c r="Y31" s="2"/>
      <c r="Z31" s="7">
        <f t="shared" si="22"/>
        <v>-1</v>
      </c>
    </row>
    <row r="32" spans="1:26" s="24" customFormat="1" hidden="1" outlineLevel="2" x14ac:dyDescent="0.25">
      <c r="A32" s="26"/>
      <c r="B32" s="11" t="str">
        <f>CONCATENATE("          ", "6115", " - ", "P.E.R.S.")</f>
        <v xml:space="preserve">          6115 - P.E.R.S.</v>
      </c>
      <c r="C32" s="11"/>
      <c r="D32" s="6"/>
      <c r="E32" s="2"/>
      <c r="F32" s="7">
        <f t="shared" si="15"/>
        <v>0</v>
      </c>
      <c r="G32" s="2"/>
      <c r="H32" s="6"/>
      <c r="I32" s="2"/>
      <c r="J32" s="7">
        <f t="shared" si="16"/>
        <v>0</v>
      </c>
      <c r="K32" s="2"/>
      <c r="L32" s="6">
        <f t="shared" si="17"/>
        <v>0</v>
      </c>
      <c r="M32" s="2"/>
      <c r="N32" s="7">
        <f t="shared" si="18"/>
        <v>0</v>
      </c>
      <c r="O32" s="11"/>
      <c r="P32" s="6"/>
      <c r="Q32" s="2"/>
      <c r="R32" s="7">
        <f t="shared" si="19"/>
        <v>0</v>
      </c>
      <c r="S32" s="2"/>
      <c r="T32" s="6">
        <v>134.12</v>
      </c>
      <c r="U32" s="2"/>
      <c r="V32" s="7">
        <f t="shared" si="20"/>
        <v>1.7741139681712419E-2</v>
      </c>
      <c r="W32" s="2"/>
      <c r="X32" s="6">
        <f t="shared" si="21"/>
        <v>-134.12</v>
      </c>
      <c r="Y32" s="2"/>
      <c r="Z32" s="7">
        <f t="shared" si="22"/>
        <v>-1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6"/>
      <c r="E33" s="2"/>
      <c r="F33" s="7">
        <f t="shared" si="15"/>
        <v>0</v>
      </c>
      <c r="G33" s="2"/>
      <c r="H33" s="6"/>
      <c r="I33" s="2"/>
      <c r="J33" s="7">
        <f t="shared" si="16"/>
        <v>0</v>
      </c>
      <c r="K33" s="2"/>
      <c r="L33" s="6">
        <f t="shared" si="17"/>
        <v>0</v>
      </c>
      <c r="M33" s="2"/>
      <c r="N33" s="7">
        <f t="shared" si="18"/>
        <v>0</v>
      </c>
      <c r="O33" s="11"/>
      <c r="P33" s="6"/>
      <c r="Q33" s="2"/>
      <c r="R33" s="7">
        <f t="shared" si="19"/>
        <v>0</v>
      </c>
      <c r="S33" s="2"/>
      <c r="T33" s="6">
        <v>110.64</v>
      </c>
      <c r="U33" s="2"/>
      <c r="V33" s="7">
        <f t="shared" si="20"/>
        <v>1.46352497344517E-2</v>
      </c>
      <c r="W33" s="2"/>
      <c r="X33" s="6">
        <f t="shared" si="21"/>
        <v>-110.64</v>
      </c>
      <c r="Y33" s="2"/>
      <c r="Z33" s="7">
        <f t="shared" si="22"/>
        <v>-1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6"/>
      <c r="E34" s="2"/>
      <c r="F34" s="7">
        <f t="shared" si="15"/>
        <v>0</v>
      </c>
      <c r="G34" s="2"/>
      <c r="H34" s="6"/>
      <c r="I34" s="2"/>
      <c r="J34" s="7">
        <f t="shared" si="16"/>
        <v>0</v>
      </c>
      <c r="K34" s="2"/>
      <c r="L34" s="6">
        <f t="shared" si="17"/>
        <v>0</v>
      </c>
      <c r="M34" s="2"/>
      <c r="N34" s="7">
        <f t="shared" si="18"/>
        <v>0</v>
      </c>
      <c r="O34" s="11"/>
      <c r="P34" s="6"/>
      <c r="Q34" s="2"/>
      <c r="R34" s="7">
        <f t="shared" si="19"/>
        <v>0</v>
      </c>
      <c r="S34" s="2"/>
      <c r="T34" s="6">
        <v>88.56</v>
      </c>
      <c r="U34" s="2"/>
      <c r="V34" s="7">
        <f t="shared" si="20"/>
        <v>1.1714549136686937E-2</v>
      </c>
      <c r="W34" s="2"/>
      <c r="X34" s="6">
        <f t="shared" si="21"/>
        <v>-88.56</v>
      </c>
      <c r="Y34" s="2"/>
      <c r="Z34" s="7">
        <f t="shared" si="22"/>
        <v>-1</v>
      </c>
    </row>
    <row r="35" spans="1:26" s="25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0</v>
      </c>
      <c r="E35" s="1"/>
      <c r="F35" s="5">
        <f t="shared" ref="F35:F38" si="23">IF(D$12=0,0,D35/D$12)</f>
        <v>0</v>
      </c>
      <c r="G35" s="1"/>
      <c r="H35" s="1">
        <f>SUM(OSRRefH22_1x_0)</f>
        <v>0</v>
      </c>
      <c r="I35" s="1"/>
      <c r="J35" s="5">
        <f t="shared" ref="J35:J38" si="24">IF(H$12=0,0,H35/H$12)</f>
        <v>0</v>
      </c>
      <c r="K35" s="1"/>
      <c r="L35" s="1">
        <f t="shared" ref="L35:L38" si="25">+D35-H35</f>
        <v>0</v>
      </c>
      <c r="M35" s="1"/>
      <c r="N35" s="5">
        <f t="shared" ref="N35:N38" si="26">IF(H35=0,0,L35/H35)</f>
        <v>0</v>
      </c>
      <c r="O35" s="13"/>
      <c r="P35" s="1">
        <f>SUM(OSRRefP22_1x_0)</f>
        <v>0</v>
      </c>
      <c r="Q35" s="1"/>
      <c r="R35" s="5">
        <f t="shared" ref="R35:R38" si="27">IF(P$12=0,0,P35/P$12)</f>
        <v>0</v>
      </c>
      <c r="S35" s="1"/>
      <c r="T35" s="1">
        <f>SUM(OSRRefT22_1x_0)</f>
        <v>1986.7399999999998</v>
      </c>
      <c r="U35" s="1"/>
      <c r="V35" s="5">
        <f t="shared" ref="V35:V38" si="28">IF(T$12=0,0,T35/T$12)</f>
        <v>0.2628022058697087</v>
      </c>
      <c r="W35" s="1"/>
      <c r="X35" s="1">
        <f t="shared" ref="X35:X38" si="29">+P35-T35</f>
        <v>-1986.7399999999998</v>
      </c>
      <c r="Y35" s="1"/>
      <c r="Z35" s="5">
        <f t="shared" ref="Z35:Z38" si="30">IF(T35=0,0,X35/T35)</f>
        <v>-1</v>
      </c>
    </row>
    <row r="36" spans="1:26" s="24" customFormat="1" hidden="1" outlineLevel="2" x14ac:dyDescent="0.25">
      <c r="A36" s="26"/>
      <c r="B36" s="11" t="str">
        <f>CONCATENATE("          ", "6002", " - ", "STAFF SALARIES")</f>
        <v xml:space="preserve">          6002 - STAFF SALARIES</v>
      </c>
      <c r="C36" s="11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1"/>
      <c r="P36" s="6"/>
      <c r="Q36" s="2"/>
      <c r="R36" s="7">
        <f t="shared" si="27"/>
        <v>0</v>
      </c>
      <c r="S36" s="2"/>
      <c r="T36" s="6">
        <v>1872</v>
      </c>
      <c r="U36" s="2"/>
      <c r="V36" s="7">
        <f t="shared" si="28"/>
        <v>0.24762461589744744</v>
      </c>
      <c r="W36" s="2"/>
      <c r="X36" s="6">
        <f t="shared" si="29"/>
        <v>-1872</v>
      </c>
      <c r="Y36" s="2"/>
      <c r="Z36" s="7">
        <f t="shared" si="30"/>
        <v>-1</v>
      </c>
    </row>
    <row r="37" spans="1:26" s="24" customFormat="1" hidden="1" outlineLevel="2" x14ac:dyDescent="0.25">
      <c r="A37" s="26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23"/>
        <v>0</v>
      </c>
      <c r="G37" s="2"/>
      <c r="H37" s="6"/>
      <c r="I37" s="2"/>
      <c r="J37" s="7">
        <f t="shared" si="24"/>
        <v>0</v>
      </c>
      <c r="K37" s="2"/>
      <c r="L37" s="6">
        <f t="shared" si="25"/>
        <v>0</v>
      </c>
      <c r="M37" s="2"/>
      <c r="N37" s="7">
        <f t="shared" si="26"/>
        <v>0</v>
      </c>
      <c r="O37" s="11"/>
      <c r="P37" s="6"/>
      <c r="Q37" s="2"/>
      <c r="R37" s="7">
        <f t="shared" si="27"/>
        <v>0</v>
      </c>
      <c r="S37" s="2"/>
      <c r="T37" s="6">
        <v>57.37</v>
      </c>
      <c r="U37" s="2"/>
      <c r="V37" s="7">
        <f t="shared" si="28"/>
        <v>7.5887949861306401E-3</v>
      </c>
      <c r="W37" s="2"/>
      <c r="X37" s="6">
        <f t="shared" si="29"/>
        <v>-57.37</v>
      </c>
      <c r="Y37" s="2"/>
      <c r="Z37" s="7">
        <f t="shared" si="30"/>
        <v>-1</v>
      </c>
    </row>
    <row r="38" spans="1:26" s="24" customFormat="1" hidden="1" outlineLevel="2" x14ac:dyDescent="0.25">
      <c r="A38" s="26"/>
      <c r="B38" s="11" t="str">
        <f>CONCATENATE("          ", "6007", " - ", "STUDENT HOURLY")</f>
        <v xml:space="preserve">          6007 - STUDENT HOURLY</v>
      </c>
      <c r="C38" s="11"/>
      <c r="D38" s="6"/>
      <c r="E38" s="2"/>
      <c r="F38" s="7">
        <f t="shared" si="23"/>
        <v>0</v>
      </c>
      <c r="G38" s="2"/>
      <c r="H38" s="6"/>
      <c r="I38" s="2"/>
      <c r="J38" s="7">
        <f t="shared" si="24"/>
        <v>0</v>
      </c>
      <c r="K38" s="2"/>
      <c r="L38" s="6">
        <f t="shared" si="25"/>
        <v>0</v>
      </c>
      <c r="M38" s="2"/>
      <c r="N38" s="7">
        <f t="shared" si="26"/>
        <v>0</v>
      </c>
      <c r="O38" s="11"/>
      <c r="P38" s="6"/>
      <c r="Q38" s="2"/>
      <c r="R38" s="7">
        <f t="shared" si="27"/>
        <v>0</v>
      </c>
      <c r="S38" s="2"/>
      <c r="T38" s="6">
        <v>57.37</v>
      </c>
      <c r="U38" s="2"/>
      <c r="V38" s="7">
        <f t="shared" si="28"/>
        <v>7.5887949861306401E-3</v>
      </c>
      <c r="W38" s="2"/>
      <c r="X38" s="6">
        <f t="shared" si="29"/>
        <v>-57.37</v>
      </c>
      <c r="Y38" s="2"/>
      <c r="Z38" s="7">
        <f t="shared" si="30"/>
        <v>-1</v>
      </c>
    </row>
    <row r="39" spans="1:26" s="25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0</v>
      </c>
      <c r="E39" s="1"/>
      <c r="F39" s="5">
        <f t="shared" ref="F39:F45" si="31">IF(D$12=0,0,D39/D$12)</f>
        <v>0</v>
      </c>
      <c r="G39" s="1"/>
      <c r="H39" s="1">
        <f>SUM(OSRRefH22_2x_0)</f>
        <v>1596.88</v>
      </c>
      <c r="I39" s="1"/>
      <c r="J39" s="5">
        <f t="shared" ref="J39:J45" si="32">IF(H$12=0,0,H39/H$12)</f>
        <v>0</v>
      </c>
      <c r="K39" s="1"/>
      <c r="L39" s="1">
        <f t="shared" ref="L39:L45" si="33">+D39-H39</f>
        <v>-1596.88</v>
      </c>
      <c r="M39" s="1"/>
      <c r="N39" s="5">
        <f t="shared" ref="N39:N45" si="34">IF(H39=0,0,L39/H39)</f>
        <v>-1</v>
      </c>
      <c r="O39" s="13"/>
      <c r="P39" s="1">
        <f>SUM(OSRRefP22_2x_0)</f>
        <v>0</v>
      </c>
      <c r="Q39" s="1"/>
      <c r="R39" s="5">
        <f t="shared" ref="R39:R45" si="35">IF(P$12=0,0,P39/P$12)</f>
        <v>0</v>
      </c>
      <c r="S39" s="1"/>
      <c r="T39" s="1">
        <f>SUM(OSRRefT22_2x_0)</f>
        <v>739.42</v>
      </c>
      <c r="U39" s="1"/>
      <c r="V39" s="5">
        <f t="shared" ref="V39:V45" si="36">IF(T$12=0,0,T39/T$12)</f>
        <v>9.7809077717356072E-2</v>
      </c>
      <c r="W39" s="1"/>
      <c r="X39" s="1">
        <f t="shared" ref="X39:X45" si="37">+P39-T39</f>
        <v>-739.42</v>
      </c>
      <c r="Y39" s="1"/>
      <c r="Z39" s="5">
        <f t="shared" ref="Z39:Z45" si="38">IF(T39=0,0,X39/T39)</f>
        <v>-1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/>
      <c r="E40" s="2"/>
      <c r="F40" s="7">
        <f t="shared" si="31"/>
        <v>0</v>
      </c>
      <c r="G40" s="2"/>
      <c r="H40" s="6">
        <v>1596.88</v>
      </c>
      <c r="I40" s="2"/>
      <c r="J40" s="7">
        <f t="shared" si="32"/>
        <v>0</v>
      </c>
      <c r="K40" s="2"/>
      <c r="L40" s="6">
        <f t="shared" si="33"/>
        <v>-1596.88</v>
      </c>
      <c r="M40" s="2"/>
      <c r="N40" s="7">
        <f t="shared" si="34"/>
        <v>-1</v>
      </c>
      <c r="O40" s="11"/>
      <c r="P40" s="6"/>
      <c r="Q40" s="2"/>
      <c r="R40" s="7">
        <f t="shared" si="35"/>
        <v>0</v>
      </c>
      <c r="S40" s="2"/>
      <c r="T40" s="6">
        <v>739.42</v>
      </c>
      <c r="U40" s="2"/>
      <c r="V40" s="7">
        <f t="shared" si="36"/>
        <v>9.7809077717356072E-2</v>
      </c>
      <c r="W40" s="2"/>
      <c r="X40" s="6">
        <f t="shared" si="37"/>
        <v>-739.42</v>
      </c>
      <c r="Y40" s="2"/>
      <c r="Z40" s="7">
        <f t="shared" si="38"/>
        <v>-1</v>
      </c>
    </row>
    <row r="41" spans="1:26" s="25" customFormat="1" outlineLevel="1" collapsed="1" x14ac:dyDescent="0.25">
      <c r="A41" s="27"/>
      <c r="B41" s="13" t="str">
        <f>CONCATENATE("     ","Discounts and Markdowns                           ")</f>
        <v xml:space="preserve">     Discounts and Markdowns                           </v>
      </c>
      <c r="C41" s="13"/>
      <c r="D41" s="1">
        <f>SUM(OSRRefD22_3x_0)</f>
        <v>0</v>
      </c>
      <c r="E41" s="1"/>
      <c r="F41" s="5">
        <f t="shared" si="31"/>
        <v>0</v>
      </c>
      <c r="G41" s="1"/>
      <c r="H41" s="1">
        <f>SUM(OSRRefH22_3x_0)</f>
        <v>0</v>
      </c>
      <c r="I41" s="1"/>
      <c r="J41" s="5">
        <f t="shared" si="32"/>
        <v>0</v>
      </c>
      <c r="K41" s="1"/>
      <c r="L41" s="1">
        <f t="shared" si="33"/>
        <v>0</v>
      </c>
      <c r="M41" s="1"/>
      <c r="N41" s="5">
        <f t="shared" si="34"/>
        <v>0</v>
      </c>
      <c r="O41" s="13"/>
      <c r="P41" s="1">
        <f>SUM(OSRRefP22_3x_0)</f>
        <v>0</v>
      </c>
      <c r="Q41" s="1"/>
      <c r="R41" s="5">
        <f t="shared" si="35"/>
        <v>0</v>
      </c>
      <c r="S41" s="1"/>
      <c r="T41" s="1">
        <f>SUM(OSRRefT22_3x_0)</f>
        <v>287.29000000000002</v>
      </c>
      <c r="U41" s="1"/>
      <c r="V41" s="5">
        <f t="shared" si="36"/>
        <v>3.8002177297637649E-2</v>
      </c>
      <c r="W41" s="1"/>
      <c r="X41" s="1">
        <f t="shared" si="37"/>
        <v>-287.29000000000002</v>
      </c>
      <c r="Y41" s="1"/>
      <c r="Z41" s="5">
        <f t="shared" si="38"/>
        <v>-1</v>
      </c>
    </row>
    <row r="42" spans="1:26" s="24" customFormat="1" hidden="1" outlineLevel="2" x14ac:dyDescent="0.25">
      <c r="A42" s="26"/>
      <c r="B42" s="11" t="str">
        <f>CONCATENATE("          ", "6382", " - ", "DISCOUNTS/MARK DOWNS")</f>
        <v xml:space="preserve">          6382 - DISCOUNTS/MARK DOWNS</v>
      </c>
      <c r="C42" s="11"/>
      <c r="D42" s="6"/>
      <c r="E42" s="2"/>
      <c r="F42" s="7">
        <f t="shared" si="31"/>
        <v>0</v>
      </c>
      <c r="G42" s="2"/>
      <c r="H42" s="6"/>
      <c r="I42" s="2"/>
      <c r="J42" s="7">
        <f t="shared" si="32"/>
        <v>0</v>
      </c>
      <c r="K42" s="2"/>
      <c r="L42" s="6">
        <f t="shared" si="33"/>
        <v>0</v>
      </c>
      <c r="M42" s="2"/>
      <c r="N42" s="7">
        <f t="shared" si="34"/>
        <v>0</v>
      </c>
      <c r="O42" s="11"/>
      <c r="P42" s="6"/>
      <c r="Q42" s="2"/>
      <c r="R42" s="7">
        <f t="shared" si="35"/>
        <v>0</v>
      </c>
      <c r="S42" s="2"/>
      <c r="T42" s="6">
        <v>287.29000000000002</v>
      </c>
      <c r="U42" s="2"/>
      <c r="V42" s="7">
        <f t="shared" si="36"/>
        <v>3.8002177297637649E-2</v>
      </c>
      <c r="W42" s="2"/>
      <c r="X42" s="6">
        <f t="shared" si="37"/>
        <v>-287.29000000000002</v>
      </c>
      <c r="Y42" s="2"/>
      <c r="Z42" s="7">
        <f t="shared" si="38"/>
        <v>-1</v>
      </c>
    </row>
    <row r="43" spans="1:26" s="25" customFormat="1" outlineLevel="1" collapsed="1" x14ac:dyDescent="0.25">
      <c r="A43" s="27"/>
      <c r="B43" s="13" t="str">
        <f>CONCATENATE("     ","Freight out/Postage                               ")</f>
        <v xml:space="preserve">     Freight out/Postage                               </v>
      </c>
      <c r="C43" s="13"/>
      <c r="D43" s="1">
        <f>SUM(OSRRefD22_4x_0)</f>
        <v>0</v>
      </c>
      <c r="E43" s="1"/>
      <c r="F43" s="5">
        <f t="shared" si="31"/>
        <v>0</v>
      </c>
      <c r="G43" s="1"/>
      <c r="H43" s="1">
        <f>SUM(OSRRefH22_4x_0)</f>
        <v>2968.41</v>
      </c>
      <c r="I43" s="1"/>
      <c r="J43" s="5">
        <f t="shared" si="32"/>
        <v>0</v>
      </c>
      <c r="K43" s="1"/>
      <c r="L43" s="1">
        <f t="shared" si="33"/>
        <v>-2968.41</v>
      </c>
      <c r="M43" s="1"/>
      <c r="N43" s="5">
        <f t="shared" si="34"/>
        <v>-1</v>
      </c>
      <c r="O43" s="13"/>
      <c r="P43" s="1">
        <f>SUM(OSRRefP22_4x_0)</f>
        <v>0</v>
      </c>
      <c r="Q43" s="1"/>
      <c r="R43" s="5">
        <f t="shared" si="35"/>
        <v>0</v>
      </c>
      <c r="S43" s="1"/>
      <c r="T43" s="1">
        <f>SUM(OSRRefT22_4x_0)</f>
        <v>-16729.140000000007</v>
      </c>
      <c r="U43" s="1"/>
      <c r="V43" s="5">
        <f t="shared" si="36"/>
        <v>-2.2128989673048212</v>
      </c>
      <c r="W43" s="1"/>
      <c r="X43" s="1">
        <f t="shared" si="37"/>
        <v>16729.140000000007</v>
      </c>
      <c r="Y43" s="1"/>
      <c r="Z43" s="5">
        <f t="shared" si="38"/>
        <v>-1</v>
      </c>
    </row>
    <row r="44" spans="1:26" s="24" customFormat="1" hidden="1" outlineLevel="2" x14ac:dyDescent="0.25">
      <c r="A44" s="26"/>
      <c r="B44" s="11" t="str">
        <f>CONCATENATE("          ", "6305", " - ", "FREIGHT OUT")</f>
        <v xml:space="preserve">          6305 - FREIGHT OUT</v>
      </c>
      <c r="C44" s="11"/>
      <c r="D44" s="6"/>
      <c r="E44" s="2"/>
      <c r="F44" s="7">
        <f t="shared" si="31"/>
        <v>0</v>
      </c>
      <c r="G44" s="2"/>
      <c r="H44" s="6">
        <v>8629.18</v>
      </c>
      <c r="I44" s="2"/>
      <c r="J44" s="7">
        <f t="shared" si="32"/>
        <v>0</v>
      </c>
      <c r="K44" s="2"/>
      <c r="L44" s="6">
        <f t="shared" si="33"/>
        <v>-8629.18</v>
      </c>
      <c r="M44" s="2"/>
      <c r="N44" s="7">
        <f t="shared" si="34"/>
        <v>-1</v>
      </c>
      <c r="O44" s="11"/>
      <c r="P44" s="6"/>
      <c r="Q44" s="2"/>
      <c r="R44" s="7">
        <f t="shared" si="35"/>
        <v>0</v>
      </c>
      <c r="S44" s="2"/>
      <c r="T44" s="6">
        <v>33591.729999999996</v>
      </c>
      <c r="U44" s="2"/>
      <c r="V44" s="7">
        <f t="shared" si="36"/>
        <v>4.4434504479598083</v>
      </c>
      <c r="W44" s="2"/>
      <c r="X44" s="6">
        <f t="shared" si="37"/>
        <v>-33591.729999999996</v>
      </c>
      <c r="Y44" s="2"/>
      <c r="Z44" s="7">
        <f t="shared" si="38"/>
        <v>-1</v>
      </c>
    </row>
    <row r="45" spans="1:26" s="24" customFormat="1" hidden="1" outlineLevel="2" x14ac:dyDescent="0.25">
      <c r="A45" s="26"/>
      <c r="B45" s="11" t="str">
        <f>CONCATENATE("          ", "6307", " - ", "POSTAGE")</f>
        <v xml:space="preserve">          6307 - POSTAGE</v>
      </c>
      <c r="C45" s="11"/>
      <c r="D45" s="6"/>
      <c r="E45" s="2"/>
      <c r="F45" s="7">
        <f t="shared" si="31"/>
        <v>0</v>
      </c>
      <c r="G45" s="2"/>
      <c r="H45" s="6">
        <v>-5660.77</v>
      </c>
      <c r="I45" s="2"/>
      <c r="J45" s="7">
        <f t="shared" si="32"/>
        <v>0</v>
      </c>
      <c r="K45" s="2"/>
      <c r="L45" s="6">
        <f t="shared" si="33"/>
        <v>5660.77</v>
      </c>
      <c r="M45" s="2"/>
      <c r="N45" s="7">
        <f t="shared" si="34"/>
        <v>-1</v>
      </c>
      <c r="O45" s="11"/>
      <c r="P45" s="6"/>
      <c r="Q45" s="2"/>
      <c r="R45" s="7">
        <f t="shared" si="35"/>
        <v>0</v>
      </c>
      <c r="S45" s="2"/>
      <c r="T45" s="6">
        <v>-50320.87</v>
      </c>
      <c r="U45" s="2"/>
      <c r="V45" s="7">
        <f t="shared" si="36"/>
        <v>-6.6563494152646294</v>
      </c>
      <c r="W45" s="2"/>
      <c r="X45" s="6">
        <f t="shared" si="37"/>
        <v>50320.87</v>
      </c>
      <c r="Y45" s="2"/>
      <c r="Z45" s="7">
        <f t="shared" si="38"/>
        <v>-1</v>
      </c>
    </row>
    <row r="46" spans="1:26" s="25" customFormat="1" outlineLevel="1" collapsed="1" x14ac:dyDescent="0.25">
      <c r="A46" s="27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SUM(OSRRefD22_5x_0)</f>
        <v>0</v>
      </c>
      <c r="E46" s="1"/>
      <c r="F46" s="5">
        <f t="shared" ref="F46:F52" si="39">IF(D$12=0,0,D46/D$12)</f>
        <v>0</v>
      </c>
      <c r="G46" s="1"/>
      <c r="H46" s="1">
        <f>SUM(OSRRefH22_5x_0)</f>
        <v>0</v>
      </c>
      <c r="I46" s="1"/>
      <c r="J46" s="5">
        <f t="shared" ref="J46:J52" si="40">IF(H$12=0,0,H46/H$12)</f>
        <v>0</v>
      </c>
      <c r="K46" s="1"/>
      <c r="L46" s="1">
        <f t="shared" ref="L46:L52" si="41">+D46-H46</f>
        <v>0</v>
      </c>
      <c r="M46" s="1"/>
      <c r="N46" s="5">
        <f t="shared" ref="N46:N52" si="42">IF(H46=0,0,L46/H46)</f>
        <v>0</v>
      </c>
      <c r="O46" s="13"/>
      <c r="P46" s="1">
        <f>SUM(OSRRefP22_5x_0)</f>
        <v>0</v>
      </c>
      <c r="Q46" s="1"/>
      <c r="R46" s="5">
        <f t="shared" ref="R46:R52" si="43">IF(P$12=0,0,P46/P$12)</f>
        <v>0</v>
      </c>
      <c r="S46" s="1"/>
      <c r="T46" s="1">
        <f>SUM(OSRRefT22_5x_0)</f>
        <v>80.17</v>
      </c>
      <c r="U46" s="1"/>
      <c r="V46" s="5">
        <f t="shared" ref="V46:V52" si="44">IF(T$12=0,0,T46/T$12)</f>
        <v>1.0604735820779039E-2</v>
      </c>
      <c r="W46" s="1"/>
      <c r="X46" s="1">
        <f t="shared" ref="X46:X52" si="45">+P46-T46</f>
        <v>-80.17</v>
      </c>
      <c r="Y46" s="1"/>
      <c r="Z46" s="5">
        <f t="shared" ref="Z46:Z52" si="46">IF(T46=0,0,X46/T46)</f>
        <v>-1</v>
      </c>
    </row>
    <row r="47" spans="1:26" s="24" customFormat="1" hidden="1" outlineLevel="2" x14ac:dyDescent="0.25">
      <c r="A47" s="26"/>
      <c r="B47" s="11" t="str">
        <f>CONCATENATE("          ", "6279", " - ", "GENERAL EXPENSE")</f>
        <v xml:space="preserve">          6279 - GENERAL EXPENSE</v>
      </c>
      <c r="C47" s="11"/>
      <c r="D47" s="6"/>
      <c r="E47" s="2"/>
      <c r="F47" s="7">
        <f t="shared" si="39"/>
        <v>0</v>
      </c>
      <c r="G47" s="2"/>
      <c r="H47" s="6"/>
      <c r="I47" s="2"/>
      <c r="J47" s="7">
        <f t="shared" si="40"/>
        <v>0</v>
      </c>
      <c r="K47" s="2"/>
      <c r="L47" s="6">
        <f t="shared" si="41"/>
        <v>0</v>
      </c>
      <c r="M47" s="2"/>
      <c r="N47" s="7">
        <f t="shared" si="42"/>
        <v>0</v>
      </c>
      <c r="O47" s="11"/>
      <c r="P47" s="6"/>
      <c r="Q47" s="2"/>
      <c r="R47" s="7">
        <f t="shared" si="43"/>
        <v>0</v>
      </c>
      <c r="S47" s="2"/>
      <c r="T47" s="6">
        <v>80.17</v>
      </c>
      <c r="U47" s="2"/>
      <c r="V47" s="7">
        <f t="shared" si="44"/>
        <v>1.0604735820779039E-2</v>
      </c>
      <c r="W47" s="2"/>
      <c r="X47" s="6">
        <f t="shared" si="45"/>
        <v>-80.17</v>
      </c>
      <c r="Y47" s="2"/>
      <c r="Z47" s="7">
        <f t="shared" si="46"/>
        <v>-1</v>
      </c>
    </row>
    <row r="48" spans="1:26" s="25" customFormat="1" outlineLevel="1" collapsed="1" x14ac:dyDescent="0.25">
      <c r="A48" s="27"/>
      <c r="B48" s="13" t="str">
        <f>CONCATENATE("     ","Inventory Adjustment                              ")</f>
        <v xml:space="preserve">     Inventory Adjustment                              </v>
      </c>
      <c r="C48" s="13"/>
      <c r="D48" s="1">
        <f>SUM(OSRRefD22_6x_0)</f>
        <v>0</v>
      </c>
      <c r="E48" s="1"/>
      <c r="F48" s="5">
        <f t="shared" si="39"/>
        <v>0</v>
      </c>
      <c r="G48" s="1"/>
      <c r="H48" s="1">
        <f>SUM(OSRRefH22_6x_0)</f>
        <v>100</v>
      </c>
      <c r="I48" s="1"/>
      <c r="J48" s="5">
        <f t="shared" si="40"/>
        <v>0</v>
      </c>
      <c r="K48" s="1"/>
      <c r="L48" s="1">
        <f t="shared" si="41"/>
        <v>-100</v>
      </c>
      <c r="M48" s="1"/>
      <c r="N48" s="5">
        <f t="shared" si="42"/>
        <v>-1</v>
      </c>
      <c r="O48" s="13"/>
      <c r="P48" s="1">
        <f>SUM(OSRRefP22_6x_0)</f>
        <v>0</v>
      </c>
      <c r="Q48" s="1"/>
      <c r="R48" s="5">
        <f t="shared" si="43"/>
        <v>0</v>
      </c>
      <c r="S48" s="1"/>
      <c r="T48" s="1">
        <f>SUM(OSRRefT22_6x_0)</f>
        <v>700</v>
      </c>
      <c r="U48" s="1"/>
      <c r="V48" s="5">
        <f t="shared" si="44"/>
        <v>9.259467474797714E-2</v>
      </c>
      <c r="W48" s="1"/>
      <c r="X48" s="1">
        <f t="shared" si="45"/>
        <v>-700</v>
      </c>
      <c r="Y48" s="1"/>
      <c r="Z48" s="5">
        <f t="shared" si="46"/>
        <v>-1</v>
      </c>
    </row>
    <row r="49" spans="1:26" s="24" customFormat="1" hidden="1" outlineLevel="2" x14ac:dyDescent="0.25">
      <c r="A49" s="26"/>
      <c r="B49" s="11" t="str">
        <f>CONCATENATE("          ", "6408", " - ", "INVENTORY ADJUSTMENT")</f>
        <v xml:space="preserve">          6408 - INVENTORY ADJUSTMENT</v>
      </c>
      <c r="C49" s="11"/>
      <c r="D49" s="6"/>
      <c r="E49" s="2"/>
      <c r="F49" s="7">
        <f t="shared" si="39"/>
        <v>0</v>
      </c>
      <c r="G49" s="2"/>
      <c r="H49" s="6">
        <v>100</v>
      </c>
      <c r="I49" s="2"/>
      <c r="J49" s="7">
        <f t="shared" si="40"/>
        <v>0</v>
      </c>
      <c r="K49" s="2"/>
      <c r="L49" s="6">
        <f t="shared" si="41"/>
        <v>-100</v>
      </c>
      <c r="M49" s="2"/>
      <c r="N49" s="7">
        <f t="shared" si="42"/>
        <v>-1</v>
      </c>
      <c r="O49" s="11"/>
      <c r="P49" s="6"/>
      <c r="Q49" s="2"/>
      <c r="R49" s="7">
        <f t="shared" si="43"/>
        <v>0</v>
      </c>
      <c r="S49" s="2"/>
      <c r="T49" s="6">
        <v>700</v>
      </c>
      <c r="U49" s="2"/>
      <c r="V49" s="7">
        <f t="shared" si="44"/>
        <v>9.259467474797714E-2</v>
      </c>
      <c r="W49" s="2"/>
      <c r="X49" s="6">
        <f t="shared" si="45"/>
        <v>-700</v>
      </c>
      <c r="Y49" s="2"/>
      <c r="Z49" s="7">
        <f t="shared" si="46"/>
        <v>-1</v>
      </c>
    </row>
    <row r="50" spans="1:26" s="25" customFormat="1" outlineLevel="1" collapsed="1" x14ac:dyDescent="0.25">
      <c r="A50" s="27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0</v>
      </c>
      <c r="E50" s="1"/>
      <c r="F50" s="5">
        <f t="shared" si="39"/>
        <v>0</v>
      </c>
      <c r="G50" s="1"/>
      <c r="H50" s="1">
        <f>SUM(OSRRefH22_7x_0)</f>
        <v>2164.75</v>
      </c>
      <c r="I50" s="1"/>
      <c r="J50" s="5">
        <f t="shared" si="40"/>
        <v>0</v>
      </c>
      <c r="K50" s="1"/>
      <c r="L50" s="1">
        <f t="shared" si="41"/>
        <v>-2164.75</v>
      </c>
      <c r="M50" s="1"/>
      <c r="N50" s="5">
        <f t="shared" si="42"/>
        <v>-1</v>
      </c>
      <c r="O50" s="13"/>
      <c r="P50" s="1">
        <f>SUM(OSRRefP22_7x_0)</f>
        <v>0</v>
      </c>
      <c r="Q50" s="1"/>
      <c r="R50" s="5">
        <f t="shared" si="43"/>
        <v>0</v>
      </c>
      <c r="S50" s="1"/>
      <c r="T50" s="1">
        <f>SUM(OSRRefT22_7x_0)</f>
        <v>7345.43</v>
      </c>
      <c r="U50" s="1"/>
      <c r="V50" s="5">
        <f t="shared" si="44"/>
        <v>0.9716395739057625</v>
      </c>
      <c r="W50" s="1"/>
      <c r="X50" s="1">
        <f t="shared" si="45"/>
        <v>-7345.43</v>
      </c>
      <c r="Y50" s="1"/>
      <c r="Z50" s="5">
        <f t="shared" si="46"/>
        <v>-1</v>
      </c>
    </row>
    <row r="51" spans="1:26" s="24" customFormat="1" hidden="1" outlineLevel="2" x14ac:dyDescent="0.25">
      <c r="A51" s="26"/>
      <c r="B51" s="11" t="str">
        <f>CONCATENATE("          ", "6241", " - ", "OFFICE EXPENSE")</f>
        <v xml:space="preserve">          6241 - OFFICE EXPENSE</v>
      </c>
      <c r="C51" s="11"/>
      <c r="D51" s="6"/>
      <c r="E51" s="2"/>
      <c r="F51" s="7">
        <f t="shared" si="39"/>
        <v>0</v>
      </c>
      <c r="G51" s="2"/>
      <c r="H51" s="6"/>
      <c r="I51" s="2"/>
      <c r="J51" s="7">
        <f t="shared" si="40"/>
        <v>0</v>
      </c>
      <c r="K51" s="2"/>
      <c r="L51" s="6">
        <f t="shared" si="41"/>
        <v>0</v>
      </c>
      <c r="M51" s="2"/>
      <c r="N51" s="7">
        <f t="shared" si="42"/>
        <v>0</v>
      </c>
      <c r="O51" s="11"/>
      <c r="P51" s="6"/>
      <c r="Q51" s="2"/>
      <c r="R51" s="7">
        <f t="shared" si="43"/>
        <v>0</v>
      </c>
      <c r="S51" s="2"/>
      <c r="T51" s="6">
        <v>126.27</v>
      </c>
      <c r="U51" s="2"/>
      <c r="V51" s="7">
        <f t="shared" si="44"/>
        <v>1.6702756543467246E-2</v>
      </c>
      <c r="W51" s="2"/>
      <c r="X51" s="6">
        <f t="shared" si="45"/>
        <v>-126.27</v>
      </c>
      <c r="Y51" s="2"/>
      <c r="Z51" s="7">
        <f t="shared" si="46"/>
        <v>-1</v>
      </c>
    </row>
    <row r="52" spans="1:26" s="24" customFormat="1" hidden="1" outlineLevel="2" x14ac:dyDescent="0.25">
      <c r="A52" s="26"/>
      <c r="B52" s="11" t="str">
        <f>CONCATENATE("          ", "6247", " - ", "STORE SUPPLIES")</f>
        <v xml:space="preserve">          6247 - STORE SUPPLIES</v>
      </c>
      <c r="C52" s="11"/>
      <c r="D52" s="6"/>
      <c r="E52" s="2"/>
      <c r="F52" s="7">
        <f t="shared" si="39"/>
        <v>0</v>
      </c>
      <c r="G52" s="2"/>
      <c r="H52" s="6">
        <v>2164.75</v>
      </c>
      <c r="I52" s="2"/>
      <c r="J52" s="7">
        <f t="shared" si="40"/>
        <v>0</v>
      </c>
      <c r="K52" s="2"/>
      <c r="L52" s="6">
        <f t="shared" si="41"/>
        <v>-2164.75</v>
      </c>
      <c r="M52" s="2"/>
      <c r="N52" s="7">
        <f t="shared" si="42"/>
        <v>-1</v>
      </c>
      <c r="O52" s="11"/>
      <c r="P52" s="6"/>
      <c r="Q52" s="2"/>
      <c r="R52" s="7">
        <f t="shared" si="43"/>
        <v>0</v>
      </c>
      <c r="S52" s="2"/>
      <c r="T52" s="6">
        <v>7219.16</v>
      </c>
      <c r="U52" s="2"/>
      <c r="V52" s="7">
        <f t="shared" si="44"/>
        <v>0.95493681736229519</v>
      </c>
      <c r="W52" s="2"/>
      <c r="X52" s="6">
        <f t="shared" si="45"/>
        <v>-7219.16</v>
      </c>
      <c r="Y52" s="2"/>
      <c r="Z52" s="7">
        <f t="shared" si="46"/>
        <v>-1</v>
      </c>
    </row>
    <row r="53" spans="1:26" s="25" customFormat="1" outlineLevel="1" collapsed="1" x14ac:dyDescent="0.25">
      <c r="A53" s="27"/>
      <c r="B53" s="13" t="str">
        <f>CONCATENATE("     ","Telephone/Data Lines                              ")</f>
        <v xml:space="preserve">     Telephone/Data Lines                              </v>
      </c>
      <c r="C53" s="13"/>
      <c r="D53" s="1">
        <f>SUM(OSRRefD22_8x_0)</f>
        <v>0</v>
      </c>
      <c r="E53" s="1"/>
      <c r="F53" s="5">
        <f t="shared" ref="F53:F54" si="47">IF(D$12=0,0,D53/D$12)</f>
        <v>0</v>
      </c>
      <c r="G53" s="1"/>
      <c r="H53" s="1">
        <f>SUM(OSRRefH22_8x_0)</f>
        <v>54.25</v>
      </c>
      <c r="I53" s="1"/>
      <c r="J53" s="5">
        <f t="shared" ref="J53:J54" si="48">IF(H$12=0,0,H53/H$12)</f>
        <v>0</v>
      </c>
      <c r="K53" s="1"/>
      <c r="L53" s="1">
        <f t="shared" ref="L53:L54" si="49">+D53-H53</f>
        <v>-54.25</v>
      </c>
      <c r="M53" s="1"/>
      <c r="N53" s="5">
        <f t="shared" ref="N53:N54" si="50">IF(H53=0,0,L53/H53)</f>
        <v>-1</v>
      </c>
      <c r="O53" s="13"/>
      <c r="P53" s="1">
        <f>SUM(OSRRefP22_8x_0)</f>
        <v>0</v>
      </c>
      <c r="Q53" s="1"/>
      <c r="R53" s="5">
        <f t="shared" ref="R53:R54" si="51">IF(P$12=0,0,P53/P$12)</f>
        <v>0</v>
      </c>
      <c r="S53" s="1"/>
      <c r="T53" s="1">
        <f>SUM(OSRRefT22_8x_0)</f>
        <v>504.4</v>
      </c>
      <c r="U53" s="1"/>
      <c r="V53" s="5">
        <f t="shared" ref="V53:V54" si="52">IF(T$12=0,0,T53/T$12)</f>
        <v>6.672107706125667E-2</v>
      </c>
      <c r="W53" s="1"/>
      <c r="X53" s="1">
        <f t="shared" ref="X53:X54" si="53">+P53-T53</f>
        <v>-504.4</v>
      </c>
      <c r="Y53" s="1"/>
      <c r="Z53" s="5">
        <f t="shared" ref="Z53:Z54" si="54">IF(T53=0,0,X53/T53)</f>
        <v>-1</v>
      </c>
    </row>
    <row r="54" spans="1:26" s="24" customFormat="1" hidden="1" outlineLevel="2" x14ac:dyDescent="0.25">
      <c r="A54" s="26"/>
      <c r="B54" s="11" t="str">
        <f>CONCATENATE("          ", "6309", " - ", "TELEPHONE")</f>
        <v xml:space="preserve">          6309 - TELEPHONE</v>
      </c>
      <c r="C54" s="11"/>
      <c r="D54" s="6"/>
      <c r="E54" s="2"/>
      <c r="F54" s="7">
        <f t="shared" si="47"/>
        <v>0</v>
      </c>
      <c r="G54" s="2"/>
      <c r="H54" s="6">
        <v>54.25</v>
      </c>
      <c r="I54" s="2"/>
      <c r="J54" s="7">
        <f t="shared" si="48"/>
        <v>0</v>
      </c>
      <c r="K54" s="2"/>
      <c r="L54" s="6">
        <f t="shared" si="49"/>
        <v>-54.25</v>
      </c>
      <c r="M54" s="2"/>
      <c r="N54" s="7">
        <f t="shared" si="50"/>
        <v>-1</v>
      </c>
      <c r="O54" s="11"/>
      <c r="P54" s="6"/>
      <c r="Q54" s="2"/>
      <c r="R54" s="7">
        <f t="shared" si="51"/>
        <v>0</v>
      </c>
      <c r="S54" s="2"/>
      <c r="T54" s="6">
        <v>504.4</v>
      </c>
      <c r="U54" s="2"/>
      <c r="V54" s="7">
        <f t="shared" si="52"/>
        <v>6.672107706125667E-2</v>
      </c>
      <c r="W54" s="2"/>
      <c r="X54" s="6">
        <f t="shared" si="53"/>
        <v>-504.4</v>
      </c>
      <c r="Y54" s="2"/>
      <c r="Z54" s="7">
        <f t="shared" si="54"/>
        <v>-1</v>
      </c>
    </row>
    <row r="55" spans="1:26" s="52" customFormat="1" x14ac:dyDescent="0.25">
      <c r="A55" s="37"/>
      <c r="B55" s="37"/>
      <c r="C55" s="37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collapsed="1" x14ac:dyDescent="0.25">
      <c r="A56" s="10"/>
      <c r="B56" s="28" t="s">
        <v>0</v>
      </c>
      <c r="C56" s="10"/>
      <c r="D56" s="4">
        <f>SUM(OSRRefD25x_0)</f>
        <v>0</v>
      </c>
      <c r="E56" s="4"/>
      <c r="F56" s="12">
        <f t="shared" ref="F56:F61" si="55">IF(D$12=0,0,D56/D$12)</f>
        <v>0</v>
      </c>
      <c r="G56" s="4"/>
      <c r="H56" s="4">
        <f>SUM(OSRRefH25x_0)</f>
        <v>23443.33</v>
      </c>
      <c r="I56" s="4"/>
      <c r="J56" s="12">
        <f t="shared" ref="J56:J61" si="56">IF(H$12=0,0,H56/H$12)</f>
        <v>0</v>
      </c>
      <c r="K56" s="4"/>
      <c r="L56" s="4">
        <f t="shared" ref="L56:L61" si="57">+D56-H56</f>
        <v>-23443.33</v>
      </c>
      <c r="M56" s="4"/>
      <c r="N56" s="12">
        <f t="shared" ref="N56:N61" si="58">IF(H56=0,0,L56/H56)</f>
        <v>-1</v>
      </c>
      <c r="O56" s="10"/>
      <c r="P56" s="4">
        <f>SUM(OSRRefP25x_0)</f>
        <v>0</v>
      </c>
      <c r="Q56" s="4"/>
      <c r="R56" s="12">
        <f t="shared" ref="R56:R61" si="59">IF(P$12=0,0,P56/P$12)</f>
        <v>0</v>
      </c>
      <c r="S56" s="4"/>
      <c r="T56" s="4">
        <f>SUM(OSRRefT25x_0)</f>
        <v>112733.83</v>
      </c>
      <c r="U56" s="4"/>
      <c r="V56" s="12">
        <f t="shared" ref="V56:V61" si="60">IF(T$12=0,0,T56/T$12)</f>
        <v>14.912217602776783</v>
      </c>
      <c r="W56" s="4"/>
      <c r="X56" s="4">
        <f t="shared" ref="X56:X61" si="61">+P56-T56</f>
        <v>-112733.83</v>
      </c>
      <c r="Y56" s="4"/>
      <c r="Z56" s="12">
        <f t="shared" ref="Z56:Z61" si="62">IF(T56=0,0,X56/T56)</f>
        <v>-1</v>
      </c>
    </row>
    <row r="57" spans="1:26" s="24" customFormat="1" hidden="1" outlineLevel="1" x14ac:dyDescent="0.25">
      <c r="A57" s="44"/>
      <c r="B57" s="11" t="str">
        <f>CONCATENATE("          ", "4098", " - ", "TAXABLE SALES-GRAD RENTALS")</f>
        <v xml:space="preserve">          4098 - TAXABLE SALES-GRAD RENTALS</v>
      </c>
      <c r="C57" s="11"/>
      <c r="D57" s="2">
        <f t="shared" ref="D57:D61" si="63">0</f>
        <v>0</v>
      </c>
      <c r="E57" s="2"/>
      <c r="F57" s="19">
        <f t="shared" si="55"/>
        <v>0</v>
      </c>
      <c r="G57" s="2"/>
      <c r="H57" s="2">
        <f>--110</f>
        <v>110</v>
      </c>
      <c r="I57" s="2"/>
      <c r="J57" s="19">
        <f t="shared" si="56"/>
        <v>0</v>
      </c>
      <c r="K57" s="2"/>
      <c r="L57" s="2">
        <f t="shared" si="57"/>
        <v>-110</v>
      </c>
      <c r="M57" s="2"/>
      <c r="N57" s="19">
        <f t="shared" si="58"/>
        <v>-1</v>
      </c>
      <c r="O57" s="11"/>
      <c r="P57" s="2">
        <f t="shared" ref="P57:P61" si="64">0</f>
        <v>0</v>
      </c>
      <c r="Q57" s="2"/>
      <c r="R57" s="19">
        <f t="shared" si="59"/>
        <v>0</v>
      </c>
      <c r="S57" s="2"/>
      <c r="T57" s="2">
        <f>--2056.85</f>
        <v>2056.85</v>
      </c>
      <c r="U57" s="2"/>
      <c r="V57" s="19">
        <f t="shared" si="60"/>
        <v>0.27207622393625253</v>
      </c>
      <c r="W57" s="2"/>
      <c r="X57" s="2">
        <f t="shared" si="61"/>
        <v>-2056.85</v>
      </c>
      <c r="Y57" s="2"/>
      <c r="Z57" s="19">
        <f t="shared" si="62"/>
        <v>-1</v>
      </c>
    </row>
    <row r="58" spans="1:26" s="24" customFormat="1" hidden="1" outlineLevel="1" x14ac:dyDescent="0.25">
      <c r="A58" s="44"/>
      <c r="B58" s="11" t="str">
        <f>CONCATENATE("          ", "4197", " - ", "NON-TAXABLE SALES-RETURNED CHE")</f>
        <v xml:space="preserve">          4197 - NON-TAXABLE SALES-RETURNED CHE</v>
      </c>
      <c r="C58" s="11"/>
      <c r="D58" s="2">
        <f t="shared" si="63"/>
        <v>0</v>
      </c>
      <c r="E58" s="2"/>
      <c r="F58" s="19">
        <f t="shared" si="55"/>
        <v>0</v>
      </c>
      <c r="G58" s="2"/>
      <c r="H58" s="2">
        <f t="shared" ref="H58:H60" si="65">0</f>
        <v>0</v>
      </c>
      <c r="I58" s="2"/>
      <c r="J58" s="19">
        <f t="shared" si="56"/>
        <v>0</v>
      </c>
      <c r="K58" s="2"/>
      <c r="L58" s="2">
        <f t="shared" si="57"/>
        <v>0</v>
      </c>
      <c r="M58" s="2"/>
      <c r="N58" s="19">
        <f t="shared" si="58"/>
        <v>0</v>
      </c>
      <c r="O58" s="11"/>
      <c r="P58" s="2">
        <f t="shared" si="64"/>
        <v>0</v>
      </c>
      <c r="Q58" s="2"/>
      <c r="R58" s="19">
        <f t="shared" si="59"/>
        <v>0</v>
      </c>
      <c r="S58" s="2"/>
      <c r="T58" s="2">
        <f>--30</f>
        <v>30</v>
      </c>
      <c r="U58" s="2"/>
      <c r="V58" s="19">
        <f t="shared" si="60"/>
        <v>3.9683432034847343E-3</v>
      </c>
      <c r="W58" s="2"/>
      <c r="X58" s="2">
        <f t="shared" si="61"/>
        <v>-30</v>
      </c>
      <c r="Y58" s="2"/>
      <c r="Z58" s="19">
        <f t="shared" si="62"/>
        <v>-1</v>
      </c>
    </row>
    <row r="59" spans="1:26" s="24" customFormat="1" hidden="1" outlineLevel="1" x14ac:dyDescent="0.25">
      <c r="A59" s="44"/>
      <c r="B59" s="11" t="str">
        <f>CONCATENATE("          ", "4198", " - ", "NON-TAXABLE SALES-GRAD RENTALS")</f>
        <v xml:space="preserve">          4198 - NON-TAXABLE SALES-GRAD RENTALS</v>
      </c>
      <c r="C59" s="11"/>
      <c r="D59" s="2">
        <f t="shared" si="63"/>
        <v>0</v>
      </c>
      <c r="E59" s="2"/>
      <c r="F59" s="19">
        <f t="shared" si="55"/>
        <v>0</v>
      </c>
      <c r="G59" s="2"/>
      <c r="H59" s="2">
        <f t="shared" si="65"/>
        <v>0</v>
      </c>
      <c r="I59" s="2"/>
      <c r="J59" s="19">
        <f t="shared" si="56"/>
        <v>0</v>
      </c>
      <c r="K59" s="2"/>
      <c r="L59" s="2">
        <f t="shared" si="57"/>
        <v>0</v>
      </c>
      <c r="M59" s="2"/>
      <c r="N59" s="19">
        <f t="shared" si="58"/>
        <v>0</v>
      </c>
      <c r="O59" s="11"/>
      <c r="P59" s="2">
        <f t="shared" si="64"/>
        <v>0</v>
      </c>
      <c r="Q59" s="2"/>
      <c r="R59" s="19">
        <f t="shared" si="59"/>
        <v>0</v>
      </c>
      <c r="S59" s="2"/>
      <c r="T59" s="2">
        <f>--3732.1</f>
        <v>3732.1</v>
      </c>
      <c r="U59" s="2"/>
      <c r="V59" s="19">
        <f t="shared" si="60"/>
        <v>0.49367512232417926</v>
      </c>
      <c r="W59" s="2"/>
      <c r="X59" s="2">
        <f t="shared" si="61"/>
        <v>-3732.1</v>
      </c>
      <c r="Y59" s="2"/>
      <c r="Z59" s="19">
        <f t="shared" si="62"/>
        <v>-1</v>
      </c>
    </row>
    <row r="60" spans="1:26" s="24" customFormat="1" hidden="1" outlineLevel="1" x14ac:dyDescent="0.25">
      <c r="A60" s="44"/>
      <c r="B60" s="11" t="str">
        <f>CONCATENATE("          ", "9160", " - ", "MISC. INCOME")</f>
        <v xml:space="preserve">          9160 - MISC. INCOME</v>
      </c>
      <c r="C60" s="11"/>
      <c r="D60" s="2">
        <f t="shared" si="63"/>
        <v>0</v>
      </c>
      <c r="E60" s="2"/>
      <c r="F60" s="19">
        <f t="shared" si="55"/>
        <v>0</v>
      </c>
      <c r="G60" s="2"/>
      <c r="H60" s="2">
        <f t="shared" si="65"/>
        <v>0</v>
      </c>
      <c r="I60" s="2"/>
      <c r="J60" s="19">
        <f t="shared" si="56"/>
        <v>0</v>
      </c>
      <c r="K60" s="2"/>
      <c r="L60" s="2">
        <f t="shared" si="57"/>
        <v>0</v>
      </c>
      <c r="M60" s="2"/>
      <c r="N60" s="19">
        <f t="shared" si="58"/>
        <v>0</v>
      </c>
      <c r="O60" s="11"/>
      <c r="P60" s="2">
        <f t="shared" si="64"/>
        <v>0</v>
      </c>
      <c r="Q60" s="2"/>
      <c r="R60" s="19">
        <f t="shared" si="59"/>
        <v>0</v>
      </c>
      <c r="S60" s="2"/>
      <c r="T60" s="2">
        <f>--22475</f>
        <v>22475</v>
      </c>
      <c r="U60" s="2"/>
      <c r="V60" s="19">
        <f t="shared" si="60"/>
        <v>2.9729504499439803</v>
      </c>
      <c r="W60" s="2"/>
      <c r="X60" s="2">
        <f t="shared" si="61"/>
        <v>-22475</v>
      </c>
      <c r="Y60" s="2"/>
      <c r="Z60" s="19">
        <f t="shared" si="62"/>
        <v>-1</v>
      </c>
    </row>
    <row r="61" spans="1:26" s="24" customFormat="1" hidden="1" outlineLevel="1" x14ac:dyDescent="0.25">
      <c r="A61" s="44"/>
      <c r="B61" s="11" t="str">
        <f>CONCATENATE("          ", "9163", " - ", "MISC. INCOME")</f>
        <v xml:space="preserve">          9163 - MISC. INCOME</v>
      </c>
      <c r="C61" s="11"/>
      <c r="D61" s="2">
        <f t="shared" si="63"/>
        <v>0</v>
      </c>
      <c r="E61" s="2"/>
      <c r="F61" s="19">
        <f t="shared" si="55"/>
        <v>0</v>
      </c>
      <c r="G61" s="2"/>
      <c r="H61" s="2">
        <f>--23333.33</f>
        <v>23333.33</v>
      </c>
      <c r="I61" s="2"/>
      <c r="J61" s="19">
        <f t="shared" si="56"/>
        <v>0</v>
      </c>
      <c r="K61" s="2"/>
      <c r="L61" s="2">
        <f t="shared" si="57"/>
        <v>-23333.33</v>
      </c>
      <c r="M61" s="2"/>
      <c r="N61" s="19">
        <f t="shared" si="58"/>
        <v>-1</v>
      </c>
      <c r="O61" s="11"/>
      <c r="P61" s="2">
        <f t="shared" si="64"/>
        <v>0</v>
      </c>
      <c r="Q61" s="2"/>
      <c r="R61" s="19">
        <f t="shared" si="59"/>
        <v>0</v>
      </c>
      <c r="S61" s="2"/>
      <c r="T61" s="2">
        <f>--84439.88</f>
        <v>84439.88</v>
      </c>
      <c r="U61" s="2"/>
      <c r="V61" s="19">
        <f t="shared" si="60"/>
        <v>11.169547463368886</v>
      </c>
      <c r="W61" s="2"/>
      <c r="X61" s="2">
        <f t="shared" si="61"/>
        <v>-84439.88</v>
      </c>
      <c r="Y61" s="2"/>
      <c r="Z61" s="19">
        <f t="shared" si="62"/>
        <v>-1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9" t="s">
        <v>3</v>
      </c>
      <c r="C63" s="29"/>
      <c r="D63" s="22">
        <f>+D24-D26+D56</f>
        <v>0</v>
      </c>
      <c r="E63" s="14"/>
      <c r="F63" s="20">
        <f>IF(D$12=0,0,D63/D$12)</f>
        <v>0</v>
      </c>
      <c r="G63" s="14"/>
      <c r="H63" s="22">
        <f>+H24-H26+H56</f>
        <v>16559.100000000002</v>
      </c>
      <c r="I63" s="14"/>
      <c r="J63" s="20">
        <f>IF(H$12=0,0,H63/H$12)</f>
        <v>0</v>
      </c>
      <c r="K63" s="16"/>
      <c r="L63" s="22">
        <f>+D63-H63</f>
        <v>-16559.100000000002</v>
      </c>
      <c r="M63" s="16"/>
      <c r="N63" s="20">
        <f>IF(H63=0,0,L63/H63)</f>
        <v>-1</v>
      </c>
      <c r="O63" s="28"/>
      <c r="P63" s="22">
        <f>+P24-P26+P56</f>
        <v>0</v>
      </c>
      <c r="Q63" s="14"/>
      <c r="R63" s="20">
        <f>IF(P$12=0,0,P63/P$12)</f>
        <v>0</v>
      </c>
      <c r="S63" s="14"/>
      <c r="T63" s="22">
        <f>+T24-T26+T56</f>
        <v>120754.28000000001</v>
      </c>
      <c r="U63" s="14"/>
      <c r="V63" s="20">
        <f>IF(T$12=0,0,T63/T$12)</f>
        <v>15.973147544323089</v>
      </c>
      <c r="W63" s="16"/>
      <c r="X63" s="22">
        <f>+P63-T63</f>
        <v>-120754.28000000001</v>
      </c>
      <c r="Y63" s="16"/>
      <c r="Z63" s="20">
        <f>IF(T63=0,0,X63/T63)</f>
        <v>-1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1"/>
      <c r="B65" s="10" t="s">
        <v>13</v>
      </c>
      <c r="C65" s="10"/>
      <c r="D65" s="4"/>
      <c r="E65" s="4"/>
      <c r="F65" s="12">
        <f>IF(D$12=0,0,D65/D$12)</f>
        <v>0</v>
      </c>
      <c r="G65" s="4"/>
      <c r="H65" s="4">
        <v>-17.88</v>
      </c>
      <c r="I65" s="4"/>
      <c r="J65" s="12">
        <f>IF(H$12=0,0,H65/H$12)</f>
        <v>0</v>
      </c>
      <c r="K65" s="4"/>
      <c r="L65" s="4">
        <f>+D65-H65</f>
        <v>17.88</v>
      </c>
      <c r="M65" s="4"/>
      <c r="N65" s="12">
        <f>IF(H65=0,0,L65/H65)</f>
        <v>-1</v>
      </c>
      <c r="O65" s="10"/>
      <c r="P65" s="4"/>
      <c r="Q65" s="4"/>
      <c r="R65" s="12">
        <f>IF(P$12=0,0,P65/P$12)</f>
        <v>0</v>
      </c>
      <c r="S65" s="4"/>
      <c r="T65" s="4">
        <v>770.5</v>
      </c>
      <c r="U65" s="4"/>
      <c r="V65" s="12">
        <f>IF(T$12=0,0,T65/T$12)</f>
        <v>0.10192028127616626</v>
      </c>
      <c r="W65" s="4"/>
      <c r="X65" s="4">
        <f>+P65-T65</f>
        <v>-770.5</v>
      </c>
      <c r="Y65" s="4"/>
      <c r="Z65" s="12">
        <f>IF(T65=0,0,X65/T65)</f>
        <v>-1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9" t="s">
        <v>4</v>
      </c>
      <c r="C67" s="29"/>
      <c r="D67" s="35">
        <f>+D63-D65</f>
        <v>0</v>
      </c>
      <c r="E67" s="14"/>
      <c r="F67" s="36">
        <f>IF(D$12=0,0,D67/D$12)</f>
        <v>0</v>
      </c>
      <c r="G67" s="14"/>
      <c r="H67" s="35">
        <f>+H63-H65</f>
        <v>16576.980000000003</v>
      </c>
      <c r="I67" s="14"/>
      <c r="J67" s="36">
        <f>IF(H$12=0,0,H67/H$12)</f>
        <v>0</v>
      </c>
      <c r="K67" s="16"/>
      <c r="L67" s="35">
        <f>D67-H67</f>
        <v>-16576.980000000003</v>
      </c>
      <c r="M67" s="16"/>
      <c r="N67" s="36">
        <f>IF(H67=0,0,L67/H67)</f>
        <v>-1</v>
      </c>
      <c r="O67" s="28"/>
      <c r="P67" s="35">
        <f>+P63-P65</f>
        <v>0</v>
      </c>
      <c r="Q67" s="14"/>
      <c r="R67" s="36">
        <f>IF(P$12=0,0,P67/P$12)</f>
        <v>0</v>
      </c>
      <c r="S67" s="14"/>
      <c r="T67" s="35">
        <f>+T63-T65</f>
        <v>119983.78000000001</v>
      </c>
      <c r="U67" s="14"/>
      <c r="V67" s="36">
        <f>IF(T$12=0,0,T67/T$12)</f>
        <v>15.871227263046922</v>
      </c>
      <c r="W67" s="16"/>
      <c r="X67" s="35">
        <f>P67-T67</f>
        <v>-119983.78000000001</v>
      </c>
      <c r="Y67" s="16"/>
      <c r="Z67" s="36">
        <f>IF(T67=0,0,X67/T67)</f>
        <v>-1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9" t="s">
        <v>5</v>
      </c>
      <c r="C70" s="29"/>
      <c r="D70" s="31">
        <f>SUM(D67:D69)</f>
        <v>0</v>
      </c>
      <c r="E70" s="14"/>
      <c r="F70" s="33">
        <f>IF(D$12=0,0,D70/D$12)</f>
        <v>0</v>
      </c>
      <c r="G70" s="14"/>
      <c r="H70" s="31">
        <f>SUM(H67:H69)</f>
        <v>16576.980000000003</v>
      </c>
      <c r="I70" s="14"/>
      <c r="J70" s="33">
        <f>IF(H$12=0,0,H70/H$12)</f>
        <v>0</v>
      </c>
      <c r="K70" s="16"/>
      <c r="L70" s="31">
        <f>+D70-H70</f>
        <v>-16576.980000000003</v>
      </c>
      <c r="M70" s="16"/>
      <c r="N70" s="33">
        <f>IF(H70=0,0,L70/H70)</f>
        <v>-1</v>
      </c>
      <c r="O70" s="28"/>
      <c r="P70" s="31">
        <f>SUM(P67:P69)</f>
        <v>0</v>
      </c>
      <c r="Q70" s="14"/>
      <c r="R70" s="33">
        <f>IF(P$12=0,0,P70/P$12)</f>
        <v>0</v>
      </c>
      <c r="S70" s="14"/>
      <c r="T70" s="31">
        <f>SUM(T67:T69)</f>
        <v>119983.78000000001</v>
      </c>
      <c r="U70" s="14"/>
      <c r="V70" s="33">
        <f>IF(T$12=0,0,T70/T$12)</f>
        <v>15.871227263046922</v>
      </c>
      <c r="W70" s="16"/>
      <c r="X70" s="31">
        <f>+P70-T70</f>
        <v>-119983.78000000001</v>
      </c>
      <c r="Y70" s="16"/>
      <c r="Z70" s="33">
        <f>IF(T70=0,0,X70/T70)</f>
        <v>-1</v>
      </c>
    </row>
    <row r="71" spans="1:26" ht="15.75" thickTop="1" x14ac:dyDescent="0.25">
      <c r="A71" s="9"/>
      <c r="C71" s="9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A72" s="9"/>
      <c r="B72" s="56">
        <v>44267.668335995368</v>
      </c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A73" s="9"/>
      <c r="B73" s="54" t="s">
        <v>313</v>
      </c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58"/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310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185934.87000000002</v>
      </c>
      <c r="E12" s="4"/>
      <c r="F12" s="12"/>
      <c r="G12" s="4"/>
      <c r="H12" s="4">
        <f>SUM(OSRRefH13x_0)</f>
        <v>125526.55999999998</v>
      </c>
      <c r="I12" s="4"/>
      <c r="J12" s="12"/>
      <c r="K12" s="4"/>
      <c r="L12" s="4">
        <f t="shared" ref="L12:L37" si="0">+D12-H12</f>
        <v>60408.310000000041</v>
      </c>
      <c r="M12" s="4"/>
      <c r="N12" s="12">
        <f t="shared" ref="N12:N37" si="1">IF(H12=0,0,L12/H12)</f>
        <v>0.48123926920326704</v>
      </c>
      <c r="O12" s="10"/>
      <c r="P12" s="4">
        <f>SUM(OSRRefP13x_0)</f>
        <v>1590471.2</v>
      </c>
      <c r="Q12" s="4"/>
      <c r="R12" s="12"/>
      <c r="S12" s="4"/>
      <c r="T12" s="4">
        <f>SUM(OSRRefT13x_0)</f>
        <v>1924032.5800000008</v>
      </c>
      <c r="U12" s="4"/>
      <c r="V12" s="12"/>
      <c r="W12" s="4"/>
      <c r="X12" s="4">
        <f t="shared" ref="X12:X37" si="2">+P12-T12</f>
        <v>-333561.38000000082</v>
      </c>
      <c r="Y12" s="4"/>
      <c r="Z12" s="12">
        <f t="shared" ref="Z12:Z37" si="3">IF(T12=0,0,X12/T12)</f>
        <v>-0.17336576493938616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-49</f>
        <v>-49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-49</v>
      </c>
      <c r="M13" s="2"/>
      <c r="N13" s="19">
        <f t="shared" si="1"/>
        <v>0</v>
      </c>
      <c r="O13" s="11"/>
      <c r="P13" s="2">
        <f>-2696.96</f>
        <v>-2696.96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-2696.96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--64.79</f>
        <v>64.790000000000006</v>
      </c>
      <c r="E14" s="2"/>
      <c r="F14" s="19"/>
      <c r="G14" s="2"/>
      <c r="H14" s="2">
        <f>--24733.17</f>
        <v>24733.17</v>
      </c>
      <c r="I14" s="2"/>
      <c r="J14" s="19"/>
      <c r="K14" s="2"/>
      <c r="L14" s="2">
        <f t="shared" si="0"/>
        <v>-24668.379999999997</v>
      </c>
      <c r="M14" s="2"/>
      <c r="N14" s="19">
        <f t="shared" si="1"/>
        <v>-0.99738044092204914</v>
      </c>
      <c r="O14" s="11"/>
      <c r="P14" s="2">
        <f>--59262.85</f>
        <v>59262.85</v>
      </c>
      <c r="Q14" s="2"/>
      <c r="R14" s="19"/>
      <c r="S14" s="2"/>
      <c r="T14" s="2">
        <f>--296222.17</f>
        <v>296222.17</v>
      </c>
      <c r="U14" s="2"/>
      <c r="V14" s="19"/>
      <c r="W14" s="2"/>
      <c r="X14" s="2">
        <f t="shared" si="2"/>
        <v>-236959.31999999998</v>
      </c>
      <c r="Y14" s="2"/>
      <c r="Z14" s="19">
        <f t="shared" si="3"/>
        <v>-0.79993783044665423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--165815.3</f>
        <v>165815.29999999999</v>
      </c>
      <c r="E15" s="2"/>
      <c r="F15" s="19"/>
      <c r="G15" s="2"/>
      <c r="H15" s="2">
        <f>--76432.07</f>
        <v>76432.070000000007</v>
      </c>
      <c r="I15" s="2"/>
      <c r="J15" s="19"/>
      <c r="K15" s="2"/>
      <c r="L15" s="2">
        <f t="shared" si="0"/>
        <v>89383.229999999981</v>
      </c>
      <c r="M15" s="2"/>
      <c r="N15" s="19">
        <f t="shared" si="1"/>
        <v>1.1694466733662974</v>
      </c>
      <c r="O15" s="11"/>
      <c r="P15" s="2">
        <f>--1250838.47</f>
        <v>1250838.47</v>
      </c>
      <c r="Q15" s="2"/>
      <c r="R15" s="19"/>
      <c r="S15" s="2"/>
      <c r="T15" s="2">
        <f>--1583545.55</f>
        <v>1583545.55</v>
      </c>
      <c r="U15" s="2"/>
      <c r="V15" s="19"/>
      <c r="W15" s="2"/>
      <c r="X15" s="2">
        <f t="shared" si="2"/>
        <v>-332707.08000000007</v>
      </c>
      <c r="Y15" s="2"/>
      <c r="Z15" s="19">
        <f t="shared" si="3"/>
        <v>-0.21010262698158577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--3521.24</f>
        <v>3521.24</v>
      </c>
      <c r="E16" s="2"/>
      <c r="F16" s="19"/>
      <c r="G16" s="2"/>
      <c r="H16" s="2">
        <f>--10917.85</f>
        <v>10917.85</v>
      </c>
      <c r="I16" s="2"/>
      <c r="J16" s="19"/>
      <c r="K16" s="2"/>
      <c r="L16" s="2">
        <f t="shared" si="0"/>
        <v>-7396.6100000000006</v>
      </c>
      <c r="M16" s="2"/>
      <c r="N16" s="19">
        <f t="shared" si="1"/>
        <v>-0.67747862445444851</v>
      </c>
      <c r="O16" s="11"/>
      <c r="P16" s="2">
        <f>--96798.83</f>
        <v>96798.83</v>
      </c>
      <c r="Q16" s="2"/>
      <c r="R16" s="19"/>
      <c r="S16" s="2"/>
      <c r="T16" s="2">
        <f>--95247.08</f>
        <v>95247.08</v>
      </c>
      <c r="U16" s="2"/>
      <c r="V16" s="19"/>
      <c r="W16" s="2"/>
      <c r="X16" s="2">
        <f t="shared" si="2"/>
        <v>1551.75</v>
      </c>
      <c r="Y16" s="2"/>
      <c r="Z16" s="19">
        <f t="shared" si="3"/>
        <v>1.6291838028000438E-2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 t="shared" ref="D17:D18" si="4"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--129</f>
        <v>129</v>
      </c>
      <c r="U17" s="2"/>
      <c r="V17" s="19"/>
      <c r="W17" s="2"/>
      <c r="X17" s="2">
        <f t="shared" si="2"/>
        <v>-129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 t="shared" si="4"/>
        <v>0</v>
      </c>
      <c r="E18" s="2"/>
      <c r="F18" s="19"/>
      <c r="G18" s="2"/>
      <c r="H18" s="2">
        <f>--149.99</f>
        <v>149.99</v>
      </c>
      <c r="I18" s="2"/>
      <c r="J18" s="19"/>
      <c r="K18" s="2"/>
      <c r="L18" s="2">
        <f t="shared" si="0"/>
        <v>-149.99</v>
      </c>
      <c r="M18" s="2"/>
      <c r="N18" s="19">
        <f t="shared" si="1"/>
        <v>-1</v>
      </c>
      <c r="O18" s="11"/>
      <c r="P18" s="2">
        <f>--2878.93</f>
        <v>2878.93</v>
      </c>
      <c r="Q18" s="2"/>
      <c r="R18" s="19"/>
      <c r="S18" s="2"/>
      <c r="T18" s="2">
        <f>--4557.93</f>
        <v>4557.93</v>
      </c>
      <c r="U18" s="2"/>
      <c r="V18" s="19"/>
      <c r="W18" s="2"/>
      <c r="X18" s="2">
        <f t="shared" si="2"/>
        <v>-1679.0000000000005</v>
      </c>
      <c r="Y18" s="2"/>
      <c r="Z18" s="19">
        <f t="shared" si="3"/>
        <v>-0.3683689745125529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--1077.33</f>
        <v>1077.33</v>
      </c>
      <c r="E19" s="2"/>
      <c r="F19" s="19"/>
      <c r="G19" s="2"/>
      <c r="H19" s="2">
        <f>--5856.22</f>
        <v>5856.22</v>
      </c>
      <c r="I19" s="2"/>
      <c r="J19" s="19"/>
      <c r="K19" s="2"/>
      <c r="L19" s="2">
        <f t="shared" si="0"/>
        <v>-4778.8900000000003</v>
      </c>
      <c r="M19" s="2"/>
      <c r="N19" s="19">
        <f t="shared" si="1"/>
        <v>-0.81603662430714696</v>
      </c>
      <c r="O19" s="11"/>
      <c r="P19" s="2">
        <f>--58947.17</f>
        <v>58947.17</v>
      </c>
      <c r="Q19" s="2"/>
      <c r="R19" s="19"/>
      <c r="S19" s="2"/>
      <c r="T19" s="2">
        <f>--46217.33</f>
        <v>46217.33</v>
      </c>
      <c r="U19" s="2"/>
      <c r="V19" s="19"/>
      <c r="W19" s="2"/>
      <c r="X19" s="2">
        <f t="shared" si="2"/>
        <v>12729.839999999997</v>
      </c>
      <c r="Y19" s="2"/>
      <c r="Z19" s="19">
        <f t="shared" si="3"/>
        <v>0.27543434464950695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0</f>
        <v>0</v>
      </c>
      <c r="E20" s="2"/>
      <c r="F20" s="19"/>
      <c r="G20" s="2"/>
      <c r="H20" s="2">
        <f>--38.96</f>
        <v>38.96</v>
      </c>
      <c r="I20" s="2"/>
      <c r="J20" s="19"/>
      <c r="K20" s="2"/>
      <c r="L20" s="2">
        <f t="shared" si="0"/>
        <v>-38.96</v>
      </c>
      <c r="M20" s="2"/>
      <c r="N20" s="19">
        <f t="shared" si="1"/>
        <v>-1</v>
      </c>
      <c r="O20" s="11"/>
      <c r="P20" s="2">
        <f>0</f>
        <v>0</v>
      </c>
      <c r="Q20" s="2"/>
      <c r="R20" s="19"/>
      <c r="S20" s="2"/>
      <c r="T20" s="2">
        <f>--1094.84</f>
        <v>1094.8399999999999</v>
      </c>
      <c r="U20" s="2"/>
      <c r="V20" s="19"/>
      <c r="W20" s="2"/>
      <c r="X20" s="2">
        <f t="shared" si="2"/>
        <v>-1094.8399999999999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"4181", " - ", "NON-TAXABLE SALES-ELECTRONICS")</f>
        <v xml:space="preserve">          4181 - NON-TAXABLE SALES-ELECTRONICS</v>
      </c>
      <c r="C21" s="11"/>
      <c r="D21" s="2">
        <f>--6619.94</f>
        <v>6619.94</v>
      </c>
      <c r="E21" s="2"/>
      <c r="F21" s="19"/>
      <c r="G21" s="2"/>
      <c r="H21" s="2">
        <f>--257.96</f>
        <v>257.95999999999998</v>
      </c>
      <c r="I21" s="2"/>
      <c r="J21" s="19"/>
      <c r="K21" s="2"/>
      <c r="L21" s="2">
        <f t="shared" si="0"/>
        <v>6361.98</v>
      </c>
      <c r="M21" s="2"/>
      <c r="N21" s="19">
        <f t="shared" si="1"/>
        <v>24.662660877655451</v>
      </c>
      <c r="O21" s="11"/>
      <c r="P21" s="2">
        <f>--12192.66</f>
        <v>12192.66</v>
      </c>
      <c r="Q21" s="2"/>
      <c r="R21" s="19"/>
      <c r="S21" s="2"/>
      <c r="T21" s="2">
        <f>--2064.38</f>
        <v>2064.38</v>
      </c>
      <c r="U21" s="2"/>
      <c r="V21" s="19"/>
      <c r="W21" s="2"/>
      <c r="X21" s="2">
        <f t="shared" si="2"/>
        <v>10128.279999999999</v>
      </c>
      <c r="Y21" s="2"/>
      <c r="Z21" s="19">
        <f t="shared" si="3"/>
        <v>4.9062091281643871</v>
      </c>
    </row>
    <row r="22" spans="1:26" s="24" customFormat="1" hidden="1" outlineLevel="1" x14ac:dyDescent="0.25">
      <c r="A22" s="44"/>
      <c r="B22" s="11" t="str">
        <f>CONCATENATE("          ", "4182", " - ", "NON-TAXABLE SALES-COMPUTER HAR")</f>
        <v xml:space="preserve">          4182 - NON-TAXABLE SALES-COMPUTER HAR</v>
      </c>
      <c r="C22" s="11"/>
      <c r="D22" s="2">
        <f>--33247.79</f>
        <v>33247.79</v>
      </c>
      <c r="E22" s="2"/>
      <c r="F22" s="19"/>
      <c r="G22" s="2"/>
      <c r="H22" s="2">
        <f>--10906.99</f>
        <v>10906.99</v>
      </c>
      <c r="I22" s="2"/>
      <c r="J22" s="19"/>
      <c r="K22" s="2"/>
      <c r="L22" s="2">
        <f t="shared" si="0"/>
        <v>22340.800000000003</v>
      </c>
      <c r="M22" s="2"/>
      <c r="N22" s="19">
        <f t="shared" si="1"/>
        <v>2.0483011353269789</v>
      </c>
      <c r="O22" s="11"/>
      <c r="P22" s="2">
        <f>--219646.99</f>
        <v>219646.99</v>
      </c>
      <c r="Q22" s="2"/>
      <c r="R22" s="19"/>
      <c r="S22" s="2"/>
      <c r="T22" s="2">
        <f>--97878.96</f>
        <v>97878.96</v>
      </c>
      <c r="U22" s="2"/>
      <c r="V22" s="19"/>
      <c r="W22" s="2"/>
      <c r="X22" s="2">
        <f t="shared" si="2"/>
        <v>121768.02999999998</v>
      </c>
      <c r="Y22" s="2"/>
      <c r="Z22" s="19">
        <f t="shared" si="3"/>
        <v>1.2440674686367732</v>
      </c>
    </row>
    <row r="23" spans="1:26" s="24" customFormat="1" hidden="1" outlineLevel="1" x14ac:dyDescent="0.25">
      <c r="A23" s="44"/>
      <c r="B23" s="11" t="str">
        <f>CONCATENATE("          ", "4183", " - ", "NON-TAXABLE SALES-COMPUTER EQU")</f>
        <v xml:space="preserve">          4183 - NON-TAXABLE SALES-COMPUTER EQU</v>
      </c>
      <c r="C23" s="11"/>
      <c r="D23" s="2">
        <f>--3104.68</f>
        <v>3104.68</v>
      </c>
      <c r="E23" s="2"/>
      <c r="F23" s="19"/>
      <c r="G23" s="2"/>
      <c r="H23" s="2">
        <f>--1706.87</f>
        <v>1706.87</v>
      </c>
      <c r="I23" s="2"/>
      <c r="J23" s="19"/>
      <c r="K23" s="2"/>
      <c r="L23" s="2">
        <f t="shared" si="0"/>
        <v>1397.81</v>
      </c>
      <c r="M23" s="2"/>
      <c r="N23" s="19">
        <f t="shared" si="1"/>
        <v>0.81893172883699406</v>
      </c>
      <c r="O23" s="11"/>
      <c r="P23" s="2">
        <f>--13622.82</f>
        <v>13622.82</v>
      </c>
      <c r="Q23" s="2"/>
      <c r="R23" s="19"/>
      <c r="S23" s="2"/>
      <c r="T23" s="2">
        <f>--6056.31</f>
        <v>6056.31</v>
      </c>
      <c r="U23" s="2"/>
      <c r="V23" s="19"/>
      <c r="W23" s="2"/>
      <c r="X23" s="2">
        <f t="shared" si="2"/>
        <v>7566.5099999999993</v>
      </c>
      <c r="Y23" s="2"/>
      <c r="Z23" s="19">
        <f t="shared" si="3"/>
        <v>1.2493597586649294</v>
      </c>
    </row>
    <row r="24" spans="1:26" s="24" customFormat="1" hidden="1" outlineLevel="1" x14ac:dyDescent="0.25">
      <c r="A24" s="44"/>
      <c r="B24" s="11" t="str">
        <f>CONCATENATE("          ", "4184", " - ", "NON-TAXABLE SALES-SOFTWARE LIC")</f>
        <v xml:space="preserve">          4184 - NON-TAXABLE SALES-SOFTWARE LIC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0</f>
        <v>0</v>
      </c>
      <c r="Q24" s="2"/>
      <c r="R24" s="19"/>
      <c r="S24" s="2"/>
      <c r="T24" s="2">
        <f>--2728</f>
        <v>2728</v>
      </c>
      <c r="U24" s="2"/>
      <c r="V24" s="19"/>
      <c r="W24" s="2"/>
      <c r="X24" s="2">
        <f t="shared" si="2"/>
        <v>-2728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"4185", " - ", "NON-TAXABLE SALES-SOFTWARE")</f>
        <v xml:space="preserve">          4185 - NON-TAXABLE SALES-SOFTWARE</v>
      </c>
      <c r="C25" s="11"/>
      <c r="D25" s="2">
        <f>--5296.67</f>
        <v>5296.67</v>
      </c>
      <c r="E25" s="2"/>
      <c r="F25" s="19"/>
      <c r="G25" s="2"/>
      <c r="H25" s="2">
        <f>--817.97</f>
        <v>817.97</v>
      </c>
      <c r="I25" s="2"/>
      <c r="J25" s="19"/>
      <c r="K25" s="2"/>
      <c r="L25" s="2">
        <f t="shared" si="0"/>
        <v>4478.7</v>
      </c>
      <c r="M25" s="2"/>
      <c r="N25" s="19">
        <f t="shared" si="1"/>
        <v>5.4753841827939898</v>
      </c>
      <c r="O25" s="11"/>
      <c r="P25" s="2">
        <f>--35127.19</f>
        <v>35127.19</v>
      </c>
      <c r="Q25" s="2"/>
      <c r="R25" s="19"/>
      <c r="S25" s="2"/>
      <c r="T25" s="2">
        <f>--12145.79</f>
        <v>12145.79</v>
      </c>
      <c r="U25" s="2"/>
      <c r="V25" s="19"/>
      <c r="W25" s="2"/>
      <c r="X25" s="2">
        <f t="shared" si="2"/>
        <v>22981.4</v>
      </c>
      <c r="Y25" s="2"/>
      <c r="Z25" s="19">
        <f t="shared" si="3"/>
        <v>1.8921288775781566</v>
      </c>
    </row>
    <row r="26" spans="1:26" s="24" customFormat="1" hidden="1" outlineLevel="1" x14ac:dyDescent="0.25">
      <c r="A26" s="44"/>
      <c r="B26" s="11" t="str">
        <f>CONCATENATE("          ", "4186", " - ", "NON-TAXABLE SALES-COMPUTER SUP")</f>
        <v xml:space="preserve">          4186 - NON-TAXABLE SALES-COMPUTER SUP</v>
      </c>
      <c r="C26" s="11"/>
      <c r="D26" s="2">
        <f>--345.23</f>
        <v>345.23</v>
      </c>
      <c r="E26" s="2"/>
      <c r="F26" s="19"/>
      <c r="G26" s="2"/>
      <c r="H26" s="2">
        <f>--519.9</f>
        <v>519.9</v>
      </c>
      <c r="I26" s="2"/>
      <c r="J26" s="19"/>
      <c r="K26" s="2"/>
      <c r="L26" s="2">
        <f t="shared" si="0"/>
        <v>-174.66999999999996</v>
      </c>
      <c r="M26" s="2"/>
      <c r="N26" s="19">
        <f t="shared" si="1"/>
        <v>-0.33596845547220611</v>
      </c>
      <c r="O26" s="11"/>
      <c r="P26" s="2">
        <f>--2830.26</f>
        <v>2830.26</v>
      </c>
      <c r="Q26" s="2"/>
      <c r="R26" s="19"/>
      <c r="S26" s="2"/>
      <c r="T26" s="2">
        <f>--2500.18</f>
        <v>2500.1799999999998</v>
      </c>
      <c r="U26" s="2"/>
      <c r="V26" s="19"/>
      <c r="W26" s="2"/>
      <c r="X26" s="2">
        <f t="shared" si="2"/>
        <v>330.08000000000038</v>
      </c>
      <c r="Y26" s="2"/>
      <c r="Z26" s="19">
        <f t="shared" si="3"/>
        <v>0.13202249438040478</v>
      </c>
    </row>
    <row r="27" spans="1:26" s="24" customFormat="1" hidden="1" outlineLevel="1" x14ac:dyDescent="0.25">
      <c r="A27" s="44"/>
      <c r="B27" s="11" t="str">
        <f>CONCATENATE("          ", "4188", " - ", "NON-TAXABLE SALES-MUSIC")</f>
        <v xml:space="preserve">          4188 - NON-TAXABLE SALES-MUSIC</v>
      </c>
      <c r="C27" s="11"/>
      <c r="D27" s="2">
        <f t="shared" ref="D27:D28" si="5">0</f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0</f>
        <v>0</v>
      </c>
      <c r="Q27" s="2"/>
      <c r="R27" s="19"/>
      <c r="S27" s="2"/>
      <c r="T27" s="2">
        <f>--219.96</f>
        <v>219.96</v>
      </c>
      <c r="U27" s="2"/>
      <c r="V27" s="19"/>
      <c r="W27" s="2"/>
      <c r="X27" s="2">
        <f t="shared" si="2"/>
        <v>-219.96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"4281", " - ", "SALES RETURN TAXABLE-ELECTRONI")</f>
        <v xml:space="preserve">          4281 - SALES RETURN TAXABLE-ELECTRONI</v>
      </c>
      <c r="C28" s="11"/>
      <c r="D28" s="2">
        <f t="shared" si="5"/>
        <v>0</v>
      </c>
      <c r="E28" s="2"/>
      <c r="F28" s="19"/>
      <c r="G28" s="2"/>
      <c r="H28" s="2">
        <f>-1117.89</f>
        <v>-1117.8900000000001</v>
      </c>
      <c r="I28" s="2"/>
      <c r="J28" s="19"/>
      <c r="K28" s="2"/>
      <c r="L28" s="2">
        <f t="shared" si="0"/>
        <v>1117.8900000000001</v>
      </c>
      <c r="M28" s="2"/>
      <c r="N28" s="19">
        <f t="shared" si="1"/>
        <v>-1</v>
      </c>
      <c r="O28" s="11"/>
      <c r="P28" s="2">
        <f>-14762.14</f>
        <v>-14762.14</v>
      </c>
      <c r="Q28" s="2"/>
      <c r="R28" s="19"/>
      <c r="S28" s="2"/>
      <c r="T28" s="2">
        <f>-7567.73</f>
        <v>-7567.73</v>
      </c>
      <c r="U28" s="2"/>
      <c r="V28" s="19"/>
      <c r="W28" s="2"/>
      <c r="X28" s="2">
        <f t="shared" si="2"/>
        <v>-7194.41</v>
      </c>
      <c r="Y28" s="2"/>
      <c r="Z28" s="19">
        <f t="shared" si="3"/>
        <v>0.95066948741564516</v>
      </c>
    </row>
    <row r="29" spans="1:26" s="24" customFormat="1" hidden="1" outlineLevel="1" x14ac:dyDescent="0.25">
      <c r="A29" s="44"/>
      <c r="B29" s="11" t="str">
        <f>CONCATENATE("          ", "4282", " - ", "SALES RETURN TAXABLE-COMPUTER")</f>
        <v xml:space="preserve">          4282 - SALES RETURN TAXABLE-COMPUTER</v>
      </c>
      <c r="C29" s="11"/>
      <c r="D29" s="2">
        <f>-32711.15</f>
        <v>-32711.15</v>
      </c>
      <c r="E29" s="2"/>
      <c r="F29" s="19"/>
      <c r="G29" s="2"/>
      <c r="H29" s="2">
        <f>-4341.94</f>
        <v>-4341.9399999999996</v>
      </c>
      <c r="I29" s="2"/>
      <c r="J29" s="19"/>
      <c r="K29" s="2"/>
      <c r="L29" s="2">
        <f t="shared" si="0"/>
        <v>-28369.210000000003</v>
      </c>
      <c r="M29" s="2"/>
      <c r="N29" s="19">
        <f t="shared" si="1"/>
        <v>6.5337637093096648</v>
      </c>
      <c r="O29" s="11"/>
      <c r="P29" s="2">
        <f>-129628.16</f>
        <v>-129628.16</v>
      </c>
      <c r="Q29" s="2"/>
      <c r="R29" s="19"/>
      <c r="S29" s="2"/>
      <c r="T29" s="2">
        <f>-207225.13</f>
        <v>-207225.13</v>
      </c>
      <c r="U29" s="2"/>
      <c r="V29" s="19"/>
      <c r="W29" s="2"/>
      <c r="X29" s="2">
        <f t="shared" si="2"/>
        <v>77596.97</v>
      </c>
      <c r="Y29" s="2"/>
      <c r="Z29" s="19">
        <f t="shared" si="3"/>
        <v>-0.37445733536275255</v>
      </c>
    </row>
    <row r="30" spans="1:26" s="24" customFormat="1" hidden="1" outlineLevel="1" x14ac:dyDescent="0.25">
      <c r="A30" s="44"/>
      <c r="B30" s="11" t="str">
        <f>CONCATENATE("          ", "4283", " - ", "SALES RETURN TAXABLE-COMPUTER")</f>
        <v xml:space="preserve">          4283 - SALES RETURN TAXABLE-COMPUTER</v>
      </c>
      <c r="C30" s="11"/>
      <c r="D30" s="2">
        <f>-212.99</f>
        <v>-212.99</v>
      </c>
      <c r="E30" s="2"/>
      <c r="F30" s="19"/>
      <c r="G30" s="2"/>
      <c r="H30" s="2">
        <f>-910.69</f>
        <v>-910.69</v>
      </c>
      <c r="I30" s="2"/>
      <c r="J30" s="19"/>
      <c r="K30" s="2"/>
      <c r="L30" s="2">
        <f t="shared" si="0"/>
        <v>697.7</v>
      </c>
      <c r="M30" s="2"/>
      <c r="N30" s="19">
        <f t="shared" si="1"/>
        <v>-0.76612239071473276</v>
      </c>
      <c r="O30" s="11"/>
      <c r="P30" s="2">
        <f>-3359.28</f>
        <v>-3359.28</v>
      </c>
      <c r="Q30" s="2"/>
      <c r="R30" s="19"/>
      <c r="S30" s="2"/>
      <c r="T30" s="2">
        <f>-5825.41</f>
        <v>-5825.41</v>
      </c>
      <c r="U30" s="2"/>
      <c r="V30" s="19"/>
      <c r="W30" s="2"/>
      <c r="X30" s="2">
        <f t="shared" si="2"/>
        <v>2466.1299999999997</v>
      </c>
      <c r="Y30" s="2"/>
      <c r="Z30" s="19">
        <f t="shared" si="3"/>
        <v>-0.42334015974841249</v>
      </c>
    </row>
    <row r="31" spans="1:26" s="24" customFormat="1" hidden="1" outlineLevel="1" x14ac:dyDescent="0.25">
      <c r="A31" s="44"/>
      <c r="B31" s="11" t="str">
        <f>CONCATENATE("          ", "4284", " - ", "SALES RETURN TAXABLE-SOFTWARE")</f>
        <v xml:space="preserve">          4284 - SALES RETURN TAXABLE-SOFTWARE</v>
      </c>
      <c r="C31" s="11"/>
      <c r="D31" s="2">
        <f>0</f>
        <v>0</v>
      </c>
      <c r="E31" s="2"/>
      <c r="F31" s="19"/>
      <c r="G31" s="2"/>
      <c r="H31" s="2">
        <f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0</f>
        <v>0</v>
      </c>
      <c r="Q31" s="2"/>
      <c r="R31" s="19"/>
      <c r="S31" s="2"/>
      <c r="T31" s="2">
        <f>-129</f>
        <v>-129</v>
      </c>
      <c r="U31" s="2"/>
      <c r="V31" s="19"/>
      <c r="W31" s="2"/>
      <c r="X31" s="2">
        <f t="shared" si="2"/>
        <v>129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"4285", " - ", "SALES RETURN TAXABLE-SOFTWARE")</f>
        <v xml:space="preserve">          4285 - SALES RETURN TAXABLE-SOFTWARE</v>
      </c>
      <c r="C32" s="11"/>
      <c r="D32" s="2">
        <f>-149.99</f>
        <v>-149.99</v>
      </c>
      <c r="E32" s="2"/>
      <c r="F32" s="19"/>
      <c r="G32" s="2"/>
      <c r="H32" s="2">
        <f>-149.99</f>
        <v>-149.99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-841.97</f>
        <v>-841.97</v>
      </c>
      <c r="Q32" s="2"/>
      <c r="R32" s="19"/>
      <c r="S32" s="2"/>
      <c r="T32" s="2">
        <f>-805.97</f>
        <v>-805.97</v>
      </c>
      <c r="U32" s="2"/>
      <c r="V32" s="19"/>
      <c r="W32" s="2"/>
      <c r="X32" s="2">
        <f t="shared" si="2"/>
        <v>-36</v>
      </c>
      <c r="Y32" s="2"/>
      <c r="Z32" s="19">
        <f t="shared" si="3"/>
        <v>4.4666674938273136E-2</v>
      </c>
    </row>
    <row r="33" spans="1:26" s="24" customFormat="1" hidden="1" outlineLevel="1" x14ac:dyDescent="0.25">
      <c r="A33" s="44"/>
      <c r="B33" s="11" t="str">
        <f>CONCATENATE("          ", "4286", " - ", "SALES RETURN TAXABLE-COMPUTER")</f>
        <v xml:space="preserve">          4286 - SALES RETURN TAXABLE-COMPUTER</v>
      </c>
      <c r="C33" s="11"/>
      <c r="D33" s="2">
        <f>-34.97</f>
        <v>-34.97</v>
      </c>
      <c r="E33" s="2"/>
      <c r="F33" s="19"/>
      <c r="G33" s="2"/>
      <c r="H33" s="2">
        <f>-290.88</f>
        <v>-290.88</v>
      </c>
      <c r="I33" s="2"/>
      <c r="J33" s="19"/>
      <c r="K33" s="2"/>
      <c r="L33" s="2">
        <f t="shared" si="0"/>
        <v>255.91</v>
      </c>
      <c r="M33" s="2"/>
      <c r="N33" s="19">
        <f t="shared" si="1"/>
        <v>-0.87977860286028609</v>
      </c>
      <c r="O33" s="11"/>
      <c r="P33" s="2">
        <f>-4762.31</f>
        <v>-4762.3100000000004</v>
      </c>
      <c r="Q33" s="2"/>
      <c r="R33" s="19"/>
      <c r="S33" s="2"/>
      <c r="T33" s="2">
        <f>-3582.89</f>
        <v>-3582.89</v>
      </c>
      <c r="U33" s="2"/>
      <c r="V33" s="19"/>
      <c r="W33" s="2"/>
      <c r="X33" s="2">
        <f t="shared" si="2"/>
        <v>-1179.4200000000005</v>
      </c>
      <c r="Y33" s="2"/>
      <c r="Z33" s="19">
        <f t="shared" si="3"/>
        <v>0.32918119171953381</v>
      </c>
    </row>
    <row r="34" spans="1:26" s="24" customFormat="1" hidden="1" outlineLevel="1" x14ac:dyDescent="0.25">
      <c r="A34" s="44"/>
      <c r="B34" s="11" t="str">
        <f>CONCATENATE("          ", "4288", " - ", "TAXABLE SALES RETURN-MUSIC")</f>
        <v xml:space="preserve">          4288 - TAXABLE SALES RETURN-MUSIC</v>
      </c>
      <c r="C34" s="11"/>
      <c r="D34" s="2">
        <f t="shared" ref="D34:D37" si="6">0</f>
        <v>0</v>
      </c>
      <c r="E34" s="2"/>
      <c r="F34" s="19"/>
      <c r="G34" s="2"/>
      <c r="H34" s="2">
        <f t="shared" ref="H34:H37" si="7"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0</f>
        <v>0</v>
      </c>
      <c r="Q34" s="2"/>
      <c r="R34" s="19"/>
      <c r="S34" s="2"/>
      <c r="T34" s="2">
        <f>-3.99</f>
        <v>-3.99</v>
      </c>
      <c r="U34" s="2"/>
      <c r="V34" s="19"/>
      <c r="W34" s="2"/>
      <c r="X34" s="2">
        <f t="shared" si="2"/>
        <v>3.99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"4381", " - ", "SALES RETURN NON TAXABLE-ELECT")</f>
        <v xml:space="preserve">          4381 - SALES RETURN NON TAXABLE-ELECT</v>
      </c>
      <c r="C35" s="11"/>
      <c r="D35" s="2">
        <f t="shared" si="6"/>
        <v>0</v>
      </c>
      <c r="E35" s="2"/>
      <c r="F35" s="19"/>
      <c r="G35" s="2"/>
      <c r="H35" s="2">
        <f t="shared" si="7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-5624.15</f>
        <v>-5624.15</v>
      </c>
      <c r="Q35" s="2"/>
      <c r="R35" s="19"/>
      <c r="S35" s="2"/>
      <c r="T35" s="2">
        <f>-1279.84</f>
        <v>-1279.8399999999999</v>
      </c>
      <c r="U35" s="2"/>
      <c r="V35" s="19"/>
      <c r="W35" s="2"/>
      <c r="X35" s="2">
        <f t="shared" si="2"/>
        <v>-4344.3099999999995</v>
      </c>
      <c r="Y35" s="2"/>
      <c r="Z35" s="19">
        <f t="shared" si="3"/>
        <v>3.3944164895611948</v>
      </c>
    </row>
    <row r="36" spans="1:26" s="24" customFormat="1" hidden="1" outlineLevel="1" x14ac:dyDescent="0.25">
      <c r="A36" s="44"/>
      <c r="B36" s="11" t="str">
        <f>CONCATENATE("          ", "4383", " - ", "SALES RETURN NON TAXABLE-COMPU")</f>
        <v xml:space="preserve">          4383 - SALES RETURN NON TAXABLE-COMPU</v>
      </c>
      <c r="C36" s="11"/>
      <c r="D36" s="2">
        <f t="shared" si="6"/>
        <v>0</v>
      </c>
      <c r="E36" s="2"/>
      <c r="F36" s="19"/>
      <c r="G36" s="2"/>
      <c r="H36" s="2">
        <f t="shared" si="7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 t="shared" ref="P36:P37" si="8">0</f>
        <v>0</v>
      </c>
      <c r="Q36" s="2"/>
      <c r="R36" s="19"/>
      <c r="S36" s="2"/>
      <c r="T36" s="2">
        <f>-49.98</f>
        <v>-49.98</v>
      </c>
      <c r="U36" s="2"/>
      <c r="V36" s="19"/>
      <c r="W36" s="2"/>
      <c r="X36" s="2">
        <f t="shared" si="2"/>
        <v>49.98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"4386", " - ", "SALES RETURN NON TAXABLE-COMPU")</f>
        <v xml:space="preserve">          4386 - SALES RETURN NON TAXABLE-COMPU</v>
      </c>
      <c r="C37" s="11"/>
      <c r="D37" s="2">
        <f t="shared" si="6"/>
        <v>0</v>
      </c>
      <c r="E37" s="2"/>
      <c r="F37" s="19"/>
      <c r="G37" s="2"/>
      <c r="H37" s="2">
        <f t="shared" si="7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 t="shared" si="8"/>
        <v>0</v>
      </c>
      <c r="Q37" s="2"/>
      <c r="R37" s="19"/>
      <c r="S37" s="2"/>
      <c r="T37" s="2">
        <f>-104.96</f>
        <v>-104.96</v>
      </c>
      <c r="U37" s="2"/>
      <c r="V37" s="19"/>
      <c r="W37" s="2"/>
      <c r="X37" s="2">
        <f t="shared" si="2"/>
        <v>104.96</v>
      </c>
      <c r="Y37" s="2"/>
      <c r="Z37" s="19">
        <f t="shared" si="3"/>
        <v>-1</v>
      </c>
    </row>
    <row r="38" spans="1:26" x14ac:dyDescent="0.25">
      <c r="A38" s="9"/>
      <c r="B38" s="10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collapsed="1" x14ac:dyDescent="0.25">
      <c r="A39" s="10"/>
      <c r="B39" s="28" t="s">
        <v>8</v>
      </c>
      <c r="C39" s="10"/>
      <c r="D39" s="4">
        <f>SUM(OSRRefD16x_0)</f>
        <v>181960.00000000003</v>
      </c>
      <c r="E39" s="4"/>
      <c r="F39" s="12">
        <f t="shared" ref="F39:F52" si="9">IF(D$12=0,0,D39/D$12)</f>
        <v>0.97862224552070309</v>
      </c>
      <c r="G39" s="4"/>
      <c r="H39" s="4">
        <f>SUM(OSRRefH16x_0)</f>
        <v>83912.250000000015</v>
      </c>
      <c r="I39" s="4"/>
      <c r="J39" s="12">
        <f t="shared" ref="J39:J52" si="10">IF(H$12=0,0,H39/H$12)</f>
        <v>0.66848203280644369</v>
      </c>
      <c r="K39" s="4"/>
      <c r="L39" s="4">
        <f t="shared" ref="L39:L52" si="11">+D39-H39</f>
        <v>98047.750000000015</v>
      </c>
      <c r="M39" s="4"/>
      <c r="N39" s="12">
        <f t="shared" ref="N39:N52" si="12">IF(H39=0,0,L39/H39)</f>
        <v>1.1684557379881959</v>
      </c>
      <c r="O39" s="10"/>
      <c r="P39" s="4">
        <f>SUM(OSRRefP16x_0)</f>
        <v>1508495.84</v>
      </c>
      <c r="Q39" s="4"/>
      <c r="R39" s="12">
        <f t="shared" ref="R39:R52" si="13">IF(P$12=0,0,P39/P$12)</f>
        <v>0.94845844426481918</v>
      </c>
      <c r="S39" s="4"/>
      <c r="T39" s="4">
        <f>SUM(OSRRefT16x_0)</f>
        <v>1672221.5300000003</v>
      </c>
      <c r="U39" s="4"/>
      <c r="V39" s="12">
        <f t="shared" ref="V39:V52" si="14">IF(T$12=0,0,T39/T$12)</f>
        <v>0.86912329208063599</v>
      </c>
      <c r="W39" s="4"/>
      <c r="X39" s="4">
        <f t="shared" ref="X39:X52" si="15">+P39-T39</f>
        <v>-163725.69000000018</v>
      </c>
      <c r="Y39" s="4"/>
      <c r="Z39" s="12">
        <f t="shared" ref="Z39:Z52" si="16">IF(T39=0,0,X39/T39)</f>
        <v>-9.7909091028148737E-2</v>
      </c>
    </row>
    <row r="40" spans="1:26" s="24" customFormat="1" hidden="1" outlineLevel="1" x14ac:dyDescent="0.25">
      <c r="A40" s="44"/>
      <c r="B40" s="11" t="str">
        <f>CONCATENATE("          ", "5081", " - ", "PURCHASES @ COST-ELECTRONICS")</f>
        <v xml:space="preserve">          5081 - PURCHASES @ COST-ELECTRONICS</v>
      </c>
      <c r="C40" s="11"/>
      <c r="D40" s="2">
        <v>6584.13</v>
      </c>
      <c r="E40" s="2"/>
      <c r="F40" s="19">
        <f t="shared" si="9"/>
        <v>3.5410947930315594E-2</v>
      </c>
      <c r="G40" s="2"/>
      <c r="H40" s="2">
        <v>7374.68</v>
      </c>
      <c r="I40" s="2"/>
      <c r="J40" s="19">
        <f t="shared" si="10"/>
        <v>5.8749956981215781E-2</v>
      </c>
      <c r="K40" s="2"/>
      <c r="L40" s="2">
        <f t="shared" si="11"/>
        <v>-790.55000000000018</v>
      </c>
      <c r="M40" s="2"/>
      <c r="N40" s="19">
        <f t="shared" si="12"/>
        <v>-0.10719787163646424</v>
      </c>
      <c r="O40" s="11"/>
      <c r="P40" s="2">
        <v>32157.900000000005</v>
      </c>
      <c r="Q40" s="2"/>
      <c r="R40" s="19">
        <f t="shared" si="13"/>
        <v>2.0219102364129576E-2</v>
      </c>
      <c r="S40" s="2"/>
      <c r="T40" s="2">
        <v>227130.27000000002</v>
      </c>
      <c r="U40" s="2"/>
      <c r="V40" s="19">
        <f t="shared" si="14"/>
        <v>0.11804907690284534</v>
      </c>
      <c r="W40" s="2"/>
      <c r="X40" s="2">
        <f t="shared" si="15"/>
        <v>-194972.37000000002</v>
      </c>
      <c r="Y40" s="2"/>
      <c r="Z40" s="19">
        <f t="shared" si="16"/>
        <v>-0.8584164937592863</v>
      </c>
    </row>
    <row r="41" spans="1:26" s="24" customFormat="1" hidden="1" outlineLevel="1" x14ac:dyDescent="0.25">
      <c r="A41" s="44"/>
      <c r="B41" s="11" t="str">
        <f>CONCATENATE("          ", "5082", " - ", "PURCHASES @ COST-COMPUTER HARD")</f>
        <v xml:space="preserve">          5082 - PURCHASES @ COST-COMPUTER HARD</v>
      </c>
      <c r="C41" s="11"/>
      <c r="D41" s="2">
        <v>184376.31</v>
      </c>
      <c r="E41" s="2"/>
      <c r="F41" s="19">
        <f t="shared" si="9"/>
        <v>0.99161771000781063</v>
      </c>
      <c r="G41" s="2"/>
      <c r="H41" s="2">
        <v>43635.82</v>
      </c>
      <c r="I41" s="2"/>
      <c r="J41" s="19">
        <f t="shared" si="10"/>
        <v>0.34762220839956104</v>
      </c>
      <c r="K41" s="2"/>
      <c r="L41" s="2">
        <f t="shared" si="11"/>
        <v>140740.49</v>
      </c>
      <c r="M41" s="2"/>
      <c r="N41" s="19">
        <f t="shared" si="12"/>
        <v>3.2253430782325161</v>
      </c>
      <c r="O41" s="11"/>
      <c r="P41" s="2">
        <v>1263577.8400000001</v>
      </c>
      <c r="Q41" s="2"/>
      <c r="R41" s="19">
        <f t="shared" si="13"/>
        <v>0.79446760180253506</v>
      </c>
      <c r="S41" s="2"/>
      <c r="T41" s="2">
        <v>1210948.9800000002</v>
      </c>
      <c r="U41" s="2"/>
      <c r="V41" s="19">
        <f t="shared" si="14"/>
        <v>0.62938070414587244</v>
      </c>
      <c r="W41" s="2"/>
      <c r="X41" s="2">
        <f t="shared" si="15"/>
        <v>52628.85999999987</v>
      </c>
      <c r="Y41" s="2"/>
      <c r="Z41" s="19">
        <f t="shared" si="16"/>
        <v>4.3460840109052205E-2</v>
      </c>
    </row>
    <row r="42" spans="1:26" s="24" customFormat="1" hidden="1" outlineLevel="1" x14ac:dyDescent="0.25">
      <c r="A42" s="44"/>
      <c r="B42" s="11" t="str">
        <f>CONCATENATE("          ", "5083", " - ", "PURCHASES @ COST-COMPUTER EQUI")</f>
        <v xml:space="preserve">          5083 - PURCHASES @ COST-COMPUTER EQUI</v>
      </c>
      <c r="C42" s="11"/>
      <c r="D42" s="2">
        <v>8631.6</v>
      </c>
      <c r="E42" s="2"/>
      <c r="F42" s="19">
        <f t="shared" si="9"/>
        <v>4.6422707047903383E-2</v>
      </c>
      <c r="G42" s="2"/>
      <c r="H42" s="2">
        <v>6218.67</v>
      </c>
      <c r="I42" s="2"/>
      <c r="J42" s="19">
        <f t="shared" si="10"/>
        <v>4.9540670914585735E-2</v>
      </c>
      <c r="K42" s="2"/>
      <c r="L42" s="2">
        <f t="shared" si="11"/>
        <v>2412.9300000000003</v>
      </c>
      <c r="M42" s="2"/>
      <c r="N42" s="19">
        <f t="shared" si="12"/>
        <v>0.38801383575587711</v>
      </c>
      <c r="O42" s="11"/>
      <c r="P42" s="2">
        <v>99188.26999999999</v>
      </c>
      <c r="Q42" s="2"/>
      <c r="R42" s="19">
        <f t="shared" si="13"/>
        <v>6.2364078016628022E-2</v>
      </c>
      <c r="S42" s="2"/>
      <c r="T42" s="2">
        <v>71116.739999999991</v>
      </c>
      <c r="U42" s="2"/>
      <c r="V42" s="19">
        <f t="shared" si="14"/>
        <v>3.6962336677271841E-2</v>
      </c>
      <c r="W42" s="2"/>
      <c r="X42" s="2">
        <f t="shared" si="15"/>
        <v>28071.53</v>
      </c>
      <c r="Y42" s="2"/>
      <c r="Z42" s="19">
        <f t="shared" si="16"/>
        <v>0.39472464570226368</v>
      </c>
    </row>
    <row r="43" spans="1:26" s="24" customFormat="1" hidden="1" outlineLevel="1" x14ac:dyDescent="0.25">
      <c r="A43" s="44"/>
      <c r="B43" s="11" t="str">
        <f>CONCATENATE("          ", "5084", " - ", "PURCHASES @ COST-SOFTWARE LICE")</f>
        <v xml:space="preserve">          5084 - PURCHASES @ COST-SOFTWARE LICE</v>
      </c>
      <c r="C43" s="11"/>
      <c r="D43" s="2"/>
      <c r="E43" s="2"/>
      <c r="F43" s="19">
        <f t="shared" si="9"/>
        <v>0</v>
      </c>
      <c r="G43" s="2"/>
      <c r="H43" s="2"/>
      <c r="I43" s="2"/>
      <c r="J43" s="19">
        <f t="shared" si="10"/>
        <v>0</v>
      </c>
      <c r="K43" s="2"/>
      <c r="L43" s="2">
        <f t="shared" si="11"/>
        <v>0</v>
      </c>
      <c r="M43" s="2"/>
      <c r="N43" s="19">
        <f t="shared" si="12"/>
        <v>0</v>
      </c>
      <c r="O43" s="11"/>
      <c r="P43" s="2"/>
      <c r="Q43" s="2"/>
      <c r="R43" s="19">
        <f t="shared" si="13"/>
        <v>0</v>
      </c>
      <c r="S43" s="2"/>
      <c r="T43" s="2">
        <v>2728</v>
      </c>
      <c r="U43" s="2"/>
      <c r="V43" s="19">
        <f t="shared" si="14"/>
        <v>1.417855408664649E-3</v>
      </c>
      <c r="W43" s="2"/>
      <c r="X43" s="2">
        <f t="shared" si="15"/>
        <v>-2728</v>
      </c>
      <c r="Y43" s="2"/>
      <c r="Z43" s="19">
        <f t="shared" si="16"/>
        <v>-1</v>
      </c>
    </row>
    <row r="44" spans="1:26" s="24" customFormat="1" hidden="1" outlineLevel="1" x14ac:dyDescent="0.25">
      <c r="A44" s="44"/>
      <c r="B44" s="11" t="str">
        <f>CONCATENATE("          ", "5085", " - ", "PURCHASES @ COST-SOFTWARE")</f>
        <v xml:space="preserve">          5085 - PURCHASES @ COST-SOFTWARE</v>
      </c>
      <c r="C44" s="11"/>
      <c r="D44" s="2">
        <v>1399.23</v>
      </c>
      <c r="E44" s="2"/>
      <c r="F44" s="19">
        <f t="shared" si="9"/>
        <v>7.5253770312152845E-3</v>
      </c>
      <c r="G44" s="2"/>
      <c r="H44" s="2">
        <v>1301.73</v>
      </c>
      <c r="I44" s="2"/>
      <c r="J44" s="19">
        <f t="shared" si="10"/>
        <v>1.0370155925566671E-2</v>
      </c>
      <c r="K44" s="2"/>
      <c r="L44" s="2">
        <f t="shared" si="11"/>
        <v>97.5</v>
      </c>
      <c r="M44" s="2"/>
      <c r="N44" s="19">
        <f t="shared" si="12"/>
        <v>7.490032495217902E-2</v>
      </c>
      <c r="O44" s="11"/>
      <c r="P44" s="2">
        <v>30145.449999999997</v>
      </c>
      <c r="Q44" s="2"/>
      <c r="R44" s="19">
        <f t="shared" si="13"/>
        <v>1.8953785519662349E-2</v>
      </c>
      <c r="S44" s="2"/>
      <c r="T44" s="2">
        <v>9162.39</v>
      </c>
      <c r="U44" s="2"/>
      <c r="V44" s="19">
        <f t="shared" si="14"/>
        <v>4.7620763261711479E-3</v>
      </c>
      <c r="W44" s="2"/>
      <c r="X44" s="2">
        <f t="shared" si="15"/>
        <v>20983.059999999998</v>
      </c>
      <c r="Y44" s="2"/>
      <c r="Z44" s="19">
        <f t="shared" si="16"/>
        <v>2.2901295404365016</v>
      </c>
    </row>
    <row r="45" spans="1:26" s="24" customFormat="1" hidden="1" outlineLevel="1" x14ac:dyDescent="0.25">
      <c r="A45" s="44"/>
      <c r="B45" s="11" t="str">
        <f>CONCATENATE("          ", "5086", " - ", "PURCHASES @ COST-COMPUTER SUPP")</f>
        <v xml:space="preserve">          5086 - PURCHASES @ COST-COMPUTER SUPP</v>
      </c>
      <c r="C45" s="11"/>
      <c r="D45" s="2">
        <v>385.43</v>
      </c>
      <c r="E45" s="2"/>
      <c r="F45" s="19">
        <f t="shared" si="9"/>
        <v>2.0729301609751843E-3</v>
      </c>
      <c r="G45" s="2"/>
      <c r="H45" s="2">
        <v>4070.58</v>
      </c>
      <c r="I45" s="2"/>
      <c r="J45" s="19">
        <f t="shared" si="10"/>
        <v>3.2428037540421728E-2</v>
      </c>
      <c r="K45" s="2"/>
      <c r="L45" s="2">
        <f t="shared" si="11"/>
        <v>-3685.15</v>
      </c>
      <c r="M45" s="2"/>
      <c r="N45" s="19">
        <f t="shared" si="12"/>
        <v>-0.90531324774356481</v>
      </c>
      <c r="O45" s="11"/>
      <c r="P45" s="2">
        <v>23125.279999999999</v>
      </c>
      <c r="Q45" s="2"/>
      <c r="R45" s="19">
        <f t="shared" si="13"/>
        <v>1.4539892328763954E-2</v>
      </c>
      <c r="S45" s="2"/>
      <c r="T45" s="2">
        <v>29002.1</v>
      </c>
      <c r="U45" s="2"/>
      <c r="V45" s="19">
        <f t="shared" si="14"/>
        <v>1.5073601300451985E-2</v>
      </c>
      <c r="W45" s="2"/>
      <c r="X45" s="2">
        <f t="shared" si="15"/>
        <v>-5876.82</v>
      </c>
      <c r="Y45" s="2"/>
      <c r="Z45" s="19">
        <f t="shared" si="16"/>
        <v>-0.20263429199954486</v>
      </c>
    </row>
    <row r="46" spans="1:26" s="24" customFormat="1" hidden="1" outlineLevel="1" x14ac:dyDescent="0.25">
      <c r="A46" s="44"/>
      <c r="B46" s="11" t="str">
        <f>CONCATENATE("          ", "5088", " - ", "PURCHASES @ COST-MUSIC")</f>
        <v xml:space="preserve">          5088 - PURCHASES @ COST-MUSIC</v>
      </c>
      <c r="C46" s="11"/>
      <c r="D46" s="2"/>
      <c r="E46" s="2"/>
      <c r="F46" s="19">
        <f t="shared" si="9"/>
        <v>0</v>
      </c>
      <c r="G46" s="2"/>
      <c r="H46" s="2">
        <v>6.9</v>
      </c>
      <c r="I46" s="2"/>
      <c r="J46" s="19">
        <f t="shared" si="10"/>
        <v>5.4968446518410137E-5</v>
      </c>
      <c r="K46" s="2"/>
      <c r="L46" s="2">
        <f t="shared" si="11"/>
        <v>-6.9</v>
      </c>
      <c r="M46" s="2"/>
      <c r="N46" s="19">
        <f t="shared" si="12"/>
        <v>-1</v>
      </c>
      <c r="O46" s="11"/>
      <c r="P46" s="2"/>
      <c r="Q46" s="2"/>
      <c r="R46" s="19">
        <f t="shared" si="13"/>
        <v>0</v>
      </c>
      <c r="S46" s="2"/>
      <c r="T46" s="2">
        <v>95.65</v>
      </c>
      <c r="U46" s="2"/>
      <c r="V46" s="19">
        <f t="shared" si="14"/>
        <v>4.9713295395444897E-5</v>
      </c>
      <c r="W46" s="2"/>
      <c r="X46" s="2">
        <f t="shared" si="15"/>
        <v>-95.65</v>
      </c>
      <c r="Y46" s="2"/>
      <c r="Z46" s="19">
        <f t="shared" si="16"/>
        <v>-1</v>
      </c>
    </row>
    <row r="47" spans="1:26" s="24" customFormat="1" hidden="1" outlineLevel="1" x14ac:dyDescent="0.25">
      <c r="A47" s="44"/>
      <c r="B47" s="11" t="str">
        <f>CONCATENATE("          ", "5200", " - ", "PURCHASES OFFSET")</f>
        <v xml:space="preserve">          5200 - PURCHASES OFFSET</v>
      </c>
      <c r="C47" s="11"/>
      <c r="D47" s="2">
        <v>-201407.69999999998</v>
      </c>
      <c r="E47" s="2"/>
      <c r="F47" s="19">
        <f t="shared" si="9"/>
        <v>-1.0832163972255444</v>
      </c>
      <c r="G47" s="2"/>
      <c r="H47" s="2">
        <v>-62692</v>
      </c>
      <c r="I47" s="2"/>
      <c r="J47" s="19">
        <f t="shared" si="10"/>
        <v>-0.49943215204814034</v>
      </c>
      <c r="K47" s="2"/>
      <c r="L47" s="2">
        <f t="shared" si="11"/>
        <v>-138715.69999999998</v>
      </c>
      <c r="M47" s="2"/>
      <c r="N47" s="19">
        <f t="shared" si="12"/>
        <v>2.2126539271358383</v>
      </c>
      <c r="O47" s="11"/>
      <c r="P47" s="2">
        <v>-1444671.48</v>
      </c>
      <c r="Q47" s="2"/>
      <c r="R47" s="19">
        <f t="shared" si="13"/>
        <v>-0.90832922972764296</v>
      </c>
      <c r="S47" s="2"/>
      <c r="T47" s="2">
        <v>-1550621</v>
      </c>
      <c r="U47" s="2"/>
      <c r="V47" s="19">
        <f t="shared" si="14"/>
        <v>-0.80592242362132938</v>
      </c>
      <c r="W47" s="2"/>
      <c r="X47" s="2">
        <f t="shared" si="15"/>
        <v>105949.52000000002</v>
      </c>
      <c r="Y47" s="2"/>
      <c r="Z47" s="19">
        <f t="shared" si="16"/>
        <v>-6.8327154088587749E-2</v>
      </c>
    </row>
    <row r="48" spans="1:26" s="24" customFormat="1" hidden="1" outlineLevel="1" x14ac:dyDescent="0.25">
      <c r="A48" s="44"/>
      <c r="B48" s="11" t="str">
        <f>CONCATENATE("          ", "5300", " - ", "COG$ OFFSET")</f>
        <v xml:space="preserve">          5300 - COG$ OFFSET</v>
      </c>
      <c r="C48" s="11"/>
      <c r="D48" s="2">
        <v>181960</v>
      </c>
      <c r="E48" s="2"/>
      <c r="F48" s="19">
        <f t="shared" si="9"/>
        <v>0.97862224552070287</v>
      </c>
      <c r="G48" s="2"/>
      <c r="H48" s="2">
        <v>83913</v>
      </c>
      <c r="I48" s="2"/>
      <c r="J48" s="19">
        <f t="shared" si="10"/>
        <v>0.66848800763758687</v>
      </c>
      <c r="K48" s="2"/>
      <c r="L48" s="2">
        <f t="shared" si="11"/>
        <v>98047</v>
      </c>
      <c r="M48" s="2"/>
      <c r="N48" s="19">
        <f t="shared" si="12"/>
        <v>1.1684363567027756</v>
      </c>
      <c r="O48" s="11"/>
      <c r="P48" s="2">
        <v>1504550</v>
      </c>
      <c r="Q48" s="2"/>
      <c r="R48" s="19">
        <f t="shared" si="13"/>
        <v>0.94597751911508998</v>
      </c>
      <c r="S48" s="2"/>
      <c r="T48" s="2">
        <v>1672220</v>
      </c>
      <c r="U48" s="2"/>
      <c r="V48" s="19">
        <f t="shared" si="14"/>
        <v>0.86912249687580623</v>
      </c>
      <c r="W48" s="2"/>
      <c r="X48" s="2">
        <f t="shared" si="15"/>
        <v>-167670</v>
      </c>
      <c r="Y48" s="2"/>
      <c r="Z48" s="19">
        <f t="shared" si="16"/>
        <v>-0.10026790733276722</v>
      </c>
    </row>
    <row r="49" spans="1:26" s="24" customFormat="1" hidden="1" outlineLevel="1" x14ac:dyDescent="0.25">
      <c r="A49" s="44"/>
      <c r="B49" s="11" t="str">
        <f>CONCATENATE("          ", "5581", " - ", "FREIGHT-IN-ELECTRONICS")</f>
        <v xml:space="preserve">          5581 - FREIGHT-IN-ELECTRONICS</v>
      </c>
      <c r="C49" s="11"/>
      <c r="D49" s="2"/>
      <c r="E49" s="2"/>
      <c r="F49" s="19">
        <f t="shared" si="9"/>
        <v>0</v>
      </c>
      <c r="G49" s="2"/>
      <c r="H49" s="2"/>
      <c r="I49" s="2"/>
      <c r="J49" s="19">
        <f t="shared" si="10"/>
        <v>0</v>
      </c>
      <c r="K49" s="2"/>
      <c r="L49" s="2">
        <f t="shared" si="11"/>
        <v>0</v>
      </c>
      <c r="M49" s="2"/>
      <c r="N49" s="19">
        <f t="shared" si="12"/>
        <v>0</v>
      </c>
      <c r="O49" s="11"/>
      <c r="P49" s="2">
        <v>31</v>
      </c>
      <c r="Q49" s="2"/>
      <c r="R49" s="19">
        <f t="shared" si="13"/>
        <v>1.9491079121709341E-5</v>
      </c>
      <c r="S49" s="2"/>
      <c r="T49" s="2">
        <v>105.75</v>
      </c>
      <c r="U49" s="2"/>
      <c r="V49" s="19">
        <f t="shared" si="14"/>
        <v>5.4962686754503898E-5</v>
      </c>
      <c r="W49" s="2"/>
      <c r="X49" s="2">
        <f t="shared" si="15"/>
        <v>-74.75</v>
      </c>
      <c r="Y49" s="2"/>
      <c r="Z49" s="19">
        <f t="shared" si="16"/>
        <v>-0.70685579196217496</v>
      </c>
    </row>
    <row r="50" spans="1:26" s="24" customFormat="1" hidden="1" outlineLevel="1" x14ac:dyDescent="0.25">
      <c r="A50" s="44"/>
      <c r="B50" s="11" t="str">
        <f>CONCATENATE("          ", "5582", " - ", "FREIGHT-IN-COMPUTER HARDWARE")</f>
        <v xml:space="preserve">          5582 - FREIGHT-IN-COMPUTER HARDWARE</v>
      </c>
      <c r="C50" s="11"/>
      <c r="D50" s="2">
        <v>31</v>
      </c>
      <c r="E50" s="2"/>
      <c r="F50" s="19">
        <f t="shared" si="9"/>
        <v>1.6672504732436684E-4</v>
      </c>
      <c r="G50" s="2"/>
      <c r="H50" s="2"/>
      <c r="I50" s="2"/>
      <c r="J50" s="19">
        <f t="shared" si="10"/>
        <v>0</v>
      </c>
      <c r="K50" s="2"/>
      <c r="L50" s="2">
        <f t="shared" si="11"/>
        <v>31</v>
      </c>
      <c r="M50" s="2"/>
      <c r="N50" s="19">
        <f t="shared" si="12"/>
        <v>0</v>
      </c>
      <c r="O50" s="11"/>
      <c r="P50" s="2">
        <v>125</v>
      </c>
      <c r="Q50" s="2"/>
      <c r="R50" s="19">
        <f t="shared" si="13"/>
        <v>7.8593060974634438E-5</v>
      </c>
      <c r="S50" s="2"/>
      <c r="T50" s="2">
        <v>4.84</v>
      </c>
      <c r="U50" s="2"/>
      <c r="V50" s="19">
        <f t="shared" si="14"/>
        <v>2.5155499185985706E-6</v>
      </c>
      <c r="W50" s="2"/>
      <c r="X50" s="2">
        <f t="shared" si="15"/>
        <v>120.16</v>
      </c>
      <c r="Y50" s="2"/>
      <c r="Z50" s="19">
        <f t="shared" si="16"/>
        <v>24.826446280991735</v>
      </c>
    </row>
    <row r="51" spans="1:26" s="24" customFormat="1" hidden="1" outlineLevel="1" x14ac:dyDescent="0.25">
      <c r="A51" s="44"/>
      <c r="B51" s="11" t="str">
        <f>CONCATENATE("          ", "5583", " - ", "FREIGHT-IN-COMPUTER EQUIPMENT")</f>
        <v xml:space="preserve">          5583 - FREIGHT-IN-COMPUTER EQUIPMENT</v>
      </c>
      <c r="C51" s="11"/>
      <c r="D51" s="2"/>
      <c r="E51" s="2"/>
      <c r="F51" s="19">
        <f t="shared" si="9"/>
        <v>0</v>
      </c>
      <c r="G51" s="2"/>
      <c r="H51" s="2">
        <v>8.3800000000000008</v>
      </c>
      <c r="I51" s="2"/>
      <c r="J51" s="19">
        <f t="shared" si="10"/>
        <v>6.6758779974532891E-5</v>
      </c>
      <c r="K51" s="2"/>
      <c r="L51" s="2">
        <f t="shared" si="11"/>
        <v>-8.3800000000000008</v>
      </c>
      <c r="M51" s="2"/>
      <c r="N51" s="19">
        <f t="shared" si="12"/>
        <v>-1</v>
      </c>
      <c r="O51" s="11"/>
      <c r="P51" s="2">
        <v>242.46</v>
      </c>
      <c r="Q51" s="2"/>
      <c r="R51" s="19">
        <f t="shared" si="13"/>
        <v>1.5244538851127894E-4</v>
      </c>
      <c r="S51" s="2"/>
      <c r="T51" s="2">
        <v>57.5</v>
      </c>
      <c r="U51" s="2"/>
      <c r="V51" s="19">
        <f t="shared" si="14"/>
        <v>2.9885148826325994E-5</v>
      </c>
      <c r="W51" s="2"/>
      <c r="X51" s="2">
        <f t="shared" si="15"/>
        <v>184.96</v>
      </c>
      <c r="Y51" s="2"/>
      <c r="Z51" s="19">
        <f t="shared" si="16"/>
        <v>3.2166956521739132</v>
      </c>
    </row>
    <row r="52" spans="1:26" s="24" customFormat="1" hidden="1" outlineLevel="1" x14ac:dyDescent="0.25">
      <c r="A52" s="44"/>
      <c r="B52" s="11" t="str">
        <f>CONCATENATE("          ", "5586", " - ", "FREIGHT-IN-COMPUTER SUPPLIES")</f>
        <v xml:space="preserve">          5586 - FREIGHT-IN-COMPUTER SUPPLIES</v>
      </c>
      <c r="C52" s="11"/>
      <c r="D52" s="2"/>
      <c r="E52" s="2"/>
      <c r="F52" s="19">
        <f t="shared" si="9"/>
        <v>0</v>
      </c>
      <c r="G52" s="2"/>
      <c r="H52" s="2">
        <v>74.489999999999995</v>
      </c>
      <c r="I52" s="2"/>
      <c r="J52" s="19">
        <f t="shared" si="10"/>
        <v>5.9342022915309721E-4</v>
      </c>
      <c r="K52" s="2"/>
      <c r="L52" s="2">
        <f t="shared" si="11"/>
        <v>-74.489999999999995</v>
      </c>
      <c r="M52" s="2"/>
      <c r="N52" s="19">
        <f t="shared" si="12"/>
        <v>-1</v>
      </c>
      <c r="O52" s="11"/>
      <c r="P52" s="2">
        <v>24.12</v>
      </c>
      <c r="Q52" s="2"/>
      <c r="R52" s="19">
        <f t="shared" si="13"/>
        <v>1.5165317045665462E-5</v>
      </c>
      <c r="S52" s="2"/>
      <c r="T52" s="2">
        <v>270.31</v>
      </c>
      <c r="U52" s="2"/>
      <c r="V52" s="19">
        <f t="shared" si="14"/>
        <v>1.404913839868553E-4</v>
      </c>
      <c r="W52" s="2"/>
      <c r="X52" s="2">
        <f t="shared" si="15"/>
        <v>-246.19</v>
      </c>
      <c r="Y52" s="2"/>
      <c r="Z52" s="19">
        <f t="shared" si="16"/>
        <v>-0.91076911693980989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9" t="s">
        <v>6</v>
      </c>
      <c r="C54" s="29"/>
      <c r="D54" s="22">
        <f>D12-D39</f>
        <v>3974.8699999999953</v>
      </c>
      <c r="E54" s="14"/>
      <c r="F54" s="20">
        <f>IF(D$12=0,0,D54/D$12)</f>
        <v>2.1377754479296945E-2</v>
      </c>
      <c r="G54" s="14"/>
      <c r="H54" s="22">
        <f>H12-H39</f>
        <v>41614.309999999969</v>
      </c>
      <c r="I54" s="14"/>
      <c r="J54" s="20">
        <f>IF(H$12=0,0,H54/H$12)</f>
        <v>0.33151796719355631</v>
      </c>
      <c r="K54" s="16"/>
      <c r="L54" s="22">
        <f>+D54-H54</f>
        <v>-37639.439999999973</v>
      </c>
      <c r="M54" s="16"/>
      <c r="N54" s="20">
        <f>IF(H54=0,0,L54/H54)</f>
        <v>-0.90448309728071907</v>
      </c>
      <c r="O54" s="28"/>
      <c r="P54" s="22">
        <f>P12-P39</f>
        <v>81975.35999999987</v>
      </c>
      <c r="Q54" s="14"/>
      <c r="R54" s="20">
        <f>IF(P$12=0,0,P54/P$12)</f>
        <v>5.1541555735180787E-2</v>
      </c>
      <c r="S54" s="14"/>
      <c r="T54" s="22">
        <f>T12-T39</f>
        <v>251811.05000000051</v>
      </c>
      <c r="U54" s="14"/>
      <c r="V54" s="20">
        <f>IF(T$12=0,0,T54/T$12)</f>
        <v>0.13087670791936404</v>
      </c>
      <c r="W54" s="16"/>
      <c r="X54" s="22">
        <f>+P54-T54</f>
        <v>-169835.69000000064</v>
      </c>
      <c r="Y54" s="16"/>
      <c r="Z54" s="20">
        <f>IF(T54=0,0,X54/T54)</f>
        <v>-0.67445685961755963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8" t="s">
        <v>9</v>
      </c>
      <c r="C56" s="10"/>
      <c r="D56" s="21">
        <f>SUM(OSRRefD22x_0)</f>
        <v>12623.33</v>
      </c>
      <c r="E56" s="21"/>
      <c r="F56" s="32">
        <f t="shared" ref="F56:F66" si="17">IF(D$12=0,0,D56/D$12)</f>
        <v>6.789113844003547E-2</v>
      </c>
      <c r="G56" s="21"/>
      <c r="H56" s="21">
        <f>SUM(OSRRefH22x_0)</f>
        <v>14433.640000000001</v>
      </c>
      <c r="I56" s="21"/>
      <c r="J56" s="32">
        <f t="shared" ref="J56:J66" si="18">IF(H$12=0,0,H56/H$12)</f>
        <v>0.1149847490443457</v>
      </c>
      <c r="K56" s="4"/>
      <c r="L56" s="21">
        <f t="shared" ref="L56:L66" si="19">+D56-H56</f>
        <v>-1810.3100000000013</v>
      </c>
      <c r="M56" s="4"/>
      <c r="N56" s="32">
        <f t="shared" ref="N56:N66" si="20">IF(H56=0,0,L56/H56)</f>
        <v>-0.12542297022788437</v>
      </c>
      <c r="O56" s="10"/>
      <c r="P56" s="21">
        <f>SUM(OSRRefP22x_0)</f>
        <v>107108.01999999999</v>
      </c>
      <c r="Q56" s="21"/>
      <c r="R56" s="32">
        <f t="shared" ref="R56:R66" si="21">IF(P$12=0,0,P56/P$12)</f>
        <v>6.7343577173858915E-2</v>
      </c>
      <c r="S56" s="21"/>
      <c r="T56" s="21">
        <f>SUM(OSRRefT22x_0)</f>
        <v>160499.60000000003</v>
      </c>
      <c r="U56" s="21"/>
      <c r="V56" s="32">
        <f t="shared" ref="V56:V66" si="22">IF(T$12=0,0,T56/T$12)</f>
        <v>8.3418337957665956E-2</v>
      </c>
      <c r="W56" s="4"/>
      <c r="X56" s="21">
        <f t="shared" ref="X56:X66" si="23">+P56-T56</f>
        <v>-53391.580000000045</v>
      </c>
      <c r="Y56" s="4"/>
      <c r="Z56" s="32">
        <f t="shared" ref="Z56:Z66" si="24">IF(T56=0,0,X56/T56)</f>
        <v>-0.33265864837046344</v>
      </c>
    </row>
    <row r="57" spans="1:26" s="25" customFormat="1" outlineLevel="1" collapsed="1" x14ac:dyDescent="0.25">
      <c r="A57" s="27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2731.1200000000003</v>
      </c>
      <c r="E57" s="1"/>
      <c r="F57" s="5">
        <f t="shared" si="17"/>
        <v>1.4688584233823382E-2</v>
      </c>
      <c r="G57" s="1"/>
      <c r="H57" s="1">
        <f>SUM(OSRRefH22_0x_0)</f>
        <v>3042.6499999999992</v>
      </c>
      <c r="I57" s="1"/>
      <c r="J57" s="5">
        <f t="shared" si="18"/>
        <v>2.423909330423776E-2</v>
      </c>
      <c r="K57" s="1"/>
      <c r="L57" s="1">
        <f t="shared" si="19"/>
        <v>-311.52999999999884</v>
      </c>
      <c r="M57" s="1"/>
      <c r="N57" s="5">
        <f t="shared" si="20"/>
        <v>-0.10238772122984863</v>
      </c>
      <c r="O57" s="13"/>
      <c r="P57" s="1">
        <f>SUM(OSRRefP22_0x_0)</f>
        <v>23297.929999999997</v>
      </c>
      <c r="Q57" s="1"/>
      <c r="R57" s="5">
        <f t="shared" si="21"/>
        <v>1.4648445064582117E-2</v>
      </c>
      <c r="S57" s="1"/>
      <c r="T57" s="1">
        <f>SUM(OSRRefT22_0x_0)</f>
        <v>24441.55</v>
      </c>
      <c r="U57" s="1"/>
      <c r="V57" s="5">
        <f t="shared" si="22"/>
        <v>1.2703293205149358E-2</v>
      </c>
      <c r="W57" s="1"/>
      <c r="X57" s="1">
        <f t="shared" si="23"/>
        <v>-1143.6200000000026</v>
      </c>
      <c r="Y57" s="1"/>
      <c r="Z57" s="5">
        <f t="shared" si="24"/>
        <v>-4.6789994906215139E-2</v>
      </c>
    </row>
    <row r="58" spans="1:26" s="24" customFormat="1" hidden="1" outlineLevel="2" x14ac:dyDescent="0.25">
      <c r="A58" s="26"/>
      <c r="B58" s="11" t="str">
        <f>CONCATENATE("          ", "6111", " - ", "F.I.C.A.")</f>
        <v xml:space="preserve">          6111 - F.I.C.A.</v>
      </c>
      <c r="C58" s="11"/>
      <c r="D58" s="6">
        <v>449.24</v>
      </c>
      <c r="E58" s="2"/>
      <c r="F58" s="7">
        <f t="shared" si="17"/>
        <v>2.4161148470967279E-3</v>
      </c>
      <c r="G58" s="2"/>
      <c r="H58" s="6">
        <v>649.87</v>
      </c>
      <c r="I58" s="2"/>
      <c r="J58" s="7">
        <f t="shared" si="18"/>
        <v>5.1771513534665499E-3</v>
      </c>
      <c r="K58" s="2"/>
      <c r="L58" s="6">
        <f t="shared" si="19"/>
        <v>-200.63</v>
      </c>
      <c r="M58" s="2"/>
      <c r="N58" s="7">
        <f t="shared" si="20"/>
        <v>-0.30872328311816211</v>
      </c>
      <c r="O58" s="11"/>
      <c r="P58" s="6">
        <v>4288.84</v>
      </c>
      <c r="Q58" s="2"/>
      <c r="R58" s="7">
        <f t="shared" si="21"/>
        <v>2.6965845090436095E-3</v>
      </c>
      <c r="S58" s="2"/>
      <c r="T58" s="6">
        <v>5475.38</v>
      </c>
      <c r="U58" s="2"/>
      <c r="V58" s="7">
        <f t="shared" si="22"/>
        <v>2.8457834118380669E-3</v>
      </c>
      <c r="W58" s="2"/>
      <c r="X58" s="6">
        <f t="shared" si="23"/>
        <v>-1186.54</v>
      </c>
      <c r="Y58" s="2"/>
      <c r="Z58" s="7">
        <f t="shared" si="24"/>
        <v>-0.21670459401904524</v>
      </c>
    </row>
    <row r="59" spans="1:26" s="24" customFormat="1" hidden="1" outlineLevel="2" x14ac:dyDescent="0.25">
      <c r="A59" s="26"/>
      <c r="B59" s="11" t="str">
        <f>CONCATENATE("          ", "6112", " - ", "COMPENSATION INSURANCE")</f>
        <v xml:space="preserve">          6112 - COMPENSATION INSURANCE</v>
      </c>
      <c r="C59" s="11"/>
      <c r="D59" s="6">
        <v>145.49</v>
      </c>
      <c r="E59" s="2"/>
      <c r="F59" s="7">
        <f t="shared" si="17"/>
        <v>7.8247829468458497E-4</v>
      </c>
      <c r="G59" s="2"/>
      <c r="H59" s="6">
        <v>213.71</v>
      </c>
      <c r="I59" s="2"/>
      <c r="J59" s="7">
        <f t="shared" si="18"/>
        <v>1.7025082181810769E-3</v>
      </c>
      <c r="K59" s="2"/>
      <c r="L59" s="6">
        <f t="shared" si="19"/>
        <v>-68.22</v>
      </c>
      <c r="M59" s="2"/>
      <c r="N59" s="7">
        <f t="shared" si="20"/>
        <v>-0.31921763136961301</v>
      </c>
      <c r="O59" s="11"/>
      <c r="P59" s="6">
        <v>1174.21</v>
      </c>
      <c r="Q59" s="2"/>
      <c r="R59" s="7">
        <f t="shared" si="21"/>
        <v>7.382780650162041E-4</v>
      </c>
      <c r="S59" s="2"/>
      <c r="T59" s="6">
        <v>1366.89</v>
      </c>
      <c r="U59" s="2"/>
      <c r="V59" s="7">
        <f t="shared" si="22"/>
        <v>7.1042975789942166E-4</v>
      </c>
      <c r="W59" s="2"/>
      <c r="X59" s="6">
        <f t="shared" si="23"/>
        <v>-192.68000000000006</v>
      </c>
      <c r="Y59" s="2"/>
      <c r="Z59" s="7">
        <f t="shared" si="24"/>
        <v>-0.14096233054598398</v>
      </c>
    </row>
    <row r="60" spans="1:26" s="24" customFormat="1" hidden="1" outlineLevel="2" x14ac:dyDescent="0.25">
      <c r="A60" s="26"/>
      <c r="B60" s="11" t="str">
        <f>CONCATENATE("          ", "6113", " - ", "GROUP INSURANCE")</f>
        <v xml:space="preserve">          6113 - GROUP INSURANCE</v>
      </c>
      <c r="C60" s="11"/>
      <c r="D60" s="6">
        <v>1053.8499999999999</v>
      </c>
      <c r="E60" s="2"/>
      <c r="F60" s="7">
        <f t="shared" si="17"/>
        <v>5.6678448749285151E-3</v>
      </c>
      <c r="G60" s="2"/>
      <c r="H60" s="6">
        <v>1376.77</v>
      </c>
      <c r="I60" s="2"/>
      <c r="J60" s="7">
        <f t="shared" si="18"/>
        <v>1.0967957697558192E-2</v>
      </c>
      <c r="K60" s="2"/>
      <c r="L60" s="6">
        <f t="shared" si="19"/>
        <v>-322.92000000000007</v>
      </c>
      <c r="M60" s="2"/>
      <c r="N60" s="7">
        <f t="shared" si="20"/>
        <v>-0.23454898058499246</v>
      </c>
      <c r="O60" s="11"/>
      <c r="P60" s="6">
        <v>8322.48</v>
      </c>
      <c r="Q60" s="2"/>
      <c r="R60" s="7">
        <f t="shared" si="21"/>
        <v>5.2327134248014049E-3</v>
      </c>
      <c r="S60" s="2"/>
      <c r="T60" s="6">
        <v>9188.36</v>
      </c>
      <c r="U60" s="2"/>
      <c r="V60" s="7">
        <f t="shared" si="22"/>
        <v>4.775574018606274E-3</v>
      </c>
      <c r="W60" s="2"/>
      <c r="X60" s="6">
        <f t="shared" si="23"/>
        <v>-865.88000000000102</v>
      </c>
      <c r="Y60" s="2"/>
      <c r="Z60" s="7">
        <f t="shared" si="24"/>
        <v>-9.4236621116282004E-2</v>
      </c>
    </row>
    <row r="61" spans="1:26" s="24" customFormat="1" hidden="1" outlineLevel="2" x14ac:dyDescent="0.25">
      <c r="A61" s="26"/>
      <c r="B61" s="11" t="str">
        <f>CONCATENATE("          ", "6114", " - ", "STATE UNEMPLOYMENT INSURANCE")</f>
        <v xml:space="preserve">          6114 - STATE UNEMPLOYMENT INSURANCE</v>
      </c>
      <c r="C61" s="11"/>
      <c r="D61" s="6">
        <v>20.45</v>
      </c>
      <c r="E61" s="2"/>
      <c r="F61" s="7">
        <f t="shared" si="17"/>
        <v>1.0998474896075166E-4</v>
      </c>
      <c r="G61" s="2"/>
      <c r="H61" s="6">
        <v>29.24</v>
      </c>
      <c r="I61" s="2"/>
      <c r="J61" s="7">
        <f t="shared" si="18"/>
        <v>2.3293875017366844E-4</v>
      </c>
      <c r="K61" s="2"/>
      <c r="L61" s="6">
        <f t="shared" si="19"/>
        <v>-8.7899999999999991</v>
      </c>
      <c r="M61" s="2"/>
      <c r="N61" s="7">
        <f t="shared" si="20"/>
        <v>-0.30061559507523938</v>
      </c>
      <c r="O61" s="11"/>
      <c r="P61" s="6">
        <v>179.73</v>
      </c>
      <c r="Q61" s="2"/>
      <c r="R61" s="7">
        <f t="shared" si="21"/>
        <v>1.1300424679176837E-4</v>
      </c>
      <c r="S61" s="2"/>
      <c r="T61" s="6">
        <v>215.49</v>
      </c>
      <c r="U61" s="2"/>
      <c r="V61" s="7">
        <f t="shared" si="22"/>
        <v>1.1199914296669546E-4</v>
      </c>
      <c r="W61" s="2"/>
      <c r="X61" s="6">
        <f t="shared" si="23"/>
        <v>-35.760000000000019</v>
      </c>
      <c r="Y61" s="2"/>
      <c r="Z61" s="7">
        <f t="shared" si="24"/>
        <v>-0.16594737574829466</v>
      </c>
    </row>
    <row r="62" spans="1:26" s="24" customFormat="1" hidden="1" outlineLevel="2" x14ac:dyDescent="0.25">
      <c r="A62" s="26"/>
      <c r="B62" s="11" t="str">
        <f>CONCATENATE("          ", "6115", " - ", "P.E.R.S.")</f>
        <v xml:space="preserve">          6115 - P.E.R.S.</v>
      </c>
      <c r="C62" s="11"/>
      <c r="D62" s="6">
        <v>176.42</v>
      </c>
      <c r="E62" s="2"/>
      <c r="F62" s="7">
        <f t="shared" si="17"/>
        <v>9.4882686609563862E-4</v>
      </c>
      <c r="G62" s="2"/>
      <c r="H62" s="6">
        <v>268.89</v>
      </c>
      <c r="I62" s="2"/>
      <c r="J62" s="7">
        <f t="shared" si="18"/>
        <v>2.1420964614978695E-3</v>
      </c>
      <c r="K62" s="2"/>
      <c r="L62" s="6">
        <f t="shared" si="19"/>
        <v>-92.47</v>
      </c>
      <c r="M62" s="2"/>
      <c r="N62" s="7">
        <f t="shared" si="20"/>
        <v>-0.34389527316002827</v>
      </c>
      <c r="O62" s="11"/>
      <c r="P62" s="6">
        <v>1587.78</v>
      </c>
      <c r="Q62" s="2"/>
      <c r="R62" s="7">
        <f t="shared" si="21"/>
        <v>9.9830792283444052E-4</v>
      </c>
      <c r="S62" s="2"/>
      <c r="T62" s="6">
        <v>1955.36</v>
      </c>
      <c r="U62" s="2"/>
      <c r="V62" s="7">
        <f t="shared" si="22"/>
        <v>1.0162821671138224E-3</v>
      </c>
      <c r="W62" s="2"/>
      <c r="X62" s="6">
        <f t="shared" si="23"/>
        <v>-367.57999999999993</v>
      </c>
      <c r="Y62" s="2"/>
      <c r="Z62" s="7">
        <f t="shared" si="24"/>
        <v>-0.18798584403894933</v>
      </c>
    </row>
    <row r="63" spans="1:26" s="24" customFormat="1" hidden="1" outlineLevel="2" x14ac:dyDescent="0.25">
      <c r="A63" s="26"/>
      <c r="B63" s="11" t="str">
        <f>CONCATENATE("          ", "6117", " - ", "RETIREMENT STAFF HOURLY")</f>
        <v xml:space="preserve">          6117 - RETIREMENT STAFF HOURLY</v>
      </c>
      <c r="C63" s="11"/>
      <c r="D63" s="6">
        <v>176</v>
      </c>
      <c r="E63" s="2"/>
      <c r="F63" s="7">
        <f t="shared" si="17"/>
        <v>9.4656801061576007E-4</v>
      </c>
      <c r="G63" s="2"/>
      <c r="H63" s="6">
        <v>94.62</v>
      </c>
      <c r="I63" s="2"/>
      <c r="J63" s="7">
        <f t="shared" si="18"/>
        <v>7.5378469703941552E-4</v>
      </c>
      <c r="K63" s="2"/>
      <c r="L63" s="6">
        <f t="shared" si="19"/>
        <v>81.38</v>
      </c>
      <c r="M63" s="2"/>
      <c r="N63" s="7">
        <f t="shared" si="20"/>
        <v>0.86007186641302036</v>
      </c>
      <c r="O63" s="11"/>
      <c r="P63" s="6">
        <v>1457.04</v>
      </c>
      <c r="Q63" s="2"/>
      <c r="R63" s="7">
        <f t="shared" si="21"/>
        <v>9.1610586849985088E-4</v>
      </c>
      <c r="S63" s="2"/>
      <c r="T63" s="6">
        <v>1289.98</v>
      </c>
      <c r="U63" s="2"/>
      <c r="V63" s="7">
        <f t="shared" si="22"/>
        <v>6.7045642231276532E-4</v>
      </c>
      <c r="W63" s="2"/>
      <c r="X63" s="6">
        <f t="shared" si="23"/>
        <v>167.05999999999995</v>
      </c>
      <c r="Y63" s="2"/>
      <c r="Z63" s="7">
        <f t="shared" si="24"/>
        <v>0.12950588381215208</v>
      </c>
    </row>
    <row r="64" spans="1:26" s="24" customFormat="1" hidden="1" outlineLevel="2" x14ac:dyDescent="0.25">
      <c r="A64" s="26"/>
      <c r="B64" s="11" t="str">
        <f>CONCATENATE("          ", "6118", " - ", "VACATION")</f>
        <v xml:space="preserve">          6118 - VACATION</v>
      </c>
      <c r="C64" s="11"/>
      <c r="D64" s="6">
        <v>267.04000000000002</v>
      </c>
      <c r="E64" s="2"/>
      <c r="F64" s="7">
        <f t="shared" si="17"/>
        <v>1.4362018270160943E-3</v>
      </c>
      <c r="G64" s="2"/>
      <c r="H64" s="6">
        <v>67.989999999999995</v>
      </c>
      <c r="I64" s="2"/>
      <c r="J64" s="7">
        <f t="shared" si="18"/>
        <v>5.4163835924444994E-4</v>
      </c>
      <c r="K64" s="2"/>
      <c r="L64" s="6">
        <f t="shared" si="19"/>
        <v>199.05</v>
      </c>
      <c r="M64" s="2"/>
      <c r="N64" s="7">
        <f t="shared" si="20"/>
        <v>2.9276364171201652</v>
      </c>
      <c r="O64" s="11"/>
      <c r="P64" s="6">
        <v>2223.62</v>
      </c>
      <c r="Q64" s="2"/>
      <c r="R64" s="7">
        <f t="shared" si="21"/>
        <v>1.398088817955333E-3</v>
      </c>
      <c r="S64" s="2"/>
      <c r="T64" s="6">
        <v>1667.07</v>
      </c>
      <c r="U64" s="2"/>
      <c r="V64" s="7">
        <f t="shared" si="22"/>
        <v>8.6644582702440477E-4</v>
      </c>
      <c r="W64" s="2"/>
      <c r="X64" s="6">
        <f t="shared" si="23"/>
        <v>556.54999999999995</v>
      </c>
      <c r="Y64" s="2"/>
      <c r="Z64" s="7">
        <f t="shared" si="24"/>
        <v>0.33384920849154504</v>
      </c>
    </row>
    <row r="65" spans="1:26" s="24" customFormat="1" hidden="1" outlineLevel="2" x14ac:dyDescent="0.25">
      <c r="A65" s="26"/>
      <c r="B65" s="11" t="str">
        <f>CONCATENATE("          ", "6119", " - ", "SICK LEAVE")</f>
        <v xml:space="preserve">          6119 - SICK LEAVE</v>
      </c>
      <c r="C65" s="11"/>
      <c r="D65" s="6">
        <v>267.63</v>
      </c>
      <c r="E65" s="2"/>
      <c r="F65" s="7">
        <f t="shared" si="17"/>
        <v>1.4393749811425901E-3</v>
      </c>
      <c r="G65" s="2"/>
      <c r="H65" s="6">
        <v>177.56</v>
      </c>
      <c r="I65" s="2"/>
      <c r="J65" s="7">
        <f t="shared" si="18"/>
        <v>1.4145213570737542E-3</v>
      </c>
      <c r="K65" s="2"/>
      <c r="L65" s="6">
        <f t="shared" si="19"/>
        <v>90.07</v>
      </c>
      <c r="M65" s="2"/>
      <c r="N65" s="7">
        <f t="shared" si="20"/>
        <v>0.50726514980851534</v>
      </c>
      <c r="O65" s="11"/>
      <c r="P65" s="6">
        <v>2219.5500000000002</v>
      </c>
      <c r="Q65" s="2"/>
      <c r="R65" s="7">
        <f t="shared" si="21"/>
        <v>1.3955298278899991E-3</v>
      </c>
      <c r="S65" s="2"/>
      <c r="T65" s="6">
        <v>1983.24</v>
      </c>
      <c r="U65" s="2"/>
      <c r="V65" s="7">
        <f t="shared" si="22"/>
        <v>1.0307725662317003E-3</v>
      </c>
      <c r="W65" s="2"/>
      <c r="X65" s="6">
        <f t="shared" si="23"/>
        <v>236.31000000000017</v>
      </c>
      <c r="Y65" s="2"/>
      <c r="Z65" s="7">
        <f t="shared" si="24"/>
        <v>0.11915350638349376</v>
      </c>
    </row>
    <row r="66" spans="1:26" s="24" customFormat="1" hidden="1" outlineLevel="2" x14ac:dyDescent="0.25">
      <c r="A66" s="26"/>
      <c r="B66" s="11" t="str">
        <f>CONCATENATE("          ", "6156", " - ", "EMPLOYEE MEALS")</f>
        <v xml:space="preserve">          6156 - EMPLOYEE MEALS</v>
      </c>
      <c r="C66" s="11"/>
      <c r="D66" s="6">
        <v>175</v>
      </c>
      <c r="E66" s="2"/>
      <c r="F66" s="7">
        <f t="shared" si="17"/>
        <v>9.4118978328271608E-4</v>
      </c>
      <c r="G66" s="2"/>
      <c r="H66" s="6">
        <v>164</v>
      </c>
      <c r="I66" s="2"/>
      <c r="J66" s="7">
        <f t="shared" si="18"/>
        <v>1.3064964100027916E-3</v>
      </c>
      <c r="K66" s="2"/>
      <c r="L66" s="6">
        <f t="shared" si="19"/>
        <v>11</v>
      </c>
      <c r="M66" s="2"/>
      <c r="N66" s="7">
        <f t="shared" si="20"/>
        <v>6.7073170731707321E-2</v>
      </c>
      <c r="O66" s="11"/>
      <c r="P66" s="6">
        <v>1844.68</v>
      </c>
      <c r="Q66" s="2"/>
      <c r="R66" s="7">
        <f t="shared" si="21"/>
        <v>1.1598323817495094E-3</v>
      </c>
      <c r="S66" s="2"/>
      <c r="T66" s="6">
        <v>1299.78</v>
      </c>
      <c r="U66" s="2"/>
      <c r="V66" s="7">
        <f t="shared" si="22"/>
        <v>6.7554989115620873E-4</v>
      </c>
      <c r="W66" s="2"/>
      <c r="X66" s="6">
        <f t="shared" si="23"/>
        <v>544.90000000000009</v>
      </c>
      <c r="Y66" s="2"/>
      <c r="Z66" s="7">
        <f t="shared" si="24"/>
        <v>0.41922479188785805</v>
      </c>
    </row>
    <row r="67" spans="1:26" s="25" customFormat="1" outlineLevel="1" collapsed="1" x14ac:dyDescent="0.25">
      <c r="A67" s="27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8014.16</v>
      </c>
      <c r="E67" s="1"/>
      <c r="F67" s="5">
        <f t="shared" ref="F67:F72" si="25">IF(D$12=0,0,D67/D$12)</f>
        <v>4.3101974363388633E-2</v>
      </c>
      <c r="G67" s="1"/>
      <c r="H67" s="1">
        <f>SUM(OSRRefH22_1x_0)</f>
        <v>11381.29</v>
      </c>
      <c r="I67" s="1"/>
      <c r="J67" s="5">
        <f t="shared" ref="J67:J72" si="26">IF(H$12=0,0,H67/H$12)</f>
        <v>9.0668381257321184E-2</v>
      </c>
      <c r="K67" s="1"/>
      <c r="L67" s="1">
        <f t="shared" ref="L67:L72" si="27">+D67-H67</f>
        <v>-3367.130000000001</v>
      </c>
      <c r="M67" s="1"/>
      <c r="N67" s="5">
        <f t="shared" ref="N67:N72" si="28">IF(H67=0,0,L67/H67)</f>
        <v>-0.29584783447219082</v>
      </c>
      <c r="O67" s="13"/>
      <c r="P67" s="1">
        <f>SUM(OSRRefP22_1x_0)</f>
        <v>65405.460000000006</v>
      </c>
      <c r="Q67" s="1"/>
      <c r="R67" s="5">
        <f t="shared" ref="R67:R72" si="29">IF(P$12=0,0,P67/P$12)</f>
        <v>4.1123322446832117E-2</v>
      </c>
      <c r="S67" s="1"/>
      <c r="T67" s="1">
        <f>SUM(OSRRefT22_1x_0)</f>
        <v>80697.22</v>
      </c>
      <c r="U67" s="1"/>
      <c r="V67" s="5">
        <f t="shared" ref="V67:V72" si="30">IF(T$12=0,0,T67/T$12)</f>
        <v>4.19417118186221E-2</v>
      </c>
      <c r="W67" s="1"/>
      <c r="X67" s="1">
        <f t="shared" ref="X67:X72" si="31">+P67-T67</f>
        <v>-15291.759999999995</v>
      </c>
      <c r="Y67" s="1"/>
      <c r="Z67" s="5">
        <f t="shared" ref="Z67:Z72" si="32">IF(T67=0,0,X67/T67)</f>
        <v>-0.18949549934929599</v>
      </c>
    </row>
    <row r="68" spans="1:26" s="24" customFormat="1" hidden="1" outlineLevel="2" x14ac:dyDescent="0.25">
      <c r="A68" s="26"/>
      <c r="B68" s="11" t="str">
        <f>CONCATENATE("          ", "6002", " - ", "STAFF SALARIES")</f>
        <v xml:space="preserve">          6002 - STAFF SALARIES</v>
      </c>
      <c r="C68" s="11"/>
      <c r="D68" s="6">
        <v>2357.3000000000002</v>
      </c>
      <c r="E68" s="2"/>
      <c r="F68" s="7">
        <f t="shared" si="25"/>
        <v>1.2678095292184837E-2</v>
      </c>
      <c r="G68" s="2"/>
      <c r="H68" s="6">
        <v>3797.56</v>
      </c>
      <c r="I68" s="2"/>
      <c r="J68" s="7">
        <f t="shared" si="26"/>
        <v>3.0253039675428056E-2</v>
      </c>
      <c r="K68" s="2"/>
      <c r="L68" s="6">
        <f t="shared" si="27"/>
        <v>-1440.2599999999998</v>
      </c>
      <c r="M68" s="2"/>
      <c r="N68" s="7">
        <f t="shared" si="28"/>
        <v>-0.3792593138752251</v>
      </c>
      <c r="O68" s="11"/>
      <c r="P68" s="6">
        <v>18522.95</v>
      </c>
      <c r="Q68" s="2"/>
      <c r="R68" s="7">
        <f t="shared" si="29"/>
        <v>1.164620271024084E-2</v>
      </c>
      <c r="S68" s="2"/>
      <c r="T68" s="6">
        <v>27336.26</v>
      </c>
      <c r="U68" s="2"/>
      <c r="V68" s="7">
        <f t="shared" si="30"/>
        <v>1.4207794755741604E-2</v>
      </c>
      <c r="W68" s="2"/>
      <c r="X68" s="6">
        <f t="shared" si="31"/>
        <v>-8813.3099999999977</v>
      </c>
      <c r="Y68" s="2"/>
      <c r="Z68" s="7">
        <f t="shared" si="32"/>
        <v>-0.32240364995065157</v>
      </c>
    </row>
    <row r="69" spans="1:26" s="24" customFormat="1" hidden="1" outlineLevel="2" x14ac:dyDescent="0.25">
      <c r="A69" s="26"/>
      <c r="B69" s="11" t="str">
        <f>CONCATENATE("          ", "6004", " - ", "STAFF HOURLY")</f>
        <v xml:space="preserve">          6004 - STAFF HOURLY</v>
      </c>
      <c r="C69" s="11"/>
      <c r="D69" s="6">
        <v>3520</v>
      </c>
      <c r="E69" s="2"/>
      <c r="F69" s="7">
        <f t="shared" si="25"/>
        <v>1.8931360212315201E-2</v>
      </c>
      <c r="G69" s="2"/>
      <c r="H69" s="6"/>
      <c r="I69" s="2"/>
      <c r="J69" s="7">
        <f t="shared" si="26"/>
        <v>0</v>
      </c>
      <c r="K69" s="2"/>
      <c r="L69" s="6">
        <f t="shared" si="27"/>
        <v>3520</v>
      </c>
      <c r="M69" s="2"/>
      <c r="N69" s="7">
        <f t="shared" si="28"/>
        <v>0</v>
      </c>
      <c r="O69" s="11"/>
      <c r="P69" s="6">
        <v>28200.16</v>
      </c>
      <c r="Q69" s="2"/>
      <c r="R69" s="7">
        <f t="shared" si="29"/>
        <v>1.7730695154995577E-2</v>
      </c>
      <c r="S69" s="2"/>
      <c r="T69" s="6"/>
      <c r="U69" s="2"/>
      <c r="V69" s="7">
        <f t="shared" si="30"/>
        <v>0</v>
      </c>
      <c r="W69" s="2"/>
      <c r="X69" s="6">
        <f t="shared" si="31"/>
        <v>28200.16</v>
      </c>
      <c r="Y69" s="2"/>
      <c r="Z69" s="7">
        <f t="shared" si="32"/>
        <v>0</v>
      </c>
    </row>
    <row r="70" spans="1:26" s="24" customFormat="1" hidden="1" outlineLevel="2" x14ac:dyDescent="0.25">
      <c r="A70" s="26"/>
      <c r="B70" s="11" t="str">
        <f>CONCATENATE("          ", "6005", " - ", "TEMPORARY WAGES-HOURLY")</f>
        <v xml:space="preserve">          6005 - TEMPORARY WAGES-HOURLY</v>
      </c>
      <c r="C70" s="11"/>
      <c r="D70" s="6"/>
      <c r="E70" s="2"/>
      <c r="F70" s="7">
        <f t="shared" si="25"/>
        <v>0</v>
      </c>
      <c r="G70" s="2"/>
      <c r="H70" s="6">
        <v>4177.5600000000004</v>
      </c>
      <c r="I70" s="2"/>
      <c r="J70" s="7">
        <f t="shared" si="26"/>
        <v>3.3280287454702823E-2</v>
      </c>
      <c r="K70" s="2"/>
      <c r="L70" s="6">
        <f t="shared" si="27"/>
        <v>-4177.5600000000004</v>
      </c>
      <c r="M70" s="2"/>
      <c r="N70" s="7">
        <f t="shared" si="28"/>
        <v>-1</v>
      </c>
      <c r="O70" s="11"/>
      <c r="P70" s="6"/>
      <c r="Q70" s="2"/>
      <c r="R70" s="7">
        <f t="shared" si="29"/>
        <v>0</v>
      </c>
      <c r="S70" s="2"/>
      <c r="T70" s="6">
        <v>27300.59</v>
      </c>
      <c r="U70" s="2"/>
      <c r="V70" s="7">
        <f t="shared" si="30"/>
        <v>1.4189255568634908E-2</v>
      </c>
      <c r="W70" s="2"/>
      <c r="X70" s="6">
        <f t="shared" si="31"/>
        <v>-27300.59</v>
      </c>
      <c r="Y70" s="2"/>
      <c r="Z70" s="7">
        <f t="shared" si="32"/>
        <v>-1</v>
      </c>
    </row>
    <row r="71" spans="1:26" s="24" customFormat="1" hidden="1" outlineLevel="2" x14ac:dyDescent="0.25">
      <c r="A71" s="26"/>
      <c r="B71" s="11" t="str">
        <f>CONCATENATE("          ", "6006", " - ", "TEMPORARY PART TIME")</f>
        <v xml:space="preserve">          6006 - TEMPORARY PART TIME</v>
      </c>
      <c r="C71" s="11"/>
      <c r="D71" s="6"/>
      <c r="E71" s="2"/>
      <c r="F71" s="7">
        <f t="shared" si="25"/>
        <v>0</v>
      </c>
      <c r="G71" s="2"/>
      <c r="H71" s="6">
        <v>467.77</v>
      </c>
      <c r="I71" s="2"/>
      <c r="J71" s="7">
        <f t="shared" si="26"/>
        <v>3.7264623518719867E-3</v>
      </c>
      <c r="K71" s="2"/>
      <c r="L71" s="6">
        <f t="shared" si="27"/>
        <v>-467.77</v>
      </c>
      <c r="M71" s="2"/>
      <c r="N71" s="7">
        <f t="shared" si="28"/>
        <v>-1</v>
      </c>
      <c r="O71" s="11"/>
      <c r="P71" s="6"/>
      <c r="Q71" s="2"/>
      <c r="R71" s="7">
        <f t="shared" si="29"/>
        <v>0</v>
      </c>
      <c r="S71" s="2"/>
      <c r="T71" s="6">
        <v>9008.99</v>
      </c>
      <c r="U71" s="2"/>
      <c r="V71" s="7">
        <f t="shared" si="30"/>
        <v>4.6823479465196976E-3</v>
      </c>
      <c r="W71" s="2"/>
      <c r="X71" s="6">
        <f t="shared" si="31"/>
        <v>-9008.99</v>
      </c>
      <c r="Y71" s="2"/>
      <c r="Z71" s="7">
        <f t="shared" si="32"/>
        <v>-1</v>
      </c>
    </row>
    <row r="72" spans="1:26" s="24" customFormat="1" hidden="1" outlineLevel="2" x14ac:dyDescent="0.25">
      <c r="A72" s="26"/>
      <c r="B72" s="11" t="str">
        <f>CONCATENATE("          ", "6007", " - ", "STUDENT HOURLY")</f>
        <v xml:space="preserve">          6007 - STUDENT HOURLY</v>
      </c>
      <c r="C72" s="11"/>
      <c r="D72" s="6">
        <v>2136.86</v>
      </c>
      <c r="E72" s="2"/>
      <c r="F72" s="7">
        <f t="shared" si="25"/>
        <v>1.1492518858888598E-2</v>
      </c>
      <c r="G72" s="2"/>
      <c r="H72" s="6">
        <v>2938.4</v>
      </c>
      <c r="I72" s="2"/>
      <c r="J72" s="7">
        <f t="shared" si="26"/>
        <v>2.3408591775318312E-2</v>
      </c>
      <c r="K72" s="2"/>
      <c r="L72" s="6">
        <f t="shared" si="27"/>
        <v>-801.54</v>
      </c>
      <c r="M72" s="2"/>
      <c r="N72" s="7">
        <f t="shared" si="28"/>
        <v>-0.27278110536346306</v>
      </c>
      <c r="O72" s="11"/>
      <c r="P72" s="6">
        <v>18682.350000000002</v>
      </c>
      <c r="Q72" s="2"/>
      <c r="R72" s="7">
        <f t="shared" si="29"/>
        <v>1.1746424581595695E-2</v>
      </c>
      <c r="S72" s="2"/>
      <c r="T72" s="6">
        <v>17051.38</v>
      </c>
      <c r="U72" s="2"/>
      <c r="V72" s="7">
        <f t="shared" si="30"/>
        <v>8.8623135477258891E-3</v>
      </c>
      <c r="W72" s="2"/>
      <c r="X72" s="6">
        <f t="shared" si="31"/>
        <v>1630.9700000000012</v>
      </c>
      <c r="Y72" s="2"/>
      <c r="Z72" s="7">
        <f t="shared" si="32"/>
        <v>9.5650322730477008E-2</v>
      </c>
    </row>
    <row r="73" spans="1:26" s="25" customFormat="1" outlineLevel="1" collapsed="1" x14ac:dyDescent="0.25">
      <c r="A73" s="27"/>
      <c r="B73" s="13" t="str">
        <f>CONCATENATE("     ","Advertising/Promo                                 ")</f>
        <v xml:space="preserve">     Advertising/Promo                                 </v>
      </c>
      <c r="C73" s="13"/>
      <c r="D73" s="1">
        <f>SUM(OSRRefD22_2x_0)</f>
        <v>0</v>
      </c>
      <c r="E73" s="1"/>
      <c r="F73" s="5">
        <f t="shared" ref="F73:F81" si="33">IF(D$12=0,0,D73/D$12)</f>
        <v>0</v>
      </c>
      <c r="G73" s="1"/>
      <c r="H73" s="1">
        <f>SUM(OSRRefH22_2x_0)</f>
        <v>72.400000000000006</v>
      </c>
      <c r="I73" s="1"/>
      <c r="J73" s="5">
        <f t="shared" ref="J73:J81" si="34">IF(H$12=0,0,H73/H$12)</f>
        <v>5.7677036636708608E-4</v>
      </c>
      <c r="K73" s="1"/>
      <c r="L73" s="1">
        <f t="shared" ref="L73:L81" si="35">+D73-H73</f>
        <v>-72.400000000000006</v>
      </c>
      <c r="M73" s="1"/>
      <c r="N73" s="5">
        <f t="shared" ref="N73:N81" si="36">IF(H73=0,0,L73/H73)</f>
        <v>-1</v>
      </c>
      <c r="O73" s="13"/>
      <c r="P73" s="1">
        <f>SUM(OSRRefP22_2x_0)</f>
        <v>598.92999999999995</v>
      </c>
      <c r="Q73" s="1"/>
      <c r="R73" s="5">
        <f t="shared" ref="R73:R81" si="37">IF(P$12=0,0,P73/P$12)</f>
        <v>3.7657393607630241E-4</v>
      </c>
      <c r="S73" s="1"/>
      <c r="T73" s="1">
        <f>SUM(OSRRefT22_2x_0)</f>
        <v>1721.23</v>
      </c>
      <c r="U73" s="1"/>
      <c r="V73" s="5">
        <f t="shared" ref="V73:V81" si="38">IF(T$12=0,0,T73/T$12)</f>
        <v>8.945950385102103E-4</v>
      </c>
      <c r="W73" s="1"/>
      <c r="X73" s="1">
        <f t="shared" ref="X73:X81" si="39">+P73-T73</f>
        <v>-1122.3000000000002</v>
      </c>
      <c r="Y73" s="1"/>
      <c r="Z73" s="5">
        <f t="shared" ref="Z73:Z81" si="40">IF(T73=0,0,X73/T73)</f>
        <v>-0.652033720072274</v>
      </c>
    </row>
    <row r="74" spans="1:26" s="24" customFormat="1" hidden="1" outlineLevel="2" x14ac:dyDescent="0.25">
      <c r="A74" s="26"/>
      <c r="B74" s="11" t="str">
        <f>CONCATENATE("          ", "6362", " - ", "ADVERTISING EXPENSE")</f>
        <v xml:space="preserve">          6362 - ADVERTISING EXPENSE</v>
      </c>
      <c r="C74" s="11"/>
      <c r="D74" s="6"/>
      <c r="E74" s="2"/>
      <c r="F74" s="7">
        <f t="shared" si="33"/>
        <v>0</v>
      </c>
      <c r="G74" s="2"/>
      <c r="H74" s="6">
        <v>72.400000000000006</v>
      </c>
      <c r="I74" s="2"/>
      <c r="J74" s="7">
        <f t="shared" si="34"/>
        <v>5.7677036636708608E-4</v>
      </c>
      <c r="K74" s="2"/>
      <c r="L74" s="6">
        <f t="shared" si="35"/>
        <v>-72.400000000000006</v>
      </c>
      <c r="M74" s="2"/>
      <c r="N74" s="7">
        <f t="shared" si="36"/>
        <v>-1</v>
      </c>
      <c r="O74" s="11"/>
      <c r="P74" s="6">
        <v>598.92999999999995</v>
      </c>
      <c r="Q74" s="2"/>
      <c r="R74" s="7">
        <f t="shared" si="37"/>
        <v>3.7657393607630241E-4</v>
      </c>
      <c r="S74" s="2"/>
      <c r="T74" s="6">
        <v>1721.23</v>
      </c>
      <c r="U74" s="2"/>
      <c r="V74" s="7">
        <f t="shared" si="38"/>
        <v>8.945950385102103E-4</v>
      </c>
      <c r="W74" s="2"/>
      <c r="X74" s="6">
        <f t="shared" si="39"/>
        <v>-1122.3000000000002</v>
      </c>
      <c r="Y74" s="2"/>
      <c r="Z74" s="7">
        <f t="shared" si="40"/>
        <v>-0.652033720072274</v>
      </c>
    </row>
    <row r="75" spans="1:26" s="25" customFormat="1" outlineLevel="1" collapsed="1" x14ac:dyDescent="0.25">
      <c r="A75" s="27"/>
      <c r="B75" s="13" t="str">
        <f>CONCATENATE("     ","Depreciation                                      ")</f>
        <v xml:space="preserve">     Depreciation                                      </v>
      </c>
      <c r="C75" s="13"/>
      <c r="D75" s="1">
        <f>SUM(OSRRefD22_3x_0)</f>
        <v>280.44</v>
      </c>
      <c r="E75" s="1"/>
      <c r="F75" s="5">
        <f t="shared" si="33"/>
        <v>1.5082700732788851E-3</v>
      </c>
      <c r="G75" s="1"/>
      <c r="H75" s="1">
        <f>SUM(OSRRefH22_3x_0)</f>
        <v>280.44</v>
      </c>
      <c r="I75" s="1"/>
      <c r="J75" s="5">
        <f t="shared" si="34"/>
        <v>2.2341088611047737E-3</v>
      </c>
      <c r="K75" s="1"/>
      <c r="L75" s="1">
        <f t="shared" si="35"/>
        <v>0</v>
      </c>
      <c r="M75" s="1"/>
      <c r="N75" s="5">
        <f t="shared" si="36"/>
        <v>0</v>
      </c>
      <c r="O75" s="13"/>
      <c r="P75" s="1">
        <f>SUM(OSRRefP22_3x_0)</f>
        <v>2243.52</v>
      </c>
      <c r="Q75" s="1"/>
      <c r="R75" s="5">
        <f t="shared" si="37"/>
        <v>1.4106008332624947E-3</v>
      </c>
      <c r="S75" s="1"/>
      <c r="T75" s="1">
        <f>SUM(OSRRefT22_3x_0)</f>
        <v>2243.52</v>
      </c>
      <c r="U75" s="1"/>
      <c r="V75" s="5">
        <f t="shared" si="38"/>
        <v>1.166050940779807E-3</v>
      </c>
      <c r="W75" s="1"/>
      <c r="X75" s="1">
        <f t="shared" si="39"/>
        <v>0</v>
      </c>
      <c r="Y75" s="1"/>
      <c r="Z75" s="5">
        <f t="shared" si="40"/>
        <v>0</v>
      </c>
    </row>
    <row r="76" spans="1:26" s="24" customFormat="1" hidden="1" outlineLevel="2" x14ac:dyDescent="0.25">
      <c r="A76" s="26"/>
      <c r="B76" s="11" t="str">
        <f>CONCATENATE("          ", "6322", " - ", "EQUIPMENT DEPRECIATION EXPENSE")</f>
        <v xml:space="preserve">          6322 - EQUIPMENT DEPRECIATION EXPENSE</v>
      </c>
      <c r="C76" s="11"/>
      <c r="D76" s="6">
        <v>280.44</v>
      </c>
      <c r="E76" s="2"/>
      <c r="F76" s="7">
        <f t="shared" si="33"/>
        <v>1.5082700732788851E-3</v>
      </c>
      <c r="G76" s="2"/>
      <c r="H76" s="6">
        <v>280.44</v>
      </c>
      <c r="I76" s="2"/>
      <c r="J76" s="7">
        <f t="shared" si="34"/>
        <v>2.2341088611047737E-3</v>
      </c>
      <c r="K76" s="2"/>
      <c r="L76" s="6">
        <f t="shared" si="35"/>
        <v>0</v>
      </c>
      <c r="M76" s="2"/>
      <c r="N76" s="7">
        <f t="shared" si="36"/>
        <v>0</v>
      </c>
      <c r="O76" s="11"/>
      <c r="P76" s="6">
        <v>2243.52</v>
      </c>
      <c r="Q76" s="2"/>
      <c r="R76" s="7">
        <f t="shared" si="37"/>
        <v>1.4106008332624947E-3</v>
      </c>
      <c r="S76" s="2"/>
      <c r="T76" s="6">
        <v>2243.52</v>
      </c>
      <c r="U76" s="2"/>
      <c r="V76" s="7">
        <f t="shared" si="38"/>
        <v>1.166050940779807E-3</v>
      </c>
      <c r="W76" s="2"/>
      <c r="X76" s="6">
        <f t="shared" si="39"/>
        <v>0</v>
      </c>
      <c r="Y76" s="2"/>
      <c r="Z76" s="7">
        <f t="shared" si="40"/>
        <v>0</v>
      </c>
    </row>
    <row r="77" spans="1:26" s="25" customFormat="1" outlineLevel="1" collapsed="1" x14ac:dyDescent="0.25">
      <c r="A77" s="27"/>
      <c r="B77" s="13" t="str">
        <f>CONCATENATE("     ","Discounts and Markdowns                           ")</f>
        <v xml:space="preserve">     Discounts and Markdowns                           </v>
      </c>
      <c r="C77" s="13"/>
      <c r="D77" s="1">
        <f>SUM(OSRRefD22_4x_0)</f>
        <v>0</v>
      </c>
      <c r="E77" s="1"/>
      <c r="F77" s="5">
        <f t="shared" si="33"/>
        <v>0</v>
      </c>
      <c r="G77" s="1"/>
      <c r="H77" s="1">
        <f>SUM(OSRRefH22_4x_0)</f>
        <v>-924.3</v>
      </c>
      <c r="I77" s="1"/>
      <c r="J77" s="5">
        <f t="shared" si="34"/>
        <v>-7.3633819010096354E-3</v>
      </c>
      <c r="K77" s="1"/>
      <c r="L77" s="1">
        <f t="shared" si="35"/>
        <v>924.3</v>
      </c>
      <c r="M77" s="1"/>
      <c r="N77" s="5">
        <f t="shared" si="36"/>
        <v>-1</v>
      </c>
      <c r="O77" s="13"/>
      <c r="P77" s="1">
        <f>SUM(OSRRefP22_4x_0)</f>
        <v>0</v>
      </c>
      <c r="Q77" s="1"/>
      <c r="R77" s="5">
        <f t="shared" si="37"/>
        <v>0</v>
      </c>
      <c r="S77" s="1"/>
      <c r="T77" s="1">
        <f>SUM(OSRRefT22_4x_0)</f>
        <v>49786.87</v>
      </c>
      <c r="U77" s="1"/>
      <c r="V77" s="5">
        <f t="shared" si="38"/>
        <v>2.587631338342513E-2</v>
      </c>
      <c r="W77" s="1"/>
      <c r="X77" s="1">
        <f t="shared" si="39"/>
        <v>-49786.87</v>
      </c>
      <c r="Y77" s="1"/>
      <c r="Z77" s="5">
        <f t="shared" si="40"/>
        <v>-1</v>
      </c>
    </row>
    <row r="78" spans="1:26" s="24" customFormat="1" hidden="1" outlineLevel="2" x14ac:dyDescent="0.25">
      <c r="A78" s="26"/>
      <c r="B78" s="11" t="str">
        <f>CONCATENATE("          ", "6382", " - ", "DISCOUNTS/MARK DOWNS")</f>
        <v xml:space="preserve">          6382 - DISCOUNTS/MARK DOWNS</v>
      </c>
      <c r="C78" s="11"/>
      <c r="D78" s="6"/>
      <c r="E78" s="2"/>
      <c r="F78" s="7">
        <f t="shared" si="33"/>
        <v>0</v>
      </c>
      <c r="G78" s="2"/>
      <c r="H78" s="6">
        <v>-924.3</v>
      </c>
      <c r="I78" s="2"/>
      <c r="J78" s="7">
        <f t="shared" si="34"/>
        <v>-7.3633819010096354E-3</v>
      </c>
      <c r="K78" s="2"/>
      <c r="L78" s="6">
        <f t="shared" si="35"/>
        <v>924.3</v>
      </c>
      <c r="M78" s="2"/>
      <c r="N78" s="7">
        <f t="shared" si="36"/>
        <v>-1</v>
      </c>
      <c r="O78" s="11"/>
      <c r="P78" s="6"/>
      <c r="Q78" s="2"/>
      <c r="R78" s="7">
        <f t="shared" si="37"/>
        <v>0</v>
      </c>
      <c r="S78" s="2"/>
      <c r="T78" s="6">
        <v>49786.87</v>
      </c>
      <c r="U78" s="2"/>
      <c r="V78" s="7">
        <f t="shared" si="38"/>
        <v>2.587631338342513E-2</v>
      </c>
      <c r="W78" s="2"/>
      <c r="X78" s="6">
        <f t="shared" si="39"/>
        <v>-49786.87</v>
      </c>
      <c r="Y78" s="2"/>
      <c r="Z78" s="7">
        <f t="shared" si="40"/>
        <v>-1</v>
      </c>
    </row>
    <row r="79" spans="1:26" s="25" customFormat="1" outlineLevel="1" collapsed="1" x14ac:dyDescent="0.25">
      <c r="A79" s="27"/>
      <c r="B79" s="13" t="str">
        <f>CONCATENATE("     ","Freight out/Postage                               ")</f>
        <v xml:space="preserve">     Freight out/Postage                               </v>
      </c>
      <c r="C79" s="13"/>
      <c r="D79" s="1">
        <f>SUM(OSRRefD22_5x_0)</f>
        <v>88.22</v>
      </c>
      <c r="E79" s="1"/>
      <c r="F79" s="5">
        <f t="shared" si="33"/>
        <v>4.7446721532114975E-4</v>
      </c>
      <c r="G79" s="1"/>
      <c r="H79" s="1">
        <f>SUM(OSRRefH22_5x_0)</f>
        <v>8.11</v>
      </c>
      <c r="I79" s="1"/>
      <c r="J79" s="5">
        <f t="shared" si="34"/>
        <v>6.4607840762942922E-5</v>
      </c>
      <c r="K79" s="1"/>
      <c r="L79" s="1">
        <f t="shared" si="35"/>
        <v>80.11</v>
      </c>
      <c r="M79" s="1"/>
      <c r="N79" s="5">
        <f t="shared" si="36"/>
        <v>9.8779284833538838</v>
      </c>
      <c r="O79" s="13"/>
      <c r="P79" s="1">
        <f>SUM(OSRRefP22_5x_0)</f>
        <v>1082.33</v>
      </c>
      <c r="Q79" s="1"/>
      <c r="R79" s="5">
        <f t="shared" si="37"/>
        <v>6.8050902147740865E-4</v>
      </c>
      <c r="S79" s="1"/>
      <c r="T79" s="1">
        <f>SUM(OSRRefT22_5x_0)</f>
        <v>49.72</v>
      </c>
      <c r="U79" s="1"/>
      <c r="V79" s="5">
        <f t="shared" si="38"/>
        <v>2.5841558254694407E-5</v>
      </c>
      <c r="W79" s="1"/>
      <c r="X79" s="1">
        <f t="shared" si="39"/>
        <v>1032.6099999999999</v>
      </c>
      <c r="Y79" s="1"/>
      <c r="Z79" s="5">
        <f t="shared" si="40"/>
        <v>20.768503620273531</v>
      </c>
    </row>
    <row r="80" spans="1:26" s="24" customFormat="1" hidden="1" outlineLevel="2" x14ac:dyDescent="0.25">
      <c r="A80" s="26"/>
      <c r="B80" s="11" t="str">
        <f>CONCATENATE("          ", "6305", " - ", "FREIGHT OUT")</f>
        <v xml:space="preserve">          6305 - FREIGHT OUT</v>
      </c>
      <c r="C80" s="11"/>
      <c r="D80" s="6">
        <v>88.22</v>
      </c>
      <c r="E80" s="2"/>
      <c r="F80" s="7">
        <f t="shared" si="33"/>
        <v>4.7446721532114975E-4</v>
      </c>
      <c r="G80" s="2"/>
      <c r="H80" s="6">
        <v>8.11</v>
      </c>
      <c r="I80" s="2"/>
      <c r="J80" s="7">
        <f t="shared" si="34"/>
        <v>6.4607840762942922E-5</v>
      </c>
      <c r="K80" s="2"/>
      <c r="L80" s="6">
        <f t="shared" si="35"/>
        <v>80.11</v>
      </c>
      <c r="M80" s="2"/>
      <c r="N80" s="7">
        <f t="shared" si="36"/>
        <v>9.8779284833538838</v>
      </c>
      <c r="O80" s="11"/>
      <c r="P80" s="6">
        <v>1069.73</v>
      </c>
      <c r="Q80" s="2"/>
      <c r="R80" s="7">
        <f t="shared" si="37"/>
        <v>6.725868409311656E-4</v>
      </c>
      <c r="S80" s="2"/>
      <c r="T80" s="6">
        <v>49.72</v>
      </c>
      <c r="U80" s="2"/>
      <c r="V80" s="7">
        <f t="shared" si="38"/>
        <v>2.5841558254694407E-5</v>
      </c>
      <c r="W80" s="2"/>
      <c r="X80" s="6">
        <f t="shared" si="39"/>
        <v>1020.01</v>
      </c>
      <c r="Y80" s="2"/>
      <c r="Z80" s="7">
        <f t="shared" si="40"/>
        <v>20.515084473049075</v>
      </c>
    </row>
    <row r="81" spans="1:26" s="24" customFormat="1" hidden="1" outlineLevel="2" x14ac:dyDescent="0.25">
      <c r="A81" s="26"/>
      <c r="B81" s="11" t="str">
        <f>CONCATENATE("          ", "6307", " - ", "POSTAGE")</f>
        <v xml:space="preserve">          6307 - POSTAGE</v>
      </c>
      <c r="C81" s="11"/>
      <c r="D81" s="6"/>
      <c r="E81" s="2"/>
      <c r="F81" s="7">
        <f t="shared" si="33"/>
        <v>0</v>
      </c>
      <c r="G81" s="2"/>
      <c r="H81" s="6"/>
      <c r="I81" s="2"/>
      <c r="J81" s="7">
        <f t="shared" si="34"/>
        <v>0</v>
      </c>
      <c r="K81" s="2"/>
      <c r="L81" s="6">
        <f t="shared" si="35"/>
        <v>0</v>
      </c>
      <c r="M81" s="2"/>
      <c r="N81" s="7">
        <f t="shared" si="36"/>
        <v>0</v>
      </c>
      <c r="O81" s="11"/>
      <c r="P81" s="6">
        <v>12.6</v>
      </c>
      <c r="Q81" s="2"/>
      <c r="R81" s="7">
        <f t="shared" si="37"/>
        <v>7.9221805462431506E-6</v>
      </c>
      <c r="S81" s="2"/>
      <c r="T81" s="6"/>
      <c r="U81" s="2"/>
      <c r="V81" s="7">
        <f t="shared" si="38"/>
        <v>0</v>
      </c>
      <c r="W81" s="2"/>
      <c r="X81" s="6">
        <f t="shared" si="39"/>
        <v>12.6</v>
      </c>
      <c r="Y81" s="2"/>
      <c r="Z81" s="7">
        <f t="shared" si="40"/>
        <v>0</v>
      </c>
    </row>
    <row r="82" spans="1:26" s="25" customFormat="1" outlineLevel="1" collapsed="1" x14ac:dyDescent="0.25">
      <c r="A82" s="27"/>
      <c r="B82" s="13" t="str">
        <f>CONCATENATE("     ","General                                           ")</f>
        <v xml:space="preserve">     General                                           </v>
      </c>
      <c r="C82" s="13"/>
      <c r="D82" s="1">
        <f>SUM(OSRRefD22_6x_0)</f>
        <v>0</v>
      </c>
      <c r="E82" s="1"/>
      <c r="F82" s="5">
        <f t="shared" ref="F82:F93" si="41">IF(D$12=0,0,D82/D$12)</f>
        <v>0</v>
      </c>
      <c r="G82" s="1"/>
      <c r="H82" s="1">
        <f>SUM(OSRRefH22_6x_0)</f>
        <v>0</v>
      </c>
      <c r="I82" s="1"/>
      <c r="J82" s="5">
        <f t="shared" ref="J82:J93" si="42">IF(H$12=0,0,H82/H$12)</f>
        <v>0</v>
      </c>
      <c r="K82" s="1"/>
      <c r="L82" s="1">
        <f t="shared" ref="L82:L93" si="43">+D82-H82</f>
        <v>0</v>
      </c>
      <c r="M82" s="1"/>
      <c r="N82" s="5">
        <f t="shared" ref="N82:N93" si="44">IF(H82=0,0,L82/H82)</f>
        <v>0</v>
      </c>
      <c r="O82" s="13"/>
      <c r="P82" s="1">
        <f>SUM(OSRRefP22_6x_0)</f>
        <v>-30.15</v>
      </c>
      <c r="Q82" s="1"/>
      <c r="R82" s="5">
        <f t="shared" ref="R82:R93" si="45">IF(P$12=0,0,P82/P$12)</f>
        <v>-1.8956646307081827E-5</v>
      </c>
      <c r="S82" s="1"/>
      <c r="T82" s="1">
        <f>SUM(OSRRefT22_6x_0)</f>
        <v>0</v>
      </c>
      <c r="U82" s="1"/>
      <c r="V82" s="5">
        <f t="shared" ref="V82:V93" si="46">IF(T$12=0,0,T82/T$12)</f>
        <v>0</v>
      </c>
      <c r="W82" s="1"/>
      <c r="X82" s="1">
        <f t="shared" ref="X82:X93" si="47">+P82-T82</f>
        <v>-30.15</v>
      </c>
      <c r="Y82" s="1"/>
      <c r="Z82" s="5">
        <f t="shared" ref="Z82:Z93" si="48">IF(T82=0,0,X82/T82)</f>
        <v>0</v>
      </c>
    </row>
    <row r="83" spans="1:26" s="24" customFormat="1" hidden="1" outlineLevel="2" x14ac:dyDescent="0.25">
      <c r="A83" s="26"/>
      <c r="B83" s="11" t="str">
        <f>CONCATENATE("          ", "6279", " - ", "GENERAL EXPENSE")</f>
        <v xml:space="preserve">          6279 - GENERAL EXPENSE</v>
      </c>
      <c r="C83" s="11"/>
      <c r="D83" s="6"/>
      <c r="E83" s="2"/>
      <c r="F83" s="7">
        <f t="shared" si="41"/>
        <v>0</v>
      </c>
      <c r="G83" s="2"/>
      <c r="H83" s="6"/>
      <c r="I83" s="2"/>
      <c r="J83" s="7">
        <f t="shared" si="42"/>
        <v>0</v>
      </c>
      <c r="K83" s="2"/>
      <c r="L83" s="6">
        <f t="shared" si="43"/>
        <v>0</v>
      </c>
      <c r="M83" s="2"/>
      <c r="N83" s="7">
        <f t="shared" si="44"/>
        <v>0</v>
      </c>
      <c r="O83" s="11"/>
      <c r="P83" s="6">
        <v>-30.15</v>
      </c>
      <c r="Q83" s="2"/>
      <c r="R83" s="7">
        <f t="shared" si="45"/>
        <v>-1.8956646307081827E-5</v>
      </c>
      <c r="S83" s="2"/>
      <c r="T83" s="6"/>
      <c r="U83" s="2"/>
      <c r="V83" s="7">
        <f t="shared" si="46"/>
        <v>0</v>
      </c>
      <c r="W83" s="2"/>
      <c r="X83" s="6">
        <f t="shared" si="47"/>
        <v>-30.15</v>
      </c>
      <c r="Y83" s="2"/>
      <c r="Z83" s="7">
        <f t="shared" si="48"/>
        <v>0</v>
      </c>
    </row>
    <row r="84" spans="1:26" s="25" customFormat="1" outlineLevel="1" collapsed="1" x14ac:dyDescent="0.25">
      <c r="A84" s="27"/>
      <c r="B84" s="13" t="str">
        <f>CONCATENATE("     ","Inventory Adjustment                              ")</f>
        <v xml:space="preserve">     Inventory Adjustment                              </v>
      </c>
      <c r="C84" s="13"/>
      <c r="D84" s="1">
        <f>SUM(OSRRefD22_7x_0)</f>
        <v>1250</v>
      </c>
      <c r="E84" s="1"/>
      <c r="F84" s="5">
        <f t="shared" si="41"/>
        <v>6.7227841663051145E-3</v>
      </c>
      <c r="G84" s="1"/>
      <c r="H84" s="1">
        <f>SUM(OSRRefH22_7x_0)</f>
        <v>0</v>
      </c>
      <c r="I84" s="1"/>
      <c r="J84" s="5">
        <f t="shared" si="42"/>
        <v>0</v>
      </c>
      <c r="K84" s="1"/>
      <c r="L84" s="1">
        <f t="shared" si="43"/>
        <v>1250</v>
      </c>
      <c r="M84" s="1"/>
      <c r="N84" s="5">
        <f t="shared" si="44"/>
        <v>0</v>
      </c>
      <c r="O84" s="13"/>
      <c r="P84" s="1">
        <f>SUM(OSRRefP22_7x_0)</f>
        <v>10000</v>
      </c>
      <c r="Q84" s="1"/>
      <c r="R84" s="5">
        <f t="shared" si="45"/>
        <v>6.2874448779707548E-3</v>
      </c>
      <c r="S84" s="1"/>
      <c r="T84" s="1">
        <f>SUM(OSRRefT22_7x_0)</f>
        <v>0</v>
      </c>
      <c r="U84" s="1"/>
      <c r="V84" s="5">
        <f t="shared" si="46"/>
        <v>0</v>
      </c>
      <c r="W84" s="1"/>
      <c r="X84" s="1">
        <f t="shared" si="47"/>
        <v>10000</v>
      </c>
      <c r="Y84" s="1"/>
      <c r="Z84" s="5">
        <f t="shared" si="48"/>
        <v>0</v>
      </c>
    </row>
    <row r="85" spans="1:26" s="24" customFormat="1" hidden="1" outlineLevel="2" x14ac:dyDescent="0.25">
      <c r="A85" s="26"/>
      <c r="B85" s="11" t="str">
        <f>CONCATENATE("          ", "6408", " - ", "INVENTORY ADJUSTMENT")</f>
        <v xml:space="preserve">          6408 - INVENTORY ADJUSTMENT</v>
      </c>
      <c r="C85" s="11"/>
      <c r="D85" s="6">
        <v>1250</v>
      </c>
      <c r="E85" s="2"/>
      <c r="F85" s="7">
        <f t="shared" si="41"/>
        <v>6.7227841663051145E-3</v>
      </c>
      <c r="G85" s="2"/>
      <c r="H85" s="6"/>
      <c r="I85" s="2"/>
      <c r="J85" s="7">
        <f t="shared" si="42"/>
        <v>0</v>
      </c>
      <c r="K85" s="2"/>
      <c r="L85" s="6">
        <f t="shared" si="43"/>
        <v>1250</v>
      </c>
      <c r="M85" s="2"/>
      <c r="N85" s="7">
        <f t="shared" si="44"/>
        <v>0</v>
      </c>
      <c r="O85" s="11"/>
      <c r="P85" s="6">
        <v>10000</v>
      </c>
      <c r="Q85" s="2"/>
      <c r="R85" s="7">
        <f t="shared" si="45"/>
        <v>6.2874448779707548E-3</v>
      </c>
      <c r="S85" s="2"/>
      <c r="T85" s="6"/>
      <c r="U85" s="2"/>
      <c r="V85" s="7">
        <f t="shared" si="46"/>
        <v>0</v>
      </c>
      <c r="W85" s="2"/>
      <c r="X85" s="6">
        <f t="shared" si="47"/>
        <v>10000</v>
      </c>
      <c r="Y85" s="2"/>
      <c r="Z85" s="7">
        <f t="shared" si="48"/>
        <v>0</v>
      </c>
    </row>
    <row r="86" spans="1:26" s="25" customFormat="1" outlineLevel="1" collapsed="1" x14ac:dyDescent="0.25">
      <c r="A86" s="27"/>
      <c r="B86" s="13" t="str">
        <f>CONCATENATE("     ","Repair and Maintenance                            ")</f>
        <v xml:space="preserve">     Repair and Maintenance                            </v>
      </c>
      <c r="C86" s="13"/>
      <c r="D86" s="1">
        <f>SUM(OSRRefD22_8x_0)</f>
        <v>0</v>
      </c>
      <c r="E86" s="1"/>
      <c r="F86" s="5">
        <f t="shared" si="41"/>
        <v>0</v>
      </c>
      <c r="G86" s="1"/>
      <c r="H86" s="1">
        <f>SUM(OSRRefH22_8x_0)</f>
        <v>0</v>
      </c>
      <c r="I86" s="1"/>
      <c r="J86" s="5">
        <f t="shared" si="42"/>
        <v>0</v>
      </c>
      <c r="K86" s="1"/>
      <c r="L86" s="1">
        <f t="shared" si="43"/>
        <v>0</v>
      </c>
      <c r="M86" s="1"/>
      <c r="N86" s="5">
        <f t="shared" si="44"/>
        <v>0</v>
      </c>
      <c r="O86" s="13"/>
      <c r="P86" s="1">
        <f>SUM(OSRRefP22_8x_0)</f>
        <v>0</v>
      </c>
      <c r="Q86" s="1"/>
      <c r="R86" s="5">
        <f t="shared" si="45"/>
        <v>0</v>
      </c>
      <c r="S86" s="1"/>
      <c r="T86" s="1">
        <f>SUM(OSRRefT22_8x_0)</f>
        <v>197.18</v>
      </c>
      <c r="U86" s="1"/>
      <c r="V86" s="5">
        <f t="shared" si="46"/>
        <v>1.0248267209695582E-4</v>
      </c>
      <c r="W86" s="1"/>
      <c r="X86" s="1">
        <f t="shared" si="47"/>
        <v>-197.18</v>
      </c>
      <c r="Y86" s="1"/>
      <c r="Z86" s="5">
        <f t="shared" si="48"/>
        <v>-1</v>
      </c>
    </row>
    <row r="87" spans="1:26" s="24" customFormat="1" hidden="1" outlineLevel="2" x14ac:dyDescent="0.25">
      <c r="A87" s="26"/>
      <c r="B87" s="11" t="str">
        <f>CONCATENATE("          ", "6375", " - ", "OUTSIDE REPAIRS &amp; MAINTENANCE")</f>
        <v xml:space="preserve">          6375 - OUTSIDE REPAIRS &amp; MAINTENANCE</v>
      </c>
      <c r="C87" s="11"/>
      <c r="D87" s="6"/>
      <c r="E87" s="2"/>
      <c r="F87" s="7">
        <f t="shared" si="41"/>
        <v>0</v>
      </c>
      <c r="G87" s="2"/>
      <c r="H87" s="6"/>
      <c r="I87" s="2"/>
      <c r="J87" s="7">
        <f t="shared" si="42"/>
        <v>0</v>
      </c>
      <c r="K87" s="2"/>
      <c r="L87" s="6">
        <f t="shared" si="43"/>
        <v>0</v>
      </c>
      <c r="M87" s="2"/>
      <c r="N87" s="7">
        <f t="shared" si="44"/>
        <v>0</v>
      </c>
      <c r="O87" s="11"/>
      <c r="P87" s="6"/>
      <c r="Q87" s="2"/>
      <c r="R87" s="7">
        <f t="shared" si="45"/>
        <v>0</v>
      </c>
      <c r="S87" s="2"/>
      <c r="T87" s="6">
        <v>197.18</v>
      </c>
      <c r="U87" s="2"/>
      <c r="V87" s="7">
        <f t="shared" si="46"/>
        <v>1.0248267209695582E-4</v>
      </c>
      <c r="W87" s="2"/>
      <c r="X87" s="6">
        <f t="shared" si="47"/>
        <v>-197.18</v>
      </c>
      <c r="Y87" s="2"/>
      <c r="Z87" s="7">
        <f t="shared" si="48"/>
        <v>-1</v>
      </c>
    </row>
    <row r="88" spans="1:26" s="25" customFormat="1" outlineLevel="1" collapsed="1" x14ac:dyDescent="0.25">
      <c r="A88" s="27"/>
      <c r="B88" s="13" t="str">
        <f>CONCATENATE("     ","Subscriptions &amp; Dues                              ")</f>
        <v xml:space="preserve">     Subscriptions &amp; Dues                              </v>
      </c>
      <c r="C88" s="13"/>
      <c r="D88" s="1">
        <f>SUM(OSRRefD22_9x_0)</f>
        <v>0</v>
      </c>
      <c r="E88" s="1"/>
      <c r="F88" s="5">
        <f t="shared" si="41"/>
        <v>0</v>
      </c>
      <c r="G88" s="1"/>
      <c r="H88" s="1">
        <f>SUM(OSRRefH22_9x_0)</f>
        <v>113.5</v>
      </c>
      <c r="I88" s="1"/>
      <c r="J88" s="5">
        <f t="shared" si="42"/>
        <v>9.0419111302022473E-4</v>
      </c>
      <c r="K88" s="1"/>
      <c r="L88" s="1">
        <f t="shared" si="43"/>
        <v>-113.5</v>
      </c>
      <c r="M88" s="1"/>
      <c r="N88" s="5">
        <f t="shared" si="44"/>
        <v>-1</v>
      </c>
      <c r="O88" s="13"/>
      <c r="P88" s="1">
        <f>SUM(OSRRefP22_9x_0)</f>
        <v>0</v>
      </c>
      <c r="Q88" s="1"/>
      <c r="R88" s="5">
        <f t="shared" si="45"/>
        <v>0</v>
      </c>
      <c r="S88" s="1"/>
      <c r="T88" s="1">
        <f>SUM(OSRRefT22_9x_0)</f>
        <v>-4886.5</v>
      </c>
      <c r="U88" s="1"/>
      <c r="V88" s="5">
        <f t="shared" si="46"/>
        <v>-2.5397179085189909E-3</v>
      </c>
      <c r="W88" s="1"/>
      <c r="X88" s="1">
        <f t="shared" si="47"/>
        <v>4886.5</v>
      </c>
      <c r="Y88" s="1"/>
      <c r="Z88" s="5">
        <f t="shared" si="48"/>
        <v>-1</v>
      </c>
    </row>
    <row r="89" spans="1:26" s="24" customFormat="1" hidden="1" outlineLevel="2" x14ac:dyDescent="0.25">
      <c r="A89" s="26"/>
      <c r="B89" s="11" t="str">
        <f>CONCATENATE("          ", "6258", " - ", "MEMBERSHIP DUES")</f>
        <v xml:space="preserve">          6258 - MEMBERSHIP DUES</v>
      </c>
      <c r="C89" s="11"/>
      <c r="D89" s="6"/>
      <c r="E89" s="2"/>
      <c r="F89" s="7">
        <f t="shared" si="41"/>
        <v>0</v>
      </c>
      <c r="G89" s="2"/>
      <c r="H89" s="6">
        <v>113.5</v>
      </c>
      <c r="I89" s="2"/>
      <c r="J89" s="7">
        <f t="shared" si="42"/>
        <v>9.0419111302022473E-4</v>
      </c>
      <c r="K89" s="2"/>
      <c r="L89" s="6">
        <f t="shared" si="43"/>
        <v>-113.5</v>
      </c>
      <c r="M89" s="2"/>
      <c r="N89" s="7">
        <f t="shared" si="44"/>
        <v>-1</v>
      </c>
      <c r="O89" s="11"/>
      <c r="P89" s="6"/>
      <c r="Q89" s="2"/>
      <c r="R89" s="7">
        <f t="shared" si="45"/>
        <v>0</v>
      </c>
      <c r="S89" s="2"/>
      <c r="T89" s="6">
        <v>-4886.5</v>
      </c>
      <c r="U89" s="2"/>
      <c r="V89" s="7">
        <f t="shared" si="46"/>
        <v>-2.5397179085189909E-3</v>
      </c>
      <c r="W89" s="2"/>
      <c r="X89" s="6">
        <f t="shared" si="47"/>
        <v>4886.5</v>
      </c>
      <c r="Y89" s="2"/>
      <c r="Z89" s="7">
        <f t="shared" si="48"/>
        <v>-1</v>
      </c>
    </row>
    <row r="90" spans="1:26" s="25" customFormat="1" outlineLevel="1" collapsed="1" x14ac:dyDescent="0.25">
      <c r="A90" s="27"/>
      <c r="B90" s="13" t="str">
        <f>CONCATENATE("     ","Supplies                                          ")</f>
        <v xml:space="preserve">     Supplies                                          </v>
      </c>
      <c r="C90" s="13"/>
      <c r="D90" s="1">
        <f>SUM(OSRRefD22_10x_0)</f>
        <v>8.74</v>
      </c>
      <c r="E90" s="1"/>
      <c r="F90" s="5">
        <f t="shared" si="41"/>
        <v>4.700570689080536E-5</v>
      </c>
      <c r="G90" s="1"/>
      <c r="H90" s="1">
        <f>SUM(OSRRefH22_10x_0)</f>
        <v>62.69</v>
      </c>
      <c r="I90" s="1"/>
      <c r="J90" s="5">
        <f t="shared" si="42"/>
        <v>4.9941621916509149E-4</v>
      </c>
      <c r="K90" s="1"/>
      <c r="L90" s="1">
        <f t="shared" si="43"/>
        <v>-53.949999999999996</v>
      </c>
      <c r="M90" s="1"/>
      <c r="N90" s="5">
        <f t="shared" si="44"/>
        <v>-0.86058382517147869</v>
      </c>
      <c r="O90" s="13"/>
      <c r="P90" s="1">
        <f>SUM(OSRRefP22_10x_0)</f>
        <v>2078.6</v>
      </c>
      <c r="Q90" s="1"/>
      <c r="R90" s="5">
        <f t="shared" si="45"/>
        <v>1.3069082923350011E-3</v>
      </c>
      <c r="S90" s="1"/>
      <c r="T90" s="1">
        <f>SUM(OSRRefT22_10x_0)</f>
        <v>3076.32</v>
      </c>
      <c r="U90" s="1"/>
      <c r="V90" s="5">
        <f t="shared" si="46"/>
        <v>1.5988918441287511E-3</v>
      </c>
      <c r="W90" s="1"/>
      <c r="X90" s="1">
        <f t="shared" si="47"/>
        <v>-997.72000000000025</v>
      </c>
      <c r="Y90" s="1"/>
      <c r="Z90" s="5">
        <f t="shared" si="48"/>
        <v>-0.32432256722317582</v>
      </c>
    </row>
    <row r="91" spans="1:26" s="24" customFormat="1" hidden="1" outlineLevel="2" x14ac:dyDescent="0.25">
      <c r="A91" s="26"/>
      <c r="B91" s="11" t="str">
        <f>CONCATENATE("          ", "6235", " - ", "COVID-19 EXPENSES")</f>
        <v xml:space="preserve">          6235 - COVID-19 EXPENSES</v>
      </c>
      <c r="C91" s="11"/>
      <c r="D91" s="6"/>
      <c r="E91" s="2"/>
      <c r="F91" s="7">
        <f t="shared" si="41"/>
        <v>0</v>
      </c>
      <c r="G91" s="2"/>
      <c r="H91" s="6"/>
      <c r="I91" s="2"/>
      <c r="J91" s="7">
        <f t="shared" si="42"/>
        <v>0</v>
      </c>
      <c r="K91" s="2"/>
      <c r="L91" s="6">
        <f t="shared" si="43"/>
        <v>0</v>
      </c>
      <c r="M91" s="2"/>
      <c r="N91" s="7">
        <f t="shared" si="44"/>
        <v>0</v>
      </c>
      <c r="O91" s="11"/>
      <c r="P91" s="6">
        <v>668.12</v>
      </c>
      <c r="Q91" s="2"/>
      <c r="R91" s="7">
        <f t="shared" si="45"/>
        <v>4.200767671869821E-4</v>
      </c>
      <c r="S91" s="2"/>
      <c r="T91" s="6"/>
      <c r="U91" s="2"/>
      <c r="V91" s="7">
        <f t="shared" si="46"/>
        <v>0</v>
      </c>
      <c r="W91" s="2"/>
      <c r="X91" s="6">
        <f t="shared" si="47"/>
        <v>668.12</v>
      </c>
      <c r="Y91" s="2"/>
      <c r="Z91" s="7">
        <f t="shared" si="48"/>
        <v>0</v>
      </c>
    </row>
    <row r="92" spans="1:26" s="24" customFormat="1" hidden="1" outlineLevel="2" x14ac:dyDescent="0.25">
      <c r="A92" s="26"/>
      <c r="B92" s="11" t="str">
        <f>CONCATENATE("          ", "6241", " - ", "OFFICE EXPENSE")</f>
        <v xml:space="preserve">          6241 - OFFICE EXPENSE</v>
      </c>
      <c r="C92" s="11"/>
      <c r="D92" s="6">
        <v>8.74</v>
      </c>
      <c r="E92" s="2"/>
      <c r="F92" s="7">
        <f t="shared" si="41"/>
        <v>4.700570689080536E-5</v>
      </c>
      <c r="G92" s="2"/>
      <c r="H92" s="6">
        <v>62.69</v>
      </c>
      <c r="I92" s="2"/>
      <c r="J92" s="7">
        <f t="shared" si="42"/>
        <v>4.9941621916509149E-4</v>
      </c>
      <c r="K92" s="2"/>
      <c r="L92" s="6">
        <f t="shared" si="43"/>
        <v>-53.949999999999996</v>
      </c>
      <c r="M92" s="2"/>
      <c r="N92" s="7">
        <f t="shared" si="44"/>
        <v>-0.86058382517147869</v>
      </c>
      <c r="O92" s="11"/>
      <c r="P92" s="6">
        <v>1410.48</v>
      </c>
      <c r="Q92" s="2"/>
      <c r="R92" s="7">
        <f t="shared" si="45"/>
        <v>8.8683152514801907E-4</v>
      </c>
      <c r="S92" s="2"/>
      <c r="T92" s="6">
        <v>1066.94</v>
      </c>
      <c r="U92" s="2"/>
      <c r="V92" s="7">
        <f t="shared" si="46"/>
        <v>5.5453322936974364E-4</v>
      </c>
      <c r="W92" s="2"/>
      <c r="X92" s="6">
        <f t="shared" si="47"/>
        <v>343.53999999999996</v>
      </c>
      <c r="Y92" s="2"/>
      <c r="Z92" s="7">
        <f t="shared" si="48"/>
        <v>0.32198624102573709</v>
      </c>
    </row>
    <row r="93" spans="1:26" s="24" customFormat="1" hidden="1" outlineLevel="2" x14ac:dyDescent="0.25">
      <c r="A93" s="26"/>
      <c r="B93" s="11" t="str">
        <f>CONCATENATE("          ", "6247", " - ", "STORE SUPPLIES")</f>
        <v xml:space="preserve">          6247 - STORE SUPPLIES</v>
      </c>
      <c r="C93" s="11"/>
      <c r="D93" s="6"/>
      <c r="E93" s="2"/>
      <c r="F93" s="7">
        <f t="shared" si="41"/>
        <v>0</v>
      </c>
      <c r="G93" s="2"/>
      <c r="H93" s="6"/>
      <c r="I93" s="2"/>
      <c r="J93" s="7">
        <f t="shared" si="42"/>
        <v>0</v>
      </c>
      <c r="K93" s="2"/>
      <c r="L93" s="6">
        <f t="shared" si="43"/>
        <v>0</v>
      </c>
      <c r="M93" s="2"/>
      <c r="N93" s="7">
        <f t="shared" si="44"/>
        <v>0</v>
      </c>
      <c r="O93" s="11"/>
      <c r="P93" s="6"/>
      <c r="Q93" s="2"/>
      <c r="R93" s="7">
        <f t="shared" si="45"/>
        <v>0</v>
      </c>
      <c r="S93" s="2"/>
      <c r="T93" s="6">
        <v>2009.38</v>
      </c>
      <c r="U93" s="2"/>
      <c r="V93" s="7">
        <f t="shared" si="46"/>
        <v>1.0443586147590076E-3</v>
      </c>
      <c r="W93" s="2"/>
      <c r="X93" s="6">
        <f t="shared" si="47"/>
        <v>-2009.38</v>
      </c>
      <c r="Y93" s="2"/>
      <c r="Z93" s="7">
        <f t="shared" si="48"/>
        <v>-1</v>
      </c>
    </row>
    <row r="94" spans="1:26" s="25" customFormat="1" outlineLevel="1" collapsed="1" x14ac:dyDescent="0.25">
      <c r="A94" s="27"/>
      <c r="B94" s="13" t="str">
        <f>CONCATENATE("     ","Telephone/Data Lines                              ")</f>
        <v xml:space="preserve">     Telephone/Data Lines                              </v>
      </c>
      <c r="C94" s="13"/>
      <c r="D94" s="1">
        <f>SUM(OSRRefD22_11x_0)</f>
        <v>250.65</v>
      </c>
      <c r="E94" s="1"/>
      <c r="F94" s="5">
        <f t="shared" ref="F94:F99" si="49">IF(D$12=0,0,D94/D$12)</f>
        <v>1.3480526810275015E-3</v>
      </c>
      <c r="G94" s="1"/>
      <c r="H94" s="1">
        <f>SUM(OSRRefH22_11x_0)</f>
        <v>255.8</v>
      </c>
      <c r="I94" s="1"/>
      <c r="J94" s="5">
        <f t="shared" ref="J94:J99" si="50">IF(H$12=0,0,H94/H$12)</f>
        <v>2.0378157419433788E-3</v>
      </c>
      <c r="K94" s="1"/>
      <c r="L94" s="1">
        <f t="shared" ref="L94:L99" si="51">+D94-H94</f>
        <v>-5.1500000000000057</v>
      </c>
      <c r="M94" s="1"/>
      <c r="N94" s="5">
        <f t="shared" ref="N94:N99" si="52">IF(H94=0,0,L94/H94)</f>
        <v>-2.0132916340891344E-2</v>
      </c>
      <c r="O94" s="13"/>
      <c r="P94" s="1">
        <f>SUM(OSRRefP22_11x_0)</f>
        <v>2331.4</v>
      </c>
      <c r="Q94" s="1"/>
      <c r="R94" s="5">
        <f t="shared" ref="R94:R99" si="53">IF(P$12=0,0,P94/P$12)</f>
        <v>1.4658548988501019E-3</v>
      </c>
      <c r="S94" s="1"/>
      <c r="T94" s="1">
        <f>SUM(OSRRefT22_11x_0)</f>
        <v>2045.85</v>
      </c>
      <c r="U94" s="1"/>
      <c r="V94" s="5">
        <f t="shared" ref="V94:V99" si="54">IF(T$12=0,0,T94/T$12)</f>
        <v>1.0633135952406788E-3</v>
      </c>
      <c r="W94" s="1"/>
      <c r="X94" s="1">
        <f t="shared" ref="X94:X99" si="55">+P94-T94</f>
        <v>285.55000000000018</v>
      </c>
      <c r="Y94" s="1"/>
      <c r="Z94" s="5">
        <f t="shared" ref="Z94:Z99" si="56">IF(T94=0,0,X94/T94)</f>
        <v>0.13957523767627159</v>
      </c>
    </row>
    <row r="95" spans="1:26" s="24" customFormat="1" hidden="1" outlineLevel="2" x14ac:dyDescent="0.25">
      <c r="A95" s="26"/>
      <c r="B95" s="11" t="str">
        <f>CONCATENATE("          ", "6309", " - ", "TELEPHONE")</f>
        <v xml:space="preserve">          6309 - TELEPHONE</v>
      </c>
      <c r="C95" s="11"/>
      <c r="D95" s="6">
        <v>250.65</v>
      </c>
      <c r="E95" s="2"/>
      <c r="F95" s="7">
        <f t="shared" si="49"/>
        <v>1.3480526810275015E-3</v>
      </c>
      <c r="G95" s="2"/>
      <c r="H95" s="6">
        <v>255.8</v>
      </c>
      <c r="I95" s="2"/>
      <c r="J95" s="7">
        <f t="shared" si="50"/>
        <v>2.0378157419433788E-3</v>
      </c>
      <c r="K95" s="2"/>
      <c r="L95" s="6">
        <f t="shared" si="51"/>
        <v>-5.1500000000000057</v>
      </c>
      <c r="M95" s="2"/>
      <c r="N95" s="7">
        <f t="shared" si="52"/>
        <v>-2.0132916340891344E-2</v>
      </c>
      <c r="O95" s="11"/>
      <c r="P95" s="6">
        <v>2331.4</v>
      </c>
      <c r="Q95" s="2"/>
      <c r="R95" s="7">
        <f t="shared" si="53"/>
        <v>1.4658548988501019E-3</v>
      </c>
      <c r="S95" s="2"/>
      <c r="T95" s="6">
        <v>2045.85</v>
      </c>
      <c r="U95" s="2"/>
      <c r="V95" s="7">
        <f t="shared" si="54"/>
        <v>1.0633135952406788E-3</v>
      </c>
      <c r="W95" s="2"/>
      <c r="X95" s="6">
        <f t="shared" si="55"/>
        <v>285.55000000000018</v>
      </c>
      <c r="Y95" s="2"/>
      <c r="Z95" s="7">
        <f t="shared" si="56"/>
        <v>0.13957523767627159</v>
      </c>
    </row>
    <row r="96" spans="1:26" s="25" customFormat="1" outlineLevel="1" collapsed="1" x14ac:dyDescent="0.25">
      <c r="A96" s="27"/>
      <c r="B96" s="13" t="str">
        <f>CONCATENATE("     ","Training                                          ")</f>
        <v xml:space="preserve">     Training                                          </v>
      </c>
      <c r="C96" s="13"/>
      <c r="D96" s="1">
        <f>SUM(OSRRefD22_12x_0)</f>
        <v>0</v>
      </c>
      <c r="E96" s="1"/>
      <c r="F96" s="5">
        <f t="shared" si="49"/>
        <v>0</v>
      </c>
      <c r="G96" s="1"/>
      <c r="H96" s="1">
        <f>SUM(OSRRefH22_12x_0)</f>
        <v>141.06</v>
      </c>
      <c r="I96" s="1"/>
      <c r="J96" s="5">
        <f t="shared" si="50"/>
        <v>1.123746241432889E-3</v>
      </c>
      <c r="K96" s="1"/>
      <c r="L96" s="1">
        <f t="shared" si="51"/>
        <v>-141.06</v>
      </c>
      <c r="M96" s="1"/>
      <c r="N96" s="5">
        <f t="shared" si="52"/>
        <v>-1</v>
      </c>
      <c r="O96" s="13"/>
      <c r="P96" s="1">
        <f>SUM(OSRRefP22_12x_0)</f>
        <v>100</v>
      </c>
      <c r="Q96" s="1"/>
      <c r="R96" s="5">
        <f t="shared" si="53"/>
        <v>6.287444877970755E-5</v>
      </c>
      <c r="S96" s="1"/>
      <c r="T96" s="1">
        <f>SUM(OSRRefT22_12x_0)</f>
        <v>1304.7</v>
      </c>
      <c r="U96" s="1"/>
      <c r="V96" s="5">
        <f t="shared" si="54"/>
        <v>6.7810702041230483E-4</v>
      </c>
      <c r="W96" s="1"/>
      <c r="X96" s="1">
        <f t="shared" si="55"/>
        <v>-1204.7</v>
      </c>
      <c r="Y96" s="1"/>
      <c r="Z96" s="5">
        <f t="shared" si="56"/>
        <v>-0.92335402774584197</v>
      </c>
    </row>
    <row r="97" spans="1:26" s="24" customFormat="1" hidden="1" outlineLevel="2" x14ac:dyDescent="0.25">
      <c r="A97" s="26"/>
      <c r="B97" s="11" t="str">
        <f>CONCATENATE("          ", "6376", " - ", "TRAINING")</f>
        <v xml:space="preserve">          6376 - TRAINING</v>
      </c>
      <c r="C97" s="11"/>
      <c r="D97" s="6"/>
      <c r="E97" s="2"/>
      <c r="F97" s="7">
        <f t="shared" si="49"/>
        <v>0</v>
      </c>
      <c r="G97" s="2"/>
      <c r="H97" s="6">
        <v>141.06</v>
      </c>
      <c r="I97" s="2"/>
      <c r="J97" s="7">
        <f t="shared" si="50"/>
        <v>1.123746241432889E-3</v>
      </c>
      <c r="K97" s="2"/>
      <c r="L97" s="6">
        <f t="shared" si="51"/>
        <v>-141.06</v>
      </c>
      <c r="M97" s="2"/>
      <c r="N97" s="7">
        <f t="shared" si="52"/>
        <v>-1</v>
      </c>
      <c r="O97" s="11"/>
      <c r="P97" s="6">
        <v>100</v>
      </c>
      <c r="Q97" s="2"/>
      <c r="R97" s="7">
        <f t="shared" si="53"/>
        <v>6.287444877970755E-5</v>
      </c>
      <c r="S97" s="2"/>
      <c r="T97" s="6">
        <v>1304.7</v>
      </c>
      <c r="U97" s="2"/>
      <c r="V97" s="7">
        <f t="shared" si="54"/>
        <v>6.7810702041230483E-4</v>
      </c>
      <c r="W97" s="2"/>
      <c r="X97" s="6">
        <f t="shared" si="55"/>
        <v>-1204.7</v>
      </c>
      <c r="Y97" s="2"/>
      <c r="Z97" s="7">
        <f t="shared" si="56"/>
        <v>-0.92335402774584197</v>
      </c>
    </row>
    <row r="98" spans="1:26" s="25" customFormat="1" outlineLevel="1" collapsed="1" x14ac:dyDescent="0.25">
      <c r="A98" s="27"/>
      <c r="B98" s="13" t="str">
        <f>CONCATENATE("     ","Travel                                            ")</f>
        <v xml:space="preserve">     Travel                                            </v>
      </c>
      <c r="C98" s="13"/>
      <c r="D98" s="1">
        <f>SUM(OSRRefD22_13x_0)</f>
        <v>0</v>
      </c>
      <c r="E98" s="1"/>
      <c r="F98" s="5">
        <f t="shared" si="49"/>
        <v>0</v>
      </c>
      <c r="G98" s="1"/>
      <c r="H98" s="1">
        <f>SUM(OSRRefH22_13x_0)</f>
        <v>0</v>
      </c>
      <c r="I98" s="1"/>
      <c r="J98" s="5">
        <f t="shared" si="50"/>
        <v>0</v>
      </c>
      <c r="K98" s="1"/>
      <c r="L98" s="1">
        <f t="shared" si="51"/>
        <v>0</v>
      </c>
      <c r="M98" s="1"/>
      <c r="N98" s="5">
        <f t="shared" si="52"/>
        <v>0</v>
      </c>
      <c r="O98" s="13"/>
      <c r="P98" s="1">
        <f>SUM(OSRRefP22_13x_0)</f>
        <v>0</v>
      </c>
      <c r="Q98" s="1"/>
      <c r="R98" s="5">
        <f t="shared" si="53"/>
        <v>0</v>
      </c>
      <c r="S98" s="1"/>
      <c r="T98" s="1">
        <f>SUM(OSRRefT22_13x_0)</f>
        <v>-178.06</v>
      </c>
      <c r="U98" s="1"/>
      <c r="V98" s="5">
        <f t="shared" si="54"/>
        <v>-9.2545210435054028E-5</v>
      </c>
      <c r="W98" s="1"/>
      <c r="X98" s="1">
        <f t="shared" si="55"/>
        <v>178.06</v>
      </c>
      <c r="Y98" s="1"/>
      <c r="Z98" s="5">
        <f t="shared" si="56"/>
        <v>-1</v>
      </c>
    </row>
    <row r="99" spans="1:26" s="24" customFormat="1" hidden="1" outlineLevel="2" x14ac:dyDescent="0.25">
      <c r="A99" s="26"/>
      <c r="B99" s="11" t="str">
        <f>CONCATENATE("          ", "6292", " - ", "TRAVEL/CONFERENCE")</f>
        <v xml:space="preserve">          6292 - TRAVEL/CONFERENCE</v>
      </c>
      <c r="C99" s="11"/>
      <c r="D99" s="6"/>
      <c r="E99" s="2"/>
      <c r="F99" s="7">
        <f t="shared" si="49"/>
        <v>0</v>
      </c>
      <c r="G99" s="2"/>
      <c r="H99" s="6"/>
      <c r="I99" s="2"/>
      <c r="J99" s="7">
        <f t="shared" si="50"/>
        <v>0</v>
      </c>
      <c r="K99" s="2"/>
      <c r="L99" s="6">
        <f t="shared" si="51"/>
        <v>0</v>
      </c>
      <c r="M99" s="2"/>
      <c r="N99" s="7">
        <f t="shared" si="52"/>
        <v>0</v>
      </c>
      <c r="O99" s="11"/>
      <c r="P99" s="6"/>
      <c r="Q99" s="2"/>
      <c r="R99" s="7">
        <f t="shared" si="53"/>
        <v>0</v>
      </c>
      <c r="S99" s="2"/>
      <c r="T99" s="6">
        <v>-178.06</v>
      </c>
      <c r="U99" s="2"/>
      <c r="V99" s="7">
        <f t="shared" si="54"/>
        <v>-9.2545210435054028E-5</v>
      </c>
      <c r="W99" s="2"/>
      <c r="X99" s="6">
        <f t="shared" si="55"/>
        <v>178.06</v>
      </c>
      <c r="Y99" s="2"/>
      <c r="Z99" s="7">
        <f t="shared" si="56"/>
        <v>-1</v>
      </c>
    </row>
    <row r="100" spans="1:26" s="52" customFormat="1" x14ac:dyDescent="0.25">
      <c r="A100" s="37"/>
      <c r="B100" s="37"/>
      <c r="C100" s="37"/>
      <c r="D100" s="1"/>
      <c r="E100" s="1"/>
      <c r="F100" s="5"/>
      <c r="G100" s="1"/>
      <c r="H100" s="1"/>
      <c r="I100" s="1"/>
      <c r="J100" s="5"/>
      <c r="K100" s="1"/>
      <c r="L100" s="1"/>
      <c r="M100" s="1"/>
      <c r="N100" s="5"/>
      <c r="O100" s="37"/>
      <c r="P100" s="1"/>
      <c r="Q100" s="1"/>
      <c r="R100" s="5"/>
      <c r="S100" s="1"/>
      <c r="T100" s="1"/>
      <c r="U100" s="1"/>
      <c r="V100" s="5"/>
      <c r="W100" s="1"/>
      <c r="X100" s="1"/>
      <c r="Y100" s="1"/>
      <c r="Z100" s="5"/>
    </row>
    <row r="101" spans="1:26" s="23" customFormat="1" collapsed="1" x14ac:dyDescent="0.25">
      <c r="A101" s="10"/>
      <c r="B101" s="28" t="s">
        <v>0</v>
      </c>
      <c r="C101" s="10"/>
      <c r="D101" s="4">
        <f>SUM(OSRRefD25x_0)</f>
        <v>649.6</v>
      </c>
      <c r="E101" s="4"/>
      <c r="F101" s="12">
        <f t="shared" ref="F101:F105" si="57">IF(D$12=0,0,D101/D$12)</f>
        <v>3.4936964755454421E-3</v>
      </c>
      <c r="G101" s="4"/>
      <c r="H101" s="4">
        <f>SUM(OSRRefH25x_0)</f>
        <v>847.31999999999994</v>
      </c>
      <c r="I101" s="4"/>
      <c r="J101" s="12">
        <f t="shared" ref="J101:J105" si="58">IF(H$12=0,0,H101/H$12)</f>
        <v>6.7501252324607642E-3</v>
      </c>
      <c r="K101" s="4"/>
      <c r="L101" s="4">
        <f t="shared" ref="L101:L105" si="59">+D101-H101</f>
        <v>-197.71999999999991</v>
      </c>
      <c r="M101" s="4"/>
      <c r="N101" s="12">
        <f t="shared" ref="N101:N105" si="60">IF(H101=0,0,L101/H101)</f>
        <v>-0.23334749563329077</v>
      </c>
      <c r="O101" s="10"/>
      <c r="P101" s="4">
        <f>SUM(OSRRefP25x_0)</f>
        <v>1278.6399999999999</v>
      </c>
      <c r="Q101" s="4"/>
      <c r="R101" s="12">
        <f t="shared" ref="R101:R105" si="61">IF(P$12=0,0,P101/P$12)</f>
        <v>8.0393785187685249E-4</v>
      </c>
      <c r="S101" s="4"/>
      <c r="T101" s="4">
        <f>SUM(OSRRefT25x_0)</f>
        <v>14067.130000000001</v>
      </c>
      <c r="U101" s="4"/>
      <c r="V101" s="12">
        <f t="shared" ref="V101:V105" si="62">IF(T$12=0,0,T101/T$12)</f>
        <v>7.3112743236395696E-3</v>
      </c>
      <c r="W101" s="4"/>
      <c r="X101" s="4">
        <f t="shared" ref="X101:X105" si="63">+P101-T101</f>
        <v>-12788.490000000002</v>
      </c>
      <c r="Y101" s="4"/>
      <c r="Z101" s="12">
        <f t="shared" ref="Z101:Z105" si="64">IF(T101=0,0,X101/T101)</f>
        <v>-0.9091044157550261</v>
      </c>
    </row>
    <row r="102" spans="1:26" s="24" customFormat="1" hidden="1" outlineLevel="1" x14ac:dyDescent="0.25">
      <c r="A102" s="44"/>
      <c r="B102" s="11" t="str">
        <f>CONCATENATE("          ", "4187", " - ", "NON-TAXABLE SALES-COMPUTER REP")</f>
        <v xml:space="preserve">          4187 - NON-TAXABLE SALES-COMPUTER REP</v>
      </c>
      <c r="C102" s="11"/>
      <c r="D102" s="2">
        <f>-231.36</f>
        <v>-231.36</v>
      </c>
      <c r="E102" s="2"/>
      <c r="F102" s="19">
        <f t="shared" si="57"/>
        <v>-1.2443066757730811E-3</v>
      </c>
      <c r="G102" s="2"/>
      <c r="H102" s="2">
        <f>--681.93</f>
        <v>681.93</v>
      </c>
      <c r="I102" s="2"/>
      <c r="J102" s="19">
        <f t="shared" si="58"/>
        <v>5.4325554687390462E-3</v>
      </c>
      <c r="K102" s="2"/>
      <c r="L102" s="2">
        <f t="shared" si="59"/>
        <v>-913.29</v>
      </c>
      <c r="M102" s="2"/>
      <c r="N102" s="19">
        <f t="shared" si="60"/>
        <v>-1.3392723593330693</v>
      </c>
      <c r="O102" s="11"/>
      <c r="P102" s="2">
        <f>--1454.51</f>
        <v>1454.51</v>
      </c>
      <c r="Q102" s="2"/>
      <c r="R102" s="19">
        <f t="shared" si="61"/>
        <v>9.1451514494572434E-4</v>
      </c>
      <c r="S102" s="2"/>
      <c r="T102" s="2">
        <f>--15792.86</f>
        <v>15792.86</v>
      </c>
      <c r="U102" s="2"/>
      <c r="V102" s="19">
        <f t="shared" si="62"/>
        <v>8.2082081998840137E-3</v>
      </c>
      <c r="W102" s="2"/>
      <c r="X102" s="2">
        <f t="shared" si="63"/>
        <v>-14338.35</v>
      </c>
      <c r="Y102" s="2"/>
      <c r="Z102" s="19">
        <f t="shared" si="64"/>
        <v>-0.90790078554486009</v>
      </c>
    </row>
    <row r="103" spans="1:26" s="24" customFormat="1" hidden="1" outlineLevel="1" x14ac:dyDescent="0.25">
      <c r="A103" s="44"/>
      <c r="B103" s="11" t="str">
        <f>CONCATENATE("          ", "4387", " - ", "SALES RETURN NON TAXABLE-COMPU")</f>
        <v xml:space="preserve">          4387 - SALES RETURN NON TAXABLE-COMPU</v>
      </c>
      <c r="C103" s="11"/>
      <c r="D103" s="2">
        <f t="shared" ref="D103:D104" si="65">0</f>
        <v>0</v>
      </c>
      <c r="E103" s="2"/>
      <c r="F103" s="19">
        <f t="shared" si="57"/>
        <v>0</v>
      </c>
      <c r="G103" s="2"/>
      <c r="H103" s="2">
        <f t="shared" ref="H103:H104" si="66">0</f>
        <v>0</v>
      </c>
      <c r="I103" s="2"/>
      <c r="J103" s="19">
        <f t="shared" si="58"/>
        <v>0</v>
      </c>
      <c r="K103" s="2"/>
      <c r="L103" s="2">
        <f t="shared" si="59"/>
        <v>0</v>
      </c>
      <c r="M103" s="2"/>
      <c r="N103" s="19">
        <f t="shared" si="60"/>
        <v>0</v>
      </c>
      <c r="O103" s="11"/>
      <c r="P103" s="2">
        <f t="shared" ref="P103:P104" si="67">0</f>
        <v>0</v>
      </c>
      <c r="Q103" s="2"/>
      <c r="R103" s="19">
        <f t="shared" si="61"/>
        <v>0</v>
      </c>
      <c r="S103" s="2"/>
      <c r="T103" s="2">
        <f>-7889</f>
        <v>-7889</v>
      </c>
      <c r="U103" s="2"/>
      <c r="V103" s="19">
        <f t="shared" si="62"/>
        <v>-4.1002424189719262E-3</v>
      </c>
      <c r="W103" s="2"/>
      <c r="X103" s="2">
        <f t="shared" si="63"/>
        <v>7889</v>
      </c>
      <c r="Y103" s="2"/>
      <c r="Z103" s="19">
        <f t="shared" si="64"/>
        <v>-1</v>
      </c>
    </row>
    <row r="104" spans="1:26" s="24" customFormat="1" hidden="1" outlineLevel="1" x14ac:dyDescent="0.25">
      <c r="A104" s="44"/>
      <c r="B104" s="11" t="str">
        <f>CONCATENATE("          ", "5087", " - ", "PURCHASES @ COST-COMPUTER REPA")</f>
        <v xml:space="preserve">          5087 - PURCHASES @ COST-COMPUTER REPA</v>
      </c>
      <c r="C104" s="11"/>
      <c r="D104" s="2">
        <f t="shared" si="65"/>
        <v>0</v>
      </c>
      <c r="E104" s="2"/>
      <c r="F104" s="19">
        <f t="shared" si="57"/>
        <v>0</v>
      </c>
      <c r="G104" s="2"/>
      <c r="H104" s="2">
        <f t="shared" si="66"/>
        <v>0</v>
      </c>
      <c r="I104" s="2"/>
      <c r="J104" s="19">
        <f t="shared" si="58"/>
        <v>0</v>
      </c>
      <c r="K104" s="2"/>
      <c r="L104" s="2">
        <f t="shared" si="59"/>
        <v>0</v>
      </c>
      <c r="M104" s="2"/>
      <c r="N104" s="19">
        <f t="shared" si="60"/>
        <v>0</v>
      </c>
      <c r="O104" s="11"/>
      <c r="P104" s="2">
        <f t="shared" si="67"/>
        <v>0</v>
      </c>
      <c r="Q104" s="2"/>
      <c r="R104" s="19">
        <f t="shared" si="61"/>
        <v>0</v>
      </c>
      <c r="S104" s="2"/>
      <c r="T104" s="2">
        <f>-56.72</f>
        <v>-56.72</v>
      </c>
      <c r="U104" s="2"/>
      <c r="V104" s="19">
        <f t="shared" si="62"/>
        <v>-2.9479750285725398E-5</v>
      </c>
      <c r="W104" s="2"/>
      <c r="X104" s="2">
        <f t="shared" si="63"/>
        <v>56.72</v>
      </c>
      <c r="Y104" s="2"/>
      <c r="Z104" s="19">
        <f t="shared" si="64"/>
        <v>-1</v>
      </c>
    </row>
    <row r="105" spans="1:26" s="24" customFormat="1" hidden="1" outlineLevel="1" x14ac:dyDescent="0.25">
      <c r="A105" s="44"/>
      <c r="B105" s="11" t="str">
        <f>CONCATENATE("          ", "9150", " - ", "MISC. INCOME")</f>
        <v xml:space="preserve">          9150 - MISC. INCOME</v>
      </c>
      <c r="C105" s="11"/>
      <c r="D105" s="2">
        <f>--880.96</f>
        <v>880.96</v>
      </c>
      <c r="E105" s="2"/>
      <c r="F105" s="19">
        <f t="shared" si="57"/>
        <v>4.738003151318523E-3</v>
      </c>
      <c r="G105" s="2"/>
      <c r="H105" s="2">
        <f>--165.39</f>
        <v>165.39</v>
      </c>
      <c r="I105" s="2"/>
      <c r="J105" s="19">
        <f t="shared" si="58"/>
        <v>1.3175697637217176E-3</v>
      </c>
      <c r="K105" s="2"/>
      <c r="L105" s="2">
        <f t="shared" si="59"/>
        <v>715.57</v>
      </c>
      <c r="M105" s="2"/>
      <c r="N105" s="19">
        <f t="shared" si="60"/>
        <v>4.326561460789649</v>
      </c>
      <c r="O105" s="11"/>
      <c r="P105" s="2">
        <f>-175.87</f>
        <v>-175.87</v>
      </c>
      <c r="Q105" s="2"/>
      <c r="R105" s="19">
        <f t="shared" si="61"/>
        <v>-1.1057729306887167E-4</v>
      </c>
      <c r="S105" s="2"/>
      <c r="T105" s="2">
        <f>--6219.99</f>
        <v>6219.99</v>
      </c>
      <c r="U105" s="2"/>
      <c r="V105" s="19">
        <f t="shared" si="62"/>
        <v>3.2327882930132073E-3</v>
      </c>
      <c r="W105" s="2"/>
      <c r="X105" s="2">
        <f t="shared" si="63"/>
        <v>-6395.86</v>
      </c>
      <c r="Y105" s="2"/>
      <c r="Z105" s="19">
        <f t="shared" si="64"/>
        <v>-1.0282749650722911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10"/>
      <c r="B107" s="29" t="s">
        <v>3</v>
      </c>
      <c r="C107" s="29"/>
      <c r="D107" s="22">
        <f>+D54-D56+D101</f>
        <v>-7998.8600000000042</v>
      </c>
      <c r="E107" s="14"/>
      <c r="F107" s="20">
        <f>IF(D$12=0,0,D107/D$12)</f>
        <v>-4.3019687485193088E-2</v>
      </c>
      <c r="G107" s="14"/>
      <c r="H107" s="22">
        <f>+H54-H56+H101</f>
        <v>28027.989999999969</v>
      </c>
      <c r="I107" s="14"/>
      <c r="J107" s="20">
        <f>IF(H$12=0,0,H107/H$12)</f>
        <v>0.22328334338167136</v>
      </c>
      <c r="K107" s="16"/>
      <c r="L107" s="22">
        <f>+D107-H107</f>
        <v>-36026.849999999977</v>
      </c>
      <c r="M107" s="16"/>
      <c r="N107" s="20">
        <f>IF(H107=0,0,L107/H107)</f>
        <v>-1.2853882850678917</v>
      </c>
      <c r="O107" s="28"/>
      <c r="P107" s="22">
        <f>+P54-P56+P101</f>
        <v>-23854.02000000012</v>
      </c>
      <c r="Q107" s="14"/>
      <c r="R107" s="20">
        <f>IF(P$12=0,0,P107/P$12)</f>
        <v>-1.4998083586801271E-2</v>
      </c>
      <c r="S107" s="14"/>
      <c r="T107" s="22">
        <f>+T54-T56+T101</f>
        <v>105378.58000000048</v>
      </c>
      <c r="U107" s="14"/>
      <c r="V107" s="20">
        <f>IF(T$12=0,0,T107/T$12)</f>
        <v>5.4769644285337642E-2</v>
      </c>
      <c r="W107" s="16"/>
      <c r="X107" s="22">
        <f>+P107-T107</f>
        <v>-129232.6000000006</v>
      </c>
      <c r="Y107" s="16"/>
      <c r="Z107" s="20">
        <f>IF(T107=0,0,X107/T107)</f>
        <v>-1.226364978537384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51"/>
      <c r="B109" s="10" t="s">
        <v>13</v>
      </c>
      <c r="C109" s="10"/>
      <c r="D109" s="4">
        <v>60009.689999999995</v>
      </c>
      <c r="E109" s="4"/>
      <c r="F109" s="12">
        <f>IF(D$12=0,0,D109/D$12)</f>
        <v>0.32274575500550268</v>
      </c>
      <c r="G109" s="4"/>
      <c r="H109" s="4">
        <v>8538.27</v>
      </c>
      <c r="I109" s="4"/>
      <c r="J109" s="12">
        <f>IF(H$12=0,0,H109/H$12)</f>
        <v>6.8019628674600832E-2</v>
      </c>
      <c r="K109" s="4"/>
      <c r="L109" s="4">
        <f>+D109-H109</f>
        <v>51471.42</v>
      </c>
      <c r="M109" s="4"/>
      <c r="N109" s="12">
        <f>IF(H109=0,0,L109/H109)</f>
        <v>6.028319554195404</v>
      </c>
      <c r="O109" s="10"/>
      <c r="P109" s="4">
        <v>314970.19</v>
      </c>
      <c r="Q109" s="4"/>
      <c r="R109" s="12">
        <f>IF(P$12=0,0,P109/P$12)</f>
        <v>0.19803577078289755</v>
      </c>
      <c r="S109" s="4"/>
      <c r="T109" s="4">
        <v>196096.97</v>
      </c>
      <c r="U109" s="4"/>
      <c r="V109" s="12">
        <f>IF(T$12=0,0,T109/T$12)</f>
        <v>0.1019197762233319</v>
      </c>
      <c r="W109" s="4"/>
      <c r="X109" s="4">
        <f>+P109-T109</f>
        <v>118873.22</v>
      </c>
      <c r="Y109" s="4"/>
      <c r="Z109" s="12">
        <f>IF(T109=0,0,X109/T109)</f>
        <v>0.60619610797657919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9" t="s">
        <v>4</v>
      </c>
      <c r="C111" s="29"/>
      <c r="D111" s="35">
        <f>+D107-D109</f>
        <v>-68008.55</v>
      </c>
      <c r="E111" s="14"/>
      <c r="F111" s="36">
        <f>IF(D$12=0,0,D111/D$12)</f>
        <v>-0.36576544249069576</v>
      </c>
      <c r="G111" s="14"/>
      <c r="H111" s="35">
        <f>+H107-H109</f>
        <v>19489.719999999968</v>
      </c>
      <c r="I111" s="14"/>
      <c r="J111" s="36">
        <f>IF(H$12=0,0,H111/H$12)</f>
        <v>0.15526371470707054</v>
      </c>
      <c r="K111" s="16"/>
      <c r="L111" s="35">
        <f>D111-H111</f>
        <v>-87498.269999999975</v>
      </c>
      <c r="M111" s="16"/>
      <c r="N111" s="36">
        <f>IF(H111=0,0,L111/H111)</f>
        <v>-4.4894575191434312</v>
      </c>
      <c r="O111" s="28"/>
      <c r="P111" s="35">
        <f>+P107-P109</f>
        <v>-338824.21000000014</v>
      </c>
      <c r="Q111" s="14"/>
      <c r="R111" s="36">
        <f>IF(P$12=0,0,P111/P$12)</f>
        <v>-0.21303385436969882</v>
      </c>
      <c r="S111" s="14"/>
      <c r="T111" s="35">
        <f>+T107-T109</f>
        <v>-90718.389999999519</v>
      </c>
      <c r="U111" s="14"/>
      <c r="V111" s="36">
        <f>IF(T$12=0,0,T111/T$12)</f>
        <v>-4.715013193799425E-2</v>
      </c>
      <c r="W111" s="16"/>
      <c r="X111" s="35">
        <f>P111-T111</f>
        <v>-248105.82000000062</v>
      </c>
      <c r="Y111" s="16"/>
      <c r="Z111" s="36">
        <f>IF(T111=0,0,X111/T111)</f>
        <v>2.7349010492801065</v>
      </c>
    </row>
    <row r="112" spans="1:26" ht="15.75" thickTop="1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9" t="s">
        <v>5</v>
      </c>
      <c r="C114" s="29"/>
      <c r="D114" s="31">
        <f>SUM(D111:D113)</f>
        <v>-68008.55</v>
      </c>
      <c r="E114" s="14"/>
      <c r="F114" s="33">
        <f>IF(D$12=0,0,D114/D$12)</f>
        <v>-0.36576544249069576</v>
      </c>
      <c r="G114" s="14"/>
      <c r="H114" s="31">
        <f>SUM(H111:H113)</f>
        <v>19489.719999999968</v>
      </c>
      <c r="I114" s="14"/>
      <c r="J114" s="33">
        <f>IF(H$12=0,0,H114/H$12)</f>
        <v>0.15526371470707054</v>
      </c>
      <c r="K114" s="16"/>
      <c r="L114" s="31">
        <f>+D114-H114</f>
        <v>-87498.269999999975</v>
      </c>
      <c r="M114" s="16"/>
      <c r="N114" s="33">
        <f>IF(H114=0,0,L114/H114)</f>
        <v>-4.4894575191434312</v>
      </c>
      <c r="O114" s="28"/>
      <c r="P114" s="31">
        <f>SUM(P111:P113)</f>
        <v>-338824.21000000014</v>
      </c>
      <c r="Q114" s="14"/>
      <c r="R114" s="33">
        <f>IF(P$12=0,0,P114/P$12)</f>
        <v>-0.21303385436969882</v>
      </c>
      <c r="S114" s="14"/>
      <c r="T114" s="31">
        <f>SUM(T111:T113)</f>
        <v>-90718.389999999519</v>
      </c>
      <c r="U114" s="14"/>
      <c r="V114" s="33">
        <f>IF(T$12=0,0,T114/T$12)</f>
        <v>-4.715013193799425E-2</v>
      </c>
      <c r="W114" s="16"/>
      <c r="X114" s="31">
        <f>+P114-T114</f>
        <v>-248105.82000000062</v>
      </c>
      <c r="Y114" s="16"/>
      <c r="Z114" s="33">
        <f>IF(T114=0,0,X114/T114)</f>
        <v>2.7349010492801065</v>
      </c>
    </row>
    <row r="115" spans="1:26" ht="15.75" thickTop="1" x14ac:dyDescent="0.25">
      <c r="A115" s="9"/>
      <c r="C115" s="9"/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  <row r="116" spans="1:26" x14ac:dyDescent="0.25">
      <c r="A116" s="9"/>
      <c r="B116" s="56">
        <v>44267.668000497688</v>
      </c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  <row r="117" spans="1:26" x14ac:dyDescent="0.25">
      <c r="A117" s="9"/>
      <c r="B117" s="54" t="s">
        <v>313</v>
      </c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  <row r="118" spans="1:26" x14ac:dyDescent="0.25">
      <c r="A118" s="9"/>
      <c r="B118" s="58"/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  <row r="119" spans="1:26" x14ac:dyDescent="0.25">
      <c r="D119" s="18"/>
      <c r="E119" s="18"/>
      <c r="G119" s="18"/>
      <c r="H119" s="18"/>
      <c r="I119" s="18"/>
      <c r="J119" s="43"/>
      <c r="K119" s="18"/>
      <c r="L119" s="18"/>
      <c r="M119" s="18"/>
      <c r="P119" s="18"/>
      <c r="Q119" s="18"/>
      <c r="R119" s="43"/>
      <c r="S119" s="18"/>
      <c r="T119" s="18"/>
      <c r="U119" s="18"/>
      <c r="V119" s="43"/>
      <c r="W119" s="18"/>
      <c r="X119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","317", " - ", "Computer Store")</f>
        <v>Department 317 - Computer 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185934.87000000002</v>
      </c>
      <c r="E12" s="4"/>
      <c r="F12" s="12"/>
      <c r="G12" s="4"/>
      <c r="H12" s="4">
        <f>SUM(OSRRefH13x_0)</f>
        <v>125526.55999999998</v>
      </c>
      <c r="I12" s="4"/>
      <c r="J12" s="12"/>
      <c r="K12" s="4"/>
      <c r="L12" s="4">
        <f t="shared" ref="L12:L37" si="0">+D12-H12</f>
        <v>60408.310000000041</v>
      </c>
      <c r="M12" s="4"/>
      <c r="N12" s="12">
        <f t="shared" ref="N12:N37" si="1">IF(H12=0,0,L12/H12)</f>
        <v>0.48123926920326704</v>
      </c>
      <c r="O12" s="10"/>
      <c r="P12" s="4">
        <f>SUM(OSRRefP13x_0)</f>
        <v>1590471.2</v>
      </c>
      <c r="Q12" s="4"/>
      <c r="R12" s="12"/>
      <c r="S12" s="4"/>
      <c r="T12" s="4">
        <f>SUM(OSRRefT13x_0)</f>
        <v>1924032.5800000008</v>
      </c>
      <c r="U12" s="4"/>
      <c r="V12" s="12"/>
      <c r="W12" s="4"/>
      <c r="X12" s="4">
        <f t="shared" ref="X12:X37" si="2">+P12-T12</f>
        <v>-333561.38000000082</v>
      </c>
      <c r="Y12" s="4"/>
      <c r="Z12" s="12">
        <f t="shared" ref="Z12:Z37" si="3">IF(T12=0,0,X12/T12)</f>
        <v>-0.17336576493938616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-49</f>
        <v>-49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-49</v>
      </c>
      <c r="M13" s="2"/>
      <c r="N13" s="19">
        <f t="shared" si="1"/>
        <v>0</v>
      </c>
      <c r="O13" s="11"/>
      <c r="P13" s="2">
        <f>-2696.96</f>
        <v>-2696.96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-2696.96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--64.79</f>
        <v>64.790000000000006</v>
      </c>
      <c r="E14" s="2"/>
      <c r="F14" s="19"/>
      <c r="G14" s="2"/>
      <c r="H14" s="2">
        <f>--24733.17</f>
        <v>24733.17</v>
      </c>
      <c r="I14" s="2"/>
      <c r="J14" s="19"/>
      <c r="K14" s="2"/>
      <c r="L14" s="2">
        <f t="shared" si="0"/>
        <v>-24668.379999999997</v>
      </c>
      <c r="M14" s="2"/>
      <c r="N14" s="19">
        <f t="shared" si="1"/>
        <v>-0.99738044092204914</v>
      </c>
      <c r="O14" s="11"/>
      <c r="P14" s="2">
        <f>--59262.85</f>
        <v>59262.85</v>
      </c>
      <c r="Q14" s="2"/>
      <c r="R14" s="19"/>
      <c r="S14" s="2"/>
      <c r="T14" s="2">
        <f>--296222.17</f>
        <v>296222.17</v>
      </c>
      <c r="U14" s="2"/>
      <c r="V14" s="19"/>
      <c r="W14" s="2"/>
      <c r="X14" s="2">
        <f t="shared" si="2"/>
        <v>-236959.31999999998</v>
      </c>
      <c r="Y14" s="2"/>
      <c r="Z14" s="19">
        <f t="shared" si="3"/>
        <v>-0.79993783044665423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--165815.3</f>
        <v>165815.29999999999</v>
      </c>
      <c r="E15" s="2"/>
      <c r="F15" s="19"/>
      <c r="G15" s="2"/>
      <c r="H15" s="2">
        <f>--76432.07</f>
        <v>76432.070000000007</v>
      </c>
      <c r="I15" s="2"/>
      <c r="J15" s="19"/>
      <c r="K15" s="2"/>
      <c r="L15" s="2">
        <f t="shared" si="0"/>
        <v>89383.229999999981</v>
      </c>
      <c r="M15" s="2"/>
      <c r="N15" s="19">
        <f t="shared" si="1"/>
        <v>1.1694466733662974</v>
      </c>
      <c r="O15" s="11"/>
      <c r="P15" s="2">
        <f>--1250838.47</f>
        <v>1250838.47</v>
      </c>
      <c r="Q15" s="2"/>
      <c r="R15" s="19"/>
      <c r="S15" s="2"/>
      <c r="T15" s="2">
        <f>--1583545.55</f>
        <v>1583545.55</v>
      </c>
      <c r="U15" s="2"/>
      <c r="V15" s="19"/>
      <c r="W15" s="2"/>
      <c r="X15" s="2">
        <f t="shared" si="2"/>
        <v>-332707.08000000007</v>
      </c>
      <c r="Y15" s="2"/>
      <c r="Z15" s="19">
        <f t="shared" si="3"/>
        <v>-0.21010262698158577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--3521.24</f>
        <v>3521.24</v>
      </c>
      <c r="E16" s="2"/>
      <c r="F16" s="19"/>
      <c r="G16" s="2"/>
      <c r="H16" s="2">
        <f>--10917.85</f>
        <v>10917.85</v>
      </c>
      <c r="I16" s="2"/>
      <c r="J16" s="19"/>
      <c r="K16" s="2"/>
      <c r="L16" s="2">
        <f t="shared" si="0"/>
        <v>-7396.6100000000006</v>
      </c>
      <c r="M16" s="2"/>
      <c r="N16" s="19">
        <f t="shared" si="1"/>
        <v>-0.67747862445444851</v>
      </c>
      <c r="O16" s="11"/>
      <c r="P16" s="2">
        <f>--96798.83</f>
        <v>96798.83</v>
      </c>
      <c r="Q16" s="2"/>
      <c r="R16" s="19"/>
      <c r="S16" s="2"/>
      <c r="T16" s="2">
        <f>--95247.08</f>
        <v>95247.08</v>
      </c>
      <c r="U16" s="2"/>
      <c r="V16" s="19"/>
      <c r="W16" s="2"/>
      <c r="X16" s="2">
        <f t="shared" si="2"/>
        <v>1551.75</v>
      </c>
      <c r="Y16" s="2"/>
      <c r="Z16" s="19">
        <f t="shared" si="3"/>
        <v>1.6291838028000438E-2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 t="shared" ref="D17:D18" si="4"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--129</f>
        <v>129</v>
      </c>
      <c r="U17" s="2"/>
      <c r="V17" s="19"/>
      <c r="W17" s="2"/>
      <c r="X17" s="2">
        <f t="shared" si="2"/>
        <v>-129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 t="shared" si="4"/>
        <v>0</v>
      </c>
      <c r="E18" s="2"/>
      <c r="F18" s="19"/>
      <c r="G18" s="2"/>
      <c r="H18" s="2">
        <f>--149.99</f>
        <v>149.99</v>
      </c>
      <c r="I18" s="2"/>
      <c r="J18" s="19"/>
      <c r="K18" s="2"/>
      <c r="L18" s="2">
        <f t="shared" si="0"/>
        <v>-149.99</v>
      </c>
      <c r="M18" s="2"/>
      <c r="N18" s="19">
        <f t="shared" si="1"/>
        <v>-1</v>
      </c>
      <c r="O18" s="11"/>
      <c r="P18" s="2">
        <f>--2878.93</f>
        <v>2878.93</v>
      </c>
      <c r="Q18" s="2"/>
      <c r="R18" s="19"/>
      <c r="S18" s="2"/>
      <c r="T18" s="2">
        <f>--4557.93</f>
        <v>4557.93</v>
      </c>
      <c r="U18" s="2"/>
      <c r="V18" s="19"/>
      <c r="W18" s="2"/>
      <c r="X18" s="2">
        <f t="shared" si="2"/>
        <v>-1679.0000000000005</v>
      </c>
      <c r="Y18" s="2"/>
      <c r="Z18" s="19">
        <f t="shared" si="3"/>
        <v>-0.3683689745125529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--1077.33</f>
        <v>1077.33</v>
      </c>
      <c r="E19" s="2"/>
      <c r="F19" s="19"/>
      <c r="G19" s="2"/>
      <c r="H19" s="2">
        <f>--5856.22</f>
        <v>5856.22</v>
      </c>
      <c r="I19" s="2"/>
      <c r="J19" s="19"/>
      <c r="K19" s="2"/>
      <c r="L19" s="2">
        <f t="shared" si="0"/>
        <v>-4778.8900000000003</v>
      </c>
      <c r="M19" s="2"/>
      <c r="N19" s="19">
        <f t="shared" si="1"/>
        <v>-0.81603662430714696</v>
      </c>
      <c r="O19" s="11"/>
      <c r="P19" s="2">
        <f>--58947.17</f>
        <v>58947.17</v>
      </c>
      <c r="Q19" s="2"/>
      <c r="R19" s="19"/>
      <c r="S19" s="2"/>
      <c r="T19" s="2">
        <f>--46217.33</f>
        <v>46217.33</v>
      </c>
      <c r="U19" s="2"/>
      <c r="V19" s="19"/>
      <c r="W19" s="2"/>
      <c r="X19" s="2">
        <f t="shared" si="2"/>
        <v>12729.839999999997</v>
      </c>
      <c r="Y19" s="2"/>
      <c r="Z19" s="19">
        <f t="shared" si="3"/>
        <v>0.27543434464950695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0</f>
        <v>0</v>
      </c>
      <c r="E20" s="2"/>
      <c r="F20" s="19"/>
      <c r="G20" s="2"/>
      <c r="H20" s="2">
        <f>--38.96</f>
        <v>38.96</v>
      </c>
      <c r="I20" s="2"/>
      <c r="J20" s="19"/>
      <c r="K20" s="2"/>
      <c r="L20" s="2">
        <f t="shared" si="0"/>
        <v>-38.96</v>
      </c>
      <c r="M20" s="2"/>
      <c r="N20" s="19">
        <f t="shared" si="1"/>
        <v>-1</v>
      </c>
      <c r="O20" s="11"/>
      <c r="P20" s="2">
        <f>0</f>
        <v>0</v>
      </c>
      <c r="Q20" s="2"/>
      <c r="R20" s="19"/>
      <c r="S20" s="2"/>
      <c r="T20" s="2">
        <f>--1094.84</f>
        <v>1094.8399999999999</v>
      </c>
      <c r="U20" s="2"/>
      <c r="V20" s="19"/>
      <c r="W20" s="2"/>
      <c r="X20" s="2">
        <f t="shared" si="2"/>
        <v>-1094.8399999999999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"4181", " - ", "NON-TAXABLE SALES-ELECTRONICS")</f>
        <v xml:space="preserve">          4181 - NON-TAXABLE SALES-ELECTRONICS</v>
      </c>
      <c r="C21" s="11"/>
      <c r="D21" s="2">
        <f>--6619.94</f>
        <v>6619.94</v>
      </c>
      <c r="E21" s="2"/>
      <c r="F21" s="19"/>
      <c r="G21" s="2"/>
      <c r="H21" s="2">
        <f>--257.96</f>
        <v>257.95999999999998</v>
      </c>
      <c r="I21" s="2"/>
      <c r="J21" s="19"/>
      <c r="K21" s="2"/>
      <c r="L21" s="2">
        <f t="shared" si="0"/>
        <v>6361.98</v>
      </c>
      <c r="M21" s="2"/>
      <c r="N21" s="19">
        <f t="shared" si="1"/>
        <v>24.662660877655451</v>
      </c>
      <c r="O21" s="11"/>
      <c r="P21" s="2">
        <f>--12192.66</f>
        <v>12192.66</v>
      </c>
      <c r="Q21" s="2"/>
      <c r="R21" s="19"/>
      <c r="S21" s="2"/>
      <c r="T21" s="2">
        <f>--2064.38</f>
        <v>2064.38</v>
      </c>
      <c r="U21" s="2"/>
      <c r="V21" s="19"/>
      <c r="W21" s="2"/>
      <c r="X21" s="2">
        <f t="shared" si="2"/>
        <v>10128.279999999999</v>
      </c>
      <c r="Y21" s="2"/>
      <c r="Z21" s="19">
        <f t="shared" si="3"/>
        <v>4.9062091281643871</v>
      </c>
    </row>
    <row r="22" spans="1:26" s="24" customFormat="1" hidden="1" outlineLevel="1" x14ac:dyDescent="0.25">
      <c r="A22" s="44"/>
      <c r="B22" s="11" t="str">
        <f>CONCATENATE("          ", "4182", " - ", "NON-TAXABLE SALES-COMPUTER HAR")</f>
        <v xml:space="preserve">          4182 - NON-TAXABLE SALES-COMPUTER HAR</v>
      </c>
      <c r="C22" s="11"/>
      <c r="D22" s="2">
        <f>--33247.79</f>
        <v>33247.79</v>
      </c>
      <c r="E22" s="2"/>
      <c r="F22" s="19"/>
      <c r="G22" s="2"/>
      <c r="H22" s="2">
        <f>--10906.99</f>
        <v>10906.99</v>
      </c>
      <c r="I22" s="2"/>
      <c r="J22" s="19"/>
      <c r="K22" s="2"/>
      <c r="L22" s="2">
        <f t="shared" si="0"/>
        <v>22340.800000000003</v>
      </c>
      <c r="M22" s="2"/>
      <c r="N22" s="19">
        <f t="shared" si="1"/>
        <v>2.0483011353269789</v>
      </c>
      <c r="O22" s="11"/>
      <c r="P22" s="2">
        <f>--219646.99</f>
        <v>219646.99</v>
      </c>
      <c r="Q22" s="2"/>
      <c r="R22" s="19"/>
      <c r="S22" s="2"/>
      <c r="T22" s="2">
        <f>--97878.96</f>
        <v>97878.96</v>
      </c>
      <c r="U22" s="2"/>
      <c r="V22" s="19"/>
      <c r="W22" s="2"/>
      <c r="X22" s="2">
        <f t="shared" si="2"/>
        <v>121768.02999999998</v>
      </c>
      <c r="Y22" s="2"/>
      <c r="Z22" s="19">
        <f t="shared" si="3"/>
        <v>1.2440674686367732</v>
      </c>
    </row>
    <row r="23" spans="1:26" s="24" customFormat="1" hidden="1" outlineLevel="1" x14ac:dyDescent="0.25">
      <c r="A23" s="44"/>
      <c r="B23" s="11" t="str">
        <f>CONCATENATE("          ", "4183", " - ", "NON-TAXABLE SALES-COMPUTER EQU")</f>
        <v xml:space="preserve">          4183 - NON-TAXABLE SALES-COMPUTER EQU</v>
      </c>
      <c r="C23" s="11"/>
      <c r="D23" s="2">
        <f>--3104.68</f>
        <v>3104.68</v>
      </c>
      <c r="E23" s="2"/>
      <c r="F23" s="19"/>
      <c r="G23" s="2"/>
      <c r="H23" s="2">
        <f>--1706.87</f>
        <v>1706.87</v>
      </c>
      <c r="I23" s="2"/>
      <c r="J23" s="19"/>
      <c r="K23" s="2"/>
      <c r="L23" s="2">
        <f t="shared" si="0"/>
        <v>1397.81</v>
      </c>
      <c r="M23" s="2"/>
      <c r="N23" s="19">
        <f t="shared" si="1"/>
        <v>0.81893172883699406</v>
      </c>
      <c r="O23" s="11"/>
      <c r="P23" s="2">
        <f>--13622.82</f>
        <v>13622.82</v>
      </c>
      <c r="Q23" s="2"/>
      <c r="R23" s="19"/>
      <c r="S23" s="2"/>
      <c r="T23" s="2">
        <f>--6056.31</f>
        <v>6056.31</v>
      </c>
      <c r="U23" s="2"/>
      <c r="V23" s="19"/>
      <c r="W23" s="2"/>
      <c r="X23" s="2">
        <f t="shared" si="2"/>
        <v>7566.5099999999993</v>
      </c>
      <c r="Y23" s="2"/>
      <c r="Z23" s="19">
        <f t="shared" si="3"/>
        <v>1.2493597586649294</v>
      </c>
    </row>
    <row r="24" spans="1:26" s="24" customFormat="1" hidden="1" outlineLevel="1" x14ac:dyDescent="0.25">
      <c r="A24" s="44"/>
      <c r="B24" s="11" t="str">
        <f>CONCATENATE("          ", "4184", " - ", "NON-TAXABLE SALES-SOFTWARE LIC")</f>
        <v xml:space="preserve">          4184 - NON-TAXABLE SALES-SOFTWARE LIC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0</f>
        <v>0</v>
      </c>
      <c r="Q24" s="2"/>
      <c r="R24" s="19"/>
      <c r="S24" s="2"/>
      <c r="T24" s="2">
        <f>--2728</f>
        <v>2728</v>
      </c>
      <c r="U24" s="2"/>
      <c r="V24" s="19"/>
      <c r="W24" s="2"/>
      <c r="X24" s="2">
        <f t="shared" si="2"/>
        <v>-2728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"4185", " - ", "NON-TAXABLE SALES-SOFTWARE")</f>
        <v xml:space="preserve">          4185 - NON-TAXABLE SALES-SOFTWARE</v>
      </c>
      <c r="C25" s="11"/>
      <c r="D25" s="2">
        <f>--5296.67</f>
        <v>5296.67</v>
      </c>
      <c r="E25" s="2"/>
      <c r="F25" s="19"/>
      <c r="G25" s="2"/>
      <c r="H25" s="2">
        <f>--817.97</f>
        <v>817.97</v>
      </c>
      <c r="I25" s="2"/>
      <c r="J25" s="19"/>
      <c r="K25" s="2"/>
      <c r="L25" s="2">
        <f t="shared" si="0"/>
        <v>4478.7</v>
      </c>
      <c r="M25" s="2"/>
      <c r="N25" s="19">
        <f t="shared" si="1"/>
        <v>5.4753841827939898</v>
      </c>
      <c r="O25" s="11"/>
      <c r="P25" s="2">
        <f>--35127.19</f>
        <v>35127.19</v>
      </c>
      <c r="Q25" s="2"/>
      <c r="R25" s="19"/>
      <c r="S25" s="2"/>
      <c r="T25" s="2">
        <f>--12145.79</f>
        <v>12145.79</v>
      </c>
      <c r="U25" s="2"/>
      <c r="V25" s="19"/>
      <c r="W25" s="2"/>
      <c r="X25" s="2">
        <f t="shared" si="2"/>
        <v>22981.4</v>
      </c>
      <c r="Y25" s="2"/>
      <c r="Z25" s="19">
        <f t="shared" si="3"/>
        <v>1.8921288775781566</v>
      </c>
    </row>
    <row r="26" spans="1:26" s="24" customFormat="1" hidden="1" outlineLevel="1" x14ac:dyDescent="0.25">
      <c r="A26" s="44"/>
      <c r="B26" s="11" t="str">
        <f>CONCATENATE("          ", "4186", " - ", "NON-TAXABLE SALES-COMPUTER SUP")</f>
        <v xml:space="preserve">          4186 - NON-TAXABLE SALES-COMPUTER SUP</v>
      </c>
      <c r="C26" s="11"/>
      <c r="D26" s="2">
        <f>--345.23</f>
        <v>345.23</v>
      </c>
      <c r="E26" s="2"/>
      <c r="F26" s="19"/>
      <c r="G26" s="2"/>
      <c r="H26" s="2">
        <f>--519.9</f>
        <v>519.9</v>
      </c>
      <c r="I26" s="2"/>
      <c r="J26" s="19"/>
      <c r="K26" s="2"/>
      <c r="L26" s="2">
        <f t="shared" si="0"/>
        <v>-174.66999999999996</v>
      </c>
      <c r="M26" s="2"/>
      <c r="N26" s="19">
        <f t="shared" si="1"/>
        <v>-0.33596845547220611</v>
      </c>
      <c r="O26" s="11"/>
      <c r="P26" s="2">
        <f>--2830.26</f>
        <v>2830.26</v>
      </c>
      <c r="Q26" s="2"/>
      <c r="R26" s="19"/>
      <c r="S26" s="2"/>
      <c r="T26" s="2">
        <f>--2500.18</f>
        <v>2500.1799999999998</v>
      </c>
      <c r="U26" s="2"/>
      <c r="V26" s="19"/>
      <c r="W26" s="2"/>
      <c r="X26" s="2">
        <f t="shared" si="2"/>
        <v>330.08000000000038</v>
      </c>
      <c r="Y26" s="2"/>
      <c r="Z26" s="19">
        <f t="shared" si="3"/>
        <v>0.13202249438040478</v>
      </c>
    </row>
    <row r="27" spans="1:26" s="24" customFormat="1" hidden="1" outlineLevel="1" x14ac:dyDescent="0.25">
      <c r="A27" s="44"/>
      <c r="B27" s="11" t="str">
        <f>CONCATENATE("          ", "4188", " - ", "NON-TAXABLE SALES-MUSIC")</f>
        <v xml:space="preserve">          4188 - NON-TAXABLE SALES-MUSIC</v>
      </c>
      <c r="C27" s="11"/>
      <c r="D27" s="2">
        <f t="shared" ref="D27:D28" si="5">0</f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0</f>
        <v>0</v>
      </c>
      <c r="Q27" s="2"/>
      <c r="R27" s="19"/>
      <c r="S27" s="2"/>
      <c r="T27" s="2">
        <f>--219.96</f>
        <v>219.96</v>
      </c>
      <c r="U27" s="2"/>
      <c r="V27" s="19"/>
      <c r="W27" s="2"/>
      <c r="X27" s="2">
        <f t="shared" si="2"/>
        <v>-219.96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"4281", " - ", "SALES RETURN TAXABLE-ELECTRONI")</f>
        <v xml:space="preserve">          4281 - SALES RETURN TAXABLE-ELECTRONI</v>
      </c>
      <c r="C28" s="11"/>
      <c r="D28" s="2">
        <f t="shared" si="5"/>
        <v>0</v>
      </c>
      <c r="E28" s="2"/>
      <c r="F28" s="19"/>
      <c r="G28" s="2"/>
      <c r="H28" s="2">
        <f>-1117.89</f>
        <v>-1117.8900000000001</v>
      </c>
      <c r="I28" s="2"/>
      <c r="J28" s="19"/>
      <c r="K28" s="2"/>
      <c r="L28" s="2">
        <f t="shared" si="0"/>
        <v>1117.8900000000001</v>
      </c>
      <c r="M28" s="2"/>
      <c r="N28" s="19">
        <f t="shared" si="1"/>
        <v>-1</v>
      </c>
      <c r="O28" s="11"/>
      <c r="P28" s="2">
        <f>-14762.14</f>
        <v>-14762.14</v>
      </c>
      <c r="Q28" s="2"/>
      <c r="R28" s="19"/>
      <c r="S28" s="2"/>
      <c r="T28" s="2">
        <f>-7567.73</f>
        <v>-7567.73</v>
      </c>
      <c r="U28" s="2"/>
      <c r="V28" s="19"/>
      <c r="W28" s="2"/>
      <c r="X28" s="2">
        <f t="shared" si="2"/>
        <v>-7194.41</v>
      </c>
      <c r="Y28" s="2"/>
      <c r="Z28" s="19">
        <f t="shared" si="3"/>
        <v>0.95066948741564516</v>
      </c>
    </row>
    <row r="29" spans="1:26" s="24" customFormat="1" hidden="1" outlineLevel="1" x14ac:dyDescent="0.25">
      <c r="A29" s="44"/>
      <c r="B29" s="11" t="str">
        <f>CONCATENATE("          ", "4282", " - ", "SALES RETURN TAXABLE-COMPUTER")</f>
        <v xml:space="preserve">          4282 - SALES RETURN TAXABLE-COMPUTER</v>
      </c>
      <c r="C29" s="11"/>
      <c r="D29" s="2">
        <f>-32711.15</f>
        <v>-32711.15</v>
      </c>
      <c r="E29" s="2"/>
      <c r="F29" s="19"/>
      <c r="G29" s="2"/>
      <c r="H29" s="2">
        <f>-4341.94</f>
        <v>-4341.9399999999996</v>
      </c>
      <c r="I29" s="2"/>
      <c r="J29" s="19"/>
      <c r="K29" s="2"/>
      <c r="L29" s="2">
        <f t="shared" si="0"/>
        <v>-28369.210000000003</v>
      </c>
      <c r="M29" s="2"/>
      <c r="N29" s="19">
        <f t="shared" si="1"/>
        <v>6.5337637093096648</v>
      </c>
      <c r="O29" s="11"/>
      <c r="P29" s="2">
        <f>-129628.16</f>
        <v>-129628.16</v>
      </c>
      <c r="Q29" s="2"/>
      <c r="R29" s="19"/>
      <c r="S29" s="2"/>
      <c r="T29" s="2">
        <f>-207225.13</f>
        <v>-207225.13</v>
      </c>
      <c r="U29" s="2"/>
      <c r="V29" s="19"/>
      <c r="W29" s="2"/>
      <c r="X29" s="2">
        <f t="shared" si="2"/>
        <v>77596.97</v>
      </c>
      <c r="Y29" s="2"/>
      <c r="Z29" s="19">
        <f t="shared" si="3"/>
        <v>-0.37445733536275255</v>
      </c>
    </row>
    <row r="30" spans="1:26" s="24" customFormat="1" hidden="1" outlineLevel="1" x14ac:dyDescent="0.25">
      <c r="A30" s="44"/>
      <c r="B30" s="11" t="str">
        <f>CONCATENATE("          ", "4283", " - ", "SALES RETURN TAXABLE-COMPUTER")</f>
        <v xml:space="preserve">          4283 - SALES RETURN TAXABLE-COMPUTER</v>
      </c>
      <c r="C30" s="11"/>
      <c r="D30" s="2">
        <f>-212.99</f>
        <v>-212.99</v>
      </c>
      <c r="E30" s="2"/>
      <c r="F30" s="19"/>
      <c r="G30" s="2"/>
      <c r="H30" s="2">
        <f>-910.69</f>
        <v>-910.69</v>
      </c>
      <c r="I30" s="2"/>
      <c r="J30" s="19"/>
      <c r="K30" s="2"/>
      <c r="L30" s="2">
        <f t="shared" si="0"/>
        <v>697.7</v>
      </c>
      <c r="M30" s="2"/>
      <c r="N30" s="19">
        <f t="shared" si="1"/>
        <v>-0.76612239071473276</v>
      </c>
      <c r="O30" s="11"/>
      <c r="P30" s="2">
        <f>-3359.28</f>
        <v>-3359.28</v>
      </c>
      <c r="Q30" s="2"/>
      <c r="R30" s="19"/>
      <c r="S30" s="2"/>
      <c r="T30" s="2">
        <f>-5825.41</f>
        <v>-5825.41</v>
      </c>
      <c r="U30" s="2"/>
      <c r="V30" s="19"/>
      <c r="W30" s="2"/>
      <c r="X30" s="2">
        <f t="shared" si="2"/>
        <v>2466.1299999999997</v>
      </c>
      <c r="Y30" s="2"/>
      <c r="Z30" s="19">
        <f t="shared" si="3"/>
        <v>-0.42334015974841249</v>
      </c>
    </row>
    <row r="31" spans="1:26" s="24" customFormat="1" hidden="1" outlineLevel="1" x14ac:dyDescent="0.25">
      <c r="A31" s="44"/>
      <c r="B31" s="11" t="str">
        <f>CONCATENATE("          ", "4284", " - ", "SALES RETURN TAXABLE-SOFTWARE")</f>
        <v xml:space="preserve">          4284 - SALES RETURN TAXABLE-SOFTWARE</v>
      </c>
      <c r="C31" s="11"/>
      <c r="D31" s="2">
        <f>0</f>
        <v>0</v>
      </c>
      <c r="E31" s="2"/>
      <c r="F31" s="19"/>
      <c r="G31" s="2"/>
      <c r="H31" s="2">
        <f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0</f>
        <v>0</v>
      </c>
      <c r="Q31" s="2"/>
      <c r="R31" s="19"/>
      <c r="S31" s="2"/>
      <c r="T31" s="2">
        <f>-129</f>
        <v>-129</v>
      </c>
      <c r="U31" s="2"/>
      <c r="V31" s="19"/>
      <c r="W31" s="2"/>
      <c r="X31" s="2">
        <f t="shared" si="2"/>
        <v>129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"4285", " - ", "SALES RETURN TAXABLE-SOFTWARE")</f>
        <v xml:space="preserve">          4285 - SALES RETURN TAXABLE-SOFTWARE</v>
      </c>
      <c r="C32" s="11"/>
      <c r="D32" s="2">
        <f>-149.99</f>
        <v>-149.99</v>
      </c>
      <c r="E32" s="2"/>
      <c r="F32" s="19"/>
      <c r="G32" s="2"/>
      <c r="H32" s="2">
        <f>-149.99</f>
        <v>-149.99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-841.97</f>
        <v>-841.97</v>
      </c>
      <c r="Q32" s="2"/>
      <c r="R32" s="19"/>
      <c r="S32" s="2"/>
      <c r="T32" s="2">
        <f>-805.97</f>
        <v>-805.97</v>
      </c>
      <c r="U32" s="2"/>
      <c r="V32" s="19"/>
      <c r="W32" s="2"/>
      <c r="X32" s="2">
        <f t="shared" si="2"/>
        <v>-36</v>
      </c>
      <c r="Y32" s="2"/>
      <c r="Z32" s="19">
        <f t="shared" si="3"/>
        <v>4.4666674938273136E-2</v>
      </c>
    </row>
    <row r="33" spans="1:26" s="24" customFormat="1" hidden="1" outlineLevel="1" x14ac:dyDescent="0.25">
      <c r="A33" s="44"/>
      <c r="B33" s="11" t="str">
        <f>CONCATENATE("          ", "4286", " - ", "SALES RETURN TAXABLE-COMPUTER")</f>
        <v xml:space="preserve">          4286 - SALES RETURN TAXABLE-COMPUTER</v>
      </c>
      <c r="C33" s="11"/>
      <c r="D33" s="2">
        <f>-34.97</f>
        <v>-34.97</v>
      </c>
      <c r="E33" s="2"/>
      <c r="F33" s="19"/>
      <c r="G33" s="2"/>
      <c r="H33" s="2">
        <f>-290.88</f>
        <v>-290.88</v>
      </c>
      <c r="I33" s="2"/>
      <c r="J33" s="19"/>
      <c r="K33" s="2"/>
      <c r="L33" s="2">
        <f t="shared" si="0"/>
        <v>255.91</v>
      </c>
      <c r="M33" s="2"/>
      <c r="N33" s="19">
        <f t="shared" si="1"/>
        <v>-0.87977860286028609</v>
      </c>
      <c r="O33" s="11"/>
      <c r="P33" s="2">
        <f>-4762.31</f>
        <v>-4762.3100000000004</v>
      </c>
      <c r="Q33" s="2"/>
      <c r="R33" s="19"/>
      <c r="S33" s="2"/>
      <c r="T33" s="2">
        <f>-3582.89</f>
        <v>-3582.89</v>
      </c>
      <c r="U33" s="2"/>
      <c r="V33" s="19"/>
      <c r="W33" s="2"/>
      <c r="X33" s="2">
        <f t="shared" si="2"/>
        <v>-1179.4200000000005</v>
      </c>
      <c r="Y33" s="2"/>
      <c r="Z33" s="19">
        <f t="shared" si="3"/>
        <v>0.32918119171953381</v>
      </c>
    </row>
    <row r="34" spans="1:26" s="24" customFormat="1" hidden="1" outlineLevel="1" x14ac:dyDescent="0.25">
      <c r="A34" s="44"/>
      <c r="B34" s="11" t="str">
        <f>CONCATENATE("          ", "4288", " - ", "TAXABLE SALES RETURN-MUSIC")</f>
        <v xml:space="preserve">          4288 - TAXABLE SALES RETURN-MUSIC</v>
      </c>
      <c r="C34" s="11"/>
      <c r="D34" s="2">
        <f t="shared" ref="D34:D37" si="6">0</f>
        <v>0</v>
      </c>
      <c r="E34" s="2"/>
      <c r="F34" s="19"/>
      <c r="G34" s="2"/>
      <c r="H34" s="2">
        <f t="shared" ref="H34:H37" si="7"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0</f>
        <v>0</v>
      </c>
      <c r="Q34" s="2"/>
      <c r="R34" s="19"/>
      <c r="S34" s="2"/>
      <c r="T34" s="2">
        <f>-3.99</f>
        <v>-3.99</v>
      </c>
      <c r="U34" s="2"/>
      <c r="V34" s="19"/>
      <c r="W34" s="2"/>
      <c r="X34" s="2">
        <f t="shared" si="2"/>
        <v>3.99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"4381", " - ", "SALES RETURN NON TAXABLE-ELECT")</f>
        <v xml:space="preserve">          4381 - SALES RETURN NON TAXABLE-ELECT</v>
      </c>
      <c r="C35" s="11"/>
      <c r="D35" s="2">
        <f t="shared" si="6"/>
        <v>0</v>
      </c>
      <c r="E35" s="2"/>
      <c r="F35" s="19"/>
      <c r="G35" s="2"/>
      <c r="H35" s="2">
        <f t="shared" si="7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-5624.15</f>
        <v>-5624.15</v>
      </c>
      <c r="Q35" s="2"/>
      <c r="R35" s="19"/>
      <c r="S35" s="2"/>
      <c r="T35" s="2">
        <f>-1279.84</f>
        <v>-1279.8399999999999</v>
      </c>
      <c r="U35" s="2"/>
      <c r="V35" s="19"/>
      <c r="W35" s="2"/>
      <c r="X35" s="2">
        <f t="shared" si="2"/>
        <v>-4344.3099999999995</v>
      </c>
      <c r="Y35" s="2"/>
      <c r="Z35" s="19">
        <f t="shared" si="3"/>
        <v>3.3944164895611948</v>
      </c>
    </row>
    <row r="36" spans="1:26" s="24" customFormat="1" hidden="1" outlineLevel="1" x14ac:dyDescent="0.25">
      <c r="A36" s="44"/>
      <c r="B36" s="11" t="str">
        <f>CONCATENATE("          ", "4383", " - ", "SALES RETURN NON TAXABLE-COMPU")</f>
        <v xml:space="preserve">          4383 - SALES RETURN NON TAXABLE-COMPU</v>
      </c>
      <c r="C36" s="11"/>
      <c r="D36" s="2">
        <f t="shared" si="6"/>
        <v>0</v>
      </c>
      <c r="E36" s="2"/>
      <c r="F36" s="19"/>
      <c r="G36" s="2"/>
      <c r="H36" s="2">
        <f t="shared" si="7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 t="shared" ref="P36:P37" si="8">0</f>
        <v>0</v>
      </c>
      <c r="Q36" s="2"/>
      <c r="R36" s="19"/>
      <c r="S36" s="2"/>
      <c r="T36" s="2">
        <f>-49.98</f>
        <v>-49.98</v>
      </c>
      <c r="U36" s="2"/>
      <c r="V36" s="19"/>
      <c r="W36" s="2"/>
      <c r="X36" s="2">
        <f t="shared" si="2"/>
        <v>49.98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"4386", " - ", "SALES RETURN NON TAXABLE-COMPU")</f>
        <v xml:space="preserve">          4386 - SALES RETURN NON TAXABLE-COMPU</v>
      </c>
      <c r="C37" s="11"/>
      <c r="D37" s="2">
        <f t="shared" si="6"/>
        <v>0</v>
      </c>
      <c r="E37" s="2"/>
      <c r="F37" s="19"/>
      <c r="G37" s="2"/>
      <c r="H37" s="2">
        <f t="shared" si="7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 t="shared" si="8"/>
        <v>0</v>
      </c>
      <c r="Q37" s="2"/>
      <c r="R37" s="19"/>
      <c r="S37" s="2"/>
      <c r="T37" s="2">
        <f>-104.96</f>
        <v>-104.96</v>
      </c>
      <c r="U37" s="2"/>
      <c r="V37" s="19"/>
      <c r="W37" s="2"/>
      <c r="X37" s="2">
        <f t="shared" si="2"/>
        <v>104.96</v>
      </c>
      <c r="Y37" s="2"/>
      <c r="Z37" s="19">
        <f t="shared" si="3"/>
        <v>-1</v>
      </c>
    </row>
    <row r="38" spans="1:26" x14ac:dyDescent="0.25">
      <c r="A38" s="9"/>
      <c r="B38" s="10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collapsed="1" x14ac:dyDescent="0.25">
      <c r="A39" s="10"/>
      <c r="B39" s="28" t="s">
        <v>8</v>
      </c>
      <c r="C39" s="10"/>
      <c r="D39" s="4">
        <f>SUM(OSRRefD16x_0)</f>
        <v>181960.00000000003</v>
      </c>
      <c r="E39" s="4"/>
      <c r="F39" s="12">
        <f t="shared" ref="F39:F52" si="9">IF(D$12=0,0,D39/D$12)</f>
        <v>0.97862224552070309</v>
      </c>
      <c r="G39" s="4"/>
      <c r="H39" s="4">
        <f>SUM(OSRRefH16x_0)</f>
        <v>83912.250000000015</v>
      </c>
      <c r="I39" s="4"/>
      <c r="J39" s="12">
        <f t="shared" ref="J39:J52" si="10">IF(H$12=0,0,H39/H$12)</f>
        <v>0.66848203280644369</v>
      </c>
      <c r="K39" s="4"/>
      <c r="L39" s="4">
        <f t="shared" ref="L39:L52" si="11">+D39-H39</f>
        <v>98047.750000000015</v>
      </c>
      <c r="M39" s="4"/>
      <c r="N39" s="12">
        <f t="shared" ref="N39:N52" si="12">IF(H39=0,0,L39/H39)</f>
        <v>1.1684557379881959</v>
      </c>
      <c r="O39" s="10"/>
      <c r="P39" s="4">
        <f>SUM(OSRRefP16x_0)</f>
        <v>1508495.84</v>
      </c>
      <c r="Q39" s="4"/>
      <c r="R39" s="12">
        <f t="shared" ref="R39:R52" si="13">IF(P$12=0,0,P39/P$12)</f>
        <v>0.94845844426481918</v>
      </c>
      <c r="S39" s="4"/>
      <c r="T39" s="4">
        <f>SUM(OSRRefT16x_0)</f>
        <v>1672221.5300000003</v>
      </c>
      <c r="U39" s="4"/>
      <c r="V39" s="12">
        <f t="shared" ref="V39:V52" si="14">IF(T$12=0,0,T39/T$12)</f>
        <v>0.86912329208063599</v>
      </c>
      <c r="W39" s="4"/>
      <c r="X39" s="4">
        <f t="shared" ref="X39:X52" si="15">+P39-T39</f>
        <v>-163725.69000000018</v>
      </c>
      <c r="Y39" s="4"/>
      <c r="Z39" s="12">
        <f t="shared" ref="Z39:Z52" si="16">IF(T39=0,0,X39/T39)</f>
        <v>-9.7909091028148737E-2</v>
      </c>
    </row>
    <row r="40" spans="1:26" s="24" customFormat="1" hidden="1" outlineLevel="1" x14ac:dyDescent="0.25">
      <c r="A40" s="44"/>
      <c r="B40" s="11" t="str">
        <f>CONCATENATE("          ", "5081", " - ", "PURCHASES @ COST-ELECTRONICS")</f>
        <v xml:space="preserve">          5081 - PURCHASES @ COST-ELECTRONICS</v>
      </c>
      <c r="C40" s="11"/>
      <c r="D40" s="2">
        <v>6584.13</v>
      </c>
      <c r="E40" s="2"/>
      <c r="F40" s="19">
        <f t="shared" si="9"/>
        <v>3.5410947930315594E-2</v>
      </c>
      <c r="G40" s="2"/>
      <c r="H40" s="2">
        <v>7374.68</v>
      </c>
      <c r="I40" s="2"/>
      <c r="J40" s="19">
        <f t="shared" si="10"/>
        <v>5.8749956981215781E-2</v>
      </c>
      <c r="K40" s="2"/>
      <c r="L40" s="2">
        <f t="shared" si="11"/>
        <v>-790.55000000000018</v>
      </c>
      <c r="M40" s="2"/>
      <c r="N40" s="19">
        <f t="shared" si="12"/>
        <v>-0.10719787163646424</v>
      </c>
      <c r="O40" s="11"/>
      <c r="P40" s="2">
        <v>32157.900000000005</v>
      </c>
      <c r="Q40" s="2"/>
      <c r="R40" s="19">
        <f t="shared" si="13"/>
        <v>2.0219102364129576E-2</v>
      </c>
      <c r="S40" s="2"/>
      <c r="T40" s="2">
        <v>227130.27000000002</v>
      </c>
      <c r="U40" s="2"/>
      <c r="V40" s="19">
        <f t="shared" si="14"/>
        <v>0.11804907690284534</v>
      </c>
      <c r="W40" s="2"/>
      <c r="X40" s="2">
        <f t="shared" si="15"/>
        <v>-194972.37000000002</v>
      </c>
      <c r="Y40" s="2"/>
      <c r="Z40" s="19">
        <f t="shared" si="16"/>
        <v>-0.8584164937592863</v>
      </c>
    </row>
    <row r="41" spans="1:26" s="24" customFormat="1" hidden="1" outlineLevel="1" x14ac:dyDescent="0.25">
      <c r="A41" s="44"/>
      <c r="B41" s="11" t="str">
        <f>CONCATENATE("          ", "5082", " - ", "PURCHASES @ COST-COMPUTER HARD")</f>
        <v xml:space="preserve">          5082 - PURCHASES @ COST-COMPUTER HARD</v>
      </c>
      <c r="C41" s="11"/>
      <c r="D41" s="2">
        <v>184376.31</v>
      </c>
      <c r="E41" s="2"/>
      <c r="F41" s="19">
        <f t="shared" si="9"/>
        <v>0.99161771000781063</v>
      </c>
      <c r="G41" s="2"/>
      <c r="H41" s="2">
        <v>43635.82</v>
      </c>
      <c r="I41" s="2"/>
      <c r="J41" s="19">
        <f t="shared" si="10"/>
        <v>0.34762220839956104</v>
      </c>
      <c r="K41" s="2"/>
      <c r="L41" s="2">
        <f t="shared" si="11"/>
        <v>140740.49</v>
      </c>
      <c r="M41" s="2"/>
      <c r="N41" s="19">
        <f t="shared" si="12"/>
        <v>3.2253430782325161</v>
      </c>
      <c r="O41" s="11"/>
      <c r="P41" s="2">
        <v>1263577.8400000001</v>
      </c>
      <c r="Q41" s="2"/>
      <c r="R41" s="19">
        <f t="shared" si="13"/>
        <v>0.79446760180253506</v>
      </c>
      <c r="S41" s="2"/>
      <c r="T41" s="2">
        <v>1210948.9800000002</v>
      </c>
      <c r="U41" s="2"/>
      <c r="V41" s="19">
        <f t="shared" si="14"/>
        <v>0.62938070414587244</v>
      </c>
      <c r="W41" s="2"/>
      <c r="X41" s="2">
        <f t="shared" si="15"/>
        <v>52628.85999999987</v>
      </c>
      <c r="Y41" s="2"/>
      <c r="Z41" s="19">
        <f t="shared" si="16"/>
        <v>4.3460840109052205E-2</v>
      </c>
    </row>
    <row r="42" spans="1:26" s="24" customFormat="1" hidden="1" outlineLevel="1" x14ac:dyDescent="0.25">
      <c r="A42" s="44"/>
      <c r="B42" s="11" t="str">
        <f>CONCATENATE("          ", "5083", " - ", "PURCHASES @ COST-COMPUTER EQUI")</f>
        <v xml:space="preserve">          5083 - PURCHASES @ COST-COMPUTER EQUI</v>
      </c>
      <c r="C42" s="11"/>
      <c r="D42" s="2">
        <v>8631.6</v>
      </c>
      <c r="E42" s="2"/>
      <c r="F42" s="19">
        <f t="shared" si="9"/>
        <v>4.6422707047903383E-2</v>
      </c>
      <c r="G42" s="2"/>
      <c r="H42" s="2">
        <v>6218.67</v>
      </c>
      <c r="I42" s="2"/>
      <c r="J42" s="19">
        <f t="shared" si="10"/>
        <v>4.9540670914585735E-2</v>
      </c>
      <c r="K42" s="2"/>
      <c r="L42" s="2">
        <f t="shared" si="11"/>
        <v>2412.9300000000003</v>
      </c>
      <c r="M42" s="2"/>
      <c r="N42" s="19">
        <f t="shared" si="12"/>
        <v>0.38801383575587711</v>
      </c>
      <c r="O42" s="11"/>
      <c r="P42" s="2">
        <v>99188.26999999999</v>
      </c>
      <c r="Q42" s="2"/>
      <c r="R42" s="19">
        <f t="shared" si="13"/>
        <v>6.2364078016628022E-2</v>
      </c>
      <c r="S42" s="2"/>
      <c r="T42" s="2">
        <v>71116.739999999991</v>
      </c>
      <c r="U42" s="2"/>
      <c r="V42" s="19">
        <f t="shared" si="14"/>
        <v>3.6962336677271841E-2</v>
      </c>
      <c r="W42" s="2"/>
      <c r="X42" s="2">
        <f t="shared" si="15"/>
        <v>28071.53</v>
      </c>
      <c r="Y42" s="2"/>
      <c r="Z42" s="19">
        <f t="shared" si="16"/>
        <v>0.39472464570226368</v>
      </c>
    </row>
    <row r="43" spans="1:26" s="24" customFormat="1" hidden="1" outlineLevel="1" x14ac:dyDescent="0.25">
      <c r="A43" s="44"/>
      <c r="B43" s="11" t="str">
        <f>CONCATENATE("          ", "5084", " - ", "PURCHASES @ COST-SOFTWARE LICE")</f>
        <v xml:space="preserve">          5084 - PURCHASES @ COST-SOFTWARE LICE</v>
      </c>
      <c r="C43" s="11"/>
      <c r="D43" s="2"/>
      <c r="E43" s="2"/>
      <c r="F43" s="19">
        <f t="shared" si="9"/>
        <v>0</v>
      </c>
      <c r="G43" s="2"/>
      <c r="H43" s="2"/>
      <c r="I43" s="2"/>
      <c r="J43" s="19">
        <f t="shared" si="10"/>
        <v>0</v>
      </c>
      <c r="K43" s="2"/>
      <c r="L43" s="2">
        <f t="shared" si="11"/>
        <v>0</v>
      </c>
      <c r="M43" s="2"/>
      <c r="N43" s="19">
        <f t="shared" si="12"/>
        <v>0</v>
      </c>
      <c r="O43" s="11"/>
      <c r="P43" s="2"/>
      <c r="Q43" s="2"/>
      <c r="R43" s="19">
        <f t="shared" si="13"/>
        <v>0</v>
      </c>
      <c r="S43" s="2"/>
      <c r="T43" s="2">
        <v>2728</v>
      </c>
      <c r="U43" s="2"/>
      <c r="V43" s="19">
        <f t="shared" si="14"/>
        <v>1.417855408664649E-3</v>
      </c>
      <c r="W43" s="2"/>
      <c r="X43" s="2">
        <f t="shared" si="15"/>
        <v>-2728</v>
      </c>
      <c r="Y43" s="2"/>
      <c r="Z43" s="19">
        <f t="shared" si="16"/>
        <v>-1</v>
      </c>
    </row>
    <row r="44" spans="1:26" s="24" customFormat="1" hidden="1" outlineLevel="1" x14ac:dyDescent="0.25">
      <c r="A44" s="44"/>
      <c r="B44" s="11" t="str">
        <f>CONCATENATE("          ", "5085", " - ", "PURCHASES @ COST-SOFTWARE")</f>
        <v xml:space="preserve">          5085 - PURCHASES @ COST-SOFTWARE</v>
      </c>
      <c r="C44" s="11"/>
      <c r="D44" s="2">
        <v>1399.23</v>
      </c>
      <c r="E44" s="2"/>
      <c r="F44" s="19">
        <f t="shared" si="9"/>
        <v>7.5253770312152845E-3</v>
      </c>
      <c r="G44" s="2"/>
      <c r="H44" s="2">
        <v>1301.73</v>
      </c>
      <c r="I44" s="2"/>
      <c r="J44" s="19">
        <f t="shared" si="10"/>
        <v>1.0370155925566671E-2</v>
      </c>
      <c r="K44" s="2"/>
      <c r="L44" s="2">
        <f t="shared" si="11"/>
        <v>97.5</v>
      </c>
      <c r="M44" s="2"/>
      <c r="N44" s="19">
        <f t="shared" si="12"/>
        <v>7.490032495217902E-2</v>
      </c>
      <c r="O44" s="11"/>
      <c r="P44" s="2">
        <v>30145.449999999997</v>
      </c>
      <c r="Q44" s="2"/>
      <c r="R44" s="19">
        <f t="shared" si="13"/>
        <v>1.8953785519662349E-2</v>
      </c>
      <c r="S44" s="2"/>
      <c r="T44" s="2">
        <v>9162.39</v>
      </c>
      <c r="U44" s="2"/>
      <c r="V44" s="19">
        <f t="shared" si="14"/>
        <v>4.7620763261711479E-3</v>
      </c>
      <c r="W44" s="2"/>
      <c r="X44" s="2">
        <f t="shared" si="15"/>
        <v>20983.059999999998</v>
      </c>
      <c r="Y44" s="2"/>
      <c r="Z44" s="19">
        <f t="shared" si="16"/>
        <v>2.2901295404365016</v>
      </c>
    </row>
    <row r="45" spans="1:26" s="24" customFormat="1" hidden="1" outlineLevel="1" x14ac:dyDescent="0.25">
      <c r="A45" s="44"/>
      <c r="B45" s="11" t="str">
        <f>CONCATENATE("          ", "5086", " - ", "PURCHASES @ COST-COMPUTER SUPP")</f>
        <v xml:space="preserve">          5086 - PURCHASES @ COST-COMPUTER SUPP</v>
      </c>
      <c r="C45" s="11"/>
      <c r="D45" s="2">
        <v>385.43</v>
      </c>
      <c r="E45" s="2"/>
      <c r="F45" s="19">
        <f t="shared" si="9"/>
        <v>2.0729301609751843E-3</v>
      </c>
      <c r="G45" s="2"/>
      <c r="H45" s="2">
        <v>4070.58</v>
      </c>
      <c r="I45" s="2"/>
      <c r="J45" s="19">
        <f t="shared" si="10"/>
        <v>3.2428037540421728E-2</v>
      </c>
      <c r="K45" s="2"/>
      <c r="L45" s="2">
        <f t="shared" si="11"/>
        <v>-3685.15</v>
      </c>
      <c r="M45" s="2"/>
      <c r="N45" s="19">
        <f t="shared" si="12"/>
        <v>-0.90531324774356481</v>
      </c>
      <c r="O45" s="11"/>
      <c r="P45" s="2">
        <v>23125.279999999999</v>
      </c>
      <c r="Q45" s="2"/>
      <c r="R45" s="19">
        <f t="shared" si="13"/>
        <v>1.4539892328763954E-2</v>
      </c>
      <c r="S45" s="2"/>
      <c r="T45" s="2">
        <v>29002.1</v>
      </c>
      <c r="U45" s="2"/>
      <c r="V45" s="19">
        <f t="shared" si="14"/>
        <v>1.5073601300451985E-2</v>
      </c>
      <c r="W45" s="2"/>
      <c r="X45" s="2">
        <f t="shared" si="15"/>
        <v>-5876.82</v>
      </c>
      <c r="Y45" s="2"/>
      <c r="Z45" s="19">
        <f t="shared" si="16"/>
        <v>-0.20263429199954486</v>
      </c>
    </row>
    <row r="46" spans="1:26" s="24" customFormat="1" hidden="1" outlineLevel="1" x14ac:dyDescent="0.25">
      <c r="A46" s="44"/>
      <c r="B46" s="11" t="str">
        <f>CONCATENATE("          ", "5088", " - ", "PURCHASES @ COST-MUSIC")</f>
        <v xml:space="preserve">          5088 - PURCHASES @ COST-MUSIC</v>
      </c>
      <c r="C46" s="11"/>
      <c r="D46" s="2"/>
      <c r="E46" s="2"/>
      <c r="F46" s="19">
        <f t="shared" si="9"/>
        <v>0</v>
      </c>
      <c r="G46" s="2"/>
      <c r="H46" s="2">
        <v>6.9</v>
      </c>
      <c r="I46" s="2"/>
      <c r="J46" s="19">
        <f t="shared" si="10"/>
        <v>5.4968446518410137E-5</v>
      </c>
      <c r="K46" s="2"/>
      <c r="L46" s="2">
        <f t="shared" si="11"/>
        <v>-6.9</v>
      </c>
      <c r="M46" s="2"/>
      <c r="N46" s="19">
        <f t="shared" si="12"/>
        <v>-1</v>
      </c>
      <c r="O46" s="11"/>
      <c r="P46" s="2"/>
      <c r="Q46" s="2"/>
      <c r="R46" s="19">
        <f t="shared" si="13"/>
        <v>0</v>
      </c>
      <c r="S46" s="2"/>
      <c r="T46" s="2">
        <v>95.65</v>
      </c>
      <c r="U46" s="2"/>
      <c r="V46" s="19">
        <f t="shared" si="14"/>
        <v>4.9713295395444897E-5</v>
      </c>
      <c r="W46" s="2"/>
      <c r="X46" s="2">
        <f t="shared" si="15"/>
        <v>-95.65</v>
      </c>
      <c r="Y46" s="2"/>
      <c r="Z46" s="19">
        <f t="shared" si="16"/>
        <v>-1</v>
      </c>
    </row>
    <row r="47" spans="1:26" s="24" customFormat="1" hidden="1" outlineLevel="1" x14ac:dyDescent="0.25">
      <c r="A47" s="44"/>
      <c r="B47" s="11" t="str">
        <f>CONCATENATE("          ", "5200", " - ", "PURCHASES OFFSET")</f>
        <v xml:space="preserve">          5200 - PURCHASES OFFSET</v>
      </c>
      <c r="C47" s="11"/>
      <c r="D47" s="2">
        <v>-201407.69999999998</v>
      </c>
      <c r="E47" s="2"/>
      <c r="F47" s="19">
        <f t="shared" si="9"/>
        <v>-1.0832163972255444</v>
      </c>
      <c r="G47" s="2"/>
      <c r="H47" s="2">
        <v>-62692</v>
      </c>
      <c r="I47" s="2"/>
      <c r="J47" s="19">
        <f t="shared" si="10"/>
        <v>-0.49943215204814034</v>
      </c>
      <c r="K47" s="2"/>
      <c r="L47" s="2">
        <f t="shared" si="11"/>
        <v>-138715.69999999998</v>
      </c>
      <c r="M47" s="2"/>
      <c r="N47" s="19">
        <f t="shared" si="12"/>
        <v>2.2126539271358383</v>
      </c>
      <c r="O47" s="11"/>
      <c r="P47" s="2">
        <v>-1444671.48</v>
      </c>
      <c r="Q47" s="2"/>
      <c r="R47" s="19">
        <f t="shared" si="13"/>
        <v>-0.90832922972764296</v>
      </c>
      <c r="S47" s="2"/>
      <c r="T47" s="2">
        <v>-1550621</v>
      </c>
      <c r="U47" s="2"/>
      <c r="V47" s="19">
        <f t="shared" si="14"/>
        <v>-0.80592242362132938</v>
      </c>
      <c r="W47" s="2"/>
      <c r="X47" s="2">
        <f t="shared" si="15"/>
        <v>105949.52000000002</v>
      </c>
      <c r="Y47" s="2"/>
      <c r="Z47" s="19">
        <f t="shared" si="16"/>
        <v>-6.8327154088587749E-2</v>
      </c>
    </row>
    <row r="48" spans="1:26" s="24" customFormat="1" hidden="1" outlineLevel="1" x14ac:dyDescent="0.25">
      <c r="A48" s="44"/>
      <c r="B48" s="11" t="str">
        <f>CONCATENATE("          ", "5300", " - ", "COG$ OFFSET")</f>
        <v xml:space="preserve">          5300 - COG$ OFFSET</v>
      </c>
      <c r="C48" s="11"/>
      <c r="D48" s="2">
        <v>181960</v>
      </c>
      <c r="E48" s="2"/>
      <c r="F48" s="19">
        <f t="shared" si="9"/>
        <v>0.97862224552070287</v>
      </c>
      <c r="G48" s="2"/>
      <c r="H48" s="2">
        <v>83913</v>
      </c>
      <c r="I48" s="2"/>
      <c r="J48" s="19">
        <f t="shared" si="10"/>
        <v>0.66848800763758687</v>
      </c>
      <c r="K48" s="2"/>
      <c r="L48" s="2">
        <f t="shared" si="11"/>
        <v>98047</v>
      </c>
      <c r="M48" s="2"/>
      <c r="N48" s="19">
        <f t="shared" si="12"/>
        <v>1.1684363567027756</v>
      </c>
      <c r="O48" s="11"/>
      <c r="P48" s="2">
        <v>1504550</v>
      </c>
      <c r="Q48" s="2"/>
      <c r="R48" s="19">
        <f t="shared" si="13"/>
        <v>0.94597751911508998</v>
      </c>
      <c r="S48" s="2"/>
      <c r="T48" s="2">
        <v>1672220</v>
      </c>
      <c r="U48" s="2"/>
      <c r="V48" s="19">
        <f t="shared" si="14"/>
        <v>0.86912249687580623</v>
      </c>
      <c r="W48" s="2"/>
      <c r="X48" s="2">
        <f t="shared" si="15"/>
        <v>-167670</v>
      </c>
      <c r="Y48" s="2"/>
      <c r="Z48" s="19">
        <f t="shared" si="16"/>
        <v>-0.10026790733276722</v>
      </c>
    </row>
    <row r="49" spans="1:26" s="24" customFormat="1" hidden="1" outlineLevel="1" x14ac:dyDescent="0.25">
      <c r="A49" s="44"/>
      <c r="B49" s="11" t="str">
        <f>CONCATENATE("          ", "5581", " - ", "FREIGHT-IN-ELECTRONICS")</f>
        <v xml:space="preserve">          5581 - FREIGHT-IN-ELECTRONICS</v>
      </c>
      <c r="C49" s="11"/>
      <c r="D49" s="2"/>
      <c r="E49" s="2"/>
      <c r="F49" s="19">
        <f t="shared" si="9"/>
        <v>0</v>
      </c>
      <c r="G49" s="2"/>
      <c r="H49" s="2"/>
      <c r="I49" s="2"/>
      <c r="J49" s="19">
        <f t="shared" si="10"/>
        <v>0</v>
      </c>
      <c r="K49" s="2"/>
      <c r="L49" s="2">
        <f t="shared" si="11"/>
        <v>0</v>
      </c>
      <c r="M49" s="2"/>
      <c r="N49" s="19">
        <f t="shared" si="12"/>
        <v>0</v>
      </c>
      <c r="O49" s="11"/>
      <c r="P49" s="2">
        <v>31</v>
      </c>
      <c r="Q49" s="2"/>
      <c r="R49" s="19">
        <f t="shared" si="13"/>
        <v>1.9491079121709341E-5</v>
      </c>
      <c r="S49" s="2"/>
      <c r="T49" s="2">
        <v>105.75</v>
      </c>
      <c r="U49" s="2"/>
      <c r="V49" s="19">
        <f t="shared" si="14"/>
        <v>5.4962686754503898E-5</v>
      </c>
      <c r="W49" s="2"/>
      <c r="X49" s="2">
        <f t="shared" si="15"/>
        <v>-74.75</v>
      </c>
      <c r="Y49" s="2"/>
      <c r="Z49" s="19">
        <f t="shared" si="16"/>
        <v>-0.70685579196217496</v>
      </c>
    </row>
    <row r="50" spans="1:26" s="24" customFormat="1" hidden="1" outlineLevel="1" x14ac:dyDescent="0.25">
      <c r="A50" s="44"/>
      <c r="B50" s="11" t="str">
        <f>CONCATENATE("          ", "5582", " - ", "FREIGHT-IN-COMPUTER HARDWARE")</f>
        <v xml:space="preserve">          5582 - FREIGHT-IN-COMPUTER HARDWARE</v>
      </c>
      <c r="C50" s="11"/>
      <c r="D50" s="2">
        <v>31</v>
      </c>
      <c r="E50" s="2"/>
      <c r="F50" s="19">
        <f t="shared" si="9"/>
        <v>1.6672504732436684E-4</v>
      </c>
      <c r="G50" s="2"/>
      <c r="H50" s="2"/>
      <c r="I50" s="2"/>
      <c r="J50" s="19">
        <f t="shared" si="10"/>
        <v>0</v>
      </c>
      <c r="K50" s="2"/>
      <c r="L50" s="2">
        <f t="shared" si="11"/>
        <v>31</v>
      </c>
      <c r="M50" s="2"/>
      <c r="N50" s="19">
        <f t="shared" si="12"/>
        <v>0</v>
      </c>
      <c r="O50" s="11"/>
      <c r="P50" s="2">
        <v>125</v>
      </c>
      <c r="Q50" s="2"/>
      <c r="R50" s="19">
        <f t="shared" si="13"/>
        <v>7.8593060974634438E-5</v>
      </c>
      <c r="S50" s="2"/>
      <c r="T50" s="2">
        <v>4.84</v>
      </c>
      <c r="U50" s="2"/>
      <c r="V50" s="19">
        <f t="shared" si="14"/>
        <v>2.5155499185985706E-6</v>
      </c>
      <c r="W50" s="2"/>
      <c r="X50" s="2">
        <f t="shared" si="15"/>
        <v>120.16</v>
      </c>
      <c r="Y50" s="2"/>
      <c r="Z50" s="19">
        <f t="shared" si="16"/>
        <v>24.826446280991735</v>
      </c>
    </row>
    <row r="51" spans="1:26" s="24" customFormat="1" hidden="1" outlineLevel="1" x14ac:dyDescent="0.25">
      <c r="A51" s="44"/>
      <c r="B51" s="11" t="str">
        <f>CONCATENATE("          ", "5583", " - ", "FREIGHT-IN-COMPUTER EQUIPMENT")</f>
        <v xml:space="preserve">          5583 - FREIGHT-IN-COMPUTER EQUIPMENT</v>
      </c>
      <c r="C51" s="11"/>
      <c r="D51" s="2"/>
      <c r="E51" s="2"/>
      <c r="F51" s="19">
        <f t="shared" si="9"/>
        <v>0</v>
      </c>
      <c r="G51" s="2"/>
      <c r="H51" s="2">
        <v>8.3800000000000008</v>
      </c>
      <c r="I51" s="2"/>
      <c r="J51" s="19">
        <f t="shared" si="10"/>
        <v>6.6758779974532891E-5</v>
      </c>
      <c r="K51" s="2"/>
      <c r="L51" s="2">
        <f t="shared" si="11"/>
        <v>-8.3800000000000008</v>
      </c>
      <c r="M51" s="2"/>
      <c r="N51" s="19">
        <f t="shared" si="12"/>
        <v>-1</v>
      </c>
      <c r="O51" s="11"/>
      <c r="P51" s="2">
        <v>242.46</v>
      </c>
      <c r="Q51" s="2"/>
      <c r="R51" s="19">
        <f t="shared" si="13"/>
        <v>1.5244538851127894E-4</v>
      </c>
      <c r="S51" s="2"/>
      <c r="T51" s="2">
        <v>57.5</v>
      </c>
      <c r="U51" s="2"/>
      <c r="V51" s="19">
        <f t="shared" si="14"/>
        <v>2.9885148826325994E-5</v>
      </c>
      <c r="W51" s="2"/>
      <c r="X51" s="2">
        <f t="shared" si="15"/>
        <v>184.96</v>
      </c>
      <c r="Y51" s="2"/>
      <c r="Z51" s="19">
        <f t="shared" si="16"/>
        <v>3.2166956521739132</v>
      </c>
    </row>
    <row r="52" spans="1:26" s="24" customFormat="1" hidden="1" outlineLevel="1" x14ac:dyDescent="0.25">
      <c r="A52" s="44"/>
      <c r="B52" s="11" t="str">
        <f>CONCATENATE("          ", "5586", " - ", "FREIGHT-IN-COMPUTER SUPPLIES")</f>
        <v xml:space="preserve">          5586 - FREIGHT-IN-COMPUTER SUPPLIES</v>
      </c>
      <c r="C52" s="11"/>
      <c r="D52" s="2"/>
      <c r="E52" s="2"/>
      <c r="F52" s="19">
        <f t="shared" si="9"/>
        <v>0</v>
      </c>
      <c r="G52" s="2"/>
      <c r="H52" s="2">
        <v>74.489999999999995</v>
      </c>
      <c r="I52" s="2"/>
      <c r="J52" s="19">
        <f t="shared" si="10"/>
        <v>5.9342022915309721E-4</v>
      </c>
      <c r="K52" s="2"/>
      <c r="L52" s="2">
        <f t="shared" si="11"/>
        <v>-74.489999999999995</v>
      </c>
      <c r="M52" s="2"/>
      <c r="N52" s="19">
        <f t="shared" si="12"/>
        <v>-1</v>
      </c>
      <c r="O52" s="11"/>
      <c r="P52" s="2">
        <v>24.12</v>
      </c>
      <c r="Q52" s="2"/>
      <c r="R52" s="19">
        <f t="shared" si="13"/>
        <v>1.5165317045665462E-5</v>
      </c>
      <c r="S52" s="2"/>
      <c r="T52" s="2">
        <v>270.31</v>
      </c>
      <c r="U52" s="2"/>
      <c r="V52" s="19">
        <f t="shared" si="14"/>
        <v>1.404913839868553E-4</v>
      </c>
      <c r="W52" s="2"/>
      <c r="X52" s="2">
        <f t="shared" si="15"/>
        <v>-246.19</v>
      </c>
      <c r="Y52" s="2"/>
      <c r="Z52" s="19">
        <f t="shared" si="16"/>
        <v>-0.91076911693980989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9" t="s">
        <v>6</v>
      </c>
      <c r="C54" s="29"/>
      <c r="D54" s="22">
        <f>D12-D39</f>
        <v>3974.8699999999953</v>
      </c>
      <c r="E54" s="14"/>
      <c r="F54" s="20">
        <f>IF(D$12=0,0,D54/D$12)</f>
        <v>2.1377754479296945E-2</v>
      </c>
      <c r="G54" s="14"/>
      <c r="H54" s="22">
        <f>H12-H39</f>
        <v>41614.309999999969</v>
      </c>
      <c r="I54" s="14"/>
      <c r="J54" s="20">
        <f>IF(H$12=0,0,H54/H$12)</f>
        <v>0.33151796719355631</v>
      </c>
      <c r="K54" s="16"/>
      <c r="L54" s="22">
        <f>+D54-H54</f>
        <v>-37639.439999999973</v>
      </c>
      <c r="M54" s="16"/>
      <c r="N54" s="20">
        <f>IF(H54=0,0,L54/H54)</f>
        <v>-0.90448309728071907</v>
      </c>
      <c r="O54" s="28"/>
      <c r="P54" s="22">
        <f>P12-P39</f>
        <v>81975.35999999987</v>
      </c>
      <c r="Q54" s="14"/>
      <c r="R54" s="20">
        <f>IF(P$12=0,0,P54/P$12)</f>
        <v>5.1541555735180787E-2</v>
      </c>
      <c r="S54" s="14"/>
      <c r="T54" s="22">
        <f>T12-T39</f>
        <v>251811.05000000051</v>
      </c>
      <c r="U54" s="14"/>
      <c r="V54" s="20">
        <f>IF(T$12=0,0,T54/T$12)</f>
        <v>0.13087670791936404</v>
      </c>
      <c r="W54" s="16"/>
      <c r="X54" s="22">
        <f>+P54-T54</f>
        <v>-169835.69000000064</v>
      </c>
      <c r="Y54" s="16"/>
      <c r="Z54" s="20">
        <f>IF(T54=0,0,X54/T54)</f>
        <v>-0.67445685961755963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8" t="s">
        <v>9</v>
      </c>
      <c r="C56" s="10"/>
      <c r="D56" s="21">
        <f>SUM(OSRRefD22x_0)</f>
        <v>12623.33</v>
      </c>
      <c r="E56" s="21"/>
      <c r="F56" s="32">
        <f t="shared" ref="F56:F66" si="17">IF(D$12=0,0,D56/D$12)</f>
        <v>6.789113844003547E-2</v>
      </c>
      <c r="G56" s="21"/>
      <c r="H56" s="21">
        <f>SUM(OSRRefH22x_0)</f>
        <v>14433.640000000001</v>
      </c>
      <c r="I56" s="21"/>
      <c r="J56" s="32">
        <f t="shared" ref="J56:J66" si="18">IF(H$12=0,0,H56/H$12)</f>
        <v>0.1149847490443457</v>
      </c>
      <c r="K56" s="4"/>
      <c r="L56" s="21">
        <f t="shared" ref="L56:L66" si="19">+D56-H56</f>
        <v>-1810.3100000000013</v>
      </c>
      <c r="M56" s="4"/>
      <c r="N56" s="32">
        <f t="shared" ref="N56:N66" si="20">IF(H56=0,0,L56/H56)</f>
        <v>-0.12542297022788437</v>
      </c>
      <c r="O56" s="10"/>
      <c r="P56" s="21">
        <f>SUM(OSRRefP22x_0)</f>
        <v>107108.01999999999</v>
      </c>
      <c r="Q56" s="21"/>
      <c r="R56" s="32">
        <f t="shared" ref="R56:R66" si="21">IF(P$12=0,0,P56/P$12)</f>
        <v>6.7343577173858915E-2</v>
      </c>
      <c r="S56" s="21"/>
      <c r="T56" s="21">
        <f>SUM(OSRRefT22x_0)</f>
        <v>160499.60000000003</v>
      </c>
      <c r="U56" s="21"/>
      <c r="V56" s="32">
        <f t="shared" ref="V56:V66" si="22">IF(T$12=0,0,T56/T$12)</f>
        <v>8.3418337957665956E-2</v>
      </c>
      <c r="W56" s="4"/>
      <c r="X56" s="21">
        <f t="shared" ref="X56:X66" si="23">+P56-T56</f>
        <v>-53391.580000000045</v>
      </c>
      <c r="Y56" s="4"/>
      <c r="Z56" s="32">
        <f t="shared" ref="Z56:Z66" si="24">IF(T56=0,0,X56/T56)</f>
        <v>-0.33265864837046344</v>
      </c>
    </row>
    <row r="57" spans="1:26" s="25" customFormat="1" outlineLevel="1" collapsed="1" x14ac:dyDescent="0.25">
      <c r="A57" s="27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2731.1200000000003</v>
      </c>
      <c r="E57" s="1"/>
      <c r="F57" s="5">
        <f t="shared" si="17"/>
        <v>1.4688584233823382E-2</v>
      </c>
      <c r="G57" s="1"/>
      <c r="H57" s="1">
        <f>SUM(OSRRefH22_0x_0)</f>
        <v>3042.6499999999992</v>
      </c>
      <c r="I57" s="1"/>
      <c r="J57" s="5">
        <f t="shared" si="18"/>
        <v>2.423909330423776E-2</v>
      </c>
      <c r="K57" s="1"/>
      <c r="L57" s="1">
        <f t="shared" si="19"/>
        <v>-311.52999999999884</v>
      </c>
      <c r="M57" s="1"/>
      <c r="N57" s="5">
        <f t="shared" si="20"/>
        <v>-0.10238772122984863</v>
      </c>
      <c r="O57" s="13"/>
      <c r="P57" s="1">
        <f>SUM(OSRRefP22_0x_0)</f>
        <v>23297.929999999997</v>
      </c>
      <c r="Q57" s="1"/>
      <c r="R57" s="5">
        <f t="shared" si="21"/>
        <v>1.4648445064582117E-2</v>
      </c>
      <c r="S57" s="1"/>
      <c r="T57" s="1">
        <f>SUM(OSRRefT22_0x_0)</f>
        <v>24441.55</v>
      </c>
      <c r="U57" s="1"/>
      <c r="V57" s="5">
        <f t="shared" si="22"/>
        <v>1.2703293205149358E-2</v>
      </c>
      <c r="W57" s="1"/>
      <c r="X57" s="1">
        <f t="shared" si="23"/>
        <v>-1143.6200000000026</v>
      </c>
      <c r="Y57" s="1"/>
      <c r="Z57" s="5">
        <f t="shared" si="24"/>
        <v>-4.6789994906215139E-2</v>
      </c>
    </row>
    <row r="58" spans="1:26" s="24" customFormat="1" hidden="1" outlineLevel="2" x14ac:dyDescent="0.25">
      <c r="A58" s="26"/>
      <c r="B58" s="11" t="str">
        <f>CONCATENATE("          ", "6111", " - ", "F.I.C.A.")</f>
        <v xml:space="preserve">          6111 - F.I.C.A.</v>
      </c>
      <c r="C58" s="11"/>
      <c r="D58" s="6">
        <v>449.24</v>
      </c>
      <c r="E58" s="2"/>
      <c r="F58" s="7">
        <f t="shared" si="17"/>
        <v>2.4161148470967279E-3</v>
      </c>
      <c r="G58" s="2"/>
      <c r="H58" s="6">
        <v>649.87</v>
      </c>
      <c r="I58" s="2"/>
      <c r="J58" s="7">
        <f t="shared" si="18"/>
        <v>5.1771513534665499E-3</v>
      </c>
      <c r="K58" s="2"/>
      <c r="L58" s="6">
        <f t="shared" si="19"/>
        <v>-200.63</v>
      </c>
      <c r="M58" s="2"/>
      <c r="N58" s="7">
        <f t="shared" si="20"/>
        <v>-0.30872328311816211</v>
      </c>
      <c r="O58" s="11"/>
      <c r="P58" s="6">
        <v>4288.84</v>
      </c>
      <c r="Q58" s="2"/>
      <c r="R58" s="7">
        <f t="shared" si="21"/>
        <v>2.6965845090436095E-3</v>
      </c>
      <c r="S58" s="2"/>
      <c r="T58" s="6">
        <v>5475.38</v>
      </c>
      <c r="U58" s="2"/>
      <c r="V58" s="7">
        <f t="shared" si="22"/>
        <v>2.8457834118380669E-3</v>
      </c>
      <c r="W58" s="2"/>
      <c r="X58" s="6">
        <f t="shared" si="23"/>
        <v>-1186.54</v>
      </c>
      <c r="Y58" s="2"/>
      <c r="Z58" s="7">
        <f t="shared" si="24"/>
        <v>-0.21670459401904524</v>
      </c>
    </row>
    <row r="59" spans="1:26" s="24" customFormat="1" hidden="1" outlineLevel="2" x14ac:dyDescent="0.25">
      <c r="A59" s="26"/>
      <c r="B59" s="11" t="str">
        <f>CONCATENATE("          ", "6112", " - ", "COMPENSATION INSURANCE")</f>
        <v xml:space="preserve">          6112 - COMPENSATION INSURANCE</v>
      </c>
      <c r="C59" s="11"/>
      <c r="D59" s="6">
        <v>145.49</v>
      </c>
      <c r="E59" s="2"/>
      <c r="F59" s="7">
        <f t="shared" si="17"/>
        <v>7.8247829468458497E-4</v>
      </c>
      <c r="G59" s="2"/>
      <c r="H59" s="6">
        <v>213.71</v>
      </c>
      <c r="I59" s="2"/>
      <c r="J59" s="7">
        <f t="shared" si="18"/>
        <v>1.7025082181810769E-3</v>
      </c>
      <c r="K59" s="2"/>
      <c r="L59" s="6">
        <f t="shared" si="19"/>
        <v>-68.22</v>
      </c>
      <c r="M59" s="2"/>
      <c r="N59" s="7">
        <f t="shared" si="20"/>
        <v>-0.31921763136961301</v>
      </c>
      <c r="O59" s="11"/>
      <c r="P59" s="6">
        <v>1174.21</v>
      </c>
      <c r="Q59" s="2"/>
      <c r="R59" s="7">
        <f t="shared" si="21"/>
        <v>7.382780650162041E-4</v>
      </c>
      <c r="S59" s="2"/>
      <c r="T59" s="6">
        <v>1366.89</v>
      </c>
      <c r="U59" s="2"/>
      <c r="V59" s="7">
        <f t="shared" si="22"/>
        <v>7.1042975789942166E-4</v>
      </c>
      <c r="W59" s="2"/>
      <c r="X59" s="6">
        <f t="shared" si="23"/>
        <v>-192.68000000000006</v>
      </c>
      <c r="Y59" s="2"/>
      <c r="Z59" s="7">
        <f t="shared" si="24"/>
        <v>-0.14096233054598398</v>
      </c>
    </row>
    <row r="60" spans="1:26" s="24" customFormat="1" hidden="1" outlineLevel="2" x14ac:dyDescent="0.25">
      <c r="A60" s="26"/>
      <c r="B60" s="11" t="str">
        <f>CONCATENATE("          ", "6113", " - ", "GROUP INSURANCE")</f>
        <v xml:space="preserve">          6113 - GROUP INSURANCE</v>
      </c>
      <c r="C60" s="11"/>
      <c r="D60" s="6">
        <v>1053.8499999999999</v>
      </c>
      <c r="E60" s="2"/>
      <c r="F60" s="7">
        <f t="shared" si="17"/>
        <v>5.6678448749285151E-3</v>
      </c>
      <c r="G60" s="2"/>
      <c r="H60" s="6">
        <v>1376.77</v>
      </c>
      <c r="I60" s="2"/>
      <c r="J60" s="7">
        <f t="shared" si="18"/>
        <v>1.0967957697558192E-2</v>
      </c>
      <c r="K60" s="2"/>
      <c r="L60" s="6">
        <f t="shared" si="19"/>
        <v>-322.92000000000007</v>
      </c>
      <c r="M60" s="2"/>
      <c r="N60" s="7">
        <f t="shared" si="20"/>
        <v>-0.23454898058499246</v>
      </c>
      <c r="O60" s="11"/>
      <c r="P60" s="6">
        <v>8322.48</v>
      </c>
      <c r="Q60" s="2"/>
      <c r="R60" s="7">
        <f t="shared" si="21"/>
        <v>5.2327134248014049E-3</v>
      </c>
      <c r="S60" s="2"/>
      <c r="T60" s="6">
        <v>9188.36</v>
      </c>
      <c r="U60" s="2"/>
      <c r="V60" s="7">
        <f t="shared" si="22"/>
        <v>4.775574018606274E-3</v>
      </c>
      <c r="W60" s="2"/>
      <c r="X60" s="6">
        <f t="shared" si="23"/>
        <v>-865.88000000000102</v>
      </c>
      <c r="Y60" s="2"/>
      <c r="Z60" s="7">
        <f t="shared" si="24"/>
        <v>-9.4236621116282004E-2</v>
      </c>
    </row>
    <row r="61" spans="1:26" s="24" customFormat="1" hidden="1" outlineLevel="2" x14ac:dyDescent="0.25">
      <c r="A61" s="26"/>
      <c r="B61" s="11" t="str">
        <f>CONCATENATE("          ", "6114", " - ", "STATE UNEMPLOYMENT INSURANCE")</f>
        <v xml:space="preserve">          6114 - STATE UNEMPLOYMENT INSURANCE</v>
      </c>
      <c r="C61" s="11"/>
      <c r="D61" s="6">
        <v>20.45</v>
      </c>
      <c r="E61" s="2"/>
      <c r="F61" s="7">
        <f t="shared" si="17"/>
        <v>1.0998474896075166E-4</v>
      </c>
      <c r="G61" s="2"/>
      <c r="H61" s="6">
        <v>29.24</v>
      </c>
      <c r="I61" s="2"/>
      <c r="J61" s="7">
        <f t="shared" si="18"/>
        <v>2.3293875017366844E-4</v>
      </c>
      <c r="K61" s="2"/>
      <c r="L61" s="6">
        <f t="shared" si="19"/>
        <v>-8.7899999999999991</v>
      </c>
      <c r="M61" s="2"/>
      <c r="N61" s="7">
        <f t="shared" si="20"/>
        <v>-0.30061559507523938</v>
      </c>
      <c r="O61" s="11"/>
      <c r="P61" s="6">
        <v>179.73</v>
      </c>
      <c r="Q61" s="2"/>
      <c r="R61" s="7">
        <f t="shared" si="21"/>
        <v>1.1300424679176837E-4</v>
      </c>
      <c r="S61" s="2"/>
      <c r="T61" s="6">
        <v>215.49</v>
      </c>
      <c r="U61" s="2"/>
      <c r="V61" s="7">
        <f t="shared" si="22"/>
        <v>1.1199914296669546E-4</v>
      </c>
      <c r="W61" s="2"/>
      <c r="X61" s="6">
        <f t="shared" si="23"/>
        <v>-35.760000000000019</v>
      </c>
      <c r="Y61" s="2"/>
      <c r="Z61" s="7">
        <f t="shared" si="24"/>
        <v>-0.16594737574829466</v>
      </c>
    </row>
    <row r="62" spans="1:26" s="24" customFormat="1" hidden="1" outlineLevel="2" x14ac:dyDescent="0.25">
      <c r="A62" s="26"/>
      <c r="B62" s="11" t="str">
        <f>CONCATENATE("          ", "6115", " - ", "P.E.R.S.")</f>
        <v xml:space="preserve">          6115 - P.E.R.S.</v>
      </c>
      <c r="C62" s="11"/>
      <c r="D62" s="6">
        <v>176.42</v>
      </c>
      <c r="E62" s="2"/>
      <c r="F62" s="7">
        <f t="shared" si="17"/>
        <v>9.4882686609563862E-4</v>
      </c>
      <c r="G62" s="2"/>
      <c r="H62" s="6">
        <v>268.89</v>
      </c>
      <c r="I62" s="2"/>
      <c r="J62" s="7">
        <f t="shared" si="18"/>
        <v>2.1420964614978695E-3</v>
      </c>
      <c r="K62" s="2"/>
      <c r="L62" s="6">
        <f t="shared" si="19"/>
        <v>-92.47</v>
      </c>
      <c r="M62" s="2"/>
      <c r="N62" s="7">
        <f t="shared" si="20"/>
        <v>-0.34389527316002827</v>
      </c>
      <c r="O62" s="11"/>
      <c r="P62" s="6">
        <v>1587.78</v>
      </c>
      <c r="Q62" s="2"/>
      <c r="R62" s="7">
        <f t="shared" si="21"/>
        <v>9.9830792283444052E-4</v>
      </c>
      <c r="S62" s="2"/>
      <c r="T62" s="6">
        <v>1955.36</v>
      </c>
      <c r="U62" s="2"/>
      <c r="V62" s="7">
        <f t="shared" si="22"/>
        <v>1.0162821671138224E-3</v>
      </c>
      <c r="W62" s="2"/>
      <c r="X62" s="6">
        <f t="shared" si="23"/>
        <v>-367.57999999999993</v>
      </c>
      <c r="Y62" s="2"/>
      <c r="Z62" s="7">
        <f t="shared" si="24"/>
        <v>-0.18798584403894933</v>
      </c>
    </row>
    <row r="63" spans="1:26" s="24" customFormat="1" hidden="1" outlineLevel="2" x14ac:dyDescent="0.25">
      <c r="A63" s="26"/>
      <c r="B63" s="11" t="str">
        <f>CONCATENATE("          ", "6117", " - ", "RETIREMENT STAFF HOURLY")</f>
        <v xml:space="preserve">          6117 - RETIREMENT STAFF HOURLY</v>
      </c>
      <c r="C63" s="11"/>
      <c r="D63" s="6">
        <v>176</v>
      </c>
      <c r="E63" s="2"/>
      <c r="F63" s="7">
        <f t="shared" si="17"/>
        <v>9.4656801061576007E-4</v>
      </c>
      <c r="G63" s="2"/>
      <c r="H63" s="6">
        <v>94.62</v>
      </c>
      <c r="I63" s="2"/>
      <c r="J63" s="7">
        <f t="shared" si="18"/>
        <v>7.5378469703941552E-4</v>
      </c>
      <c r="K63" s="2"/>
      <c r="L63" s="6">
        <f t="shared" si="19"/>
        <v>81.38</v>
      </c>
      <c r="M63" s="2"/>
      <c r="N63" s="7">
        <f t="shared" si="20"/>
        <v>0.86007186641302036</v>
      </c>
      <c r="O63" s="11"/>
      <c r="P63" s="6">
        <v>1457.04</v>
      </c>
      <c r="Q63" s="2"/>
      <c r="R63" s="7">
        <f t="shared" si="21"/>
        <v>9.1610586849985088E-4</v>
      </c>
      <c r="S63" s="2"/>
      <c r="T63" s="6">
        <v>1289.98</v>
      </c>
      <c r="U63" s="2"/>
      <c r="V63" s="7">
        <f t="shared" si="22"/>
        <v>6.7045642231276532E-4</v>
      </c>
      <c r="W63" s="2"/>
      <c r="X63" s="6">
        <f t="shared" si="23"/>
        <v>167.05999999999995</v>
      </c>
      <c r="Y63" s="2"/>
      <c r="Z63" s="7">
        <f t="shared" si="24"/>
        <v>0.12950588381215208</v>
      </c>
    </row>
    <row r="64" spans="1:26" s="24" customFormat="1" hidden="1" outlineLevel="2" x14ac:dyDescent="0.25">
      <c r="A64" s="26"/>
      <c r="B64" s="11" t="str">
        <f>CONCATENATE("          ", "6118", " - ", "VACATION")</f>
        <v xml:space="preserve">          6118 - VACATION</v>
      </c>
      <c r="C64" s="11"/>
      <c r="D64" s="6">
        <v>267.04000000000002</v>
      </c>
      <c r="E64" s="2"/>
      <c r="F64" s="7">
        <f t="shared" si="17"/>
        <v>1.4362018270160943E-3</v>
      </c>
      <c r="G64" s="2"/>
      <c r="H64" s="6">
        <v>67.989999999999995</v>
      </c>
      <c r="I64" s="2"/>
      <c r="J64" s="7">
        <f t="shared" si="18"/>
        <v>5.4163835924444994E-4</v>
      </c>
      <c r="K64" s="2"/>
      <c r="L64" s="6">
        <f t="shared" si="19"/>
        <v>199.05</v>
      </c>
      <c r="M64" s="2"/>
      <c r="N64" s="7">
        <f t="shared" si="20"/>
        <v>2.9276364171201652</v>
      </c>
      <c r="O64" s="11"/>
      <c r="P64" s="6">
        <v>2223.62</v>
      </c>
      <c r="Q64" s="2"/>
      <c r="R64" s="7">
        <f t="shared" si="21"/>
        <v>1.398088817955333E-3</v>
      </c>
      <c r="S64" s="2"/>
      <c r="T64" s="6">
        <v>1667.07</v>
      </c>
      <c r="U64" s="2"/>
      <c r="V64" s="7">
        <f t="shared" si="22"/>
        <v>8.6644582702440477E-4</v>
      </c>
      <c r="W64" s="2"/>
      <c r="X64" s="6">
        <f t="shared" si="23"/>
        <v>556.54999999999995</v>
      </c>
      <c r="Y64" s="2"/>
      <c r="Z64" s="7">
        <f t="shared" si="24"/>
        <v>0.33384920849154504</v>
      </c>
    </row>
    <row r="65" spans="1:26" s="24" customFormat="1" hidden="1" outlineLevel="2" x14ac:dyDescent="0.25">
      <c r="A65" s="26"/>
      <c r="B65" s="11" t="str">
        <f>CONCATENATE("          ", "6119", " - ", "SICK LEAVE")</f>
        <v xml:space="preserve">          6119 - SICK LEAVE</v>
      </c>
      <c r="C65" s="11"/>
      <c r="D65" s="6">
        <v>267.63</v>
      </c>
      <c r="E65" s="2"/>
      <c r="F65" s="7">
        <f t="shared" si="17"/>
        <v>1.4393749811425901E-3</v>
      </c>
      <c r="G65" s="2"/>
      <c r="H65" s="6">
        <v>177.56</v>
      </c>
      <c r="I65" s="2"/>
      <c r="J65" s="7">
        <f t="shared" si="18"/>
        <v>1.4145213570737542E-3</v>
      </c>
      <c r="K65" s="2"/>
      <c r="L65" s="6">
        <f t="shared" si="19"/>
        <v>90.07</v>
      </c>
      <c r="M65" s="2"/>
      <c r="N65" s="7">
        <f t="shared" si="20"/>
        <v>0.50726514980851534</v>
      </c>
      <c r="O65" s="11"/>
      <c r="P65" s="6">
        <v>2219.5500000000002</v>
      </c>
      <c r="Q65" s="2"/>
      <c r="R65" s="7">
        <f t="shared" si="21"/>
        <v>1.3955298278899991E-3</v>
      </c>
      <c r="S65" s="2"/>
      <c r="T65" s="6">
        <v>1983.24</v>
      </c>
      <c r="U65" s="2"/>
      <c r="V65" s="7">
        <f t="shared" si="22"/>
        <v>1.0307725662317003E-3</v>
      </c>
      <c r="W65" s="2"/>
      <c r="X65" s="6">
        <f t="shared" si="23"/>
        <v>236.31000000000017</v>
      </c>
      <c r="Y65" s="2"/>
      <c r="Z65" s="7">
        <f t="shared" si="24"/>
        <v>0.11915350638349376</v>
      </c>
    </row>
    <row r="66" spans="1:26" s="24" customFormat="1" hidden="1" outlineLevel="2" x14ac:dyDescent="0.25">
      <c r="A66" s="26"/>
      <c r="B66" s="11" t="str">
        <f>CONCATENATE("          ", "6156", " - ", "EMPLOYEE MEALS")</f>
        <v xml:space="preserve">          6156 - EMPLOYEE MEALS</v>
      </c>
      <c r="C66" s="11"/>
      <c r="D66" s="6">
        <v>175</v>
      </c>
      <c r="E66" s="2"/>
      <c r="F66" s="7">
        <f t="shared" si="17"/>
        <v>9.4118978328271608E-4</v>
      </c>
      <c r="G66" s="2"/>
      <c r="H66" s="6">
        <v>164</v>
      </c>
      <c r="I66" s="2"/>
      <c r="J66" s="7">
        <f t="shared" si="18"/>
        <v>1.3064964100027916E-3</v>
      </c>
      <c r="K66" s="2"/>
      <c r="L66" s="6">
        <f t="shared" si="19"/>
        <v>11</v>
      </c>
      <c r="M66" s="2"/>
      <c r="N66" s="7">
        <f t="shared" si="20"/>
        <v>6.7073170731707321E-2</v>
      </c>
      <c r="O66" s="11"/>
      <c r="P66" s="6">
        <v>1844.68</v>
      </c>
      <c r="Q66" s="2"/>
      <c r="R66" s="7">
        <f t="shared" si="21"/>
        <v>1.1598323817495094E-3</v>
      </c>
      <c r="S66" s="2"/>
      <c r="T66" s="6">
        <v>1299.78</v>
      </c>
      <c r="U66" s="2"/>
      <c r="V66" s="7">
        <f t="shared" si="22"/>
        <v>6.7554989115620873E-4</v>
      </c>
      <c r="W66" s="2"/>
      <c r="X66" s="6">
        <f t="shared" si="23"/>
        <v>544.90000000000009</v>
      </c>
      <c r="Y66" s="2"/>
      <c r="Z66" s="7">
        <f t="shared" si="24"/>
        <v>0.41922479188785805</v>
      </c>
    </row>
    <row r="67" spans="1:26" s="25" customFormat="1" outlineLevel="1" collapsed="1" x14ac:dyDescent="0.25">
      <c r="A67" s="27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8014.16</v>
      </c>
      <c r="E67" s="1"/>
      <c r="F67" s="5">
        <f t="shared" ref="F67:F72" si="25">IF(D$12=0,0,D67/D$12)</f>
        <v>4.3101974363388633E-2</v>
      </c>
      <c r="G67" s="1"/>
      <c r="H67" s="1">
        <f>SUM(OSRRefH22_1x_0)</f>
        <v>11381.29</v>
      </c>
      <c r="I67" s="1"/>
      <c r="J67" s="5">
        <f t="shared" ref="J67:J72" si="26">IF(H$12=0,0,H67/H$12)</f>
        <v>9.0668381257321184E-2</v>
      </c>
      <c r="K67" s="1"/>
      <c r="L67" s="1">
        <f t="shared" ref="L67:L72" si="27">+D67-H67</f>
        <v>-3367.130000000001</v>
      </c>
      <c r="M67" s="1"/>
      <c r="N67" s="5">
        <f t="shared" ref="N67:N72" si="28">IF(H67=0,0,L67/H67)</f>
        <v>-0.29584783447219082</v>
      </c>
      <c r="O67" s="13"/>
      <c r="P67" s="1">
        <f>SUM(OSRRefP22_1x_0)</f>
        <v>65405.460000000006</v>
      </c>
      <c r="Q67" s="1"/>
      <c r="R67" s="5">
        <f t="shared" ref="R67:R72" si="29">IF(P$12=0,0,P67/P$12)</f>
        <v>4.1123322446832117E-2</v>
      </c>
      <c r="S67" s="1"/>
      <c r="T67" s="1">
        <f>SUM(OSRRefT22_1x_0)</f>
        <v>80697.22</v>
      </c>
      <c r="U67" s="1"/>
      <c r="V67" s="5">
        <f t="shared" ref="V67:V72" si="30">IF(T$12=0,0,T67/T$12)</f>
        <v>4.19417118186221E-2</v>
      </c>
      <c r="W67" s="1"/>
      <c r="X67" s="1">
        <f t="shared" ref="X67:X72" si="31">+P67-T67</f>
        <v>-15291.759999999995</v>
      </c>
      <c r="Y67" s="1"/>
      <c r="Z67" s="5">
        <f t="shared" ref="Z67:Z72" si="32">IF(T67=0,0,X67/T67)</f>
        <v>-0.18949549934929599</v>
      </c>
    </row>
    <row r="68" spans="1:26" s="24" customFormat="1" hidden="1" outlineLevel="2" x14ac:dyDescent="0.25">
      <c r="A68" s="26"/>
      <c r="B68" s="11" t="str">
        <f>CONCATENATE("          ", "6002", " - ", "STAFF SALARIES")</f>
        <v xml:space="preserve">          6002 - STAFF SALARIES</v>
      </c>
      <c r="C68" s="11"/>
      <c r="D68" s="6">
        <v>2357.3000000000002</v>
      </c>
      <c r="E68" s="2"/>
      <c r="F68" s="7">
        <f t="shared" si="25"/>
        <v>1.2678095292184837E-2</v>
      </c>
      <c r="G68" s="2"/>
      <c r="H68" s="6">
        <v>3797.56</v>
      </c>
      <c r="I68" s="2"/>
      <c r="J68" s="7">
        <f t="shared" si="26"/>
        <v>3.0253039675428056E-2</v>
      </c>
      <c r="K68" s="2"/>
      <c r="L68" s="6">
        <f t="shared" si="27"/>
        <v>-1440.2599999999998</v>
      </c>
      <c r="M68" s="2"/>
      <c r="N68" s="7">
        <f t="shared" si="28"/>
        <v>-0.3792593138752251</v>
      </c>
      <c r="O68" s="11"/>
      <c r="P68" s="6">
        <v>18522.95</v>
      </c>
      <c r="Q68" s="2"/>
      <c r="R68" s="7">
        <f t="shared" si="29"/>
        <v>1.164620271024084E-2</v>
      </c>
      <c r="S68" s="2"/>
      <c r="T68" s="6">
        <v>27336.26</v>
      </c>
      <c r="U68" s="2"/>
      <c r="V68" s="7">
        <f t="shared" si="30"/>
        <v>1.4207794755741604E-2</v>
      </c>
      <c r="W68" s="2"/>
      <c r="X68" s="6">
        <f t="shared" si="31"/>
        <v>-8813.3099999999977</v>
      </c>
      <c r="Y68" s="2"/>
      <c r="Z68" s="7">
        <f t="shared" si="32"/>
        <v>-0.32240364995065157</v>
      </c>
    </row>
    <row r="69" spans="1:26" s="24" customFormat="1" hidden="1" outlineLevel="2" x14ac:dyDescent="0.25">
      <c r="A69" s="26"/>
      <c r="B69" s="11" t="str">
        <f>CONCATENATE("          ", "6004", " - ", "STAFF HOURLY")</f>
        <v xml:space="preserve">          6004 - STAFF HOURLY</v>
      </c>
      <c r="C69" s="11"/>
      <c r="D69" s="6">
        <v>3520</v>
      </c>
      <c r="E69" s="2"/>
      <c r="F69" s="7">
        <f t="shared" si="25"/>
        <v>1.8931360212315201E-2</v>
      </c>
      <c r="G69" s="2"/>
      <c r="H69" s="6"/>
      <c r="I69" s="2"/>
      <c r="J69" s="7">
        <f t="shared" si="26"/>
        <v>0</v>
      </c>
      <c r="K69" s="2"/>
      <c r="L69" s="6">
        <f t="shared" si="27"/>
        <v>3520</v>
      </c>
      <c r="M69" s="2"/>
      <c r="N69" s="7">
        <f t="shared" si="28"/>
        <v>0</v>
      </c>
      <c r="O69" s="11"/>
      <c r="P69" s="6">
        <v>28200.16</v>
      </c>
      <c r="Q69" s="2"/>
      <c r="R69" s="7">
        <f t="shared" si="29"/>
        <v>1.7730695154995577E-2</v>
      </c>
      <c r="S69" s="2"/>
      <c r="T69" s="6"/>
      <c r="U69" s="2"/>
      <c r="V69" s="7">
        <f t="shared" si="30"/>
        <v>0</v>
      </c>
      <c r="W69" s="2"/>
      <c r="X69" s="6">
        <f t="shared" si="31"/>
        <v>28200.16</v>
      </c>
      <c r="Y69" s="2"/>
      <c r="Z69" s="7">
        <f t="shared" si="32"/>
        <v>0</v>
      </c>
    </row>
    <row r="70" spans="1:26" s="24" customFormat="1" hidden="1" outlineLevel="2" x14ac:dyDescent="0.25">
      <c r="A70" s="26"/>
      <c r="B70" s="11" t="str">
        <f>CONCATENATE("          ", "6005", " - ", "TEMPORARY WAGES-HOURLY")</f>
        <v xml:space="preserve">          6005 - TEMPORARY WAGES-HOURLY</v>
      </c>
      <c r="C70" s="11"/>
      <c r="D70" s="6"/>
      <c r="E70" s="2"/>
      <c r="F70" s="7">
        <f t="shared" si="25"/>
        <v>0</v>
      </c>
      <c r="G70" s="2"/>
      <c r="H70" s="6">
        <v>4177.5600000000004</v>
      </c>
      <c r="I70" s="2"/>
      <c r="J70" s="7">
        <f t="shared" si="26"/>
        <v>3.3280287454702823E-2</v>
      </c>
      <c r="K70" s="2"/>
      <c r="L70" s="6">
        <f t="shared" si="27"/>
        <v>-4177.5600000000004</v>
      </c>
      <c r="M70" s="2"/>
      <c r="N70" s="7">
        <f t="shared" si="28"/>
        <v>-1</v>
      </c>
      <c r="O70" s="11"/>
      <c r="P70" s="6"/>
      <c r="Q70" s="2"/>
      <c r="R70" s="7">
        <f t="shared" si="29"/>
        <v>0</v>
      </c>
      <c r="S70" s="2"/>
      <c r="T70" s="6">
        <v>27300.59</v>
      </c>
      <c r="U70" s="2"/>
      <c r="V70" s="7">
        <f t="shared" si="30"/>
        <v>1.4189255568634908E-2</v>
      </c>
      <c r="W70" s="2"/>
      <c r="X70" s="6">
        <f t="shared" si="31"/>
        <v>-27300.59</v>
      </c>
      <c r="Y70" s="2"/>
      <c r="Z70" s="7">
        <f t="shared" si="32"/>
        <v>-1</v>
      </c>
    </row>
    <row r="71" spans="1:26" s="24" customFormat="1" hidden="1" outlineLevel="2" x14ac:dyDescent="0.25">
      <c r="A71" s="26"/>
      <c r="B71" s="11" t="str">
        <f>CONCATENATE("          ", "6006", " - ", "TEMPORARY PART TIME")</f>
        <v xml:space="preserve">          6006 - TEMPORARY PART TIME</v>
      </c>
      <c r="C71" s="11"/>
      <c r="D71" s="6"/>
      <c r="E71" s="2"/>
      <c r="F71" s="7">
        <f t="shared" si="25"/>
        <v>0</v>
      </c>
      <c r="G71" s="2"/>
      <c r="H71" s="6">
        <v>467.77</v>
      </c>
      <c r="I71" s="2"/>
      <c r="J71" s="7">
        <f t="shared" si="26"/>
        <v>3.7264623518719867E-3</v>
      </c>
      <c r="K71" s="2"/>
      <c r="L71" s="6">
        <f t="shared" si="27"/>
        <v>-467.77</v>
      </c>
      <c r="M71" s="2"/>
      <c r="N71" s="7">
        <f t="shared" si="28"/>
        <v>-1</v>
      </c>
      <c r="O71" s="11"/>
      <c r="P71" s="6"/>
      <c r="Q71" s="2"/>
      <c r="R71" s="7">
        <f t="shared" si="29"/>
        <v>0</v>
      </c>
      <c r="S71" s="2"/>
      <c r="T71" s="6">
        <v>9008.99</v>
      </c>
      <c r="U71" s="2"/>
      <c r="V71" s="7">
        <f t="shared" si="30"/>
        <v>4.6823479465196976E-3</v>
      </c>
      <c r="W71" s="2"/>
      <c r="X71" s="6">
        <f t="shared" si="31"/>
        <v>-9008.99</v>
      </c>
      <c r="Y71" s="2"/>
      <c r="Z71" s="7">
        <f t="shared" si="32"/>
        <v>-1</v>
      </c>
    </row>
    <row r="72" spans="1:26" s="24" customFormat="1" hidden="1" outlineLevel="2" x14ac:dyDescent="0.25">
      <c r="A72" s="26"/>
      <c r="B72" s="11" t="str">
        <f>CONCATENATE("          ", "6007", " - ", "STUDENT HOURLY")</f>
        <v xml:space="preserve">          6007 - STUDENT HOURLY</v>
      </c>
      <c r="C72" s="11"/>
      <c r="D72" s="6">
        <v>2136.86</v>
      </c>
      <c r="E72" s="2"/>
      <c r="F72" s="7">
        <f t="shared" si="25"/>
        <v>1.1492518858888598E-2</v>
      </c>
      <c r="G72" s="2"/>
      <c r="H72" s="6">
        <v>2938.4</v>
      </c>
      <c r="I72" s="2"/>
      <c r="J72" s="7">
        <f t="shared" si="26"/>
        <v>2.3408591775318312E-2</v>
      </c>
      <c r="K72" s="2"/>
      <c r="L72" s="6">
        <f t="shared" si="27"/>
        <v>-801.54</v>
      </c>
      <c r="M72" s="2"/>
      <c r="N72" s="7">
        <f t="shared" si="28"/>
        <v>-0.27278110536346306</v>
      </c>
      <c r="O72" s="11"/>
      <c r="P72" s="6">
        <v>18682.350000000002</v>
      </c>
      <c r="Q72" s="2"/>
      <c r="R72" s="7">
        <f t="shared" si="29"/>
        <v>1.1746424581595695E-2</v>
      </c>
      <c r="S72" s="2"/>
      <c r="T72" s="6">
        <v>17051.38</v>
      </c>
      <c r="U72" s="2"/>
      <c r="V72" s="7">
        <f t="shared" si="30"/>
        <v>8.8623135477258891E-3</v>
      </c>
      <c r="W72" s="2"/>
      <c r="X72" s="6">
        <f t="shared" si="31"/>
        <v>1630.9700000000012</v>
      </c>
      <c r="Y72" s="2"/>
      <c r="Z72" s="7">
        <f t="shared" si="32"/>
        <v>9.5650322730477008E-2</v>
      </c>
    </row>
    <row r="73" spans="1:26" s="25" customFormat="1" outlineLevel="1" collapsed="1" x14ac:dyDescent="0.25">
      <c r="A73" s="27"/>
      <c r="B73" s="13" t="str">
        <f>CONCATENATE("     ","Advertising/Promo                                 ")</f>
        <v xml:space="preserve">     Advertising/Promo                                 </v>
      </c>
      <c r="C73" s="13"/>
      <c r="D73" s="1">
        <f>SUM(OSRRefD22_2x_0)</f>
        <v>0</v>
      </c>
      <c r="E73" s="1"/>
      <c r="F73" s="5">
        <f t="shared" ref="F73:F81" si="33">IF(D$12=0,0,D73/D$12)</f>
        <v>0</v>
      </c>
      <c r="G73" s="1"/>
      <c r="H73" s="1">
        <f>SUM(OSRRefH22_2x_0)</f>
        <v>72.400000000000006</v>
      </c>
      <c r="I73" s="1"/>
      <c r="J73" s="5">
        <f t="shared" ref="J73:J81" si="34">IF(H$12=0,0,H73/H$12)</f>
        <v>5.7677036636708608E-4</v>
      </c>
      <c r="K73" s="1"/>
      <c r="L73" s="1">
        <f t="shared" ref="L73:L81" si="35">+D73-H73</f>
        <v>-72.400000000000006</v>
      </c>
      <c r="M73" s="1"/>
      <c r="N73" s="5">
        <f t="shared" ref="N73:N81" si="36">IF(H73=0,0,L73/H73)</f>
        <v>-1</v>
      </c>
      <c r="O73" s="13"/>
      <c r="P73" s="1">
        <f>SUM(OSRRefP22_2x_0)</f>
        <v>598.92999999999995</v>
      </c>
      <c r="Q73" s="1"/>
      <c r="R73" s="5">
        <f t="shared" ref="R73:R81" si="37">IF(P$12=0,0,P73/P$12)</f>
        <v>3.7657393607630241E-4</v>
      </c>
      <c r="S73" s="1"/>
      <c r="T73" s="1">
        <f>SUM(OSRRefT22_2x_0)</f>
        <v>1721.23</v>
      </c>
      <c r="U73" s="1"/>
      <c r="V73" s="5">
        <f t="shared" ref="V73:V81" si="38">IF(T$12=0,0,T73/T$12)</f>
        <v>8.945950385102103E-4</v>
      </c>
      <c r="W73" s="1"/>
      <c r="X73" s="1">
        <f t="shared" ref="X73:X81" si="39">+P73-T73</f>
        <v>-1122.3000000000002</v>
      </c>
      <c r="Y73" s="1"/>
      <c r="Z73" s="5">
        <f t="shared" ref="Z73:Z81" si="40">IF(T73=0,0,X73/T73)</f>
        <v>-0.652033720072274</v>
      </c>
    </row>
    <row r="74" spans="1:26" s="24" customFormat="1" hidden="1" outlineLevel="2" x14ac:dyDescent="0.25">
      <c r="A74" s="26"/>
      <c r="B74" s="11" t="str">
        <f>CONCATENATE("          ", "6362", " - ", "ADVERTISING EXPENSE")</f>
        <v xml:space="preserve">          6362 - ADVERTISING EXPENSE</v>
      </c>
      <c r="C74" s="11"/>
      <c r="D74" s="6"/>
      <c r="E74" s="2"/>
      <c r="F74" s="7">
        <f t="shared" si="33"/>
        <v>0</v>
      </c>
      <c r="G74" s="2"/>
      <c r="H74" s="6">
        <v>72.400000000000006</v>
      </c>
      <c r="I74" s="2"/>
      <c r="J74" s="7">
        <f t="shared" si="34"/>
        <v>5.7677036636708608E-4</v>
      </c>
      <c r="K74" s="2"/>
      <c r="L74" s="6">
        <f t="shared" si="35"/>
        <v>-72.400000000000006</v>
      </c>
      <c r="M74" s="2"/>
      <c r="N74" s="7">
        <f t="shared" si="36"/>
        <v>-1</v>
      </c>
      <c r="O74" s="11"/>
      <c r="P74" s="6">
        <v>598.92999999999995</v>
      </c>
      <c r="Q74" s="2"/>
      <c r="R74" s="7">
        <f t="shared" si="37"/>
        <v>3.7657393607630241E-4</v>
      </c>
      <c r="S74" s="2"/>
      <c r="T74" s="6">
        <v>1721.23</v>
      </c>
      <c r="U74" s="2"/>
      <c r="V74" s="7">
        <f t="shared" si="38"/>
        <v>8.945950385102103E-4</v>
      </c>
      <c r="W74" s="2"/>
      <c r="X74" s="6">
        <f t="shared" si="39"/>
        <v>-1122.3000000000002</v>
      </c>
      <c r="Y74" s="2"/>
      <c r="Z74" s="7">
        <f t="shared" si="40"/>
        <v>-0.652033720072274</v>
      </c>
    </row>
    <row r="75" spans="1:26" s="25" customFormat="1" outlineLevel="1" collapsed="1" x14ac:dyDescent="0.25">
      <c r="A75" s="27"/>
      <c r="B75" s="13" t="str">
        <f>CONCATENATE("     ","Depreciation                                      ")</f>
        <v xml:space="preserve">     Depreciation                                      </v>
      </c>
      <c r="C75" s="13"/>
      <c r="D75" s="1">
        <f>SUM(OSRRefD22_3x_0)</f>
        <v>280.44</v>
      </c>
      <c r="E75" s="1"/>
      <c r="F75" s="5">
        <f t="shared" si="33"/>
        <v>1.5082700732788851E-3</v>
      </c>
      <c r="G75" s="1"/>
      <c r="H75" s="1">
        <f>SUM(OSRRefH22_3x_0)</f>
        <v>280.44</v>
      </c>
      <c r="I75" s="1"/>
      <c r="J75" s="5">
        <f t="shared" si="34"/>
        <v>2.2341088611047737E-3</v>
      </c>
      <c r="K75" s="1"/>
      <c r="L75" s="1">
        <f t="shared" si="35"/>
        <v>0</v>
      </c>
      <c r="M75" s="1"/>
      <c r="N75" s="5">
        <f t="shared" si="36"/>
        <v>0</v>
      </c>
      <c r="O75" s="13"/>
      <c r="P75" s="1">
        <f>SUM(OSRRefP22_3x_0)</f>
        <v>2243.52</v>
      </c>
      <c r="Q75" s="1"/>
      <c r="R75" s="5">
        <f t="shared" si="37"/>
        <v>1.4106008332624947E-3</v>
      </c>
      <c r="S75" s="1"/>
      <c r="T75" s="1">
        <f>SUM(OSRRefT22_3x_0)</f>
        <v>2243.52</v>
      </c>
      <c r="U75" s="1"/>
      <c r="V75" s="5">
        <f t="shared" si="38"/>
        <v>1.166050940779807E-3</v>
      </c>
      <c r="W75" s="1"/>
      <c r="X75" s="1">
        <f t="shared" si="39"/>
        <v>0</v>
      </c>
      <c r="Y75" s="1"/>
      <c r="Z75" s="5">
        <f t="shared" si="40"/>
        <v>0</v>
      </c>
    </row>
    <row r="76" spans="1:26" s="24" customFormat="1" hidden="1" outlineLevel="2" x14ac:dyDescent="0.25">
      <c r="A76" s="26"/>
      <c r="B76" s="11" t="str">
        <f>CONCATENATE("          ", "6322", " - ", "EQUIPMENT DEPRECIATION EXPENSE")</f>
        <v xml:space="preserve">          6322 - EQUIPMENT DEPRECIATION EXPENSE</v>
      </c>
      <c r="C76" s="11"/>
      <c r="D76" s="6">
        <v>280.44</v>
      </c>
      <c r="E76" s="2"/>
      <c r="F76" s="7">
        <f t="shared" si="33"/>
        <v>1.5082700732788851E-3</v>
      </c>
      <c r="G76" s="2"/>
      <c r="H76" s="6">
        <v>280.44</v>
      </c>
      <c r="I76" s="2"/>
      <c r="J76" s="7">
        <f t="shared" si="34"/>
        <v>2.2341088611047737E-3</v>
      </c>
      <c r="K76" s="2"/>
      <c r="L76" s="6">
        <f t="shared" si="35"/>
        <v>0</v>
      </c>
      <c r="M76" s="2"/>
      <c r="N76" s="7">
        <f t="shared" si="36"/>
        <v>0</v>
      </c>
      <c r="O76" s="11"/>
      <c r="P76" s="6">
        <v>2243.52</v>
      </c>
      <c r="Q76" s="2"/>
      <c r="R76" s="7">
        <f t="shared" si="37"/>
        <v>1.4106008332624947E-3</v>
      </c>
      <c r="S76" s="2"/>
      <c r="T76" s="6">
        <v>2243.52</v>
      </c>
      <c r="U76" s="2"/>
      <c r="V76" s="7">
        <f t="shared" si="38"/>
        <v>1.166050940779807E-3</v>
      </c>
      <c r="W76" s="2"/>
      <c r="X76" s="6">
        <f t="shared" si="39"/>
        <v>0</v>
      </c>
      <c r="Y76" s="2"/>
      <c r="Z76" s="7">
        <f t="shared" si="40"/>
        <v>0</v>
      </c>
    </row>
    <row r="77" spans="1:26" s="25" customFormat="1" outlineLevel="1" collapsed="1" x14ac:dyDescent="0.25">
      <c r="A77" s="27"/>
      <c r="B77" s="13" t="str">
        <f>CONCATENATE("     ","Discounts and Markdowns                           ")</f>
        <v xml:space="preserve">     Discounts and Markdowns                           </v>
      </c>
      <c r="C77" s="13"/>
      <c r="D77" s="1">
        <f>SUM(OSRRefD22_4x_0)</f>
        <v>0</v>
      </c>
      <c r="E77" s="1"/>
      <c r="F77" s="5">
        <f t="shared" si="33"/>
        <v>0</v>
      </c>
      <c r="G77" s="1"/>
      <c r="H77" s="1">
        <f>SUM(OSRRefH22_4x_0)</f>
        <v>-924.3</v>
      </c>
      <c r="I77" s="1"/>
      <c r="J77" s="5">
        <f t="shared" si="34"/>
        <v>-7.3633819010096354E-3</v>
      </c>
      <c r="K77" s="1"/>
      <c r="L77" s="1">
        <f t="shared" si="35"/>
        <v>924.3</v>
      </c>
      <c r="M77" s="1"/>
      <c r="N77" s="5">
        <f t="shared" si="36"/>
        <v>-1</v>
      </c>
      <c r="O77" s="13"/>
      <c r="P77" s="1">
        <f>SUM(OSRRefP22_4x_0)</f>
        <v>0</v>
      </c>
      <c r="Q77" s="1"/>
      <c r="R77" s="5">
        <f t="shared" si="37"/>
        <v>0</v>
      </c>
      <c r="S77" s="1"/>
      <c r="T77" s="1">
        <f>SUM(OSRRefT22_4x_0)</f>
        <v>49786.87</v>
      </c>
      <c r="U77" s="1"/>
      <c r="V77" s="5">
        <f t="shared" si="38"/>
        <v>2.587631338342513E-2</v>
      </c>
      <c r="W77" s="1"/>
      <c r="X77" s="1">
        <f t="shared" si="39"/>
        <v>-49786.87</v>
      </c>
      <c r="Y77" s="1"/>
      <c r="Z77" s="5">
        <f t="shared" si="40"/>
        <v>-1</v>
      </c>
    </row>
    <row r="78" spans="1:26" s="24" customFormat="1" hidden="1" outlineLevel="2" x14ac:dyDescent="0.25">
      <c r="A78" s="26"/>
      <c r="B78" s="11" t="str">
        <f>CONCATENATE("          ", "6382", " - ", "DISCOUNTS/MARK DOWNS")</f>
        <v xml:space="preserve">          6382 - DISCOUNTS/MARK DOWNS</v>
      </c>
      <c r="C78" s="11"/>
      <c r="D78" s="6"/>
      <c r="E78" s="2"/>
      <c r="F78" s="7">
        <f t="shared" si="33"/>
        <v>0</v>
      </c>
      <c r="G78" s="2"/>
      <c r="H78" s="6">
        <v>-924.3</v>
      </c>
      <c r="I78" s="2"/>
      <c r="J78" s="7">
        <f t="shared" si="34"/>
        <v>-7.3633819010096354E-3</v>
      </c>
      <c r="K78" s="2"/>
      <c r="L78" s="6">
        <f t="shared" si="35"/>
        <v>924.3</v>
      </c>
      <c r="M78" s="2"/>
      <c r="N78" s="7">
        <f t="shared" si="36"/>
        <v>-1</v>
      </c>
      <c r="O78" s="11"/>
      <c r="P78" s="6"/>
      <c r="Q78" s="2"/>
      <c r="R78" s="7">
        <f t="shared" si="37"/>
        <v>0</v>
      </c>
      <c r="S78" s="2"/>
      <c r="T78" s="6">
        <v>49786.87</v>
      </c>
      <c r="U78" s="2"/>
      <c r="V78" s="7">
        <f t="shared" si="38"/>
        <v>2.587631338342513E-2</v>
      </c>
      <c r="W78" s="2"/>
      <c r="X78" s="6">
        <f t="shared" si="39"/>
        <v>-49786.87</v>
      </c>
      <c r="Y78" s="2"/>
      <c r="Z78" s="7">
        <f t="shared" si="40"/>
        <v>-1</v>
      </c>
    </row>
    <row r="79" spans="1:26" s="25" customFormat="1" outlineLevel="1" collapsed="1" x14ac:dyDescent="0.25">
      <c r="A79" s="27"/>
      <c r="B79" s="13" t="str">
        <f>CONCATENATE("     ","Freight out/Postage                               ")</f>
        <v xml:space="preserve">     Freight out/Postage                               </v>
      </c>
      <c r="C79" s="13"/>
      <c r="D79" s="1">
        <f>SUM(OSRRefD22_5x_0)</f>
        <v>88.22</v>
      </c>
      <c r="E79" s="1"/>
      <c r="F79" s="5">
        <f t="shared" si="33"/>
        <v>4.7446721532114975E-4</v>
      </c>
      <c r="G79" s="1"/>
      <c r="H79" s="1">
        <f>SUM(OSRRefH22_5x_0)</f>
        <v>8.11</v>
      </c>
      <c r="I79" s="1"/>
      <c r="J79" s="5">
        <f t="shared" si="34"/>
        <v>6.4607840762942922E-5</v>
      </c>
      <c r="K79" s="1"/>
      <c r="L79" s="1">
        <f t="shared" si="35"/>
        <v>80.11</v>
      </c>
      <c r="M79" s="1"/>
      <c r="N79" s="5">
        <f t="shared" si="36"/>
        <v>9.8779284833538838</v>
      </c>
      <c r="O79" s="13"/>
      <c r="P79" s="1">
        <f>SUM(OSRRefP22_5x_0)</f>
        <v>1082.33</v>
      </c>
      <c r="Q79" s="1"/>
      <c r="R79" s="5">
        <f t="shared" si="37"/>
        <v>6.8050902147740865E-4</v>
      </c>
      <c r="S79" s="1"/>
      <c r="T79" s="1">
        <f>SUM(OSRRefT22_5x_0)</f>
        <v>49.72</v>
      </c>
      <c r="U79" s="1"/>
      <c r="V79" s="5">
        <f t="shared" si="38"/>
        <v>2.5841558254694407E-5</v>
      </c>
      <c r="W79" s="1"/>
      <c r="X79" s="1">
        <f t="shared" si="39"/>
        <v>1032.6099999999999</v>
      </c>
      <c r="Y79" s="1"/>
      <c r="Z79" s="5">
        <f t="shared" si="40"/>
        <v>20.768503620273531</v>
      </c>
    </row>
    <row r="80" spans="1:26" s="24" customFormat="1" hidden="1" outlineLevel="2" x14ac:dyDescent="0.25">
      <c r="A80" s="26"/>
      <c r="B80" s="11" t="str">
        <f>CONCATENATE("          ", "6305", " - ", "FREIGHT OUT")</f>
        <v xml:space="preserve">          6305 - FREIGHT OUT</v>
      </c>
      <c r="C80" s="11"/>
      <c r="D80" s="6">
        <v>88.22</v>
      </c>
      <c r="E80" s="2"/>
      <c r="F80" s="7">
        <f t="shared" si="33"/>
        <v>4.7446721532114975E-4</v>
      </c>
      <c r="G80" s="2"/>
      <c r="H80" s="6">
        <v>8.11</v>
      </c>
      <c r="I80" s="2"/>
      <c r="J80" s="7">
        <f t="shared" si="34"/>
        <v>6.4607840762942922E-5</v>
      </c>
      <c r="K80" s="2"/>
      <c r="L80" s="6">
        <f t="shared" si="35"/>
        <v>80.11</v>
      </c>
      <c r="M80" s="2"/>
      <c r="N80" s="7">
        <f t="shared" si="36"/>
        <v>9.8779284833538838</v>
      </c>
      <c r="O80" s="11"/>
      <c r="P80" s="6">
        <v>1069.73</v>
      </c>
      <c r="Q80" s="2"/>
      <c r="R80" s="7">
        <f t="shared" si="37"/>
        <v>6.725868409311656E-4</v>
      </c>
      <c r="S80" s="2"/>
      <c r="T80" s="6">
        <v>49.72</v>
      </c>
      <c r="U80" s="2"/>
      <c r="V80" s="7">
        <f t="shared" si="38"/>
        <v>2.5841558254694407E-5</v>
      </c>
      <c r="W80" s="2"/>
      <c r="X80" s="6">
        <f t="shared" si="39"/>
        <v>1020.01</v>
      </c>
      <c r="Y80" s="2"/>
      <c r="Z80" s="7">
        <f t="shared" si="40"/>
        <v>20.515084473049075</v>
      </c>
    </row>
    <row r="81" spans="1:26" s="24" customFormat="1" hidden="1" outlineLevel="2" x14ac:dyDescent="0.25">
      <c r="A81" s="26"/>
      <c r="B81" s="11" t="str">
        <f>CONCATENATE("          ", "6307", " - ", "POSTAGE")</f>
        <v xml:space="preserve">          6307 - POSTAGE</v>
      </c>
      <c r="C81" s="11"/>
      <c r="D81" s="6"/>
      <c r="E81" s="2"/>
      <c r="F81" s="7">
        <f t="shared" si="33"/>
        <v>0</v>
      </c>
      <c r="G81" s="2"/>
      <c r="H81" s="6"/>
      <c r="I81" s="2"/>
      <c r="J81" s="7">
        <f t="shared" si="34"/>
        <v>0</v>
      </c>
      <c r="K81" s="2"/>
      <c r="L81" s="6">
        <f t="shared" si="35"/>
        <v>0</v>
      </c>
      <c r="M81" s="2"/>
      <c r="N81" s="7">
        <f t="shared" si="36"/>
        <v>0</v>
      </c>
      <c r="O81" s="11"/>
      <c r="P81" s="6">
        <v>12.6</v>
      </c>
      <c r="Q81" s="2"/>
      <c r="R81" s="7">
        <f t="shared" si="37"/>
        <v>7.9221805462431506E-6</v>
      </c>
      <c r="S81" s="2"/>
      <c r="T81" s="6"/>
      <c r="U81" s="2"/>
      <c r="V81" s="7">
        <f t="shared" si="38"/>
        <v>0</v>
      </c>
      <c r="W81" s="2"/>
      <c r="X81" s="6">
        <f t="shared" si="39"/>
        <v>12.6</v>
      </c>
      <c r="Y81" s="2"/>
      <c r="Z81" s="7">
        <f t="shared" si="40"/>
        <v>0</v>
      </c>
    </row>
    <row r="82" spans="1:26" s="25" customFormat="1" outlineLevel="1" collapsed="1" x14ac:dyDescent="0.25">
      <c r="A82" s="27"/>
      <c r="B82" s="13" t="str">
        <f>CONCATENATE("     ","General                                           ")</f>
        <v xml:space="preserve">     General                                           </v>
      </c>
      <c r="C82" s="13"/>
      <c r="D82" s="1">
        <f>SUM(OSRRefD22_6x_0)</f>
        <v>0</v>
      </c>
      <c r="E82" s="1"/>
      <c r="F82" s="5">
        <f t="shared" ref="F82:F93" si="41">IF(D$12=0,0,D82/D$12)</f>
        <v>0</v>
      </c>
      <c r="G82" s="1"/>
      <c r="H82" s="1">
        <f>SUM(OSRRefH22_6x_0)</f>
        <v>0</v>
      </c>
      <c r="I82" s="1"/>
      <c r="J82" s="5">
        <f t="shared" ref="J82:J93" si="42">IF(H$12=0,0,H82/H$12)</f>
        <v>0</v>
      </c>
      <c r="K82" s="1"/>
      <c r="L82" s="1">
        <f t="shared" ref="L82:L93" si="43">+D82-H82</f>
        <v>0</v>
      </c>
      <c r="M82" s="1"/>
      <c r="N82" s="5">
        <f t="shared" ref="N82:N93" si="44">IF(H82=0,0,L82/H82)</f>
        <v>0</v>
      </c>
      <c r="O82" s="13"/>
      <c r="P82" s="1">
        <f>SUM(OSRRefP22_6x_0)</f>
        <v>-30.15</v>
      </c>
      <c r="Q82" s="1"/>
      <c r="R82" s="5">
        <f t="shared" ref="R82:R93" si="45">IF(P$12=0,0,P82/P$12)</f>
        <v>-1.8956646307081827E-5</v>
      </c>
      <c r="S82" s="1"/>
      <c r="T82" s="1">
        <f>SUM(OSRRefT22_6x_0)</f>
        <v>0</v>
      </c>
      <c r="U82" s="1"/>
      <c r="V82" s="5">
        <f t="shared" ref="V82:V93" si="46">IF(T$12=0,0,T82/T$12)</f>
        <v>0</v>
      </c>
      <c r="W82" s="1"/>
      <c r="X82" s="1">
        <f t="shared" ref="X82:X93" si="47">+P82-T82</f>
        <v>-30.15</v>
      </c>
      <c r="Y82" s="1"/>
      <c r="Z82" s="5">
        <f t="shared" ref="Z82:Z93" si="48">IF(T82=0,0,X82/T82)</f>
        <v>0</v>
      </c>
    </row>
    <row r="83" spans="1:26" s="24" customFormat="1" hidden="1" outlineLevel="2" x14ac:dyDescent="0.25">
      <c r="A83" s="26"/>
      <c r="B83" s="11" t="str">
        <f>CONCATENATE("          ", "6279", " - ", "GENERAL EXPENSE")</f>
        <v xml:space="preserve">          6279 - GENERAL EXPENSE</v>
      </c>
      <c r="C83" s="11"/>
      <c r="D83" s="6"/>
      <c r="E83" s="2"/>
      <c r="F83" s="7">
        <f t="shared" si="41"/>
        <v>0</v>
      </c>
      <c r="G83" s="2"/>
      <c r="H83" s="6"/>
      <c r="I83" s="2"/>
      <c r="J83" s="7">
        <f t="shared" si="42"/>
        <v>0</v>
      </c>
      <c r="K83" s="2"/>
      <c r="L83" s="6">
        <f t="shared" si="43"/>
        <v>0</v>
      </c>
      <c r="M83" s="2"/>
      <c r="N83" s="7">
        <f t="shared" si="44"/>
        <v>0</v>
      </c>
      <c r="O83" s="11"/>
      <c r="P83" s="6">
        <v>-30.15</v>
      </c>
      <c r="Q83" s="2"/>
      <c r="R83" s="7">
        <f t="shared" si="45"/>
        <v>-1.8956646307081827E-5</v>
      </c>
      <c r="S83" s="2"/>
      <c r="T83" s="6"/>
      <c r="U83" s="2"/>
      <c r="V83" s="7">
        <f t="shared" si="46"/>
        <v>0</v>
      </c>
      <c r="W83" s="2"/>
      <c r="X83" s="6">
        <f t="shared" si="47"/>
        <v>-30.15</v>
      </c>
      <c r="Y83" s="2"/>
      <c r="Z83" s="7">
        <f t="shared" si="48"/>
        <v>0</v>
      </c>
    </row>
    <row r="84" spans="1:26" s="25" customFormat="1" outlineLevel="1" collapsed="1" x14ac:dyDescent="0.25">
      <c r="A84" s="27"/>
      <c r="B84" s="13" t="str">
        <f>CONCATENATE("     ","Inventory Adjustment                              ")</f>
        <v xml:space="preserve">     Inventory Adjustment                              </v>
      </c>
      <c r="C84" s="13"/>
      <c r="D84" s="1">
        <f>SUM(OSRRefD22_7x_0)</f>
        <v>1250</v>
      </c>
      <c r="E84" s="1"/>
      <c r="F84" s="5">
        <f t="shared" si="41"/>
        <v>6.7227841663051145E-3</v>
      </c>
      <c r="G84" s="1"/>
      <c r="H84" s="1">
        <f>SUM(OSRRefH22_7x_0)</f>
        <v>0</v>
      </c>
      <c r="I84" s="1"/>
      <c r="J84" s="5">
        <f t="shared" si="42"/>
        <v>0</v>
      </c>
      <c r="K84" s="1"/>
      <c r="L84" s="1">
        <f t="shared" si="43"/>
        <v>1250</v>
      </c>
      <c r="M84" s="1"/>
      <c r="N84" s="5">
        <f t="shared" si="44"/>
        <v>0</v>
      </c>
      <c r="O84" s="13"/>
      <c r="P84" s="1">
        <f>SUM(OSRRefP22_7x_0)</f>
        <v>10000</v>
      </c>
      <c r="Q84" s="1"/>
      <c r="R84" s="5">
        <f t="shared" si="45"/>
        <v>6.2874448779707548E-3</v>
      </c>
      <c r="S84" s="1"/>
      <c r="T84" s="1">
        <f>SUM(OSRRefT22_7x_0)</f>
        <v>0</v>
      </c>
      <c r="U84" s="1"/>
      <c r="V84" s="5">
        <f t="shared" si="46"/>
        <v>0</v>
      </c>
      <c r="W84" s="1"/>
      <c r="X84" s="1">
        <f t="shared" si="47"/>
        <v>10000</v>
      </c>
      <c r="Y84" s="1"/>
      <c r="Z84" s="5">
        <f t="shared" si="48"/>
        <v>0</v>
      </c>
    </row>
    <row r="85" spans="1:26" s="24" customFormat="1" hidden="1" outlineLevel="2" x14ac:dyDescent="0.25">
      <c r="A85" s="26"/>
      <c r="B85" s="11" t="str">
        <f>CONCATENATE("          ", "6408", " - ", "INVENTORY ADJUSTMENT")</f>
        <v xml:space="preserve">          6408 - INVENTORY ADJUSTMENT</v>
      </c>
      <c r="C85" s="11"/>
      <c r="D85" s="6">
        <v>1250</v>
      </c>
      <c r="E85" s="2"/>
      <c r="F85" s="7">
        <f t="shared" si="41"/>
        <v>6.7227841663051145E-3</v>
      </c>
      <c r="G85" s="2"/>
      <c r="H85" s="6"/>
      <c r="I85" s="2"/>
      <c r="J85" s="7">
        <f t="shared" si="42"/>
        <v>0</v>
      </c>
      <c r="K85" s="2"/>
      <c r="L85" s="6">
        <f t="shared" si="43"/>
        <v>1250</v>
      </c>
      <c r="M85" s="2"/>
      <c r="N85" s="7">
        <f t="shared" si="44"/>
        <v>0</v>
      </c>
      <c r="O85" s="11"/>
      <c r="P85" s="6">
        <v>10000</v>
      </c>
      <c r="Q85" s="2"/>
      <c r="R85" s="7">
        <f t="shared" si="45"/>
        <v>6.2874448779707548E-3</v>
      </c>
      <c r="S85" s="2"/>
      <c r="T85" s="6"/>
      <c r="U85" s="2"/>
      <c r="V85" s="7">
        <f t="shared" si="46"/>
        <v>0</v>
      </c>
      <c r="W85" s="2"/>
      <c r="X85" s="6">
        <f t="shared" si="47"/>
        <v>10000</v>
      </c>
      <c r="Y85" s="2"/>
      <c r="Z85" s="7">
        <f t="shared" si="48"/>
        <v>0</v>
      </c>
    </row>
    <row r="86" spans="1:26" s="25" customFormat="1" outlineLevel="1" collapsed="1" x14ac:dyDescent="0.25">
      <c r="A86" s="27"/>
      <c r="B86" s="13" t="str">
        <f>CONCATENATE("     ","Repair and Maintenance                            ")</f>
        <v xml:space="preserve">     Repair and Maintenance                            </v>
      </c>
      <c r="C86" s="13"/>
      <c r="D86" s="1">
        <f>SUM(OSRRefD22_8x_0)</f>
        <v>0</v>
      </c>
      <c r="E86" s="1"/>
      <c r="F86" s="5">
        <f t="shared" si="41"/>
        <v>0</v>
      </c>
      <c r="G86" s="1"/>
      <c r="H86" s="1">
        <f>SUM(OSRRefH22_8x_0)</f>
        <v>0</v>
      </c>
      <c r="I86" s="1"/>
      <c r="J86" s="5">
        <f t="shared" si="42"/>
        <v>0</v>
      </c>
      <c r="K86" s="1"/>
      <c r="L86" s="1">
        <f t="shared" si="43"/>
        <v>0</v>
      </c>
      <c r="M86" s="1"/>
      <c r="N86" s="5">
        <f t="shared" si="44"/>
        <v>0</v>
      </c>
      <c r="O86" s="13"/>
      <c r="P86" s="1">
        <f>SUM(OSRRefP22_8x_0)</f>
        <v>0</v>
      </c>
      <c r="Q86" s="1"/>
      <c r="R86" s="5">
        <f t="shared" si="45"/>
        <v>0</v>
      </c>
      <c r="S86" s="1"/>
      <c r="T86" s="1">
        <f>SUM(OSRRefT22_8x_0)</f>
        <v>197.18</v>
      </c>
      <c r="U86" s="1"/>
      <c r="V86" s="5">
        <f t="shared" si="46"/>
        <v>1.0248267209695582E-4</v>
      </c>
      <c r="W86" s="1"/>
      <c r="X86" s="1">
        <f t="shared" si="47"/>
        <v>-197.18</v>
      </c>
      <c r="Y86" s="1"/>
      <c r="Z86" s="5">
        <f t="shared" si="48"/>
        <v>-1</v>
      </c>
    </row>
    <row r="87" spans="1:26" s="24" customFormat="1" hidden="1" outlineLevel="2" x14ac:dyDescent="0.25">
      <c r="A87" s="26"/>
      <c r="B87" s="11" t="str">
        <f>CONCATENATE("          ", "6375", " - ", "OUTSIDE REPAIRS &amp; MAINTENANCE")</f>
        <v xml:space="preserve">          6375 - OUTSIDE REPAIRS &amp; MAINTENANCE</v>
      </c>
      <c r="C87" s="11"/>
      <c r="D87" s="6"/>
      <c r="E87" s="2"/>
      <c r="F87" s="7">
        <f t="shared" si="41"/>
        <v>0</v>
      </c>
      <c r="G87" s="2"/>
      <c r="H87" s="6"/>
      <c r="I87" s="2"/>
      <c r="J87" s="7">
        <f t="shared" si="42"/>
        <v>0</v>
      </c>
      <c r="K87" s="2"/>
      <c r="L87" s="6">
        <f t="shared" si="43"/>
        <v>0</v>
      </c>
      <c r="M87" s="2"/>
      <c r="N87" s="7">
        <f t="shared" si="44"/>
        <v>0</v>
      </c>
      <c r="O87" s="11"/>
      <c r="P87" s="6"/>
      <c r="Q87" s="2"/>
      <c r="R87" s="7">
        <f t="shared" si="45"/>
        <v>0</v>
      </c>
      <c r="S87" s="2"/>
      <c r="T87" s="6">
        <v>197.18</v>
      </c>
      <c r="U87" s="2"/>
      <c r="V87" s="7">
        <f t="shared" si="46"/>
        <v>1.0248267209695582E-4</v>
      </c>
      <c r="W87" s="2"/>
      <c r="X87" s="6">
        <f t="shared" si="47"/>
        <v>-197.18</v>
      </c>
      <c r="Y87" s="2"/>
      <c r="Z87" s="7">
        <f t="shared" si="48"/>
        <v>-1</v>
      </c>
    </row>
    <row r="88" spans="1:26" s="25" customFormat="1" outlineLevel="1" collapsed="1" x14ac:dyDescent="0.25">
      <c r="A88" s="27"/>
      <c r="B88" s="13" t="str">
        <f>CONCATENATE("     ","Subscriptions &amp; Dues                              ")</f>
        <v xml:space="preserve">     Subscriptions &amp; Dues                              </v>
      </c>
      <c r="C88" s="13"/>
      <c r="D88" s="1">
        <f>SUM(OSRRefD22_9x_0)</f>
        <v>0</v>
      </c>
      <c r="E88" s="1"/>
      <c r="F88" s="5">
        <f t="shared" si="41"/>
        <v>0</v>
      </c>
      <c r="G88" s="1"/>
      <c r="H88" s="1">
        <f>SUM(OSRRefH22_9x_0)</f>
        <v>113.5</v>
      </c>
      <c r="I88" s="1"/>
      <c r="J88" s="5">
        <f t="shared" si="42"/>
        <v>9.0419111302022473E-4</v>
      </c>
      <c r="K88" s="1"/>
      <c r="L88" s="1">
        <f t="shared" si="43"/>
        <v>-113.5</v>
      </c>
      <c r="M88" s="1"/>
      <c r="N88" s="5">
        <f t="shared" si="44"/>
        <v>-1</v>
      </c>
      <c r="O88" s="13"/>
      <c r="P88" s="1">
        <f>SUM(OSRRefP22_9x_0)</f>
        <v>0</v>
      </c>
      <c r="Q88" s="1"/>
      <c r="R88" s="5">
        <f t="shared" si="45"/>
        <v>0</v>
      </c>
      <c r="S88" s="1"/>
      <c r="T88" s="1">
        <f>SUM(OSRRefT22_9x_0)</f>
        <v>-4886.5</v>
      </c>
      <c r="U88" s="1"/>
      <c r="V88" s="5">
        <f t="shared" si="46"/>
        <v>-2.5397179085189909E-3</v>
      </c>
      <c r="W88" s="1"/>
      <c r="X88" s="1">
        <f t="shared" si="47"/>
        <v>4886.5</v>
      </c>
      <c r="Y88" s="1"/>
      <c r="Z88" s="5">
        <f t="shared" si="48"/>
        <v>-1</v>
      </c>
    </row>
    <row r="89" spans="1:26" s="24" customFormat="1" hidden="1" outlineLevel="2" x14ac:dyDescent="0.25">
      <c r="A89" s="26"/>
      <c r="B89" s="11" t="str">
        <f>CONCATENATE("          ", "6258", " - ", "MEMBERSHIP DUES")</f>
        <v xml:space="preserve">          6258 - MEMBERSHIP DUES</v>
      </c>
      <c r="C89" s="11"/>
      <c r="D89" s="6"/>
      <c r="E89" s="2"/>
      <c r="F89" s="7">
        <f t="shared" si="41"/>
        <v>0</v>
      </c>
      <c r="G89" s="2"/>
      <c r="H89" s="6">
        <v>113.5</v>
      </c>
      <c r="I89" s="2"/>
      <c r="J89" s="7">
        <f t="shared" si="42"/>
        <v>9.0419111302022473E-4</v>
      </c>
      <c r="K89" s="2"/>
      <c r="L89" s="6">
        <f t="shared" si="43"/>
        <v>-113.5</v>
      </c>
      <c r="M89" s="2"/>
      <c r="N89" s="7">
        <f t="shared" si="44"/>
        <v>-1</v>
      </c>
      <c r="O89" s="11"/>
      <c r="P89" s="6"/>
      <c r="Q89" s="2"/>
      <c r="R89" s="7">
        <f t="shared" si="45"/>
        <v>0</v>
      </c>
      <c r="S89" s="2"/>
      <c r="T89" s="6">
        <v>-4886.5</v>
      </c>
      <c r="U89" s="2"/>
      <c r="V89" s="7">
        <f t="shared" si="46"/>
        <v>-2.5397179085189909E-3</v>
      </c>
      <c r="W89" s="2"/>
      <c r="X89" s="6">
        <f t="shared" si="47"/>
        <v>4886.5</v>
      </c>
      <c r="Y89" s="2"/>
      <c r="Z89" s="7">
        <f t="shared" si="48"/>
        <v>-1</v>
      </c>
    </row>
    <row r="90" spans="1:26" s="25" customFormat="1" outlineLevel="1" collapsed="1" x14ac:dyDescent="0.25">
      <c r="A90" s="27"/>
      <c r="B90" s="13" t="str">
        <f>CONCATENATE("     ","Supplies                                          ")</f>
        <v xml:space="preserve">     Supplies                                          </v>
      </c>
      <c r="C90" s="13"/>
      <c r="D90" s="1">
        <f>SUM(OSRRefD22_10x_0)</f>
        <v>8.74</v>
      </c>
      <c r="E90" s="1"/>
      <c r="F90" s="5">
        <f t="shared" si="41"/>
        <v>4.700570689080536E-5</v>
      </c>
      <c r="G90" s="1"/>
      <c r="H90" s="1">
        <f>SUM(OSRRefH22_10x_0)</f>
        <v>62.69</v>
      </c>
      <c r="I90" s="1"/>
      <c r="J90" s="5">
        <f t="shared" si="42"/>
        <v>4.9941621916509149E-4</v>
      </c>
      <c r="K90" s="1"/>
      <c r="L90" s="1">
        <f t="shared" si="43"/>
        <v>-53.949999999999996</v>
      </c>
      <c r="M90" s="1"/>
      <c r="N90" s="5">
        <f t="shared" si="44"/>
        <v>-0.86058382517147869</v>
      </c>
      <c r="O90" s="13"/>
      <c r="P90" s="1">
        <f>SUM(OSRRefP22_10x_0)</f>
        <v>2078.6</v>
      </c>
      <c r="Q90" s="1"/>
      <c r="R90" s="5">
        <f t="shared" si="45"/>
        <v>1.3069082923350011E-3</v>
      </c>
      <c r="S90" s="1"/>
      <c r="T90" s="1">
        <f>SUM(OSRRefT22_10x_0)</f>
        <v>3076.32</v>
      </c>
      <c r="U90" s="1"/>
      <c r="V90" s="5">
        <f t="shared" si="46"/>
        <v>1.5988918441287511E-3</v>
      </c>
      <c r="W90" s="1"/>
      <c r="X90" s="1">
        <f t="shared" si="47"/>
        <v>-997.72000000000025</v>
      </c>
      <c r="Y90" s="1"/>
      <c r="Z90" s="5">
        <f t="shared" si="48"/>
        <v>-0.32432256722317582</v>
      </c>
    </row>
    <row r="91" spans="1:26" s="24" customFormat="1" hidden="1" outlineLevel="2" x14ac:dyDescent="0.25">
      <c r="A91" s="26"/>
      <c r="B91" s="11" t="str">
        <f>CONCATENATE("          ", "6235", " - ", "COVID-19 EXPENSES")</f>
        <v xml:space="preserve">          6235 - COVID-19 EXPENSES</v>
      </c>
      <c r="C91" s="11"/>
      <c r="D91" s="6"/>
      <c r="E91" s="2"/>
      <c r="F91" s="7">
        <f t="shared" si="41"/>
        <v>0</v>
      </c>
      <c r="G91" s="2"/>
      <c r="H91" s="6"/>
      <c r="I91" s="2"/>
      <c r="J91" s="7">
        <f t="shared" si="42"/>
        <v>0</v>
      </c>
      <c r="K91" s="2"/>
      <c r="L91" s="6">
        <f t="shared" si="43"/>
        <v>0</v>
      </c>
      <c r="M91" s="2"/>
      <c r="N91" s="7">
        <f t="shared" si="44"/>
        <v>0</v>
      </c>
      <c r="O91" s="11"/>
      <c r="P91" s="6">
        <v>668.12</v>
      </c>
      <c r="Q91" s="2"/>
      <c r="R91" s="7">
        <f t="shared" si="45"/>
        <v>4.200767671869821E-4</v>
      </c>
      <c r="S91" s="2"/>
      <c r="T91" s="6"/>
      <c r="U91" s="2"/>
      <c r="V91" s="7">
        <f t="shared" si="46"/>
        <v>0</v>
      </c>
      <c r="W91" s="2"/>
      <c r="X91" s="6">
        <f t="shared" si="47"/>
        <v>668.12</v>
      </c>
      <c r="Y91" s="2"/>
      <c r="Z91" s="7">
        <f t="shared" si="48"/>
        <v>0</v>
      </c>
    </row>
    <row r="92" spans="1:26" s="24" customFormat="1" hidden="1" outlineLevel="2" x14ac:dyDescent="0.25">
      <c r="A92" s="26"/>
      <c r="B92" s="11" t="str">
        <f>CONCATENATE("          ", "6241", " - ", "OFFICE EXPENSE")</f>
        <v xml:space="preserve">          6241 - OFFICE EXPENSE</v>
      </c>
      <c r="C92" s="11"/>
      <c r="D92" s="6">
        <v>8.74</v>
      </c>
      <c r="E92" s="2"/>
      <c r="F92" s="7">
        <f t="shared" si="41"/>
        <v>4.700570689080536E-5</v>
      </c>
      <c r="G92" s="2"/>
      <c r="H92" s="6">
        <v>62.69</v>
      </c>
      <c r="I92" s="2"/>
      <c r="J92" s="7">
        <f t="shared" si="42"/>
        <v>4.9941621916509149E-4</v>
      </c>
      <c r="K92" s="2"/>
      <c r="L92" s="6">
        <f t="shared" si="43"/>
        <v>-53.949999999999996</v>
      </c>
      <c r="M92" s="2"/>
      <c r="N92" s="7">
        <f t="shared" si="44"/>
        <v>-0.86058382517147869</v>
      </c>
      <c r="O92" s="11"/>
      <c r="P92" s="6">
        <v>1410.48</v>
      </c>
      <c r="Q92" s="2"/>
      <c r="R92" s="7">
        <f t="shared" si="45"/>
        <v>8.8683152514801907E-4</v>
      </c>
      <c r="S92" s="2"/>
      <c r="T92" s="6">
        <v>1066.94</v>
      </c>
      <c r="U92" s="2"/>
      <c r="V92" s="7">
        <f t="shared" si="46"/>
        <v>5.5453322936974364E-4</v>
      </c>
      <c r="W92" s="2"/>
      <c r="X92" s="6">
        <f t="shared" si="47"/>
        <v>343.53999999999996</v>
      </c>
      <c r="Y92" s="2"/>
      <c r="Z92" s="7">
        <f t="shared" si="48"/>
        <v>0.32198624102573709</v>
      </c>
    </row>
    <row r="93" spans="1:26" s="24" customFormat="1" hidden="1" outlineLevel="2" x14ac:dyDescent="0.25">
      <c r="A93" s="26"/>
      <c r="B93" s="11" t="str">
        <f>CONCATENATE("          ", "6247", " - ", "STORE SUPPLIES")</f>
        <v xml:space="preserve">          6247 - STORE SUPPLIES</v>
      </c>
      <c r="C93" s="11"/>
      <c r="D93" s="6"/>
      <c r="E93" s="2"/>
      <c r="F93" s="7">
        <f t="shared" si="41"/>
        <v>0</v>
      </c>
      <c r="G93" s="2"/>
      <c r="H93" s="6"/>
      <c r="I93" s="2"/>
      <c r="J93" s="7">
        <f t="shared" si="42"/>
        <v>0</v>
      </c>
      <c r="K93" s="2"/>
      <c r="L93" s="6">
        <f t="shared" si="43"/>
        <v>0</v>
      </c>
      <c r="M93" s="2"/>
      <c r="N93" s="7">
        <f t="shared" si="44"/>
        <v>0</v>
      </c>
      <c r="O93" s="11"/>
      <c r="P93" s="6"/>
      <c r="Q93" s="2"/>
      <c r="R93" s="7">
        <f t="shared" si="45"/>
        <v>0</v>
      </c>
      <c r="S93" s="2"/>
      <c r="T93" s="6">
        <v>2009.38</v>
      </c>
      <c r="U93" s="2"/>
      <c r="V93" s="7">
        <f t="shared" si="46"/>
        <v>1.0443586147590076E-3</v>
      </c>
      <c r="W93" s="2"/>
      <c r="X93" s="6">
        <f t="shared" si="47"/>
        <v>-2009.38</v>
      </c>
      <c r="Y93" s="2"/>
      <c r="Z93" s="7">
        <f t="shared" si="48"/>
        <v>-1</v>
      </c>
    </row>
    <row r="94" spans="1:26" s="25" customFormat="1" outlineLevel="1" collapsed="1" x14ac:dyDescent="0.25">
      <c r="A94" s="27"/>
      <c r="B94" s="13" t="str">
        <f>CONCATENATE("     ","Telephone/Data Lines                              ")</f>
        <v xml:space="preserve">     Telephone/Data Lines                              </v>
      </c>
      <c r="C94" s="13"/>
      <c r="D94" s="1">
        <f>SUM(OSRRefD22_11x_0)</f>
        <v>250.65</v>
      </c>
      <c r="E94" s="1"/>
      <c r="F94" s="5">
        <f t="shared" ref="F94:F99" si="49">IF(D$12=0,0,D94/D$12)</f>
        <v>1.3480526810275015E-3</v>
      </c>
      <c r="G94" s="1"/>
      <c r="H94" s="1">
        <f>SUM(OSRRefH22_11x_0)</f>
        <v>255.8</v>
      </c>
      <c r="I94" s="1"/>
      <c r="J94" s="5">
        <f t="shared" ref="J94:J99" si="50">IF(H$12=0,0,H94/H$12)</f>
        <v>2.0378157419433788E-3</v>
      </c>
      <c r="K94" s="1"/>
      <c r="L94" s="1">
        <f t="shared" ref="L94:L99" si="51">+D94-H94</f>
        <v>-5.1500000000000057</v>
      </c>
      <c r="M94" s="1"/>
      <c r="N94" s="5">
        <f t="shared" ref="N94:N99" si="52">IF(H94=0,0,L94/H94)</f>
        <v>-2.0132916340891344E-2</v>
      </c>
      <c r="O94" s="13"/>
      <c r="P94" s="1">
        <f>SUM(OSRRefP22_11x_0)</f>
        <v>2331.4</v>
      </c>
      <c r="Q94" s="1"/>
      <c r="R94" s="5">
        <f t="shared" ref="R94:R99" si="53">IF(P$12=0,0,P94/P$12)</f>
        <v>1.4658548988501019E-3</v>
      </c>
      <c r="S94" s="1"/>
      <c r="T94" s="1">
        <f>SUM(OSRRefT22_11x_0)</f>
        <v>2045.85</v>
      </c>
      <c r="U94" s="1"/>
      <c r="V94" s="5">
        <f t="shared" ref="V94:V99" si="54">IF(T$12=0,0,T94/T$12)</f>
        <v>1.0633135952406788E-3</v>
      </c>
      <c r="W94" s="1"/>
      <c r="X94" s="1">
        <f t="shared" ref="X94:X99" si="55">+P94-T94</f>
        <v>285.55000000000018</v>
      </c>
      <c r="Y94" s="1"/>
      <c r="Z94" s="5">
        <f t="shared" ref="Z94:Z99" si="56">IF(T94=0,0,X94/T94)</f>
        <v>0.13957523767627159</v>
      </c>
    </row>
    <row r="95" spans="1:26" s="24" customFormat="1" hidden="1" outlineLevel="2" x14ac:dyDescent="0.25">
      <c r="A95" s="26"/>
      <c r="B95" s="11" t="str">
        <f>CONCATENATE("          ", "6309", " - ", "TELEPHONE")</f>
        <v xml:space="preserve">          6309 - TELEPHONE</v>
      </c>
      <c r="C95" s="11"/>
      <c r="D95" s="6">
        <v>250.65</v>
      </c>
      <c r="E95" s="2"/>
      <c r="F95" s="7">
        <f t="shared" si="49"/>
        <v>1.3480526810275015E-3</v>
      </c>
      <c r="G95" s="2"/>
      <c r="H95" s="6">
        <v>255.8</v>
      </c>
      <c r="I95" s="2"/>
      <c r="J95" s="7">
        <f t="shared" si="50"/>
        <v>2.0378157419433788E-3</v>
      </c>
      <c r="K95" s="2"/>
      <c r="L95" s="6">
        <f t="shared" si="51"/>
        <v>-5.1500000000000057</v>
      </c>
      <c r="M95" s="2"/>
      <c r="N95" s="7">
        <f t="shared" si="52"/>
        <v>-2.0132916340891344E-2</v>
      </c>
      <c r="O95" s="11"/>
      <c r="P95" s="6">
        <v>2331.4</v>
      </c>
      <c r="Q95" s="2"/>
      <c r="R95" s="7">
        <f t="shared" si="53"/>
        <v>1.4658548988501019E-3</v>
      </c>
      <c r="S95" s="2"/>
      <c r="T95" s="6">
        <v>2045.85</v>
      </c>
      <c r="U95" s="2"/>
      <c r="V95" s="7">
        <f t="shared" si="54"/>
        <v>1.0633135952406788E-3</v>
      </c>
      <c r="W95" s="2"/>
      <c r="X95" s="6">
        <f t="shared" si="55"/>
        <v>285.55000000000018</v>
      </c>
      <c r="Y95" s="2"/>
      <c r="Z95" s="7">
        <f t="shared" si="56"/>
        <v>0.13957523767627159</v>
      </c>
    </row>
    <row r="96" spans="1:26" s="25" customFormat="1" outlineLevel="1" collapsed="1" x14ac:dyDescent="0.25">
      <c r="A96" s="27"/>
      <c r="B96" s="13" t="str">
        <f>CONCATENATE("     ","Training                                          ")</f>
        <v xml:space="preserve">     Training                                          </v>
      </c>
      <c r="C96" s="13"/>
      <c r="D96" s="1">
        <f>SUM(OSRRefD22_12x_0)</f>
        <v>0</v>
      </c>
      <c r="E96" s="1"/>
      <c r="F96" s="5">
        <f t="shared" si="49"/>
        <v>0</v>
      </c>
      <c r="G96" s="1"/>
      <c r="H96" s="1">
        <f>SUM(OSRRefH22_12x_0)</f>
        <v>141.06</v>
      </c>
      <c r="I96" s="1"/>
      <c r="J96" s="5">
        <f t="shared" si="50"/>
        <v>1.123746241432889E-3</v>
      </c>
      <c r="K96" s="1"/>
      <c r="L96" s="1">
        <f t="shared" si="51"/>
        <v>-141.06</v>
      </c>
      <c r="M96" s="1"/>
      <c r="N96" s="5">
        <f t="shared" si="52"/>
        <v>-1</v>
      </c>
      <c r="O96" s="13"/>
      <c r="P96" s="1">
        <f>SUM(OSRRefP22_12x_0)</f>
        <v>100</v>
      </c>
      <c r="Q96" s="1"/>
      <c r="R96" s="5">
        <f t="shared" si="53"/>
        <v>6.287444877970755E-5</v>
      </c>
      <c r="S96" s="1"/>
      <c r="T96" s="1">
        <f>SUM(OSRRefT22_12x_0)</f>
        <v>1304.7</v>
      </c>
      <c r="U96" s="1"/>
      <c r="V96" s="5">
        <f t="shared" si="54"/>
        <v>6.7810702041230483E-4</v>
      </c>
      <c r="W96" s="1"/>
      <c r="X96" s="1">
        <f t="shared" si="55"/>
        <v>-1204.7</v>
      </c>
      <c r="Y96" s="1"/>
      <c r="Z96" s="5">
        <f t="shared" si="56"/>
        <v>-0.92335402774584197</v>
      </c>
    </row>
    <row r="97" spans="1:26" s="24" customFormat="1" hidden="1" outlineLevel="2" x14ac:dyDescent="0.25">
      <c r="A97" s="26"/>
      <c r="B97" s="11" t="str">
        <f>CONCATENATE("          ", "6376", " - ", "TRAINING")</f>
        <v xml:space="preserve">          6376 - TRAINING</v>
      </c>
      <c r="C97" s="11"/>
      <c r="D97" s="6"/>
      <c r="E97" s="2"/>
      <c r="F97" s="7">
        <f t="shared" si="49"/>
        <v>0</v>
      </c>
      <c r="G97" s="2"/>
      <c r="H97" s="6">
        <v>141.06</v>
      </c>
      <c r="I97" s="2"/>
      <c r="J97" s="7">
        <f t="shared" si="50"/>
        <v>1.123746241432889E-3</v>
      </c>
      <c r="K97" s="2"/>
      <c r="L97" s="6">
        <f t="shared" si="51"/>
        <v>-141.06</v>
      </c>
      <c r="M97" s="2"/>
      <c r="N97" s="7">
        <f t="shared" si="52"/>
        <v>-1</v>
      </c>
      <c r="O97" s="11"/>
      <c r="P97" s="6">
        <v>100</v>
      </c>
      <c r="Q97" s="2"/>
      <c r="R97" s="7">
        <f t="shared" si="53"/>
        <v>6.287444877970755E-5</v>
      </c>
      <c r="S97" s="2"/>
      <c r="T97" s="6">
        <v>1304.7</v>
      </c>
      <c r="U97" s="2"/>
      <c r="V97" s="7">
        <f t="shared" si="54"/>
        <v>6.7810702041230483E-4</v>
      </c>
      <c r="W97" s="2"/>
      <c r="X97" s="6">
        <f t="shared" si="55"/>
        <v>-1204.7</v>
      </c>
      <c r="Y97" s="2"/>
      <c r="Z97" s="7">
        <f t="shared" si="56"/>
        <v>-0.92335402774584197</v>
      </c>
    </row>
    <row r="98" spans="1:26" s="25" customFormat="1" outlineLevel="1" collapsed="1" x14ac:dyDescent="0.25">
      <c r="A98" s="27"/>
      <c r="B98" s="13" t="str">
        <f>CONCATENATE("     ","Travel                                            ")</f>
        <v xml:space="preserve">     Travel                                            </v>
      </c>
      <c r="C98" s="13"/>
      <c r="D98" s="1">
        <f>SUM(OSRRefD22_13x_0)</f>
        <v>0</v>
      </c>
      <c r="E98" s="1"/>
      <c r="F98" s="5">
        <f t="shared" si="49"/>
        <v>0</v>
      </c>
      <c r="G98" s="1"/>
      <c r="H98" s="1">
        <f>SUM(OSRRefH22_13x_0)</f>
        <v>0</v>
      </c>
      <c r="I98" s="1"/>
      <c r="J98" s="5">
        <f t="shared" si="50"/>
        <v>0</v>
      </c>
      <c r="K98" s="1"/>
      <c r="L98" s="1">
        <f t="shared" si="51"/>
        <v>0</v>
      </c>
      <c r="M98" s="1"/>
      <c r="N98" s="5">
        <f t="shared" si="52"/>
        <v>0</v>
      </c>
      <c r="O98" s="13"/>
      <c r="P98" s="1">
        <f>SUM(OSRRefP22_13x_0)</f>
        <v>0</v>
      </c>
      <c r="Q98" s="1"/>
      <c r="R98" s="5">
        <f t="shared" si="53"/>
        <v>0</v>
      </c>
      <c r="S98" s="1"/>
      <c r="T98" s="1">
        <f>SUM(OSRRefT22_13x_0)</f>
        <v>-178.06</v>
      </c>
      <c r="U98" s="1"/>
      <c r="V98" s="5">
        <f t="shared" si="54"/>
        <v>-9.2545210435054028E-5</v>
      </c>
      <c r="W98" s="1"/>
      <c r="X98" s="1">
        <f t="shared" si="55"/>
        <v>178.06</v>
      </c>
      <c r="Y98" s="1"/>
      <c r="Z98" s="5">
        <f t="shared" si="56"/>
        <v>-1</v>
      </c>
    </row>
    <row r="99" spans="1:26" s="24" customFormat="1" hidden="1" outlineLevel="2" x14ac:dyDescent="0.25">
      <c r="A99" s="26"/>
      <c r="B99" s="11" t="str">
        <f>CONCATENATE("          ", "6292", " - ", "TRAVEL/CONFERENCE")</f>
        <v xml:space="preserve">          6292 - TRAVEL/CONFERENCE</v>
      </c>
      <c r="C99" s="11"/>
      <c r="D99" s="6"/>
      <c r="E99" s="2"/>
      <c r="F99" s="7">
        <f t="shared" si="49"/>
        <v>0</v>
      </c>
      <c r="G99" s="2"/>
      <c r="H99" s="6"/>
      <c r="I99" s="2"/>
      <c r="J99" s="7">
        <f t="shared" si="50"/>
        <v>0</v>
      </c>
      <c r="K99" s="2"/>
      <c r="L99" s="6">
        <f t="shared" si="51"/>
        <v>0</v>
      </c>
      <c r="M99" s="2"/>
      <c r="N99" s="7">
        <f t="shared" si="52"/>
        <v>0</v>
      </c>
      <c r="O99" s="11"/>
      <c r="P99" s="6"/>
      <c r="Q99" s="2"/>
      <c r="R99" s="7">
        <f t="shared" si="53"/>
        <v>0</v>
      </c>
      <c r="S99" s="2"/>
      <c r="T99" s="6">
        <v>-178.06</v>
      </c>
      <c r="U99" s="2"/>
      <c r="V99" s="7">
        <f t="shared" si="54"/>
        <v>-9.2545210435054028E-5</v>
      </c>
      <c r="W99" s="2"/>
      <c r="X99" s="6">
        <f t="shared" si="55"/>
        <v>178.06</v>
      </c>
      <c r="Y99" s="2"/>
      <c r="Z99" s="7">
        <f t="shared" si="56"/>
        <v>-1</v>
      </c>
    </row>
    <row r="100" spans="1:26" s="52" customFormat="1" x14ac:dyDescent="0.25">
      <c r="A100" s="37"/>
      <c r="B100" s="37"/>
      <c r="C100" s="37"/>
      <c r="D100" s="1"/>
      <c r="E100" s="1"/>
      <c r="F100" s="5"/>
      <c r="G100" s="1"/>
      <c r="H100" s="1"/>
      <c r="I100" s="1"/>
      <c r="J100" s="5"/>
      <c r="K100" s="1"/>
      <c r="L100" s="1"/>
      <c r="M100" s="1"/>
      <c r="N100" s="5"/>
      <c r="O100" s="37"/>
      <c r="P100" s="1"/>
      <c r="Q100" s="1"/>
      <c r="R100" s="5"/>
      <c r="S100" s="1"/>
      <c r="T100" s="1"/>
      <c r="U100" s="1"/>
      <c r="V100" s="5"/>
      <c r="W100" s="1"/>
      <c r="X100" s="1"/>
      <c r="Y100" s="1"/>
      <c r="Z100" s="5"/>
    </row>
    <row r="101" spans="1:26" s="23" customFormat="1" collapsed="1" x14ac:dyDescent="0.25">
      <c r="A101" s="10"/>
      <c r="B101" s="28" t="s">
        <v>0</v>
      </c>
      <c r="C101" s="10"/>
      <c r="D101" s="4">
        <f>SUM(OSRRefD25x_0)</f>
        <v>649.6</v>
      </c>
      <c r="E101" s="4"/>
      <c r="F101" s="12">
        <f t="shared" ref="F101:F105" si="57">IF(D$12=0,0,D101/D$12)</f>
        <v>3.4936964755454421E-3</v>
      </c>
      <c r="G101" s="4"/>
      <c r="H101" s="4">
        <f>SUM(OSRRefH25x_0)</f>
        <v>847.31999999999994</v>
      </c>
      <c r="I101" s="4"/>
      <c r="J101" s="12">
        <f t="shared" ref="J101:J105" si="58">IF(H$12=0,0,H101/H$12)</f>
        <v>6.7501252324607642E-3</v>
      </c>
      <c r="K101" s="4"/>
      <c r="L101" s="4">
        <f t="shared" ref="L101:L105" si="59">+D101-H101</f>
        <v>-197.71999999999991</v>
      </c>
      <c r="M101" s="4"/>
      <c r="N101" s="12">
        <f t="shared" ref="N101:N105" si="60">IF(H101=0,0,L101/H101)</f>
        <v>-0.23334749563329077</v>
      </c>
      <c r="O101" s="10"/>
      <c r="P101" s="4">
        <f>SUM(OSRRefP25x_0)</f>
        <v>1278.6399999999999</v>
      </c>
      <c r="Q101" s="4"/>
      <c r="R101" s="12">
        <f t="shared" ref="R101:R105" si="61">IF(P$12=0,0,P101/P$12)</f>
        <v>8.0393785187685249E-4</v>
      </c>
      <c r="S101" s="4"/>
      <c r="T101" s="4">
        <f>SUM(OSRRefT25x_0)</f>
        <v>14067.130000000001</v>
      </c>
      <c r="U101" s="4"/>
      <c r="V101" s="12">
        <f t="shared" ref="V101:V105" si="62">IF(T$12=0,0,T101/T$12)</f>
        <v>7.3112743236395696E-3</v>
      </c>
      <c r="W101" s="4"/>
      <c r="X101" s="4">
        <f t="shared" ref="X101:X105" si="63">+P101-T101</f>
        <v>-12788.490000000002</v>
      </c>
      <c r="Y101" s="4"/>
      <c r="Z101" s="12">
        <f t="shared" ref="Z101:Z105" si="64">IF(T101=0,0,X101/T101)</f>
        <v>-0.9091044157550261</v>
      </c>
    </row>
    <row r="102" spans="1:26" s="24" customFormat="1" hidden="1" outlineLevel="1" x14ac:dyDescent="0.25">
      <c r="A102" s="44"/>
      <c r="B102" s="11" t="str">
        <f>CONCATENATE("          ", "4187", " - ", "NON-TAXABLE SALES-COMPUTER REP")</f>
        <v xml:space="preserve">          4187 - NON-TAXABLE SALES-COMPUTER REP</v>
      </c>
      <c r="C102" s="11"/>
      <c r="D102" s="2">
        <f>-231.36</f>
        <v>-231.36</v>
      </c>
      <c r="E102" s="2"/>
      <c r="F102" s="19">
        <f t="shared" si="57"/>
        <v>-1.2443066757730811E-3</v>
      </c>
      <c r="G102" s="2"/>
      <c r="H102" s="2">
        <f>--681.93</f>
        <v>681.93</v>
      </c>
      <c r="I102" s="2"/>
      <c r="J102" s="19">
        <f t="shared" si="58"/>
        <v>5.4325554687390462E-3</v>
      </c>
      <c r="K102" s="2"/>
      <c r="L102" s="2">
        <f t="shared" si="59"/>
        <v>-913.29</v>
      </c>
      <c r="M102" s="2"/>
      <c r="N102" s="19">
        <f t="shared" si="60"/>
        <v>-1.3392723593330693</v>
      </c>
      <c r="O102" s="11"/>
      <c r="P102" s="2">
        <f>--1454.51</f>
        <v>1454.51</v>
      </c>
      <c r="Q102" s="2"/>
      <c r="R102" s="19">
        <f t="shared" si="61"/>
        <v>9.1451514494572434E-4</v>
      </c>
      <c r="S102" s="2"/>
      <c r="T102" s="2">
        <f>--15792.86</f>
        <v>15792.86</v>
      </c>
      <c r="U102" s="2"/>
      <c r="V102" s="19">
        <f t="shared" si="62"/>
        <v>8.2082081998840137E-3</v>
      </c>
      <c r="W102" s="2"/>
      <c r="X102" s="2">
        <f t="shared" si="63"/>
        <v>-14338.35</v>
      </c>
      <c r="Y102" s="2"/>
      <c r="Z102" s="19">
        <f t="shared" si="64"/>
        <v>-0.90790078554486009</v>
      </c>
    </row>
    <row r="103" spans="1:26" s="24" customFormat="1" hidden="1" outlineLevel="1" x14ac:dyDescent="0.25">
      <c r="A103" s="44"/>
      <c r="B103" s="11" t="str">
        <f>CONCATENATE("          ", "4387", " - ", "SALES RETURN NON TAXABLE-COMPU")</f>
        <v xml:space="preserve">          4387 - SALES RETURN NON TAXABLE-COMPU</v>
      </c>
      <c r="C103" s="11"/>
      <c r="D103" s="2">
        <f t="shared" ref="D103:D104" si="65">0</f>
        <v>0</v>
      </c>
      <c r="E103" s="2"/>
      <c r="F103" s="19">
        <f t="shared" si="57"/>
        <v>0</v>
      </c>
      <c r="G103" s="2"/>
      <c r="H103" s="2">
        <f t="shared" ref="H103:H104" si="66">0</f>
        <v>0</v>
      </c>
      <c r="I103" s="2"/>
      <c r="J103" s="19">
        <f t="shared" si="58"/>
        <v>0</v>
      </c>
      <c r="K103" s="2"/>
      <c r="L103" s="2">
        <f t="shared" si="59"/>
        <v>0</v>
      </c>
      <c r="M103" s="2"/>
      <c r="N103" s="19">
        <f t="shared" si="60"/>
        <v>0</v>
      </c>
      <c r="O103" s="11"/>
      <c r="P103" s="2">
        <f t="shared" ref="P103:P104" si="67">0</f>
        <v>0</v>
      </c>
      <c r="Q103" s="2"/>
      <c r="R103" s="19">
        <f t="shared" si="61"/>
        <v>0</v>
      </c>
      <c r="S103" s="2"/>
      <c r="T103" s="2">
        <f>-7889</f>
        <v>-7889</v>
      </c>
      <c r="U103" s="2"/>
      <c r="V103" s="19">
        <f t="shared" si="62"/>
        <v>-4.1002424189719262E-3</v>
      </c>
      <c r="W103" s="2"/>
      <c r="X103" s="2">
        <f t="shared" si="63"/>
        <v>7889</v>
      </c>
      <c r="Y103" s="2"/>
      <c r="Z103" s="19">
        <f t="shared" si="64"/>
        <v>-1</v>
      </c>
    </row>
    <row r="104" spans="1:26" s="24" customFormat="1" hidden="1" outlineLevel="1" x14ac:dyDescent="0.25">
      <c r="A104" s="44"/>
      <c r="B104" s="11" t="str">
        <f>CONCATENATE("          ", "5087", " - ", "PURCHASES @ COST-COMPUTER REPA")</f>
        <v xml:space="preserve">          5087 - PURCHASES @ COST-COMPUTER REPA</v>
      </c>
      <c r="C104" s="11"/>
      <c r="D104" s="2">
        <f t="shared" si="65"/>
        <v>0</v>
      </c>
      <c r="E104" s="2"/>
      <c r="F104" s="19">
        <f t="shared" si="57"/>
        <v>0</v>
      </c>
      <c r="G104" s="2"/>
      <c r="H104" s="2">
        <f t="shared" si="66"/>
        <v>0</v>
      </c>
      <c r="I104" s="2"/>
      <c r="J104" s="19">
        <f t="shared" si="58"/>
        <v>0</v>
      </c>
      <c r="K104" s="2"/>
      <c r="L104" s="2">
        <f t="shared" si="59"/>
        <v>0</v>
      </c>
      <c r="M104" s="2"/>
      <c r="N104" s="19">
        <f t="shared" si="60"/>
        <v>0</v>
      </c>
      <c r="O104" s="11"/>
      <c r="P104" s="2">
        <f t="shared" si="67"/>
        <v>0</v>
      </c>
      <c r="Q104" s="2"/>
      <c r="R104" s="19">
        <f t="shared" si="61"/>
        <v>0</v>
      </c>
      <c r="S104" s="2"/>
      <c r="T104" s="2">
        <f>-56.72</f>
        <v>-56.72</v>
      </c>
      <c r="U104" s="2"/>
      <c r="V104" s="19">
        <f t="shared" si="62"/>
        <v>-2.9479750285725398E-5</v>
      </c>
      <c r="W104" s="2"/>
      <c r="X104" s="2">
        <f t="shared" si="63"/>
        <v>56.72</v>
      </c>
      <c r="Y104" s="2"/>
      <c r="Z104" s="19">
        <f t="shared" si="64"/>
        <v>-1</v>
      </c>
    </row>
    <row r="105" spans="1:26" s="24" customFormat="1" hidden="1" outlineLevel="1" x14ac:dyDescent="0.25">
      <c r="A105" s="44"/>
      <c r="B105" s="11" t="str">
        <f>CONCATENATE("          ", "9150", " - ", "MISC. INCOME")</f>
        <v xml:space="preserve">          9150 - MISC. INCOME</v>
      </c>
      <c r="C105" s="11"/>
      <c r="D105" s="2">
        <f>--880.96</f>
        <v>880.96</v>
      </c>
      <c r="E105" s="2"/>
      <c r="F105" s="19">
        <f t="shared" si="57"/>
        <v>4.738003151318523E-3</v>
      </c>
      <c r="G105" s="2"/>
      <c r="H105" s="2">
        <f>--165.39</f>
        <v>165.39</v>
      </c>
      <c r="I105" s="2"/>
      <c r="J105" s="19">
        <f t="shared" si="58"/>
        <v>1.3175697637217176E-3</v>
      </c>
      <c r="K105" s="2"/>
      <c r="L105" s="2">
        <f t="shared" si="59"/>
        <v>715.57</v>
      </c>
      <c r="M105" s="2"/>
      <c r="N105" s="19">
        <f t="shared" si="60"/>
        <v>4.326561460789649</v>
      </c>
      <c r="O105" s="11"/>
      <c r="P105" s="2">
        <f>-175.87</f>
        <v>-175.87</v>
      </c>
      <c r="Q105" s="2"/>
      <c r="R105" s="19">
        <f t="shared" si="61"/>
        <v>-1.1057729306887167E-4</v>
      </c>
      <c r="S105" s="2"/>
      <c r="T105" s="2">
        <f>--6219.99</f>
        <v>6219.99</v>
      </c>
      <c r="U105" s="2"/>
      <c r="V105" s="19">
        <f t="shared" si="62"/>
        <v>3.2327882930132073E-3</v>
      </c>
      <c r="W105" s="2"/>
      <c r="X105" s="2">
        <f t="shared" si="63"/>
        <v>-6395.86</v>
      </c>
      <c r="Y105" s="2"/>
      <c r="Z105" s="19">
        <f t="shared" si="64"/>
        <v>-1.0282749650722911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10"/>
      <c r="B107" s="29" t="s">
        <v>3</v>
      </c>
      <c r="C107" s="29"/>
      <c r="D107" s="22">
        <f>+D54-D56+D101</f>
        <v>-7998.8600000000042</v>
      </c>
      <c r="E107" s="14"/>
      <c r="F107" s="20">
        <f>IF(D$12=0,0,D107/D$12)</f>
        <v>-4.3019687485193088E-2</v>
      </c>
      <c r="G107" s="14"/>
      <c r="H107" s="22">
        <f>+H54-H56+H101</f>
        <v>28027.989999999969</v>
      </c>
      <c r="I107" s="14"/>
      <c r="J107" s="20">
        <f>IF(H$12=0,0,H107/H$12)</f>
        <v>0.22328334338167136</v>
      </c>
      <c r="K107" s="16"/>
      <c r="L107" s="22">
        <f>+D107-H107</f>
        <v>-36026.849999999977</v>
      </c>
      <c r="M107" s="16"/>
      <c r="N107" s="20">
        <f>IF(H107=0,0,L107/H107)</f>
        <v>-1.2853882850678917</v>
      </c>
      <c r="O107" s="28"/>
      <c r="P107" s="22">
        <f>+P54-P56+P101</f>
        <v>-23854.02000000012</v>
      </c>
      <c r="Q107" s="14"/>
      <c r="R107" s="20">
        <f>IF(P$12=0,0,P107/P$12)</f>
        <v>-1.4998083586801271E-2</v>
      </c>
      <c r="S107" s="14"/>
      <c r="T107" s="22">
        <f>+T54-T56+T101</f>
        <v>105378.58000000048</v>
      </c>
      <c r="U107" s="14"/>
      <c r="V107" s="20">
        <f>IF(T$12=0,0,T107/T$12)</f>
        <v>5.4769644285337642E-2</v>
      </c>
      <c r="W107" s="16"/>
      <c r="X107" s="22">
        <f>+P107-T107</f>
        <v>-129232.6000000006</v>
      </c>
      <c r="Y107" s="16"/>
      <c r="Z107" s="20">
        <f>IF(T107=0,0,X107/T107)</f>
        <v>-1.226364978537384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51"/>
      <c r="B109" s="10" t="s">
        <v>13</v>
      </c>
      <c r="C109" s="10"/>
      <c r="D109" s="4">
        <v>60009.689999999995</v>
      </c>
      <c r="E109" s="4"/>
      <c r="F109" s="12">
        <f>IF(D$12=0,0,D109/D$12)</f>
        <v>0.32274575500550268</v>
      </c>
      <c r="G109" s="4"/>
      <c r="H109" s="4">
        <v>8538.27</v>
      </c>
      <c r="I109" s="4"/>
      <c r="J109" s="12">
        <f>IF(H$12=0,0,H109/H$12)</f>
        <v>6.8019628674600832E-2</v>
      </c>
      <c r="K109" s="4"/>
      <c r="L109" s="4">
        <f>+D109-H109</f>
        <v>51471.42</v>
      </c>
      <c r="M109" s="4"/>
      <c r="N109" s="12">
        <f>IF(H109=0,0,L109/H109)</f>
        <v>6.028319554195404</v>
      </c>
      <c r="O109" s="10"/>
      <c r="P109" s="4">
        <v>314970.19</v>
      </c>
      <c r="Q109" s="4"/>
      <c r="R109" s="12">
        <f>IF(P$12=0,0,P109/P$12)</f>
        <v>0.19803577078289755</v>
      </c>
      <c r="S109" s="4"/>
      <c r="T109" s="4">
        <v>196096.97</v>
      </c>
      <c r="U109" s="4"/>
      <c r="V109" s="12">
        <f>IF(T$12=0,0,T109/T$12)</f>
        <v>0.1019197762233319</v>
      </c>
      <c r="W109" s="4"/>
      <c r="X109" s="4">
        <f>+P109-T109</f>
        <v>118873.22</v>
      </c>
      <c r="Y109" s="4"/>
      <c r="Z109" s="12">
        <f>IF(T109=0,0,X109/T109)</f>
        <v>0.60619610797657919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9" t="s">
        <v>4</v>
      </c>
      <c r="C111" s="29"/>
      <c r="D111" s="35">
        <f>+D107-D109</f>
        <v>-68008.55</v>
      </c>
      <c r="E111" s="14"/>
      <c r="F111" s="36">
        <f>IF(D$12=0,0,D111/D$12)</f>
        <v>-0.36576544249069576</v>
      </c>
      <c r="G111" s="14"/>
      <c r="H111" s="35">
        <f>+H107-H109</f>
        <v>19489.719999999968</v>
      </c>
      <c r="I111" s="14"/>
      <c r="J111" s="36">
        <f>IF(H$12=0,0,H111/H$12)</f>
        <v>0.15526371470707054</v>
      </c>
      <c r="K111" s="16"/>
      <c r="L111" s="35">
        <f>D111-H111</f>
        <v>-87498.269999999975</v>
      </c>
      <c r="M111" s="16"/>
      <c r="N111" s="36">
        <f>IF(H111=0,0,L111/H111)</f>
        <v>-4.4894575191434312</v>
      </c>
      <c r="O111" s="28"/>
      <c r="P111" s="35">
        <f>+P107-P109</f>
        <v>-338824.21000000014</v>
      </c>
      <c r="Q111" s="14"/>
      <c r="R111" s="36">
        <f>IF(P$12=0,0,P111/P$12)</f>
        <v>-0.21303385436969882</v>
      </c>
      <c r="S111" s="14"/>
      <c r="T111" s="35">
        <f>+T107-T109</f>
        <v>-90718.389999999519</v>
      </c>
      <c r="U111" s="14"/>
      <c r="V111" s="36">
        <f>IF(T$12=0,0,T111/T$12)</f>
        <v>-4.715013193799425E-2</v>
      </c>
      <c r="W111" s="16"/>
      <c r="X111" s="35">
        <f>P111-T111</f>
        <v>-248105.82000000062</v>
      </c>
      <c r="Y111" s="16"/>
      <c r="Z111" s="36">
        <f>IF(T111=0,0,X111/T111)</f>
        <v>2.7349010492801065</v>
      </c>
    </row>
    <row r="112" spans="1:26" ht="15.75" thickTop="1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9" t="s">
        <v>5</v>
      </c>
      <c r="C114" s="29"/>
      <c r="D114" s="31">
        <f>SUM(D111:D113)</f>
        <v>-68008.55</v>
      </c>
      <c r="E114" s="14"/>
      <c r="F114" s="33">
        <f>IF(D$12=0,0,D114/D$12)</f>
        <v>-0.36576544249069576</v>
      </c>
      <c r="G114" s="14"/>
      <c r="H114" s="31">
        <f>SUM(H111:H113)</f>
        <v>19489.719999999968</v>
      </c>
      <c r="I114" s="14"/>
      <c r="J114" s="33">
        <f>IF(H$12=0,0,H114/H$12)</f>
        <v>0.15526371470707054</v>
      </c>
      <c r="K114" s="16"/>
      <c r="L114" s="31">
        <f>+D114-H114</f>
        <v>-87498.269999999975</v>
      </c>
      <c r="M114" s="16"/>
      <c r="N114" s="33">
        <f>IF(H114=0,0,L114/H114)</f>
        <v>-4.4894575191434312</v>
      </c>
      <c r="O114" s="28"/>
      <c r="P114" s="31">
        <f>SUM(P111:P113)</f>
        <v>-338824.21000000014</v>
      </c>
      <c r="Q114" s="14"/>
      <c r="R114" s="33">
        <f>IF(P$12=0,0,P114/P$12)</f>
        <v>-0.21303385436969882</v>
      </c>
      <c r="S114" s="14"/>
      <c r="T114" s="31">
        <f>SUM(T111:T113)</f>
        <v>-90718.389999999519</v>
      </c>
      <c r="U114" s="14"/>
      <c r="V114" s="33">
        <f>IF(T$12=0,0,T114/T$12)</f>
        <v>-4.715013193799425E-2</v>
      </c>
      <c r="W114" s="16"/>
      <c r="X114" s="31">
        <f>+P114-T114</f>
        <v>-248105.82000000062</v>
      </c>
      <c r="Y114" s="16"/>
      <c r="Z114" s="33">
        <f>IF(T114=0,0,X114/T114)</f>
        <v>2.7349010492801065</v>
      </c>
    </row>
    <row r="115" spans="1:26" ht="15.75" thickTop="1" x14ac:dyDescent="0.25">
      <c r="A115" s="9"/>
      <c r="C115" s="9"/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  <row r="116" spans="1:26" x14ac:dyDescent="0.25">
      <c r="A116" s="9"/>
      <c r="B116" s="56">
        <v>44267.668303854167</v>
      </c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  <row r="117" spans="1:26" x14ac:dyDescent="0.25">
      <c r="A117" s="9"/>
      <c r="B117" s="54" t="s">
        <v>313</v>
      </c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  <row r="118" spans="1:26" x14ac:dyDescent="0.25">
      <c r="A118" s="9"/>
      <c r="B118" s="58"/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  <row r="119" spans="1:26" x14ac:dyDescent="0.25">
      <c r="D119" s="18"/>
      <c r="E119" s="18"/>
      <c r="G119" s="18"/>
      <c r="H119" s="18"/>
      <c r="I119" s="18"/>
      <c r="J119" s="43"/>
      <c r="K119" s="18"/>
      <c r="L119" s="18"/>
      <c r="M119" s="18"/>
      <c r="P119" s="18"/>
      <c r="Q119" s="18"/>
      <c r="R119" s="43"/>
      <c r="S119" s="18"/>
      <c r="T119" s="18"/>
      <c r="U119" s="18"/>
      <c r="V119" s="43"/>
      <c r="W119" s="18"/>
      <c r="X119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305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134</v>
      </c>
      <c r="E12" s="4"/>
      <c r="F12" s="12"/>
      <c r="G12" s="4"/>
      <c r="H12" s="4">
        <f>SUM(OSRRefH13x_0)</f>
        <v>394076.29999999993</v>
      </c>
      <c r="I12" s="4"/>
      <c r="J12" s="12"/>
      <c r="K12" s="4"/>
      <c r="L12" s="4">
        <f t="shared" ref="L12:L21" si="0">+D12-H12</f>
        <v>-393942.29999999993</v>
      </c>
      <c r="M12" s="4"/>
      <c r="N12" s="12">
        <f t="shared" ref="N12:N21" si="1">IF(H12=0,0,L12/H12)</f>
        <v>-0.99965996432670523</v>
      </c>
      <c r="O12" s="10"/>
      <c r="P12" s="4">
        <f>SUM(OSRRefP13x_0)</f>
        <v>2720.4700000000003</v>
      </c>
      <c r="Q12" s="4"/>
      <c r="R12" s="12"/>
      <c r="S12" s="4"/>
      <c r="T12" s="4">
        <f>SUM(OSRRefT13x_0)</f>
        <v>2202060.0099999998</v>
      </c>
      <c r="U12" s="4"/>
      <c r="V12" s="12"/>
      <c r="W12" s="4"/>
      <c r="X12" s="4">
        <f t="shared" ref="X12:X21" si="2">+P12-T12</f>
        <v>-2199339.5399999996</v>
      </c>
      <c r="Y12" s="4"/>
      <c r="Z12" s="12">
        <f t="shared" ref="Z12:Z21" si="3">IF(T12=0,0,X12/T12)</f>
        <v>-0.99876457953568654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20" si="4">0</f>
        <v>0</v>
      </c>
      <c r="E13" s="2"/>
      <c r="F13" s="19"/>
      <c r="G13" s="2"/>
      <c r="H13" s="2">
        <f>--45400.09</f>
        <v>45400.09</v>
      </c>
      <c r="I13" s="2"/>
      <c r="J13" s="19"/>
      <c r="K13" s="2"/>
      <c r="L13" s="2">
        <f t="shared" si="0"/>
        <v>-45400.09</v>
      </c>
      <c r="M13" s="2"/>
      <c r="N13" s="19">
        <f t="shared" si="1"/>
        <v>-1</v>
      </c>
      <c r="O13" s="11"/>
      <c r="P13" s="2">
        <f>--444.59</f>
        <v>444.59</v>
      </c>
      <c r="Q13" s="2"/>
      <c r="R13" s="19"/>
      <c r="S13" s="2"/>
      <c r="T13" s="2">
        <f>--256806.37</f>
        <v>256806.37</v>
      </c>
      <c r="U13" s="2"/>
      <c r="V13" s="19"/>
      <c r="W13" s="2"/>
      <c r="X13" s="2">
        <f t="shared" si="2"/>
        <v>-256361.78</v>
      </c>
      <c r="Y13" s="2"/>
      <c r="Z13" s="19">
        <f t="shared" si="3"/>
        <v>-0.99826877347318144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 t="shared" si="4"/>
        <v>0</v>
      </c>
      <c r="E14" s="2"/>
      <c r="F14" s="19"/>
      <c r="G14" s="2"/>
      <c r="H14" s="2">
        <f>--456.01</f>
        <v>456.01</v>
      </c>
      <c r="I14" s="2"/>
      <c r="J14" s="19"/>
      <c r="K14" s="2"/>
      <c r="L14" s="2">
        <f t="shared" si="0"/>
        <v>-456.01</v>
      </c>
      <c r="M14" s="2"/>
      <c r="N14" s="19">
        <f t="shared" si="1"/>
        <v>-1</v>
      </c>
      <c r="O14" s="11"/>
      <c r="P14" s="2">
        <f t="shared" ref="P14:P15" si="5">0</f>
        <v>0</v>
      </c>
      <c r="Q14" s="2"/>
      <c r="R14" s="19"/>
      <c r="S14" s="2"/>
      <c r="T14" s="2">
        <f>--2960.02</f>
        <v>2960.02</v>
      </c>
      <c r="U14" s="2"/>
      <c r="V14" s="19"/>
      <c r="W14" s="2"/>
      <c r="X14" s="2">
        <f t="shared" si="2"/>
        <v>-2960.02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"4051", " - ", "TAXABLE SALES-FOOD")</f>
        <v xml:space="preserve">          4051 - TAXABLE SALES-FOOD</v>
      </c>
      <c r="C15" s="11"/>
      <c r="D15" s="2">
        <f t="shared" si="4"/>
        <v>0</v>
      </c>
      <c r="E15" s="2"/>
      <c r="F15" s="19"/>
      <c r="G15" s="2"/>
      <c r="H15" s="2">
        <f>--23977.64</f>
        <v>23977.64</v>
      </c>
      <c r="I15" s="2"/>
      <c r="J15" s="19"/>
      <c r="K15" s="2"/>
      <c r="L15" s="2">
        <f t="shared" si="0"/>
        <v>-23977.64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--140914.35</f>
        <v>140914.35</v>
      </c>
      <c r="U15" s="2"/>
      <c r="V15" s="19"/>
      <c r="W15" s="2"/>
      <c r="X15" s="2">
        <f t="shared" si="2"/>
        <v>-140914.35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"4132", " - ", "NON-TAXABLE SALES-JUICE")</f>
        <v xml:space="preserve">          4132 - NON-TAXABLE SALES-JUICE</v>
      </c>
      <c r="C16" s="11"/>
      <c r="D16" s="2">
        <f t="shared" si="4"/>
        <v>0</v>
      </c>
      <c r="E16" s="2"/>
      <c r="F16" s="19"/>
      <c r="G16" s="2"/>
      <c r="H16" s="2">
        <f>--185424.36</f>
        <v>185424.36</v>
      </c>
      <c r="I16" s="2"/>
      <c r="J16" s="19"/>
      <c r="K16" s="2"/>
      <c r="L16" s="2">
        <f t="shared" si="0"/>
        <v>-185424.36</v>
      </c>
      <c r="M16" s="2"/>
      <c r="N16" s="19">
        <f t="shared" si="1"/>
        <v>-1</v>
      </c>
      <c r="O16" s="11"/>
      <c r="P16" s="2">
        <f>--2031.88</f>
        <v>2031.88</v>
      </c>
      <c r="Q16" s="2"/>
      <c r="R16" s="19"/>
      <c r="S16" s="2"/>
      <c r="T16" s="2">
        <f>--1015608.66</f>
        <v>1015608.66</v>
      </c>
      <c r="U16" s="2"/>
      <c r="V16" s="19"/>
      <c r="W16" s="2"/>
      <c r="X16" s="2">
        <f t="shared" si="2"/>
        <v>-1013576.78</v>
      </c>
      <c r="Y16" s="2"/>
      <c r="Z16" s="19">
        <f t="shared" si="3"/>
        <v>-0.99799934750457919</v>
      </c>
    </row>
    <row r="17" spans="1:26" s="24" customFormat="1" hidden="1" outlineLevel="1" x14ac:dyDescent="0.25">
      <c r="A17" s="44"/>
      <c r="B17" s="11" t="str">
        <f>CONCATENATE("          ", "4133", " - ", "NON-TAXABLE SALES-CANDY")</f>
        <v xml:space="preserve">          4133 - NON-TAXABLE SALES-CANDY</v>
      </c>
      <c r="C17" s="11"/>
      <c r="D17" s="2">
        <f t="shared" si="4"/>
        <v>0</v>
      </c>
      <c r="E17" s="2"/>
      <c r="F17" s="19"/>
      <c r="G17" s="2"/>
      <c r="H17" s="2">
        <f t="shared" ref="H17:H18" si="6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ref="P17:P20" si="7">0</f>
        <v>0</v>
      </c>
      <c r="Q17" s="2"/>
      <c r="R17" s="19"/>
      <c r="S17" s="2"/>
      <c r="T17" s="2">
        <f>--1.59</f>
        <v>1.59</v>
      </c>
      <c r="U17" s="2"/>
      <c r="V17" s="19"/>
      <c r="W17" s="2"/>
      <c r="X17" s="2">
        <f t="shared" si="2"/>
        <v>-1.59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"4134", " - ", "NON-TAXABLE SALES-SODA")</f>
        <v xml:space="preserve">          4134 - NON-TAXABLE SALES-SODA</v>
      </c>
      <c r="C18" s="11"/>
      <c r="D18" s="2">
        <f t="shared" si="4"/>
        <v>0</v>
      </c>
      <c r="E18" s="2"/>
      <c r="F18" s="19"/>
      <c r="G18" s="2"/>
      <c r="H18" s="2">
        <f t="shared" si="6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7"/>
        <v>0</v>
      </c>
      <c r="Q18" s="2"/>
      <c r="R18" s="19"/>
      <c r="S18" s="2"/>
      <c r="T18" s="2">
        <f>--8.41</f>
        <v>8.41</v>
      </c>
      <c r="U18" s="2"/>
      <c r="V18" s="19"/>
      <c r="W18" s="2"/>
      <c r="X18" s="2">
        <f t="shared" si="2"/>
        <v>-8.41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"4137", " - ", "NON-TAXABLE SALES-WATER")</f>
        <v xml:space="preserve">          4137 - NON-TAXABLE SALES-WATER</v>
      </c>
      <c r="C19" s="11"/>
      <c r="D19" s="2">
        <f t="shared" si="4"/>
        <v>0</v>
      </c>
      <c r="E19" s="2"/>
      <c r="F19" s="19"/>
      <c r="G19" s="2"/>
      <c r="H19" s="2">
        <f>--189.11</f>
        <v>189.11</v>
      </c>
      <c r="I19" s="2"/>
      <c r="J19" s="19"/>
      <c r="K19" s="2"/>
      <c r="L19" s="2">
        <f t="shared" si="0"/>
        <v>-189.11</v>
      </c>
      <c r="M19" s="2"/>
      <c r="N19" s="19">
        <f t="shared" si="1"/>
        <v>-1</v>
      </c>
      <c r="O19" s="11"/>
      <c r="P19" s="2">
        <f t="shared" si="7"/>
        <v>0</v>
      </c>
      <c r="Q19" s="2"/>
      <c r="R19" s="19"/>
      <c r="S19" s="2"/>
      <c r="T19" s="2">
        <f>--1471.89</f>
        <v>1471.89</v>
      </c>
      <c r="U19" s="2"/>
      <c r="V19" s="19"/>
      <c r="W19" s="2"/>
      <c r="X19" s="2">
        <f t="shared" si="2"/>
        <v>-1471.89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"4151", " - ", "NON-TAXABLE SALES-FOOD")</f>
        <v xml:space="preserve">          4151 - NON-TAXABLE SALES-FOOD</v>
      </c>
      <c r="C20" s="11"/>
      <c r="D20" s="2">
        <f t="shared" si="4"/>
        <v>0</v>
      </c>
      <c r="E20" s="2"/>
      <c r="F20" s="19"/>
      <c r="G20" s="2"/>
      <c r="H20" s="2">
        <f>--136091.59</f>
        <v>136091.59</v>
      </c>
      <c r="I20" s="2"/>
      <c r="J20" s="19"/>
      <c r="K20" s="2"/>
      <c r="L20" s="2">
        <f t="shared" si="0"/>
        <v>-136091.59</v>
      </c>
      <c r="M20" s="2"/>
      <c r="N20" s="19">
        <f t="shared" si="1"/>
        <v>-1</v>
      </c>
      <c r="O20" s="11"/>
      <c r="P20" s="2">
        <f t="shared" si="7"/>
        <v>0</v>
      </c>
      <c r="Q20" s="2"/>
      <c r="R20" s="19"/>
      <c r="S20" s="2"/>
      <c r="T20" s="2">
        <f>--771476.22</f>
        <v>771476.22</v>
      </c>
      <c r="U20" s="2"/>
      <c r="V20" s="19"/>
      <c r="W20" s="2"/>
      <c r="X20" s="2">
        <f t="shared" si="2"/>
        <v>-771476.22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>--134</f>
        <v>134</v>
      </c>
      <c r="E21" s="2"/>
      <c r="F21" s="19"/>
      <c r="G21" s="2"/>
      <c r="H21" s="2">
        <f>--2537.5</f>
        <v>2537.5</v>
      </c>
      <c r="I21" s="2"/>
      <c r="J21" s="19"/>
      <c r="K21" s="2"/>
      <c r="L21" s="2">
        <f t="shared" si="0"/>
        <v>-2403.5</v>
      </c>
      <c r="M21" s="2"/>
      <c r="N21" s="19">
        <f t="shared" si="1"/>
        <v>-0.94719211822660099</v>
      </c>
      <c r="O21" s="11"/>
      <c r="P21" s="2">
        <f>--244</f>
        <v>244</v>
      </c>
      <c r="Q21" s="2"/>
      <c r="R21" s="19"/>
      <c r="S21" s="2"/>
      <c r="T21" s="2">
        <f>--12812.5</f>
        <v>12812.5</v>
      </c>
      <c r="U21" s="2"/>
      <c r="V21" s="19"/>
      <c r="W21" s="2"/>
      <c r="X21" s="2">
        <f t="shared" si="2"/>
        <v>-12568.5</v>
      </c>
      <c r="Y21" s="2"/>
      <c r="Z21" s="19">
        <f t="shared" si="3"/>
        <v>-0.98095609756097557</v>
      </c>
    </row>
    <row r="22" spans="1:26" x14ac:dyDescent="0.25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25">
      <c r="A23" s="10"/>
      <c r="B23" s="28" t="s">
        <v>8</v>
      </c>
      <c r="C23" s="10"/>
      <c r="D23" s="4">
        <f>SUM(OSRRefD16x_0)</f>
        <v>19149</v>
      </c>
      <c r="E23" s="4"/>
      <c r="F23" s="12">
        <f t="shared" ref="F23:F25" si="8">IF(D$12=0,0,D23/D$12)</f>
        <v>142.90298507462686</v>
      </c>
      <c r="G23" s="4"/>
      <c r="H23" s="4">
        <f>SUM(OSRRefH16x_0)</f>
        <v>189850.98</v>
      </c>
      <c r="I23" s="4"/>
      <c r="J23" s="12">
        <f t="shared" ref="J23:J25" si="9">IF(H$12=0,0,H23/H$12)</f>
        <v>0.48176198365646461</v>
      </c>
      <c r="K23" s="4"/>
      <c r="L23" s="4">
        <f t="shared" ref="L23:L25" si="10">+D23-H23</f>
        <v>-170701.98</v>
      </c>
      <c r="M23" s="4"/>
      <c r="N23" s="12">
        <f t="shared" ref="N23:N25" si="11">IF(H23=0,0,L23/H23)</f>
        <v>-0.8991366807798411</v>
      </c>
      <c r="O23" s="10"/>
      <c r="P23" s="4">
        <f>SUM(OSRRefP16x_0)</f>
        <v>28023.96</v>
      </c>
      <c r="Q23" s="4"/>
      <c r="R23" s="12">
        <f t="shared" ref="R23:R25" si="12">IF(P$12=0,0,P23/P$12)</f>
        <v>10.301146493069211</v>
      </c>
      <c r="S23" s="4"/>
      <c r="T23" s="4">
        <f>SUM(OSRRefT16x_0)</f>
        <v>1052072.04</v>
      </c>
      <c r="U23" s="4"/>
      <c r="V23" s="12">
        <f t="shared" ref="V23:V25" si="13">IF(T$12=0,0,T23/T$12)</f>
        <v>0.47776719763418263</v>
      </c>
      <c r="W23" s="4"/>
      <c r="X23" s="4">
        <f t="shared" ref="X23:X25" si="14">+P23-T23</f>
        <v>-1024048.0800000001</v>
      </c>
      <c r="Y23" s="4"/>
      <c r="Z23" s="12">
        <f t="shared" ref="Z23:Z25" si="15">IF(T23=0,0,X23/T23)</f>
        <v>-0.97336307882490636</v>
      </c>
    </row>
    <row r="24" spans="1:26" s="24" customFormat="1" hidden="1" outlineLevel="1" x14ac:dyDescent="0.25">
      <c r="A24" s="44"/>
      <c r="B24" s="11" t="str">
        <f>CONCATENATE("          ", "5053", " - ", "PURCHASES @ COST-FOOD")</f>
        <v xml:space="preserve">          5053 - PURCHASES @ COST-FOOD</v>
      </c>
      <c r="C24" s="11"/>
      <c r="D24" s="2"/>
      <c r="E24" s="2"/>
      <c r="F24" s="19">
        <f t="shared" si="8"/>
        <v>0</v>
      </c>
      <c r="G24" s="2"/>
      <c r="H24" s="2">
        <v>185803.39</v>
      </c>
      <c r="I24" s="2"/>
      <c r="J24" s="19">
        <f t="shared" si="9"/>
        <v>0.47149090163503882</v>
      </c>
      <c r="K24" s="2"/>
      <c r="L24" s="2">
        <f t="shared" si="10"/>
        <v>-185803.39</v>
      </c>
      <c r="M24" s="2"/>
      <c r="N24" s="19">
        <f t="shared" si="11"/>
        <v>-1</v>
      </c>
      <c r="O24" s="11"/>
      <c r="P24" s="2">
        <v>-2822.95</v>
      </c>
      <c r="Q24" s="2"/>
      <c r="R24" s="19">
        <f t="shared" si="12"/>
        <v>-1.0376699614404863</v>
      </c>
      <c r="S24" s="2"/>
      <c r="T24" s="2">
        <v>1085529.97</v>
      </c>
      <c r="U24" s="2"/>
      <c r="V24" s="19">
        <f t="shared" si="13"/>
        <v>0.4929611205282276</v>
      </c>
      <c r="W24" s="2"/>
      <c r="X24" s="2">
        <f t="shared" si="14"/>
        <v>-1088352.92</v>
      </c>
      <c r="Y24" s="2"/>
      <c r="Z24" s="19">
        <f t="shared" si="15"/>
        <v>-1.0026005270034137</v>
      </c>
    </row>
    <row r="25" spans="1:26" s="24" customFormat="1" hidden="1" outlineLevel="1" x14ac:dyDescent="0.25">
      <c r="A25" s="44"/>
      <c r="B25" s="11" t="str">
        <f>CONCATENATE("          ", "5059", " - ", "PURCHASES @ COST-FOOD")</f>
        <v xml:space="preserve">          5059 - PURCHASES @ COST-FOOD</v>
      </c>
      <c r="C25" s="11"/>
      <c r="D25" s="2">
        <v>19149</v>
      </c>
      <c r="E25" s="2"/>
      <c r="F25" s="19">
        <f t="shared" si="8"/>
        <v>142.90298507462686</v>
      </c>
      <c r="G25" s="2"/>
      <c r="H25" s="2">
        <v>4047.59</v>
      </c>
      <c r="I25" s="2"/>
      <c r="J25" s="19">
        <f t="shared" si="9"/>
        <v>1.0271082021425803E-2</v>
      </c>
      <c r="K25" s="2"/>
      <c r="L25" s="2">
        <f t="shared" si="10"/>
        <v>15101.41</v>
      </c>
      <c r="M25" s="2"/>
      <c r="N25" s="19">
        <f t="shared" si="11"/>
        <v>3.730963363384137</v>
      </c>
      <c r="O25" s="11"/>
      <c r="P25" s="2">
        <v>30846.91</v>
      </c>
      <c r="Q25" s="2"/>
      <c r="R25" s="19">
        <f t="shared" si="12"/>
        <v>11.338816454509697</v>
      </c>
      <c r="S25" s="2"/>
      <c r="T25" s="2">
        <v>-33457.93</v>
      </c>
      <c r="U25" s="2"/>
      <c r="V25" s="19">
        <f t="shared" si="13"/>
        <v>-1.5193922894045019E-2</v>
      </c>
      <c r="W25" s="2"/>
      <c r="X25" s="2">
        <f t="shared" si="14"/>
        <v>64304.84</v>
      </c>
      <c r="Y25" s="2"/>
      <c r="Z25" s="19">
        <f t="shared" si="15"/>
        <v>-1.9219611015983356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6</v>
      </c>
      <c r="C27" s="29"/>
      <c r="D27" s="22">
        <f>D12-D23</f>
        <v>-19015</v>
      </c>
      <c r="E27" s="14"/>
      <c r="F27" s="20">
        <f>IF(D$12=0,0,D27/D$12)</f>
        <v>-141.90298507462686</v>
      </c>
      <c r="G27" s="14"/>
      <c r="H27" s="22">
        <f>H12-H23</f>
        <v>204225.31999999992</v>
      </c>
      <c r="I27" s="14"/>
      <c r="J27" s="20">
        <f>IF(H$12=0,0,H27/H$12)</f>
        <v>0.51823801634353539</v>
      </c>
      <c r="K27" s="16"/>
      <c r="L27" s="22">
        <f>+D27-H27</f>
        <v>-223240.31999999992</v>
      </c>
      <c r="M27" s="16"/>
      <c r="N27" s="20">
        <f>IF(H27=0,0,L27/H27)</f>
        <v>-1.0931079456749047</v>
      </c>
      <c r="O27" s="28"/>
      <c r="P27" s="22">
        <f>P12-P23</f>
        <v>-25303.489999999998</v>
      </c>
      <c r="Q27" s="14"/>
      <c r="R27" s="20">
        <f>IF(P$12=0,0,P27/P$12)</f>
        <v>-9.3011464930692114</v>
      </c>
      <c r="S27" s="14"/>
      <c r="T27" s="22">
        <f>T12-T23</f>
        <v>1149987.9699999997</v>
      </c>
      <c r="U27" s="14"/>
      <c r="V27" s="20">
        <f>IF(T$12=0,0,T27/T$12)</f>
        <v>0.52223280236581737</v>
      </c>
      <c r="W27" s="16"/>
      <c r="X27" s="22">
        <f>+P27-T27</f>
        <v>-1175291.4599999997</v>
      </c>
      <c r="Y27" s="16"/>
      <c r="Z27" s="20">
        <f>IF(T27=0,0,X27/T27)</f>
        <v>-1.0220032649558934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8" t="s">
        <v>9</v>
      </c>
      <c r="C29" s="10"/>
      <c r="D29" s="21">
        <f>SUM(OSRRefD22x_0)</f>
        <v>15632.02</v>
      </c>
      <c r="E29" s="21"/>
      <c r="F29" s="32">
        <f t="shared" ref="F29:F38" si="16">IF(D$12=0,0,D29/D$12)</f>
        <v>116.6568656716418</v>
      </c>
      <c r="G29" s="21"/>
      <c r="H29" s="21">
        <f>SUM(OSRRefH22x_0)</f>
        <v>114827.86</v>
      </c>
      <c r="I29" s="21"/>
      <c r="J29" s="32">
        <f t="shared" ref="J29:J38" si="17">IF(H$12=0,0,H29/H$12)</f>
        <v>0.29138484095592659</v>
      </c>
      <c r="K29" s="4"/>
      <c r="L29" s="21">
        <f t="shared" ref="L29:L38" si="18">+D29-H29</f>
        <v>-99195.839999999997</v>
      </c>
      <c r="M29" s="4"/>
      <c r="N29" s="32">
        <f t="shared" ref="N29:N38" si="19">IF(H29=0,0,L29/H29)</f>
        <v>-0.86386561588799093</v>
      </c>
      <c r="O29" s="10"/>
      <c r="P29" s="21">
        <f>SUM(OSRRefP22x_0)</f>
        <v>203591.91000000003</v>
      </c>
      <c r="Q29" s="21"/>
      <c r="R29" s="32">
        <f t="shared" ref="R29:R38" si="20">IF(P$12=0,0,P29/P$12)</f>
        <v>74.837035512246047</v>
      </c>
      <c r="S29" s="21"/>
      <c r="T29" s="21">
        <f>SUM(OSRRefT22x_0)</f>
        <v>847849.2</v>
      </c>
      <c r="U29" s="21"/>
      <c r="V29" s="32">
        <f t="shared" ref="V29:V38" si="21">IF(T$12=0,0,T29/T$12)</f>
        <v>0.38502547439658563</v>
      </c>
      <c r="W29" s="4"/>
      <c r="X29" s="21">
        <f t="shared" ref="X29:X38" si="22">+P29-T29</f>
        <v>-644257.28999999992</v>
      </c>
      <c r="Y29" s="4"/>
      <c r="Z29" s="32">
        <f t="shared" ref="Z29:Z38" si="23">IF(T29=0,0,X29/T29)</f>
        <v>-0.75987249855280858</v>
      </c>
    </row>
    <row r="30" spans="1:26" s="25" customFormat="1" outlineLevel="1" collapsed="1" x14ac:dyDescent="0.25">
      <c r="A30" s="27"/>
      <c r="B30" s="13" t="str">
        <f>CONCATENATE("     ","*Benefits                                         ")</f>
        <v xml:space="preserve">     *Benefits                                         </v>
      </c>
      <c r="C30" s="13"/>
      <c r="D30" s="1">
        <f>SUM(OSRRefD22_0x_0)</f>
        <v>0</v>
      </c>
      <c r="E30" s="1"/>
      <c r="F30" s="5">
        <f t="shared" si="16"/>
        <v>0</v>
      </c>
      <c r="G30" s="1"/>
      <c r="H30" s="1">
        <f>SUM(OSRRefH22_0x_0)</f>
        <v>11505.36</v>
      </c>
      <c r="I30" s="1"/>
      <c r="J30" s="5">
        <f t="shared" si="17"/>
        <v>2.9195767418644568E-2</v>
      </c>
      <c r="K30" s="1"/>
      <c r="L30" s="1">
        <f t="shared" si="18"/>
        <v>-11505.36</v>
      </c>
      <c r="M30" s="1"/>
      <c r="N30" s="5">
        <f t="shared" si="19"/>
        <v>-1</v>
      </c>
      <c r="O30" s="13"/>
      <c r="P30" s="1">
        <f>SUM(OSRRefP22_0x_0)</f>
        <v>35025.26</v>
      </c>
      <c r="Q30" s="1"/>
      <c r="R30" s="5">
        <f t="shared" si="20"/>
        <v>12.874709149521957</v>
      </c>
      <c r="S30" s="1"/>
      <c r="T30" s="1">
        <f>SUM(OSRRefT22_0x_0)</f>
        <v>106603.67</v>
      </c>
      <c r="U30" s="1"/>
      <c r="V30" s="5">
        <f t="shared" si="21"/>
        <v>4.8410883225657418E-2</v>
      </c>
      <c r="W30" s="1"/>
      <c r="X30" s="1">
        <f t="shared" si="22"/>
        <v>-71578.41</v>
      </c>
      <c r="Y30" s="1"/>
      <c r="Z30" s="5">
        <f t="shared" si="23"/>
        <v>-0.67144414446519529</v>
      </c>
    </row>
    <row r="31" spans="1:26" s="24" customFormat="1" hidden="1" outlineLevel="2" x14ac:dyDescent="0.25">
      <c r="A31" s="26"/>
      <c r="B31" s="11" t="str">
        <f>CONCATENATE("          ", "6111", " - ", "F.I.C.A.")</f>
        <v xml:space="preserve">          6111 - F.I.C.A.</v>
      </c>
      <c r="C31" s="11"/>
      <c r="D31" s="6"/>
      <c r="E31" s="2"/>
      <c r="F31" s="7">
        <f t="shared" si="16"/>
        <v>0</v>
      </c>
      <c r="G31" s="2"/>
      <c r="H31" s="6">
        <v>2145.3000000000002</v>
      </c>
      <c r="I31" s="2"/>
      <c r="J31" s="7">
        <f t="shared" si="17"/>
        <v>5.4438696262627331E-3</v>
      </c>
      <c r="K31" s="2"/>
      <c r="L31" s="6">
        <f t="shared" si="18"/>
        <v>-2145.3000000000002</v>
      </c>
      <c r="M31" s="2"/>
      <c r="N31" s="7">
        <f t="shared" si="19"/>
        <v>-1</v>
      </c>
      <c r="O31" s="11"/>
      <c r="P31" s="6">
        <v>3909.68</v>
      </c>
      <c r="Q31" s="2"/>
      <c r="R31" s="7">
        <f t="shared" si="20"/>
        <v>1.4371340246354489</v>
      </c>
      <c r="S31" s="2"/>
      <c r="T31" s="6">
        <v>18177.969999999998</v>
      </c>
      <c r="U31" s="2"/>
      <c r="V31" s="7">
        <f t="shared" si="21"/>
        <v>8.2549839320682269E-3</v>
      </c>
      <c r="W31" s="2"/>
      <c r="X31" s="6">
        <f t="shared" si="22"/>
        <v>-14268.289999999997</v>
      </c>
      <c r="Y31" s="2"/>
      <c r="Z31" s="7">
        <f t="shared" si="23"/>
        <v>-0.78492207875796904</v>
      </c>
    </row>
    <row r="32" spans="1:26" s="24" customFormat="1" hidden="1" outlineLevel="2" x14ac:dyDescent="0.25">
      <c r="A32" s="26"/>
      <c r="B32" s="11" t="str">
        <f>CONCATENATE("          ", "6112", " - ", "COMPENSATION INSURANCE")</f>
        <v xml:space="preserve">          6112 - COMPENSATION INSURANCE</v>
      </c>
      <c r="C32" s="11"/>
      <c r="D32" s="6"/>
      <c r="E32" s="2"/>
      <c r="F32" s="7">
        <f t="shared" si="16"/>
        <v>0</v>
      </c>
      <c r="G32" s="2"/>
      <c r="H32" s="6">
        <v>1194.96</v>
      </c>
      <c r="I32" s="2"/>
      <c r="J32" s="7">
        <f t="shared" si="17"/>
        <v>3.0323061803006176E-3</v>
      </c>
      <c r="K32" s="2"/>
      <c r="L32" s="6">
        <f t="shared" si="18"/>
        <v>-1194.96</v>
      </c>
      <c r="M32" s="2"/>
      <c r="N32" s="7">
        <f t="shared" si="19"/>
        <v>-1</v>
      </c>
      <c r="O32" s="11"/>
      <c r="P32" s="6">
        <v>830.67</v>
      </c>
      <c r="Q32" s="2"/>
      <c r="R32" s="7">
        <f t="shared" si="20"/>
        <v>0.30534062128970357</v>
      </c>
      <c r="S32" s="2"/>
      <c r="T32" s="6">
        <v>7245.5</v>
      </c>
      <c r="U32" s="2"/>
      <c r="V32" s="7">
        <f t="shared" si="21"/>
        <v>3.2903281323382284E-3</v>
      </c>
      <c r="W32" s="2"/>
      <c r="X32" s="6">
        <f t="shared" si="22"/>
        <v>-6414.83</v>
      </c>
      <c r="Y32" s="2"/>
      <c r="Z32" s="7">
        <f t="shared" si="23"/>
        <v>-0.88535366779380309</v>
      </c>
    </row>
    <row r="33" spans="1:26" s="24" customFormat="1" hidden="1" outlineLevel="2" x14ac:dyDescent="0.25">
      <c r="A33" s="26"/>
      <c r="B33" s="11" t="str">
        <f>CONCATENATE("          ", "6113", " - ", "GROUP INSURANCE")</f>
        <v xml:space="preserve">          6113 - GROUP INSURANCE</v>
      </c>
      <c r="C33" s="11"/>
      <c r="D33" s="6"/>
      <c r="E33" s="2"/>
      <c r="F33" s="7">
        <f t="shared" si="16"/>
        <v>0</v>
      </c>
      <c r="G33" s="2"/>
      <c r="H33" s="6">
        <v>4620.57</v>
      </c>
      <c r="I33" s="2"/>
      <c r="J33" s="7">
        <f t="shared" si="17"/>
        <v>1.1725064410115504E-2</v>
      </c>
      <c r="K33" s="2"/>
      <c r="L33" s="6">
        <f t="shared" si="18"/>
        <v>-4620.57</v>
      </c>
      <c r="M33" s="2"/>
      <c r="N33" s="7">
        <f t="shared" si="19"/>
        <v>-1</v>
      </c>
      <c r="O33" s="11"/>
      <c r="P33" s="6">
        <v>18067.72</v>
      </c>
      <c r="Q33" s="2"/>
      <c r="R33" s="7">
        <f t="shared" si="20"/>
        <v>6.641396523394854</v>
      </c>
      <c r="S33" s="2"/>
      <c r="T33" s="6">
        <v>46076.57</v>
      </c>
      <c r="U33" s="2"/>
      <c r="V33" s="7">
        <f t="shared" si="21"/>
        <v>2.0924302603360933E-2</v>
      </c>
      <c r="W33" s="2"/>
      <c r="X33" s="6">
        <f t="shared" si="22"/>
        <v>-28008.85</v>
      </c>
      <c r="Y33" s="2"/>
      <c r="Z33" s="7">
        <f t="shared" si="23"/>
        <v>-0.60787619390939907</v>
      </c>
    </row>
    <row r="34" spans="1:26" s="24" customFormat="1" hidden="1" outlineLevel="2" x14ac:dyDescent="0.25">
      <c r="A34" s="26"/>
      <c r="B34" s="11" t="str">
        <f>CONCATENATE("          ", "6114", " - ", "STATE UNEMPLOYMENT INSURANCE")</f>
        <v xml:space="preserve">          6114 - STATE UNEMPLOYMENT INSURANCE</v>
      </c>
      <c r="C34" s="11"/>
      <c r="D34" s="6"/>
      <c r="E34" s="2"/>
      <c r="F34" s="7">
        <f t="shared" si="16"/>
        <v>0</v>
      </c>
      <c r="G34" s="2"/>
      <c r="H34" s="6">
        <v>163.52000000000001</v>
      </c>
      <c r="I34" s="2"/>
      <c r="J34" s="7">
        <f t="shared" si="17"/>
        <v>4.1494502460564121E-4</v>
      </c>
      <c r="K34" s="2"/>
      <c r="L34" s="6">
        <f t="shared" si="18"/>
        <v>-163.52000000000001</v>
      </c>
      <c r="M34" s="2"/>
      <c r="N34" s="7">
        <f t="shared" si="19"/>
        <v>-1</v>
      </c>
      <c r="O34" s="11"/>
      <c r="P34" s="6">
        <v>132.15</v>
      </c>
      <c r="Q34" s="2"/>
      <c r="R34" s="7">
        <f t="shared" si="20"/>
        <v>4.8576165147933996E-2</v>
      </c>
      <c r="S34" s="2"/>
      <c r="T34" s="6">
        <v>1124.74</v>
      </c>
      <c r="U34" s="2"/>
      <c r="V34" s="7">
        <f t="shared" si="21"/>
        <v>5.1076718840191828E-4</v>
      </c>
      <c r="W34" s="2"/>
      <c r="X34" s="6">
        <f t="shared" si="22"/>
        <v>-992.59</v>
      </c>
      <c r="Y34" s="2"/>
      <c r="Z34" s="7">
        <f t="shared" si="23"/>
        <v>-0.88250617920586094</v>
      </c>
    </row>
    <row r="35" spans="1:26" s="24" customFormat="1" hidden="1" outlineLevel="2" x14ac:dyDescent="0.25">
      <c r="A35" s="26"/>
      <c r="B35" s="11" t="str">
        <f>CONCATENATE("          ", "6115", " - ", "P.E.R.S.")</f>
        <v xml:space="preserve">          6115 - P.E.R.S.</v>
      </c>
      <c r="C35" s="11"/>
      <c r="D35" s="6"/>
      <c r="E35" s="2"/>
      <c r="F35" s="7">
        <f t="shared" si="16"/>
        <v>0</v>
      </c>
      <c r="G35" s="2"/>
      <c r="H35" s="6">
        <v>1284.74</v>
      </c>
      <c r="I35" s="2"/>
      <c r="J35" s="7">
        <f t="shared" si="17"/>
        <v>3.2601300814080933E-3</v>
      </c>
      <c r="K35" s="2"/>
      <c r="L35" s="6">
        <f t="shared" si="18"/>
        <v>-1284.74</v>
      </c>
      <c r="M35" s="2"/>
      <c r="N35" s="7">
        <f t="shared" si="19"/>
        <v>-1</v>
      </c>
      <c r="O35" s="11"/>
      <c r="P35" s="6">
        <v>5525.49</v>
      </c>
      <c r="Q35" s="2"/>
      <c r="R35" s="7">
        <f t="shared" si="20"/>
        <v>2.0310791885225714</v>
      </c>
      <c r="S35" s="2"/>
      <c r="T35" s="6">
        <v>12835.99</v>
      </c>
      <c r="U35" s="2"/>
      <c r="V35" s="7">
        <f t="shared" si="21"/>
        <v>5.8290827414825995E-3</v>
      </c>
      <c r="W35" s="2"/>
      <c r="X35" s="6">
        <f t="shared" si="22"/>
        <v>-7310.5</v>
      </c>
      <c r="Y35" s="2"/>
      <c r="Z35" s="7">
        <f t="shared" si="23"/>
        <v>-0.56953145024263807</v>
      </c>
    </row>
    <row r="36" spans="1:26" s="24" customFormat="1" hidden="1" outlineLevel="2" x14ac:dyDescent="0.25">
      <c r="A36" s="26"/>
      <c r="B36" s="11" t="str">
        <f>CONCATENATE("          ", "6118", " - ", "VACATION")</f>
        <v xml:space="preserve">          6118 - VACATION</v>
      </c>
      <c r="C36" s="11"/>
      <c r="D36" s="6"/>
      <c r="E36" s="2"/>
      <c r="F36" s="7">
        <f t="shared" si="16"/>
        <v>0</v>
      </c>
      <c r="G36" s="2"/>
      <c r="H36" s="6">
        <v>950.98</v>
      </c>
      <c r="I36" s="2"/>
      <c r="J36" s="7">
        <f t="shared" si="17"/>
        <v>2.4131874969390448E-3</v>
      </c>
      <c r="K36" s="2"/>
      <c r="L36" s="6">
        <f t="shared" si="18"/>
        <v>-950.98</v>
      </c>
      <c r="M36" s="2"/>
      <c r="N36" s="7">
        <f t="shared" si="19"/>
        <v>-1</v>
      </c>
      <c r="O36" s="11"/>
      <c r="P36" s="6">
        <v>3386</v>
      </c>
      <c r="Q36" s="2"/>
      <c r="R36" s="7">
        <f t="shared" si="20"/>
        <v>1.2446378750730571</v>
      </c>
      <c r="S36" s="2"/>
      <c r="T36" s="6">
        <v>9699.5400000000009</v>
      </c>
      <c r="U36" s="2"/>
      <c r="V36" s="7">
        <f t="shared" si="21"/>
        <v>4.4047573435566827E-3</v>
      </c>
      <c r="W36" s="2"/>
      <c r="X36" s="6">
        <f t="shared" si="22"/>
        <v>-6313.5400000000009</v>
      </c>
      <c r="Y36" s="2"/>
      <c r="Z36" s="7">
        <f t="shared" si="23"/>
        <v>-0.65091128032875789</v>
      </c>
    </row>
    <row r="37" spans="1:26" s="24" customFormat="1" hidden="1" outlineLevel="2" x14ac:dyDescent="0.25">
      <c r="A37" s="26"/>
      <c r="B37" s="11" t="str">
        <f>CONCATENATE("          ", "6119", " - ", "SICK LEAVE")</f>
        <v xml:space="preserve">          6119 - SICK LEAVE</v>
      </c>
      <c r="C37" s="11"/>
      <c r="D37" s="6"/>
      <c r="E37" s="2"/>
      <c r="F37" s="7">
        <f t="shared" si="16"/>
        <v>0</v>
      </c>
      <c r="G37" s="2"/>
      <c r="H37" s="6">
        <v>640.52</v>
      </c>
      <c r="I37" s="2"/>
      <c r="J37" s="7">
        <f t="shared" si="17"/>
        <v>1.6253705183488581E-3</v>
      </c>
      <c r="K37" s="2"/>
      <c r="L37" s="6">
        <f t="shared" si="18"/>
        <v>-640.52</v>
      </c>
      <c r="M37" s="2"/>
      <c r="N37" s="7">
        <f t="shared" si="19"/>
        <v>-1</v>
      </c>
      <c r="O37" s="11"/>
      <c r="P37" s="6">
        <v>2447.1799999999998</v>
      </c>
      <c r="Q37" s="2"/>
      <c r="R37" s="7">
        <f t="shared" si="20"/>
        <v>0.89954309365661067</v>
      </c>
      <c r="S37" s="2"/>
      <c r="T37" s="6">
        <v>6631.12</v>
      </c>
      <c r="U37" s="2"/>
      <c r="V37" s="7">
        <f t="shared" si="21"/>
        <v>3.0113257449328099E-3</v>
      </c>
      <c r="W37" s="2"/>
      <c r="X37" s="6">
        <f t="shared" si="22"/>
        <v>-4183.9400000000005</v>
      </c>
      <c r="Y37" s="2"/>
      <c r="Z37" s="7">
        <f t="shared" si="23"/>
        <v>-0.63095525341118852</v>
      </c>
    </row>
    <row r="38" spans="1:26" s="24" customFormat="1" hidden="1" outlineLevel="2" x14ac:dyDescent="0.25">
      <c r="A38" s="26"/>
      <c r="B38" s="11" t="str">
        <f>CONCATENATE("          ", "6156", " - ", "EMPLOYEE MEALS")</f>
        <v xml:space="preserve">          6156 - EMPLOYEE MEALS</v>
      </c>
      <c r="C38" s="11"/>
      <c r="D38" s="6"/>
      <c r="E38" s="2"/>
      <c r="F38" s="7">
        <f t="shared" si="16"/>
        <v>0</v>
      </c>
      <c r="G38" s="2"/>
      <c r="H38" s="6">
        <v>504.77</v>
      </c>
      <c r="I38" s="2"/>
      <c r="J38" s="7">
        <f t="shared" si="17"/>
        <v>1.2808940806640747E-3</v>
      </c>
      <c r="K38" s="2"/>
      <c r="L38" s="6">
        <f t="shared" si="18"/>
        <v>-504.77</v>
      </c>
      <c r="M38" s="2"/>
      <c r="N38" s="7">
        <f t="shared" si="19"/>
        <v>-1</v>
      </c>
      <c r="O38" s="11"/>
      <c r="P38" s="6">
        <v>726.37</v>
      </c>
      <c r="Q38" s="2"/>
      <c r="R38" s="7">
        <f t="shared" si="20"/>
        <v>0.26700165780177687</v>
      </c>
      <c r="S38" s="2"/>
      <c r="T38" s="6">
        <v>4812.24</v>
      </c>
      <c r="U38" s="2"/>
      <c r="V38" s="7">
        <f t="shared" si="21"/>
        <v>2.1853355395160192E-3</v>
      </c>
      <c r="W38" s="2"/>
      <c r="X38" s="6">
        <f t="shared" si="22"/>
        <v>-4085.87</v>
      </c>
      <c r="Y38" s="2"/>
      <c r="Z38" s="7">
        <f t="shared" si="23"/>
        <v>-0.84905781922763623</v>
      </c>
    </row>
    <row r="39" spans="1:26" s="25" customFormat="1" outlineLevel="1" collapsed="1" x14ac:dyDescent="0.25">
      <c r="A39" s="27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0</v>
      </c>
      <c r="E39" s="1"/>
      <c r="F39" s="5">
        <f t="shared" ref="F39:F45" si="24">IF(D$12=0,0,D39/D$12)</f>
        <v>0</v>
      </c>
      <c r="G39" s="1"/>
      <c r="H39" s="1">
        <f>SUM(OSRRefH22_1x_0)</f>
        <v>59682.69</v>
      </c>
      <c r="I39" s="1"/>
      <c r="J39" s="5">
        <f t="shared" ref="J39:J45" si="25">IF(H$12=0,0,H39/H$12)</f>
        <v>0.15144957968799447</v>
      </c>
      <c r="K39" s="1"/>
      <c r="L39" s="1">
        <f t="shared" ref="L39:L45" si="26">+D39-H39</f>
        <v>-59682.69</v>
      </c>
      <c r="M39" s="1"/>
      <c r="N39" s="5">
        <f t="shared" ref="N39:N45" si="27">IF(H39=0,0,L39/H39)</f>
        <v>-1</v>
      </c>
      <c r="O39" s="13"/>
      <c r="P39" s="1">
        <f>SUM(OSRRefP22_1x_0)</f>
        <v>41960.38</v>
      </c>
      <c r="Q39" s="1"/>
      <c r="R39" s="5">
        <f t="shared" ref="R39:R45" si="28">IF(P$12=0,0,P39/P$12)</f>
        <v>15.423945127128766</v>
      </c>
      <c r="S39" s="1"/>
      <c r="T39" s="1">
        <f>SUM(OSRRefT22_1x_0)</f>
        <v>426673.19</v>
      </c>
      <c r="U39" s="1"/>
      <c r="V39" s="5">
        <f t="shared" ref="V39:V45" si="29">IF(T$12=0,0,T39/T$12)</f>
        <v>0.19376092752349652</v>
      </c>
      <c r="W39" s="1"/>
      <c r="X39" s="1">
        <f t="shared" ref="X39:X45" si="30">+P39-T39</f>
        <v>-384712.81</v>
      </c>
      <c r="Y39" s="1"/>
      <c r="Z39" s="5">
        <f t="shared" ref="Z39:Z45" si="31">IF(T39=0,0,X39/T39)</f>
        <v>-0.90165686294936875</v>
      </c>
    </row>
    <row r="40" spans="1:26" s="24" customFormat="1" hidden="1" outlineLevel="2" x14ac:dyDescent="0.25">
      <c r="A40" s="26"/>
      <c r="B40" s="11" t="str">
        <f>CONCATENATE("          ", "6002", " - ", "STAFF SALARIES")</f>
        <v xml:space="preserve">          6002 - STAFF SALARIES</v>
      </c>
      <c r="C40" s="11"/>
      <c r="D40" s="6"/>
      <c r="E40" s="2"/>
      <c r="F40" s="7">
        <f t="shared" si="24"/>
        <v>0</v>
      </c>
      <c r="G40" s="2"/>
      <c r="H40" s="6">
        <v>12748.66</v>
      </c>
      <c r="I40" s="2"/>
      <c r="J40" s="7">
        <f t="shared" si="25"/>
        <v>3.2350740199296436E-2</v>
      </c>
      <c r="K40" s="2"/>
      <c r="L40" s="6">
        <f t="shared" si="26"/>
        <v>-12748.66</v>
      </c>
      <c r="M40" s="2"/>
      <c r="N40" s="7">
        <f t="shared" si="27"/>
        <v>-1</v>
      </c>
      <c r="O40" s="11"/>
      <c r="P40" s="6">
        <v>39828.42</v>
      </c>
      <c r="Q40" s="2"/>
      <c r="R40" s="7">
        <f t="shared" si="28"/>
        <v>14.640271717754651</v>
      </c>
      <c r="S40" s="2"/>
      <c r="T40" s="6">
        <v>127470.45000000001</v>
      </c>
      <c r="U40" s="2"/>
      <c r="V40" s="7">
        <f t="shared" si="29"/>
        <v>5.7886910175531513E-2</v>
      </c>
      <c r="W40" s="2"/>
      <c r="X40" s="6">
        <f t="shared" si="30"/>
        <v>-87642.030000000013</v>
      </c>
      <c r="Y40" s="2"/>
      <c r="Z40" s="7">
        <f t="shared" si="31"/>
        <v>-0.68754781990649605</v>
      </c>
    </row>
    <row r="41" spans="1:26" s="24" customFormat="1" hidden="1" outlineLevel="2" x14ac:dyDescent="0.25">
      <c r="A41" s="26"/>
      <c r="B41" s="11" t="str">
        <f>CONCATENATE("          ", "6004", " - ", "STAFF HOURLY")</f>
        <v xml:space="preserve">          6004 - STAFF HOURLY</v>
      </c>
      <c r="C41" s="11"/>
      <c r="D41" s="6"/>
      <c r="E41" s="2"/>
      <c r="F41" s="7">
        <f t="shared" si="24"/>
        <v>0</v>
      </c>
      <c r="G41" s="2"/>
      <c r="H41" s="6"/>
      <c r="I41" s="2"/>
      <c r="J41" s="7">
        <f t="shared" si="25"/>
        <v>0</v>
      </c>
      <c r="K41" s="2"/>
      <c r="L41" s="6">
        <f t="shared" si="26"/>
        <v>0</v>
      </c>
      <c r="M41" s="2"/>
      <c r="N41" s="7">
        <f t="shared" si="27"/>
        <v>0</v>
      </c>
      <c r="O41" s="11"/>
      <c r="P41" s="6"/>
      <c r="Q41" s="2"/>
      <c r="R41" s="7">
        <f t="shared" si="28"/>
        <v>0</v>
      </c>
      <c r="S41" s="2"/>
      <c r="T41" s="6">
        <v>254.64</v>
      </c>
      <c r="U41" s="2"/>
      <c r="V41" s="7">
        <f t="shared" si="29"/>
        <v>1.156371755736121E-4</v>
      </c>
      <c r="W41" s="2"/>
      <c r="X41" s="6">
        <f t="shared" si="30"/>
        <v>-254.64</v>
      </c>
      <c r="Y41" s="2"/>
      <c r="Z41" s="7">
        <f t="shared" si="31"/>
        <v>-1</v>
      </c>
    </row>
    <row r="42" spans="1:26" s="24" customFormat="1" hidden="1" outlineLevel="2" x14ac:dyDescent="0.25">
      <c r="A42" s="26"/>
      <c r="B42" s="11" t="str">
        <f>CONCATENATE("          ", "6005", " - ", "TEMPORARY WAGES-HOURLY")</f>
        <v xml:space="preserve">          6005 - TEMPORARY WAGES-HOURLY</v>
      </c>
      <c r="C42" s="11"/>
      <c r="D42" s="6"/>
      <c r="E42" s="2"/>
      <c r="F42" s="7">
        <f t="shared" si="24"/>
        <v>0</v>
      </c>
      <c r="G42" s="2"/>
      <c r="H42" s="6">
        <v>10240.07</v>
      </c>
      <c r="I42" s="2"/>
      <c r="J42" s="7">
        <f t="shared" si="25"/>
        <v>2.5984993261457239E-2</v>
      </c>
      <c r="K42" s="2"/>
      <c r="L42" s="6">
        <f t="shared" si="26"/>
        <v>-10240.07</v>
      </c>
      <c r="M42" s="2"/>
      <c r="N42" s="7">
        <f t="shared" si="27"/>
        <v>-1</v>
      </c>
      <c r="O42" s="11"/>
      <c r="P42" s="6">
        <v>2131.96</v>
      </c>
      <c r="Q42" s="2"/>
      <c r="R42" s="7">
        <f t="shared" si="28"/>
        <v>0.78367340937411545</v>
      </c>
      <c r="S42" s="2"/>
      <c r="T42" s="6">
        <v>56818.460000000006</v>
      </c>
      <c r="U42" s="2"/>
      <c r="V42" s="7">
        <f t="shared" si="29"/>
        <v>2.5802412169503051E-2</v>
      </c>
      <c r="W42" s="2"/>
      <c r="X42" s="6">
        <f t="shared" si="30"/>
        <v>-54686.500000000007</v>
      </c>
      <c r="Y42" s="2"/>
      <c r="Z42" s="7">
        <f t="shared" si="31"/>
        <v>-0.96247768770924103</v>
      </c>
    </row>
    <row r="43" spans="1:26" s="24" customFormat="1" hidden="1" outlineLevel="2" x14ac:dyDescent="0.25">
      <c r="A43" s="26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4"/>
        <v>0</v>
      </c>
      <c r="G43" s="2"/>
      <c r="H43" s="6">
        <v>3404.69</v>
      </c>
      <c r="I43" s="2"/>
      <c r="J43" s="7">
        <f t="shared" si="25"/>
        <v>8.6396720635064858E-3</v>
      </c>
      <c r="K43" s="2"/>
      <c r="L43" s="6">
        <f t="shared" si="26"/>
        <v>-3404.69</v>
      </c>
      <c r="M43" s="2"/>
      <c r="N43" s="7">
        <f t="shared" si="27"/>
        <v>-1</v>
      </c>
      <c r="O43" s="11"/>
      <c r="P43" s="6"/>
      <c r="Q43" s="2"/>
      <c r="R43" s="7">
        <f t="shared" si="28"/>
        <v>0</v>
      </c>
      <c r="S43" s="2"/>
      <c r="T43" s="6">
        <v>14040.68</v>
      </c>
      <c r="U43" s="2"/>
      <c r="V43" s="7">
        <f t="shared" si="29"/>
        <v>6.3761568423378262E-3</v>
      </c>
      <c r="W43" s="2"/>
      <c r="X43" s="6">
        <f t="shared" si="30"/>
        <v>-14040.68</v>
      </c>
      <c r="Y43" s="2"/>
      <c r="Z43" s="7">
        <f t="shared" si="31"/>
        <v>-1</v>
      </c>
    </row>
    <row r="44" spans="1:26" s="24" customFormat="1" hidden="1" outlineLevel="2" x14ac:dyDescent="0.25">
      <c r="A44" s="26"/>
      <c r="B44" s="11" t="str">
        <f>CONCATENATE("          ", "6007", " - ", "STUDENT HOURLY")</f>
        <v xml:space="preserve">          6007 - STUDENT HOURLY</v>
      </c>
      <c r="C44" s="11"/>
      <c r="D44" s="6"/>
      <c r="E44" s="2"/>
      <c r="F44" s="7">
        <f t="shared" si="24"/>
        <v>0</v>
      </c>
      <c r="G44" s="2"/>
      <c r="H44" s="6">
        <v>32443.88</v>
      </c>
      <c r="I44" s="2"/>
      <c r="J44" s="7">
        <f t="shared" si="25"/>
        <v>8.2328929702192202E-2</v>
      </c>
      <c r="K44" s="2"/>
      <c r="L44" s="6">
        <f t="shared" si="26"/>
        <v>-32443.88</v>
      </c>
      <c r="M44" s="2"/>
      <c r="N44" s="7">
        <f t="shared" si="27"/>
        <v>-1</v>
      </c>
      <c r="O44" s="11"/>
      <c r="P44" s="6">
        <v>0</v>
      </c>
      <c r="Q44" s="2"/>
      <c r="R44" s="7">
        <f t="shared" si="28"/>
        <v>0</v>
      </c>
      <c r="S44" s="2"/>
      <c r="T44" s="6">
        <v>218260.03</v>
      </c>
      <c r="U44" s="2"/>
      <c r="V44" s="7">
        <f t="shared" si="29"/>
        <v>9.9116295200329274E-2</v>
      </c>
      <c r="W44" s="2"/>
      <c r="X44" s="6">
        <f t="shared" si="30"/>
        <v>-218260.03</v>
      </c>
      <c r="Y44" s="2"/>
      <c r="Z44" s="7">
        <f t="shared" si="31"/>
        <v>-1</v>
      </c>
    </row>
    <row r="45" spans="1:26" s="24" customFormat="1" hidden="1" outlineLevel="2" x14ac:dyDescent="0.25">
      <c r="A45" s="26"/>
      <c r="B45" s="11" t="str">
        <f>CONCATENATE("          ", "6008", " - ", "STUDENT HOURLY-FICA EXEMPT")</f>
        <v xml:space="preserve">          6008 - STUDENT HOURLY-FICA EXEMPT</v>
      </c>
      <c r="C45" s="11"/>
      <c r="D45" s="6"/>
      <c r="E45" s="2"/>
      <c r="F45" s="7">
        <f t="shared" si="24"/>
        <v>0</v>
      </c>
      <c r="G45" s="2"/>
      <c r="H45" s="6">
        <v>845.39</v>
      </c>
      <c r="I45" s="2"/>
      <c r="J45" s="7">
        <f t="shared" si="25"/>
        <v>2.1452444615420924E-3</v>
      </c>
      <c r="K45" s="2"/>
      <c r="L45" s="6">
        <f t="shared" si="26"/>
        <v>-845.39</v>
      </c>
      <c r="M45" s="2"/>
      <c r="N45" s="7">
        <f t="shared" si="27"/>
        <v>-1</v>
      </c>
      <c r="O45" s="11"/>
      <c r="P45" s="6"/>
      <c r="Q45" s="2"/>
      <c r="R45" s="7">
        <f t="shared" si="28"/>
        <v>0</v>
      </c>
      <c r="S45" s="2"/>
      <c r="T45" s="6">
        <v>9828.93</v>
      </c>
      <c r="U45" s="2"/>
      <c r="V45" s="7">
        <f t="shared" si="29"/>
        <v>4.4635159602212666E-3</v>
      </c>
      <c r="W45" s="2"/>
      <c r="X45" s="6">
        <f t="shared" si="30"/>
        <v>-9828.93</v>
      </c>
      <c r="Y45" s="2"/>
      <c r="Z45" s="7">
        <f t="shared" si="31"/>
        <v>-1</v>
      </c>
    </row>
    <row r="46" spans="1:26" s="25" customFormat="1" outlineLevel="1" collapsed="1" x14ac:dyDescent="0.25">
      <c r="A46" s="27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0</v>
      </c>
      <c r="E46" s="1"/>
      <c r="F46" s="5">
        <f t="shared" ref="F46:F54" si="32">IF(D$12=0,0,D46/D$12)</f>
        <v>0</v>
      </c>
      <c r="G46" s="1"/>
      <c r="H46" s="1">
        <f>SUM(OSRRefH22_2x_0)</f>
        <v>512.32000000000005</v>
      </c>
      <c r="I46" s="1"/>
      <c r="J46" s="5">
        <f t="shared" ref="J46:J54" si="33">IF(H$12=0,0,H46/H$12)</f>
        <v>1.300052807032547E-3</v>
      </c>
      <c r="K46" s="1"/>
      <c r="L46" s="1">
        <f t="shared" ref="L46:L54" si="34">+D46-H46</f>
        <v>-512.32000000000005</v>
      </c>
      <c r="M46" s="1"/>
      <c r="N46" s="5">
        <f t="shared" ref="N46:N54" si="35">IF(H46=0,0,L46/H46)</f>
        <v>-1</v>
      </c>
      <c r="O46" s="13"/>
      <c r="P46" s="1">
        <f>SUM(OSRRefP22_2x_0)</f>
        <v>0</v>
      </c>
      <c r="Q46" s="1"/>
      <c r="R46" s="5">
        <f t="shared" ref="R46:R54" si="36">IF(P$12=0,0,P46/P$12)</f>
        <v>0</v>
      </c>
      <c r="S46" s="1"/>
      <c r="T46" s="1">
        <f>SUM(OSRRefT22_2x_0)</f>
        <v>3526.3</v>
      </c>
      <c r="U46" s="1"/>
      <c r="V46" s="5">
        <f t="shared" ref="V46:V54" si="37">IF(T$12=0,0,T46/T$12)</f>
        <v>1.6013641699074315E-3</v>
      </c>
      <c r="W46" s="1"/>
      <c r="X46" s="1">
        <f t="shared" ref="X46:X54" si="38">+P46-T46</f>
        <v>-3526.3</v>
      </c>
      <c r="Y46" s="1"/>
      <c r="Z46" s="5">
        <f t="shared" ref="Z46:Z54" si="39">IF(T46=0,0,X46/T46)</f>
        <v>-1</v>
      </c>
    </row>
    <row r="47" spans="1:26" s="24" customFormat="1" hidden="1" outlineLevel="2" x14ac:dyDescent="0.25">
      <c r="A47" s="26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32"/>
        <v>0</v>
      </c>
      <c r="G47" s="2"/>
      <c r="H47" s="6">
        <v>512.32000000000005</v>
      </c>
      <c r="I47" s="2"/>
      <c r="J47" s="7">
        <f t="shared" si="33"/>
        <v>1.300052807032547E-3</v>
      </c>
      <c r="K47" s="2"/>
      <c r="L47" s="6">
        <f t="shared" si="34"/>
        <v>-512.32000000000005</v>
      </c>
      <c r="M47" s="2"/>
      <c r="N47" s="7">
        <f t="shared" si="35"/>
        <v>-1</v>
      </c>
      <c r="O47" s="11"/>
      <c r="P47" s="6"/>
      <c r="Q47" s="2"/>
      <c r="R47" s="7">
        <f t="shared" si="36"/>
        <v>0</v>
      </c>
      <c r="S47" s="2"/>
      <c r="T47" s="6">
        <v>3526.3</v>
      </c>
      <c r="U47" s="2"/>
      <c r="V47" s="7">
        <f t="shared" si="37"/>
        <v>1.6013641699074315E-3</v>
      </c>
      <c r="W47" s="2"/>
      <c r="X47" s="6">
        <f t="shared" si="38"/>
        <v>-3526.3</v>
      </c>
      <c r="Y47" s="2"/>
      <c r="Z47" s="7">
        <f t="shared" si="39"/>
        <v>-1</v>
      </c>
    </row>
    <row r="48" spans="1:26" s="25" customFormat="1" outlineLevel="1" collapsed="1" x14ac:dyDescent="0.25">
      <c r="A48" s="27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0</v>
      </c>
      <c r="E48" s="1"/>
      <c r="F48" s="5">
        <f t="shared" si="32"/>
        <v>0</v>
      </c>
      <c r="G48" s="1"/>
      <c r="H48" s="1">
        <f>SUM(OSRRefH22_3x_0)</f>
        <v>-68.75</v>
      </c>
      <c r="I48" s="1"/>
      <c r="J48" s="5">
        <f t="shared" si="33"/>
        <v>-1.7445860103741334E-4</v>
      </c>
      <c r="K48" s="1"/>
      <c r="L48" s="1">
        <f t="shared" si="34"/>
        <v>68.75</v>
      </c>
      <c r="M48" s="1"/>
      <c r="N48" s="5">
        <f t="shared" si="35"/>
        <v>-1</v>
      </c>
      <c r="O48" s="13"/>
      <c r="P48" s="1">
        <f>SUM(OSRRefP22_3x_0)</f>
        <v>3.31</v>
      </c>
      <c r="Q48" s="1"/>
      <c r="R48" s="5">
        <f t="shared" si="36"/>
        <v>1.216701525839285E-3</v>
      </c>
      <c r="S48" s="1"/>
      <c r="T48" s="1">
        <f>SUM(OSRRefT22_3x_0)</f>
        <v>-387.07</v>
      </c>
      <c r="U48" s="1"/>
      <c r="V48" s="5">
        <f t="shared" si="37"/>
        <v>-1.7577631773986035E-4</v>
      </c>
      <c r="W48" s="1"/>
      <c r="X48" s="1">
        <f t="shared" si="38"/>
        <v>390.38</v>
      </c>
      <c r="Y48" s="1"/>
      <c r="Z48" s="5">
        <f t="shared" si="39"/>
        <v>-1.0085514248068825</v>
      </c>
    </row>
    <row r="49" spans="1:26" s="24" customFormat="1" hidden="1" outlineLevel="2" x14ac:dyDescent="0.25">
      <c r="A49" s="26"/>
      <c r="B49" s="11" t="str">
        <f>CONCATENATE("          ", "6272", " - ", "CASH (OVER/SHORT)")</f>
        <v xml:space="preserve">          6272 - CASH (OVER/SHORT)</v>
      </c>
      <c r="C49" s="11"/>
      <c r="D49" s="6"/>
      <c r="E49" s="2"/>
      <c r="F49" s="7">
        <f t="shared" si="32"/>
        <v>0</v>
      </c>
      <c r="G49" s="2"/>
      <c r="H49" s="6">
        <v>-68.75</v>
      </c>
      <c r="I49" s="2"/>
      <c r="J49" s="7">
        <f t="shared" si="33"/>
        <v>-1.7445860103741334E-4</v>
      </c>
      <c r="K49" s="2"/>
      <c r="L49" s="6">
        <f t="shared" si="34"/>
        <v>68.75</v>
      </c>
      <c r="M49" s="2"/>
      <c r="N49" s="7">
        <f t="shared" si="35"/>
        <v>-1</v>
      </c>
      <c r="O49" s="11"/>
      <c r="P49" s="6">
        <v>3.31</v>
      </c>
      <c r="Q49" s="2"/>
      <c r="R49" s="7">
        <f t="shared" si="36"/>
        <v>1.216701525839285E-3</v>
      </c>
      <c r="S49" s="2"/>
      <c r="T49" s="6">
        <v>-387.07</v>
      </c>
      <c r="U49" s="2"/>
      <c r="V49" s="7">
        <f t="shared" si="37"/>
        <v>-1.7577631773986035E-4</v>
      </c>
      <c r="W49" s="2"/>
      <c r="X49" s="6">
        <f t="shared" si="38"/>
        <v>390.38</v>
      </c>
      <c r="Y49" s="2"/>
      <c r="Z49" s="7">
        <f t="shared" si="39"/>
        <v>-1.0085514248068825</v>
      </c>
    </row>
    <row r="50" spans="1:26" s="25" customFormat="1" outlineLevel="1" collapsed="1" x14ac:dyDescent="0.25">
      <c r="A50" s="27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224.95</v>
      </c>
      <c r="E50" s="1"/>
      <c r="F50" s="5">
        <f t="shared" si="32"/>
        <v>1.678731343283582</v>
      </c>
      <c r="G50" s="1"/>
      <c r="H50" s="1">
        <f>SUM(OSRRefH22_4x_0)</f>
        <v>16365.38</v>
      </c>
      <c r="I50" s="1"/>
      <c r="J50" s="5">
        <f t="shared" si="33"/>
        <v>4.1528455276300558E-2</v>
      </c>
      <c r="K50" s="1"/>
      <c r="L50" s="1">
        <f t="shared" si="34"/>
        <v>-16140.429999999998</v>
      </c>
      <c r="M50" s="1"/>
      <c r="N50" s="5">
        <f t="shared" si="35"/>
        <v>-0.98625452021279059</v>
      </c>
      <c r="O50" s="13"/>
      <c r="P50" s="1">
        <f>SUM(OSRRefP22_4x_0)</f>
        <v>1363.23</v>
      </c>
      <c r="Q50" s="1"/>
      <c r="R50" s="5">
        <f t="shared" si="36"/>
        <v>0.50110091270993606</v>
      </c>
      <c r="S50" s="1"/>
      <c r="T50" s="1">
        <f>SUM(OSRRefT22_4x_0)</f>
        <v>80519.539999999994</v>
      </c>
      <c r="U50" s="1"/>
      <c r="V50" s="5">
        <f t="shared" si="37"/>
        <v>3.6565552089563629E-2</v>
      </c>
      <c r="W50" s="1"/>
      <c r="X50" s="1">
        <f t="shared" si="38"/>
        <v>-79156.31</v>
      </c>
      <c r="Y50" s="1"/>
      <c r="Z50" s="5">
        <f t="shared" si="39"/>
        <v>-0.98306957540989437</v>
      </c>
    </row>
    <row r="51" spans="1:26" s="24" customFormat="1" hidden="1" outlineLevel="2" x14ac:dyDescent="0.25">
      <c r="A51" s="26"/>
      <c r="B51" s="11" t="str">
        <f>CONCATENATE("          ", "6381", " - ", "BANK/CREDIT CARD FEES")</f>
        <v xml:space="preserve">          6381 - BANK/CREDIT CARD FEES</v>
      </c>
      <c r="C51" s="11"/>
      <c r="D51" s="6">
        <v>224.95</v>
      </c>
      <c r="E51" s="2"/>
      <c r="F51" s="7">
        <f t="shared" si="32"/>
        <v>1.678731343283582</v>
      </c>
      <c r="G51" s="2"/>
      <c r="H51" s="6">
        <v>16365.38</v>
      </c>
      <c r="I51" s="2"/>
      <c r="J51" s="7">
        <f t="shared" si="33"/>
        <v>4.1528455276300558E-2</v>
      </c>
      <c r="K51" s="2"/>
      <c r="L51" s="6">
        <f t="shared" si="34"/>
        <v>-16140.429999999998</v>
      </c>
      <c r="M51" s="2"/>
      <c r="N51" s="7">
        <f t="shared" si="35"/>
        <v>-0.98625452021279059</v>
      </c>
      <c r="O51" s="11"/>
      <c r="P51" s="6">
        <v>1363.23</v>
      </c>
      <c r="Q51" s="2"/>
      <c r="R51" s="7">
        <f t="shared" si="36"/>
        <v>0.50110091270993606</v>
      </c>
      <c r="S51" s="2"/>
      <c r="T51" s="6">
        <v>80519.539999999994</v>
      </c>
      <c r="U51" s="2"/>
      <c r="V51" s="7">
        <f t="shared" si="37"/>
        <v>3.6565552089563629E-2</v>
      </c>
      <c r="W51" s="2"/>
      <c r="X51" s="6">
        <f t="shared" si="38"/>
        <v>-79156.31</v>
      </c>
      <c r="Y51" s="2"/>
      <c r="Z51" s="7">
        <f t="shared" si="39"/>
        <v>-0.98306957540989437</v>
      </c>
    </row>
    <row r="52" spans="1:26" s="25" customFormat="1" outlineLevel="1" collapsed="1" x14ac:dyDescent="0.25">
      <c r="A52" s="27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9152.09</v>
      </c>
      <c r="E52" s="1"/>
      <c r="F52" s="5">
        <f t="shared" si="32"/>
        <v>68.299179104477616</v>
      </c>
      <c r="G52" s="1"/>
      <c r="H52" s="1">
        <f>SUM(OSRRefH22_5x_0)</f>
        <v>8546.9</v>
      </c>
      <c r="I52" s="1"/>
      <c r="J52" s="5">
        <f t="shared" si="33"/>
        <v>2.168843952300608E-2</v>
      </c>
      <c r="K52" s="1"/>
      <c r="L52" s="1">
        <f t="shared" si="34"/>
        <v>605.19000000000051</v>
      </c>
      <c r="M52" s="1"/>
      <c r="N52" s="5">
        <f t="shared" si="35"/>
        <v>7.0808129263241704E-2</v>
      </c>
      <c r="O52" s="13"/>
      <c r="P52" s="1">
        <f>SUM(OSRRefP22_5x_0)</f>
        <v>73398</v>
      </c>
      <c r="Q52" s="1"/>
      <c r="R52" s="5">
        <f t="shared" si="36"/>
        <v>26.979896856057959</v>
      </c>
      <c r="S52" s="1"/>
      <c r="T52" s="1">
        <f>SUM(OSRRefT22_5x_0)</f>
        <v>67658.100000000006</v>
      </c>
      <c r="U52" s="1"/>
      <c r="V52" s="5">
        <f t="shared" si="37"/>
        <v>3.0724911988206902E-2</v>
      </c>
      <c r="W52" s="1"/>
      <c r="X52" s="1">
        <f t="shared" si="38"/>
        <v>5739.8999999999942</v>
      </c>
      <c r="Y52" s="1"/>
      <c r="Z52" s="5">
        <f t="shared" si="39"/>
        <v>8.4836848803025708E-2</v>
      </c>
    </row>
    <row r="53" spans="1:26" s="24" customFormat="1" hidden="1" outlineLevel="2" x14ac:dyDescent="0.25">
      <c r="A53" s="26"/>
      <c r="B53" s="11" t="str">
        <f>CONCATENATE("          ", "6321", " - ", "BUILDING DEPRECIATION")</f>
        <v xml:space="preserve">          6321 - BUILDING DEPRECIATION</v>
      </c>
      <c r="C53" s="11"/>
      <c r="D53" s="6">
        <v>5080.51</v>
      </c>
      <c r="E53" s="2"/>
      <c r="F53" s="7">
        <f t="shared" si="32"/>
        <v>37.914253731343287</v>
      </c>
      <c r="G53" s="2"/>
      <c r="H53" s="6">
        <v>5080.51</v>
      </c>
      <c r="I53" s="2"/>
      <c r="J53" s="7">
        <f t="shared" si="33"/>
        <v>1.2892198795004929E-2</v>
      </c>
      <c r="K53" s="2"/>
      <c r="L53" s="6">
        <f t="shared" si="34"/>
        <v>0</v>
      </c>
      <c r="M53" s="2"/>
      <c r="N53" s="7">
        <f t="shared" si="35"/>
        <v>0</v>
      </c>
      <c r="O53" s="11"/>
      <c r="P53" s="6">
        <v>40644.080000000002</v>
      </c>
      <c r="Q53" s="2"/>
      <c r="R53" s="7">
        <f t="shared" si="36"/>
        <v>14.940094910070686</v>
      </c>
      <c r="S53" s="2"/>
      <c r="T53" s="6">
        <v>40644.080000000002</v>
      </c>
      <c r="U53" s="2"/>
      <c r="V53" s="7">
        <f t="shared" si="37"/>
        <v>1.8457298990684639E-2</v>
      </c>
      <c r="W53" s="2"/>
      <c r="X53" s="6">
        <f t="shared" si="38"/>
        <v>0</v>
      </c>
      <c r="Y53" s="2"/>
      <c r="Z53" s="7">
        <f t="shared" si="39"/>
        <v>0</v>
      </c>
    </row>
    <row r="54" spans="1:26" s="24" customFormat="1" hidden="1" outlineLevel="2" x14ac:dyDescent="0.25">
      <c r="A54" s="26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4071.58</v>
      </c>
      <c r="E54" s="2"/>
      <c r="F54" s="7">
        <f t="shared" si="32"/>
        <v>30.384925373134326</v>
      </c>
      <c r="G54" s="2"/>
      <c r="H54" s="6">
        <v>3466.39</v>
      </c>
      <c r="I54" s="2"/>
      <c r="J54" s="7">
        <f t="shared" si="33"/>
        <v>8.7962407280011527E-3</v>
      </c>
      <c r="K54" s="2"/>
      <c r="L54" s="6">
        <f t="shared" si="34"/>
        <v>605.19000000000005</v>
      </c>
      <c r="M54" s="2"/>
      <c r="N54" s="7">
        <f t="shared" si="35"/>
        <v>0.17458797192468248</v>
      </c>
      <c r="O54" s="11"/>
      <c r="P54" s="6">
        <v>32753.919999999998</v>
      </c>
      <c r="Q54" s="2"/>
      <c r="R54" s="7">
        <f t="shared" si="36"/>
        <v>12.039801945987273</v>
      </c>
      <c r="S54" s="2"/>
      <c r="T54" s="6">
        <v>27014.02</v>
      </c>
      <c r="U54" s="2"/>
      <c r="V54" s="7">
        <f t="shared" si="37"/>
        <v>1.2267612997522262E-2</v>
      </c>
      <c r="W54" s="2"/>
      <c r="X54" s="6">
        <f t="shared" si="38"/>
        <v>5739.8999999999978</v>
      </c>
      <c r="Y54" s="2"/>
      <c r="Z54" s="7">
        <f t="shared" si="39"/>
        <v>0.21247855743054894</v>
      </c>
    </row>
    <row r="55" spans="1:26" s="25" customFormat="1" outlineLevel="1" collapsed="1" x14ac:dyDescent="0.25">
      <c r="A55" s="27"/>
      <c r="B55" s="13" t="str">
        <f>CONCATENATE("     ","Discounts and Markdowns                           ")</f>
        <v xml:space="preserve">     Discounts and Markdowns                           </v>
      </c>
      <c r="C55" s="13"/>
      <c r="D55" s="1">
        <f>SUM(OSRRefD22_6x_0)</f>
        <v>0</v>
      </c>
      <c r="E55" s="1"/>
      <c r="F55" s="5">
        <f t="shared" ref="F55:F74" si="40">IF(D$12=0,0,D55/D$12)</f>
        <v>0</v>
      </c>
      <c r="G55" s="1"/>
      <c r="H55" s="1">
        <f>SUM(OSRRefH22_6x_0)</f>
        <v>11.81</v>
      </c>
      <c r="I55" s="1"/>
      <c r="J55" s="5">
        <f t="shared" ref="J55:J74" si="41">IF(H$12=0,0,H55/H$12)</f>
        <v>2.9968815683663298E-5</v>
      </c>
      <c r="K55" s="1"/>
      <c r="L55" s="1">
        <f t="shared" ref="L55:L74" si="42">+D55-H55</f>
        <v>-11.81</v>
      </c>
      <c r="M55" s="1"/>
      <c r="N55" s="5">
        <f t="shared" ref="N55:N74" si="43">IF(H55=0,0,L55/H55)</f>
        <v>-1</v>
      </c>
      <c r="O55" s="13"/>
      <c r="P55" s="1">
        <f>SUM(OSRRefP22_6x_0)</f>
        <v>0</v>
      </c>
      <c r="Q55" s="1"/>
      <c r="R55" s="5">
        <f t="shared" ref="R55:R74" si="44">IF(P$12=0,0,P55/P$12)</f>
        <v>0</v>
      </c>
      <c r="S55" s="1"/>
      <c r="T55" s="1">
        <f>SUM(OSRRefT22_6x_0)</f>
        <v>119.96</v>
      </c>
      <c r="U55" s="1"/>
      <c r="V55" s="5">
        <f t="shared" ref="V55:V74" si="45">IF(T$12=0,0,T55/T$12)</f>
        <v>5.4476262888040009E-5</v>
      </c>
      <c r="W55" s="1"/>
      <c r="X55" s="1">
        <f t="shared" ref="X55:X74" si="46">+P55-T55</f>
        <v>-119.96</v>
      </c>
      <c r="Y55" s="1"/>
      <c r="Z55" s="5">
        <f t="shared" ref="Z55:Z74" si="47">IF(T55=0,0,X55/T55)</f>
        <v>-1</v>
      </c>
    </row>
    <row r="56" spans="1:26" s="24" customFormat="1" hidden="1" outlineLevel="2" x14ac:dyDescent="0.25">
      <c r="A56" s="26"/>
      <c r="B56" s="11" t="str">
        <f>CONCATENATE("          ", "6382", " - ", "DISCOUNTS/MARK DOWNS")</f>
        <v xml:space="preserve">          6382 - DISCOUNTS/MARK DOWNS</v>
      </c>
      <c r="C56" s="11"/>
      <c r="D56" s="6"/>
      <c r="E56" s="2"/>
      <c r="F56" s="7">
        <f t="shared" si="40"/>
        <v>0</v>
      </c>
      <c r="G56" s="2"/>
      <c r="H56" s="6">
        <v>11.81</v>
      </c>
      <c r="I56" s="2"/>
      <c r="J56" s="7">
        <f t="shared" si="41"/>
        <v>2.9968815683663298E-5</v>
      </c>
      <c r="K56" s="2"/>
      <c r="L56" s="6">
        <f t="shared" si="42"/>
        <v>-11.81</v>
      </c>
      <c r="M56" s="2"/>
      <c r="N56" s="7">
        <f t="shared" si="43"/>
        <v>-1</v>
      </c>
      <c r="O56" s="11"/>
      <c r="P56" s="6"/>
      <c r="Q56" s="2"/>
      <c r="R56" s="7">
        <f t="shared" si="44"/>
        <v>0</v>
      </c>
      <c r="S56" s="2"/>
      <c r="T56" s="6">
        <v>119.96</v>
      </c>
      <c r="U56" s="2"/>
      <c r="V56" s="7">
        <f t="shared" si="45"/>
        <v>5.4476262888040009E-5</v>
      </c>
      <c r="W56" s="2"/>
      <c r="X56" s="6">
        <f t="shared" si="46"/>
        <v>-119.96</v>
      </c>
      <c r="Y56" s="2"/>
      <c r="Z56" s="7">
        <f t="shared" si="47"/>
        <v>-1</v>
      </c>
    </row>
    <row r="57" spans="1:26" s="25" customFormat="1" outlineLevel="1" collapsed="1" x14ac:dyDescent="0.25">
      <c r="A57" s="27"/>
      <c r="B57" s="13" t="str">
        <f>CONCATENATE("     ","Employees' Appreciation                           ")</f>
        <v xml:space="preserve">     Employees' Appreciation                           </v>
      </c>
      <c r="C57" s="13"/>
      <c r="D57" s="1">
        <f>SUM(OSRRefD22_7x_0)</f>
        <v>0</v>
      </c>
      <c r="E57" s="1"/>
      <c r="F57" s="5">
        <f t="shared" si="40"/>
        <v>0</v>
      </c>
      <c r="G57" s="1"/>
      <c r="H57" s="1">
        <f>SUM(OSRRefH22_7x_0)</f>
        <v>0</v>
      </c>
      <c r="I57" s="1"/>
      <c r="J57" s="5">
        <f t="shared" si="41"/>
        <v>0</v>
      </c>
      <c r="K57" s="1"/>
      <c r="L57" s="1">
        <f t="shared" si="42"/>
        <v>0</v>
      </c>
      <c r="M57" s="1"/>
      <c r="N57" s="5">
        <f t="shared" si="43"/>
        <v>0</v>
      </c>
      <c r="O57" s="13"/>
      <c r="P57" s="1">
        <f>SUM(OSRRefP22_7x_0)</f>
        <v>0</v>
      </c>
      <c r="Q57" s="1"/>
      <c r="R57" s="5">
        <f t="shared" si="44"/>
        <v>0</v>
      </c>
      <c r="S57" s="1"/>
      <c r="T57" s="1">
        <f>SUM(OSRRefT22_7x_0)</f>
        <v>136.83000000000001</v>
      </c>
      <c r="U57" s="1"/>
      <c r="V57" s="5">
        <f t="shared" si="45"/>
        <v>6.2137271181814897E-5</v>
      </c>
      <c r="W57" s="1"/>
      <c r="X57" s="1">
        <f t="shared" si="46"/>
        <v>-136.83000000000001</v>
      </c>
      <c r="Y57" s="1"/>
      <c r="Z57" s="5">
        <f t="shared" si="47"/>
        <v>-1</v>
      </c>
    </row>
    <row r="58" spans="1:26" s="24" customFormat="1" hidden="1" outlineLevel="2" x14ac:dyDescent="0.25">
      <c r="A58" s="26"/>
      <c r="B58" s="11" t="str">
        <f>CONCATENATE("          ", "6277", " - ", "EMPLOYEE APPRECIATION")</f>
        <v xml:space="preserve">          6277 - EMPLOYEE APPRECIATION</v>
      </c>
      <c r="C58" s="11"/>
      <c r="D58" s="6"/>
      <c r="E58" s="2"/>
      <c r="F58" s="7">
        <f t="shared" si="40"/>
        <v>0</v>
      </c>
      <c r="G58" s="2"/>
      <c r="H58" s="6"/>
      <c r="I58" s="2"/>
      <c r="J58" s="7">
        <f t="shared" si="41"/>
        <v>0</v>
      </c>
      <c r="K58" s="2"/>
      <c r="L58" s="6">
        <f t="shared" si="42"/>
        <v>0</v>
      </c>
      <c r="M58" s="2"/>
      <c r="N58" s="7">
        <f t="shared" si="43"/>
        <v>0</v>
      </c>
      <c r="O58" s="11"/>
      <c r="P58" s="6"/>
      <c r="Q58" s="2"/>
      <c r="R58" s="7">
        <f t="shared" si="44"/>
        <v>0</v>
      </c>
      <c r="S58" s="2"/>
      <c r="T58" s="6">
        <v>136.83000000000001</v>
      </c>
      <c r="U58" s="2"/>
      <c r="V58" s="7">
        <f t="shared" si="45"/>
        <v>6.2137271181814897E-5</v>
      </c>
      <c r="W58" s="2"/>
      <c r="X58" s="6">
        <f t="shared" si="46"/>
        <v>-136.83000000000001</v>
      </c>
      <c r="Y58" s="2"/>
      <c r="Z58" s="7">
        <f t="shared" si="47"/>
        <v>-1</v>
      </c>
    </row>
    <row r="59" spans="1:26" s="25" customFormat="1" outlineLevel="1" collapsed="1" x14ac:dyDescent="0.25">
      <c r="A59" s="27"/>
      <c r="B59" s="13" t="str">
        <f>CONCATENATE("     ","Equipment Rental                                  ")</f>
        <v xml:space="preserve">     Equipment Rental                                  </v>
      </c>
      <c r="C59" s="13"/>
      <c r="D59" s="1">
        <f>SUM(OSRRefD22_8x_0)</f>
        <v>176.4</v>
      </c>
      <c r="E59" s="1"/>
      <c r="F59" s="5">
        <f t="shared" si="40"/>
        <v>1.3164179104477611</v>
      </c>
      <c r="G59" s="1"/>
      <c r="H59" s="1">
        <f>SUM(OSRRefH22_8x_0)</f>
        <v>103.34</v>
      </c>
      <c r="I59" s="1"/>
      <c r="J59" s="5">
        <f t="shared" si="41"/>
        <v>2.6223348118118247E-4</v>
      </c>
      <c r="K59" s="1"/>
      <c r="L59" s="1">
        <f t="shared" si="42"/>
        <v>73.06</v>
      </c>
      <c r="M59" s="1"/>
      <c r="N59" s="5">
        <f t="shared" si="43"/>
        <v>0.70698664602283723</v>
      </c>
      <c r="O59" s="13"/>
      <c r="P59" s="1">
        <f>SUM(OSRRefP22_8x_0)</f>
        <v>440.95</v>
      </c>
      <c r="Q59" s="1"/>
      <c r="R59" s="5">
        <f t="shared" si="44"/>
        <v>0.16208596308726064</v>
      </c>
      <c r="S59" s="1"/>
      <c r="T59" s="1">
        <f>SUM(OSRRefT22_8x_0)</f>
        <v>877.31</v>
      </c>
      <c r="U59" s="1"/>
      <c r="V59" s="5">
        <f t="shared" si="45"/>
        <v>3.9840421969245064E-4</v>
      </c>
      <c r="W59" s="1"/>
      <c r="X59" s="1">
        <f t="shared" si="46"/>
        <v>-436.35999999999996</v>
      </c>
      <c r="Y59" s="1"/>
      <c r="Z59" s="5">
        <f t="shared" si="47"/>
        <v>-0.49738404896786764</v>
      </c>
    </row>
    <row r="60" spans="1:26" s="24" customFormat="1" hidden="1" outlineLevel="2" x14ac:dyDescent="0.25">
      <c r="A60" s="26"/>
      <c r="B60" s="11" t="str">
        <f>CONCATENATE("          ", "6351", " - ", "EQUIPMENT RENTAL")</f>
        <v xml:space="preserve">          6351 - EQUIPMENT RENTAL</v>
      </c>
      <c r="C60" s="11"/>
      <c r="D60" s="6">
        <v>176.4</v>
      </c>
      <c r="E60" s="2"/>
      <c r="F60" s="7">
        <f t="shared" si="40"/>
        <v>1.3164179104477611</v>
      </c>
      <c r="G60" s="2"/>
      <c r="H60" s="6">
        <v>103.34</v>
      </c>
      <c r="I60" s="2"/>
      <c r="J60" s="7">
        <f t="shared" si="41"/>
        <v>2.6223348118118247E-4</v>
      </c>
      <c r="K60" s="2"/>
      <c r="L60" s="6">
        <f t="shared" si="42"/>
        <v>73.06</v>
      </c>
      <c r="M60" s="2"/>
      <c r="N60" s="7">
        <f t="shared" si="43"/>
        <v>0.70698664602283723</v>
      </c>
      <c r="O60" s="11"/>
      <c r="P60" s="6">
        <v>440.95</v>
      </c>
      <c r="Q60" s="2"/>
      <c r="R60" s="7">
        <f t="shared" si="44"/>
        <v>0.16208596308726064</v>
      </c>
      <c r="S60" s="2"/>
      <c r="T60" s="6">
        <v>877.31</v>
      </c>
      <c r="U60" s="2"/>
      <c r="V60" s="7">
        <f t="shared" si="45"/>
        <v>3.9840421969245064E-4</v>
      </c>
      <c r="W60" s="2"/>
      <c r="X60" s="6">
        <f t="shared" si="46"/>
        <v>-436.35999999999996</v>
      </c>
      <c r="Y60" s="2"/>
      <c r="Z60" s="7">
        <f t="shared" si="47"/>
        <v>-0.49738404896786764</v>
      </c>
    </row>
    <row r="61" spans="1:26" s="25" customFormat="1" outlineLevel="1" collapsed="1" x14ac:dyDescent="0.25">
      <c r="A61" s="27"/>
      <c r="B61" s="13" t="str">
        <f>CONCATENATE("     ","Freight out/Postage                               ")</f>
        <v xml:space="preserve">     Freight out/Postage                               </v>
      </c>
      <c r="C61" s="13"/>
      <c r="D61" s="1">
        <f>SUM(OSRRefD22_9x_0)</f>
        <v>90.46</v>
      </c>
      <c r="E61" s="1"/>
      <c r="F61" s="5">
        <f t="shared" si="40"/>
        <v>0.67507462686567155</v>
      </c>
      <c r="G61" s="1"/>
      <c r="H61" s="1">
        <f>SUM(OSRRefH22_9x_0)</f>
        <v>20.83</v>
      </c>
      <c r="I61" s="1"/>
      <c r="J61" s="5">
        <f t="shared" si="41"/>
        <v>5.2857784139771926E-5</v>
      </c>
      <c r="K61" s="1"/>
      <c r="L61" s="1">
        <f t="shared" si="42"/>
        <v>69.63</v>
      </c>
      <c r="M61" s="1"/>
      <c r="N61" s="5">
        <f t="shared" si="43"/>
        <v>3.342774843975036</v>
      </c>
      <c r="O61" s="13"/>
      <c r="P61" s="1">
        <f>SUM(OSRRefP22_9x_0)</f>
        <v>207.89</v>
      </c>
      <c r="Q61" s="1"/>
      <c r="R61" s="5">
        <f t="shared" si="44"/>
        <v>7.6416942660643181E-2</v>
      </c>
      <c r="S61" s="1"/>
      <c r="T61" s="1">
        <f>SUM(OSRRefT22_9x_0)</f>
        <v>254.46</v>
      </c>
      <c r="U61" s="1"/>
      <c r="V61" s="5">
        <f t="shared" si="45"/>
        <v>1.155554339320662E-4</v>
      </c>
      <c r="W61" s="1"/>
      <c r="X61" s="1">
        <f t="shared" si="46"/>
        <v>-46.570000000000022</v>
      </c>
      <c r="Y61" s="1"/>
      <c r="Z61" s="5">
        <f t="shared" si="47"/>
        <v>-0.18301501218266139</v>
      </c>
    </row>
    <row r="62" spans="1:26" s="24" customFormat="1" hidden="1" outlineLevel="2" x14ac:dyDescent="0.25">
      <c r="A62" s="26"/>
      <c r="B62" s="11" t="str">
        <f>CONCATENATE("          ", "6305", " - ", "FREIGHT OUT")</f>
        <v xml:space="preserve">          6305 - FREIGHT OUT</v>
      </c>
      <c r="C62" s="11"/>
      <c r="D62" s="6">
        <v>90.46</v>
      </c>
      <c r="E62" s="2"/>
      <c r="F62" s="7">
        <f t="shared" si="40"/>
        <v>0.67507462686567155</v>
      </c>
      <c r="G62" s="2"/>
      <c r="H62" s="6">
        <v>20.83</v>
      </c>
      <c r="I62" s="2"/>
      <c r="J62" s="7">
        <f t="shared" si="41"/>
        <v>5.2857784139771926E-5</v>
      </c>
      <c r="K62" s="2"/>
      <c r="L62" s="6">
        <f t="shared" si="42"/>
        <v>69.63</v>
      </c>
      <c r="M62" s="2"/>
      <c r="N62" s="7">
        <f t="shared" si="43"/>
        <v>3.342774843975036</v>
      </c>
      <c r="O62" s="11"/>
      <c r="P62" s="6">
        <v>207.89</v>
      </c>
      <c r="Q62" s="2"/>
      <c r="R62" s="7">
        <f t="shared" si="44"/>
        <v>7.6416942660643181E-2</v>
      </c>
      <c r="S62" s="2"/>
      <c r="T62" s="6">
        <v>254.46</v>
      </c>
      <c r="U62" s="2"/>
      <c r="V62" s="7">
        <f t="shared" si="45"/>
        <v>1.155554339320662E-4</v>
      </c>
      <c r="W62" s="2"/>
      <c r="X62" s="6">
        <f t="shared" si="46"/>
        <v>-46.570000000000022</v>
      </c>
      <c r="Y62" s="2"/>
      <c r="Z62" s="7">
        <f t="shared" si="47"/>
        <v>-0.18301501218266139</v>
      </c>
    </row>
    <row r="63" spans="1:26" s="25" customFormat="1" outlineLevel="1" collapsed="1" x14ac:dyDescent="0.25">
      <c r="A63" s="27"/>
      <c r="B63" s="13" t="str">
        <f>CONCATENATE("     ","General                                           ")</f>
        <v xml:space="preserve">     General                                           </v>
      </c>
      <c r="C63" s="13"/>
      <c r="D63" s="1">
        <f>SUM(OSRRefD22_10x_0)</f>
        <v>0</v>
      </c>
      <c r="E63" s="1"/>
      <c r="F63" s="5">
        <f t="shared" si="40"/>
        <v>0</v>
      </c>
      <c r="G63" s="1"/>
      <c r="H63" s="1">
        <f>SUM(OSRRefH22_10x_0)</f>
        <v>257.8</v>
      </c>
      <c r="I63" s="1"/>
      <c r="J63" s="5">
        <f t="shared" si="41"/>
        <v>6.5418803414465693E-4</v>
      </c>
      <c r="K63" s="1"/>
      <c r="L63" s="1">
        <f t="shared" si="42"/>
        <v>-257.8</v>
      </c>
      <c r="M63" s="1"/>
      <c r="N63" s="5">
        <f t="shared" si="43"/>
        <v>-1</v>
      </c>
      <c r="O63" s="13"/>
      <c r="P63" s="1">
        <f>SUM(OSRRefP22_10x_0)</f>
        <v>2788.49</v>
      </c>
      <c r="Q63" s="1"/>
      <c r="R63" s="5">
        <f t="shared" si="44"/>
        <v>1.0250030325642259</v>
      </c>
      <c r="S63" s="1"/>
      <c r="T63" s="1">
        <f>SUM(OSRRefT22_10x_0)</f>
        <v>10730.64</v>
      </c>
      <c r="U63" s="1"/>
      <c r="V63" s="5">
        <f t="shared" si="45"/>
        <v>4.873000713545495E-3</v>
      </c>
      <c r="W63" s="1"/>
      <c r="X63" s="1">
        <f t="shared" si="46"/>
        <v>-7942.15</v>
      </c>
      <c r="Y63" s="1"/>
      <c r="Z63" s="5">
        <f t="shared" si="47"/>
        <v>-0.74013758732004797</v>
      </c>
    </row>
    <row r="64" spans="1:26" s="24" customFormat="1" hidden="1" outlineLevel="2" x14ac:dyDescent="0.25">
      <c r="A64" s="26"/>
      <c r="B64" s="11" t="str">
        <f>CONCATENATE("          ", "6279", " - ", "GENERAL EXPENSE")</f>
        <v xml:space="preserve">          6279 - GENERAL EXPENSE</v>
      </c>
      <c r="C64" s="11"/>
      <c r="D64" s="6"/>
      <c r="E64" s="2"/>
      <c r="F64" s="7">
        <f t="shared" si="40"/>
        <v>0</v>
      </c>
      <c r="G64" s="2"/>
      <c r="H64" s="6">
        <v>257.8</v>
      </c>
      <c r="I64" s="2"/>
      <c r="J64" s="7">
        <f t="shared" si="41"/>
        <v>6.5418803414465693E-4</v>
      </c>
      <c r="K64" s="2"/>
      <c r="L64" s="6">
        <f t="shared" si="42"/>
        <v>-257.8</v>
      </c>
      <c r="M64" s="2"/>
      <c r="N64" s="7">
        <f t="shared" si="43"/>
        <v>-1</v>
      </c>
      <c r="O64" s="11"/>
      <c r="P64" s="6">
        <v>2788.49</v>
      </c>
      <c r="Q64" s="2"/>
      <c r="R64" s="7">
        <f t="shared" si="44"/>
        <v>1.0250030325642259</v>
      </c>
      <c r="S64" s="2"/>
      <c r="T64" s="6">
        <v>10730.64</v>
      </c>
      <c r="U64" s="2"/>
      <c r="V64" s="7">
        <f t="shared" si="45"/>
        <v>4.873000713545495E-3</v>
      </c>
      <c r="W64" s="2"/>
      <c r="X64" s="6">
        <f t="shared" si="46"/>
        <v>-7942.15</v>
      </c>
      <c r="Y64" s="2"/>
      <c r="Z64" s="7">
        <f t="shared" si="47"/>
        <v>-0.74013758732004797</v>
      </c>
    </row>
    <row r="65" spans="1:26" s="25" customFormat="1" outlineLevel="1" collapsed="1" x14ac:dyDescent="0.25">
      <c r="A65" s="27"/>
      <c r="B65" s="13" t="str">
        <f>CONCATENATE("     ","Insurance                                         ")</f>
        <v xml:space="preserve">     Insurance                                         </v>
      </c>
      <c r="C65" s="13"/>
      <c r="D65" s="1">
        <f>SUM(OSRRefD22_11x_0)</f>
        <v>243.54</v>
      </c>
      <c r="E65" s="1"/>
      <c r="F65" s="5">
        <f t="shared" si="40"/>
        <v>1.8174626865671641</v>
      </c>
      <c r="G65" s="1"/>
      <c r="H65" s="1">
        <f>SUM(OSRRefH22_11x_0)</f>
        <v>243.54</v>
      </c>
      <c r="I65" s="1"/>
      <c r="J65" s="5">
        <f t="shared" si="41"/>
        <v>6.1800214831493302E-4</v>
      </c>
      <c r="K65" s="1"/>
      <c r="L65" s="1">
        <f t="shared" si="42"/>
        <v>0</v>
      </c>
      <c r="M65" s="1"/>
      <c r="N65" s="5">
        <f t="shared" si="43"/>
        <v>0</v>
      </c>
      <c r="O65" s="13"/>
      <c r="P65" s="1">
        <f>SUM(OSRRefP22_11x_0)</f>
        <v>1948.32</v>
      </c>
      <c r="Q65" s="1"/>
      <c r="R65" s="5">
        <f t="shared" si="44"/>
        <v>0.71617036762030084</v>
      </c>
      <c r="S65" s="1"/>
      <c r="T65" s="1">
        <f>SUM(OSRRefT22_11x_0)</f>
        <v>1948.32</v>
      </c>
      <c r="U65" s="1"/>
      <c r="V65" s="5">
        <f t="shared" si="45"/>
        <v>8.8477152809291523E-4</v>
      </c>
      <c r="W65" s="1"/>
      <c r="X65" s="1">
        <f t="shared" si="46"/>
        <v>0</v>
      </c>
      <c r="Y65" s="1"/>
      <c r="Z65" s="5">
        <f t="shared" si="47"/>
        <v>0</v>
      </c>
    </row>
    <row r="66" spans="1:26" s="24" customFormat="1" hidden="1" outlineLevel="2" x14ac:dyDescent="0.25">
      <c r="A66" s="26"/>
      <c r="B66" s="11" t="str">
        <f>CONCATENATE("          ", "6314", " - ", "LIABILITY INSURANCE")</f>
        <v xml:space="preserve">          6314 - LIABILITY INSURANCE</v>
      </c>
      <c r="C66" s="11"/>
      <c r="D66" s="6">
        <v>243.54</v>
      </c>
      <c r="E66" s="2"/>
      <c r="F66" s="7">
        <f t="shared" si="40"/>
        <v>1.8174626865671641</v>
      </c>
      <c r="G66" s="2"/>
      <c r="H66" s="6">
        <v>243.54</v>
      </c>
      <c r="I66" s="2"/>
      <c r="J66" s="7">
        <f t="shared" si="41"/>
        <v>6.1800214831493302E-4</v>
      </c>
      <c r="K66" s="2"/>
      <c r="L66" s="6">
        <f t="shared" si="42"/>
        <v>0</v>
      </c>
      <c r="M66" s="2"/>
      <c r="N66" s="7">
        <f t="shared" si="43"/>
        <v>0</v>
      </c>
      <c r="O66" s="11"/>
      <c r="P66" s="6">
        <v>1948.32</v>
      </c>
      <c r="Q66" s="2"/>
      <c r="R66" s="7">
        <f t="shared" si="44"/>
        <v>0.71617036762030084</v>
      </c>
      <c r="S66" s="2"/>
      <c r="T66" s="6">
        <v>1948.32</v>
      </c>
      <c r="U66" s="2"/>
      <c r="V66" s="7">
        <f t="shared" si="45"/>
        <v>8.8477152809291523E-4</v>
      </c>
      <c r="W66" s="2"/>
      <c r="X66" s="6">
        <f t="shared" si="46"/>
        <v>0</v>
      </c>
      <c r="Y66" s="2"/>
      <c r="Z66" s="7">
        <f t="shared" si="47"/>
        <v>0</v>
      </c>
    </row>
    <row r="67" spans="1:26" s="25" customFormat="1" outlineLevel="1" collapsed="1" x14ac:dyDescent="0.25">
      <c r="A67" s="27"/>
      <c r="B67" s="13" t="str">
        <f>CONCATENATE("     ","Interest                                          ")</f>
        <v xml:space="preserve">     Interest                                          </v>
      </c>
      <c r="C67" s="13"/>
      <c r="D67" s="1">
        <f>SUM(OSRRefD22_12x_0)</f>
        <v>4044</v>
      </c>
      <c r="E67" s="1"/>
      <c r="F67" s="5">
        <f t="shared" si="40"/>
        <v>30.17910447761194</v>
      </c>
      <c r="G67" s="1"/>
      <c r="H67" s="1">
        <f>SUM(OSRRefH22_12x_0)</f>
        <v>4175</v>
      </c>
      <c r="I67" s="1"/>
      <c r="J67" s="5">
        <f t="shared" si="41"/>
        <v>1.0594395044817465E-2</v>
      </c>
      <c r="K67" s="1"/>
      <c r="L67" s="1">
        <f t="shared" si="42"/>
        <v>-131</v>
      </c>
      <c r="M67" s="1"/>
      <c r="N67" s="5">
        <f t="shared" si="43"/>
        <v>-3.1377245508982035E-2</v>
      </c>
      <c r="O67" s="13"/>
      <c r="P67" s="1">
        <f>SUM(OSRRefP22_12x_0)</f>
        <v>32089.85</v>
      </c>
      <c r="Q67" s="1"/>
      <c r="R67" s="5">
        <f t="shared" si="44"/>
        <v>11.795700742886337</v>
      </c>
      <c r="S67" s="1"/>
      <c r="T67" s="1">
        <f>SUM(OSRRefT22_12x_0)</f>
        <v>33193.950000000004</v>
      </c>
      <c r="U67" s="1"/>
      <c r="V67" s="5">
        <f t="shared" si="45"/>
        <v>1.5074044235515638E-2</v>
      </c>
      <c r="W67" s="1"/>
      <c r="X67" s="1">
        <f t="shared" si="46"/>
        <v>-1104.1000000000058</v>
      </c>
      <c r="Y67" s="1"/>
      <c r="Z67" s="5">
        <f t="shared" si="47"/>
        <v>-3.326208541014268E-2</v>
      </c>
    </row>
    <row r="68" spans="1:26" s="24" customFormat="1" hidden="1" outlineLevel="2" x14ac:dyDescent="0.25">
      <c r="A68" s="26"/>
      <c r="B68" s="11" t="str">
        <f>CONCATENATE("          ", "6401", " - ", "INTEREST EXPENSE")</f>
        <v xml:space="preserve">          6401 - INTEREST EXPENSE</v>
      </c>
      <c r="C68" s="11"/>
      <c r="D68" s="6">
        <v>4044</v>
      </c>
      <c r="E68" s="2"/>
      <c r="F68" s="7">
        <f t="shared" si="40"/>
        <v>30.17910447761194</v>
      </c>
      <c r="G68" s="2"/>
      <c r="H68" s="6">
        <v>4175</v>
      </c>
      <c r="I68" s="2"/>
      <c r="J68" s="7">
        <f t="shared" si="41"/>
        <v>1.0594395044817465E-2</v>
      </c>
      <c r="K68" s="2"/>
      <c r="L68" s="6">
        <f t="shared" si="42"/>
        <v>-131</v>
      </c>
      <c r="M68" s="2"/>
      <c r="N68" s="7">
        <f t="shared" si="43"/>
        <v>-3.1377245508982035E-2</v>
      </c>
      <c r="O68" s="11"/>
      <c r="P68" s="6">
        <v>32089.85</v>
      </c>
      <c r="Q68" s="2"/>
      <c r="R68" s="7">
        <f t="shared" si="44"/>
        <v>11.795700742886337</v>
      </c>
      <c r="S68" s="2"/>
      <c r="T68" s="6">
        <v>33193.950000000004</v>
      </c>
      <c r="U68" s="2"/>
      <c r="V68" s="7">
        <f t="shared" si="45"/>
        <v>1.5074044235515638E-2</v>
      </c>
      <c r="W68" s="2"/>
      <c r="X68" s="6">
        <f t="shared" si="46"/>
        <v>-1104.1000000000058</v>
      </c>
      <c r="Y68" s="2"/>
      <c r="Z68" s="7">
        <f t="shared" si="47"/>
        <v>-3.326208541014268E-2</v>
      </c>
    </row>
    <row r="69" spans="1:26" s="25" customFormat="1" outlineLevel="1" collapsed="1" x14ac:dyDescent="0.25">
      <c r="A69" s="27"/>
      <c r="B69" s="13" t="str">
        <f>CONCATENATE("     ","Rent                                              ")</f>
        <v xml:space="preserve">     Rent                                              </v>
      </c>
      <c r="C69" s="13"/>
      <c r="D69" s="1">
        <f>SUM(OSRRefD22_13x_0)</f>
        <v>0</v>
      </c>
      <c r="E69" s="1"/>
      <c r="F69" s="5">
        <f t="shared" si="40"/>
        <v>0</v>
      </c>
      <c r="G69" s="1"/>
      <c r="H69" s="1">
        <f>SUM(OSRRefH22_13x_0)</f>
        <v>1150</v>
      </c>
      <c r="I69" s="1"/>
      <c r="J69" s="5">
        <f t="shared" si="41"/>
        <v>2.9182165991712776E-3</v>
      </c>
      <c r="K69" s="1"/>
      <c r="L69" s="1">
        <f t="shared" si="42"/>
        <v>-1150</v>
      </c>
      <c r="M69" s="1"/>
      <c r="N69" s="5">
        <f t="shared" si="43"/>
        <v>-1</v>
      </c>
      <c r="O69" s="13"/>
      <c r="P69" s="1">
        <f>SUM(OSRRefP22_13x_0)</f>
        <v>0</v>
      </c>
      <c r="Q69" s="1"/>
      <c r="R69" s="5">
        <f t="shared" si="44"/>
        <v>0</v>
      </c>
      <c r="S69" s="1"/>
      <c r="T69" s="1">
        <f>SUM(OSRRefT22_13x_0)</f>
        <v>9200</v>
      </c>
      <c r="U69" s="1"/>
      <c r="V69" s="5">
        <f t="shared" si="45"/>
        <v>4.1779061234575535E-3</v>
      </c>
      <c r="W69" s="1"/>
      <c r="X69" s="1">
        <f t="shared" si="46"/>
        <v>-9200</v>
      </c>
      <c r="Y69" s="1"/>
      <c r="Z69" s="5">
        <f t="shared" si="47"/>
        <v>-1</v>
      </c>
    </row>
    <row r="70" spans="1:26" s="24" customFormat="1" hidden="1" outlineLevel="2" x14ac:dyDescent="0.25">
      <c r="A70" s="26"/>
      <c r="B70" s="11" t="str">
        <f>CONCATENATE("          ", "6273", " - ", "RENT")</f>
        <v xml:space="preserve">          6273 - RENT</v>
      </c>
      <c r="C70" s="11"/>
      <c r="D70" s="6"/>
      <c r="E70" s="2"/>
      <c r="F70" s="7">
        <f t="shared" si="40"/>
        <v>0</v>
      </c>
      <c r="G70" s="2"/>
      <c r="H70" s="6">
        <v>1150</v>
      </c>
      <c r="I70" s="2"/>
      <c r="J70" s="7">
        <f t="shared" si="41"/>
        <v>2.9182165991712776E-3</v>
      </c>
      <c r="K70" s="2"/>
      <c r="L70" s="6">
        <f t="shared" si="42"/>
        <v>-1150</v>
      </c>
      <c r="M70" s="2"/>
      <c r="N70" s="7">
        <f t="shared" si="43"/>
        <v>-1</v>
      </c>
      <c r="O70" s="11"/>
      <c r="P70" s="6"/>
      <c r="Q70" s="2"/>
      <c r="R70" s="7">
        <f t="shared" si="44"/>
        <v>0</v>
      </c>
      <c r="S70" s="2"/>
      <c r="T70" s="6">
        <v>9200</v>
      </c>
      <c r="U70" s="2"/>
      <c r="V70" s="7">
        <f t="shared" si="45"/>
        <v>4.1779061234575535E-3</v>
      </c>
      <c r="W70" s="2"/>
      <c r="X70" s="6">
        <f t="shared" si="46"/>
        <v>-9200</v>
      </c>
      <c r="Y70" s="2"/>
      <c r="Z70" s="7">
        <f t="shared" si="47"/>
        <v>-1</v>
      </c>
    </row>
    <row r="71" spans="1:26" s="25" customFormat="1" outlineLevel="1" collapsed="1" x14ac:dyDescent="0.25">
      <c r="A71" s="27"/>
      <c r="B71" s="13" t="str">
        <f>CONCATENATE("     ","Repair and Maintenance                            ")</f>
        <v xml:space="preserve">     Repair and Maintenance                            </v>
      </c>
      <c r="C71" s="13"/>
      <c r="D71" s="1">
        <f>SUM(OSRRefD22_14x_0)</f>
        <v>108</v>
      </c>
      <c r="E71" s="1"/>
      <c r="F71" s="5">
        <f t="shared" si="40"/>
        <v>0.80597014925373134</v>
      </c>
      <c r="G71" s="1"/>
      <c r="H71" s="1">
        <f>SUM(OSRRefH22_14x_0)</f>
        <v>822.91</v>
      </c>
      <c r="I71" s="1"/>
      <c r="J71" s="5">
        <f t="shared" si="41"/>
        <v>2.0881996709774227E-3</v>
      </c>
      <c r="K71" s="1"/>
      <c r="L71" s="1">
        <f t="shared" si="42"/>
        <v>-714.91</v>
      </c>
      <c r="M71" s="1"/>
      <c r="N71" s="5">
        <f t="shared" si="43"/>
        <v>-0.86875843044804413</v>
      </c>
      <c r="O71" s="13"/>
      <c r="P71" s="1">
        <f>SUM(OSRRefP22_14x_0)</f>
        <v>2399.85</v>
      </c>
      <c r="Q71" s="1"/>
      <c r="R71" s="5">
        <f t="shared" si="44"/>
        <v>0.88214536458773651</v>
      </c>
      <c r="S71" s="1"/>
      <c r="T71" s="1">
        <f>SUM(OSRRefT22_14x_0)</f>
        <v>15737.939999999999</v>
      </c>
      <c r="U71" s="1"/>
      <c r="V71" s="5">
        <f t="shared" si="45"/>
        <v>7.1469169452834302E-3</v>
      </c>
      <c r="W71" s="1"/>
      <c r="X71" s="1">
        <f t="shared" si="46"/>
        <v>-13338.089999999998</v>
      </c>
      <c r="Y71" s="1"/>
      <c r="Z71" s="5">
        <f t="shared" si="47"/>
        <v>-0.84751180904235235</v>
      </c>
    </row>
    <row r="72" spans="1:26" s="24" customFormat="1" hidden="1" outlineLevel="2" x14ac:dyDescent="0.25">
      <c r="A72" s="26"/>
      <c r="B72" s="11" t="str">
        <f>CONCATENATE("          ", "6371", " - ", "COMPUTER SOFTWARE MAINTENANCE")</f>
        <v xml:space="preserve">          6371 - COMPUTER SOFTWARE MAINTENANCE</v>
      </c>
      <c r="C72" s="11"/>
      <c r="D72" s="6"/>
      <c r="E72" s="2"/>
      <c r="F72" s="7">
        <f t="shared" si="40"/>
        <v>0</v>
      </c>
      <c r="G72" s="2"/>
      <c r="H72" s="6"/>
      <c r="I72" s="2"/>
      <c r="J72" s="7">
        <f t="shared" si="41"/>
        <v>0</v>
      </c>
      <c r="K72" s="2"/>
      <c r="L72" s="6">
        <f t="shared" si="42"/>
        <v>0</v>
      </c>
      <c r="M72" s="2"/>
      <c r="N72" s="7">
        <f t="shared" si="43"/>
        <v>0</v>
      </c>
      <c r="O72" s="11"/>
      <c r="P72" s="6"/>
      <c r="Q72" s="2"/>
      <c r="R72" s="7">
        <f t="shared" si="44"/>
        <v>0</v>
      </c>
      <c r="S72" s="2"/>
      <c r="T72" s="6">
        <v>1311.93</v>
      </c>
      <c r="U72" s="2"/>
      <c r="V72" s="7">
        <f t="shared" si="45"/>
        <v>5.9577395440735519E-4</v>
      </c>
      <c r="W72" s="2"/>
      <c r="X72" s="6">
        <f t="shared" si="46"/>
        <v>-1311.93</v>
      </c>
      <c r="Y72" s="2"/>
      <c r="Z72" s="7">
        <f t="shared" si="47"/>
        <v>-1</v>
      </c>
    </row>
    <row r="73" spans="1:26" s="24" customFormat="1" hidden="1" outlineLevel="2" x14ac:dyDescent="0.25">
      <c r="A73" s="26"/>
      <c r="B73" s="11" t="str">
        <f>CONCATENATE("          ", "6373", " - ", "MAINTENANCE CONTRACTS")</f>
        <v xml:space="preserve">          6373 - MAINTENANCE CONTRACTS</v>
      </c>
      <c r="C73" s="11"/>
      <c r="D73" s="6"/>
      <c r="E73" s="2"/>
      <c r="F73" s="7">
        <f t="shared" si="40"/>
        <v>0</v>
      </c>
      <c r="G73" s="2"/>
      <c r="H73" s="6"/>
      <c r="I73" s="2"/>
      <c r="J73" s="7">
        <f t="shared" si="41"/>
        <v>0</v>
      </c>
      <c r="K73" s="2"/>
      <c r="L73" s="6">
        <f t="shared" si="42"/>
        <v>0</v>
      </c>
      <c r="M73" s="2"/>
      <c r="N73" s="7">
        <f t="shared" si="43"/>
        <v>0</v>
      </c>
      <c r="O73" s="11"/>
      <c r="P73" s="6">
        <v>956.6</v>
      </c>
      <c r="Q73" s="2"/>
      <c r="R73" s="7">
        <f t="shared" si="44"/>
        <v>0.35163041680297885</v>
      </c>
      <c r="S73" s="2"/>
      <c r="T73" s="6">
        <v>582.62</v>
      </c>
      <c r="U73" s="2"/>
      <c r="V73" s="7">
        <f t="shared" si="45"/>
        <v>2.6457952887487388E-4</v>
      </c>
      <c r="W73" s="2"/>
      <c r="X73" s="6">
        <f t="shared" si="46"/>
        <v>373.98</v>
      </c>
      <c r="Y73" s="2"/>
      <c r="Z73" s="7">
        <f t="shared" si="47"/>
        <v>0.64189351549895302</v>
      </c>
    </row>
    <row r="74" spans="1:26" s="24" customFormat="1" hidden="1" outlineLevel="2" x14ac:dyDescent="0.25">
      <c r="A74" s="26"/>
      <c r="B74" s="11" t="str">
        <f>CONCATENATE("          ", "6375", " - ", "OUTSIDE REPAIRS &amp; MAINTENANCE")</f>
        <v xml:space="preserve">          6375 - OUTSIDE REPAIRS &amp; MAINTENANCE</v>
      </c>
      <c r="C74" s="11"/>
      <c r="D74" s="6">
        <v>108</v>
      </c>
      <c r="E74" s="2"/>
      <c r="F74" s="7">
        <f t="shared" si="40"/>
        <v>0.80597014925373134</v>
      </c>
      <c r="G74" s="2"/>
      <c r="H74" s="6">
        <v>822.91</v>
      </c>
      <c r="I74" s="2"/>
      <c r="J74" s="7">
        <f t="shared" si="41"/>
        <v>2.0881996709774227E-3</v>
      </c>
      <c r="K74" s="2"/>
      <c r="L74" s="6">
        <f t="shared" si="42"/>
        <v>-714.91</v>
      </c>
      <c r="M74" s="2"/>
      <c r="N74" s="7">
        <f t="shared" si="43"/>
        <v>-0.86875843044804413</v>
      </c>
      <c r="O74" s="11"/>
      <c r="P74" s="6">
        <v>1443.25</v>
      </c>
      <c r="Q74" s="2"/>
      <c r="R74" s="7">
        <f t="shared" si="44"/>
        <v>0.53051494778475772</v>
      </c>
      <c r="S74" s="2"/>
      <c r="T74" s="6">
        <v>13843.39</v>
      </c>
      <c r="U74" s="2"/>
      <c r="V74" s="7">
        <f t="shared" si="45"/>
        <v>6.2865634620012014E-3</v>
      </c>
      <c r="W74" s="2"/>
      <c r="X74" s="6">
        <f t="shared" si="46"/>
        <v>-12400.14</v>
      </c>
      <c r="Y74" s="2"/>
      <c r="Z74" s="7">
        <f t="shared" si="47"/>
        <v>-0.89574446721503909</v>
      </c>
    </row>
    <row r="75" spans="1:26" s="25" customFormat="1" outlineLevel="1" collapsed="1" x14ac:dyDescent="0.25">
      <c r="A75" s="27"/>
      <c r="B75" s="13" t="str">
        <f>CONCATENATE("     ","Royalty &amp; Commissions                             ")</f>
        <v xml:space="preserve">     Royalty &amp; Commissions                             </v>
      </c>
      <c r="C75" s="13"/>
      <c r="D75" s="1">
        <f>SUM(OSRRefD22_15x_0)</f>
        <v>0</v>
      </c>
      <c r="E75" s="1"/>
      <c r="F75" s="5">
        <f t="shared" ref="F75:F81" si="48">IF(D$12=0,0,D75/D$12)</f>
        <v>0</v>
      </c>
      <c r="G75" s="1"/>
      <c r="H75" s="1">
        <f>SUM(OSRRefH22_15x_0)</f>
        <v>0</v>
      </c>
      <c r="I75" s="1"/>
      <c r="J75" s="5">
        <f t="shared" ref="J75:J81" si="49">IF(H$12=0,0,H75/H$12)</f>
        <v>0</v>
      </c>
      <c r="K75" s="1"/>
      <c r="L75" s="1">
        <f t="shared" ref="L75:L81" si="50">+D75-H75</f>
        <v>0</v>
      </c>
      <c r="M75" s="1"/>
      <c r="N75" s="5">
        <f t="shared" ref="N75:N81" si="51">IF(H75=0,0,L75/H75)</f>
        <v>0</v>
      </c>
      <c r="O75" s="13"/>
      <c r="P75" s="1">
        <f>SUM(OSRRefP22_15x_0)</f>
        <v>185.7</v>
      </c>
      <c r="Q75" s="1"/>
      <c r="R75" s="5">
        <f t="shared" ref="R75:R81" si="52">IF(P$12=0,0,P75/P$12)</f>
        <v>6.8260263851466829E-2</v>
      </c>
      <c r="S75" s="1"/>
      <c r="T75" s="1">
        <f>SUM(OSRRefT22_15x_0)</f>
        <v>15334.79</v>
      </c>
      <c r="U75" s="1"/>
      <c r="V75" s="5">
        <f t="shared" ref="V75:V81" si="53">IF(T$12=0,0,T75/T$12)</f>
        <v>6.9638383742321366E-3</v>
      </c>
      <c r="W75" s="1"/>
      <c r="X75" s="1">
        <f t="shared" ref="X75:X81" si="54">+P75-T75</f>
        <v>-15149.09</v>
      </c>
      <c r="Y75" s="1"/>
      <c r="Z75" s="5">
        <f t="shared" ref="Z75:Z81" si="55">IF(T75=0,0,X75/T75)</f>
        <v>-0.98789028085810104</v>
      </c>
    </row>
    <row r="76" spans="1:26" s="24" customFormat="1" hidden="1" outlineLevel="2" x14ac:dyDescent="0.25">
      <c r="A76" s="26"/>
      <c r="B76" s="11" t="str">
        <f>CONCATENATE("          ", "6254", " - ", "ROYALTY &amp; COMMISSIONS")</f>
        <v xml:space="preserve">          6254 - ROYALTY &amp; COMMISSIONS</v>
      </c>
      <c r="C76" s="11"/>
      <c r="D76" s="6"/>
      <c r="E76" s="2"/>
      <c r="F76" s="7">
        <f t="shared" si="48"/>
        <v>0</v>
      </c>
      <c r="G76" s="2"/>
      <c r="H76" s="6"/>
      <c r="I76" s="2"/>
      <c r="J76" s="7">
        <f t="shared" si="49"/>
        <v>0</v>
      </c>
      <c r="K76" s="2"/>
      <c r="L76" s="6">
        <f t="shared" si="50"/>
        <v>0</v>
      </c>
      <c r="M76" s="2"/>
      <c r="N76" s="7">
        <f t="shared" si="51"/>
        <v>0</v>
      </c>
      <c r="O76" s="11"/>
      <c r="P76" s="6">
        <v>185.7</v>
      </c>
      <c r="Q76" s="2"/>
      <c r="R76" s="7">
        <f t="shared" si="52"/>
        <v>6.8260263851466829E-2</v>
      </c>
      <c r="S76" s="2"/>
      <c r="T76" s="6">
        <v>15334.79</v>
      </c>
      <c r="U76" s="2"/>
      <c r="V76" s="7">
        <f t="shared" si="53"/>
        <v>6.9638383742321366E-3</v>
      </c>
      <c r="W76" s="2"/>
      <c r="X76" s="6">
        <f t="shared" si="54"/>
        <v>-15149.09</v>
      </c>
      <c r="Y76" s="2"/>
      <c r="Z76" s="7">
        <f t="shared" si="55"/>
        <v>-0.98789028085810104</v>
      </c>
    </row>
    <row r="77" spans="1:26" s="25" customFormat="1" outlineLevel="1" collapsed="1" x14ac:dyDescent="0.25">
      <c r="A77" s="27"/>
      <c r="B77" s="13" t="str">
        <f>CONCATENATE("     ","Services                                          ")</f>
        <v xml:space="preserve">     Services                                          </v>
      </c>
      <c r="C77" s="13"/>
      <c r="D77" s="1">
        <f>SUM(OSRRefD22_16x_0)</f>
        <v>430.93</v>
      </c>
      <c r="E77" s="1"/>
      <c r="F77" s="5">
        <f t="shared" si="48"/>
        <v>3.2158955223880596</v>
      </c>
      <c r="G77" s="1"/>
      <c r="H77" s="1">
        <f>SUM(OSRRefH22_16x_0)</f>
        <v>1949.6100000000001</v>
      </c>
      <c r="I77" s="1"/>
      <c r="J77" s="5">
        <f t="shared" si="49"/>
        <v>4.9472906642698397E-3</v>
      </c>
      <c r="K77" s="1"/>
      <c r="L77" s="1">
        <f t="shared" si="50"/>
        <v>-1518.68</v>
      </c>
      <c r="M77" s="1"/>
      <c r="N77" s="5">
        <f t="shared" si="51"/>
        <v>-0.77896604962018046</v>
      </c>
      <c r="O77" s="13"/>
      <c r="P77" s="1">
        <f>SUM(OSRRefP22_16x_0)</f>
        <v>1845.15</v>
      </c>
      <c r="Q77" s="1"/>
      <c r="R77" s="5">
        <f t="shared" si="52"/>
        <v>0.67824677353545526</v>
      </c>
      <c r="S77" s="1"/>
      <c r="T77" s="1">
        <f>SUM(OSRRefT22_16x_0)</f>
        <v>14538.470000000001</v>
      </c>
      <c r="U77" s="1"/>
      <c r="V77" s="5">
        <f t="shared" si="53"/>
        <v>6.6022133520330373E-3</v>
      </c>
      <c r="W77" s="1"/>
      <c r="X77" s="1">
        <f t="shared" si="54"/>
        <v>-12693.320000000002</v>
      </c>
      <c r="Y77" s="1"/>
      <c r="Z77" s="5">
        <f t="shared" si="55"/>
        <v>-0.87308499450079691</v>
      </c>
    </row>
    <row r="78" spans="1:26" s="24" customFormat="1" hidden="1" outlineLevel="2" x14ac:dyDescent="0.25">
      <c r="A78" s="26"/>
      <c r="B78" s="11" t="str">
        <f>CONCATENATE("          ", "6282", " - ", "JANITORIAL/EXTERMINATOR EXPENS")</f>
        <v xml:space="preserve">          6282 - JANITORIAL/EXTERMINATOR EXPENS</v>
      </c>
      <c r="C78" s="11"/>
      <c r="D78" s="6">
        <v>141.93</v>
      </c>
      <c r="E78" s="2"/>
      <c r="F78" s="7">
        <f t="shared" si="48"/>
        <v>1.059179104477612</v>
      </c>
      <c r="G78" s="2"/>
      <c r="H78" s="6">
        <v>800.44</v>
      </c>
      <c r="I78" s="2"/>
      <c r="J78" s="7">
        <f t="shared" si="49"/>
        <v>2.0311802562092674E-3</v>
      </c>
      <c r="K78" s="2"/>
      <c r="L78" s="6">
        <f t="shared" si="50"/>
        <v>-658.51</v>
      </c>
      <c r="M78" s="2"/>
      <c r="N78" s="7">
        <f t="shared" si="51"/>
        <v>-0.82268502323721948</v>
      </c>
      <c r="O78" s="11"/>
      <c r="P78" s="6">
        <v>1493.75</v>
      </c>
      <c r="Q78" s="2"/>
      <c r="R78" s="7">
        <f t="shared" si="52"/>
        <v>0.54907791668351424</v>
      </c>
      <c r="S78" s="2"/>
      <c r="T78" s="6">
        <v>5437.81</v>
      </c>
      <c r="U78" s="2"/>
      <c r="V78" s="7">
        <f t="shared" si="53"/>
        <v>2.4694195323042086E-3</v>
      </c>
      <c r="W78" s="2"/>
      <c r="X78" s="6">
        <f t="shared" si="54"/>
        <v>-3944.0600000000004</v>
      </c>
      <c r="Y78" s="2"/>
      <c r="Z78" s="7">
        <f t="shared" si="55"/>
        <v>-0.72530301720729484</v>
      </c>
    </row>
    <row r="79" spans="1:26" s="24" customFormat="1" hidden="1" outlineLevel="2" x14ac:dyDescent="0.25">
      <c r="A79" s="26"/>
      <c r="B79" s="11" t="str">
        <f>CONCATENATE("          ", "6284", " - ", "TRASH REMOVAL EXPENSE")</f>
        <v xml:space="preserve">          6284 - TRASH REMOVAL EXPENSE</v>
      </c>
      <c r="C79" s="11"/>
      <c r="D79" s="6">
        <v>289</v>
      </c>
      <c r="E79" s="2"/>
      <c r="F79" s="7">
        <f t="shared" si="48"/>
        <v>2.1567164179104479</v>
      </c>
      <c r="G79" s="2"/>
      <c r="H79" s="6">
        <v>289</v>
      </c>
      <c r="I79" s="2"/>
      <c r="J79" s="7">
        <f t="shared" si="49"/>
        <v>7.3336051926999935E-4</v>
      </c>
      <c r="K79" s="2"/>
      <c r="L79" s="6">
        <f t="shared" si="50"/>
        <v>0</v>
      </c>
      <c r="M79" s="2"/>
      <c r="N79" s="7">
        <f t="shared" si="51"/>
        <v>0</v>
      </c>
      <c r="O79" s="11"/>
      <c r="P79" s="6">
        <v>1156</v>
      </c>
      <c r="Q79" s="2"/>
      <c r="R79" s="7">
        <f t="shared" si="52"/>
        <v>0.42492657518737564</v>
      </c>
      <c r="S79" s="2"/>
      <c r="T79" s="6">
        <v>2311</v>
      </c>
      <c r="U79" s="2"/>
      <c r="V79" s="7">
        <f t="shared" si="53"/>
        <v>1.049471853403305E-3</v>
      </c>
      <c r="W79" s="2"/>
      <c r="X79" s="6">
        <f t="shared" si="54"/>
        <v>-1155</v>
      </c>
      <c r="Y79" s="2"/>
      <c r="Z79" s="7">
        <f t="shared" si="55"/>
        <v>-0.49978364344439635</v>
      </c>
    </row>
    <row r="80" spans="1:26" s="24" customFormat="1" hidden="1" outlineLevel="2" x14ac:dyDescent="0.25">
      <c r="A80" s="26"/>
      <c r="B80" s="11" t="str">
        <f>CONCATENATE("          ", "6285", " - ", "JANITORIAL SERVICES")</f>
        <v xml:space="preserve">          6285 - JANITORIAL SERVICES</v>
      </c>
      <c r="C80" s="11"/>
      <c r="D80" s="6"/>
      <c r="E80" s="2"/>
      <c r="F80" s="7">
        <f t="shared" si="48"/>
        <v>0</v>
      </c>
      <c r="G80" s="2"/>
      <c r="H80" s="6">
        <v>134.1</v>
      </c>
      <c r="I80" s="2"/>
      <c r="J80" s="7">
        <f t="shared" si="49"/>
        <v>3.4028943125988552E-4</v>
      </c>
      <c r="K80" s="2"/>
      <c r="L80" s="6">
        <f t="shared" si="50"/>
        <v>-134.1</v>
      </c>
      <c r="M80" s="2"/>
      <c r="N80" s="7">
        <f t="shared" si="51"/>
        <v>-1</v>
      </c>
      <c r="O80" s="11"/>
      <c r="P80" s="6">
        <v>-804.6</v>
      </c>
      <c r="Q80" s="2"/>
      <c r="R80" s="7">
        <f t="shared" si="52"/>
        <v>-0.29575771833543468</v>
      </c>
      <c r="S80" s="2"/>
      <c r="T80" s="6">
        <v>919.58</v>
      </c>
      <c r="U80" s="2"/>
      <c r="V80" s="7">
        <f t="shared" si="53"/>
        <v>4.1759988184881489E-4</v>
      </c>
      <c r="W80" s="2"/>
      <c r="X80" s="6">
        <f t="shared" si="54"/>
        <v>-1724.18</v>
      </c>
      <c r="Y80" s="2"/>
      <c r="Z80" s="7">
        <f t="shared" si="55"/>
        <v>-1.874964657778551</v>
      </c>
    </row>
    <row r="81" spans="1:26" s="24" customFormat="1" hidden="1" outlineLevel="2" x14ac:dyDescent="0.25">
      <c r="A81" s="26"/>
      <c r="B81" s="11" t="str">
        <f>CONCATENATE("          ", "6286", " - ", "LAUNDRY EXPENSE")</f>
        <v xml:space="preserve">          6286 - LAUNDRY EXPENSE</v>
      </c>
      <c r="C81" s="11"/>
      <c r="D81" s="6"/>
      <c r="E81" s="2"/>
      <c r="F81" s="7">
        <f t="shared" si="48"/>
        <v>0</v>
      </c>
      <c r="G81" s="2"/>
      <c r="H81" s="6">
        <v>726.07</v>
      </c>
      <c r="I81" s="2"/>
      <c r="J81" s="7">
        <f t="shared" si="49"/>
        <v>1.8424604575306867E-3</v>
      </c>
      <c r="K81" s="2"/>
      <c r="L81" s="6">
        <f t="shared" si="50"/>
        <v>-726.07</v>
      </c>
      <c r="M81" s="2"/>
      <c r="N81" s="7">
        <f t="shared" si="51"/>
        <v>-1</v>
      </c>
      <c r="O81" s="11"/>
      <c r="P81" s="6"/>
      <c r="Q81" s="2"/>
      <c r="R81" s="7">
        <f t="shared" si="52"/>
        <v>0</v>
      </c>
      <c r="S81" s="2"/>
      <c r="T81" s="6">
        <v>5870.08</v>
      </c>
      <c r="U81" s="2"/>
      <c r="V81" s="7">
        <f t="shared" si="53"/>
        <v>2.6657220844767079E-3</v>
      </c>
      <c r="W81" s="2"/>
      <c r="X81" s="6">
        <f t="shared" si="54"/>
        <v>-5870.08</v>
      </c>
      <c r="Y81" s="2"/>
      <c r="Z81" s="7">
        <f t="shared" si="55"/>
        <v>-1</v>
      </c>
    </row>
    <row r="82" spans="1:26" s="25" customFormat="1" outlineLevel="1" collapsed="1" x14ac:dyDescent="0.25">
      <c r="A82" s="27"/>
      <c r="B82" s="13" t="str">
        <f>CONCATENATE("     ","Subscriptions &amp; Dues                              ")</f>
        <v xml:space="preserve">     Subscriptions &amp; Dues                              </v>
      </c>
      <c r="C82" s="13"/>
      <c r="D82" s="1">
        <f>SUM(OSRRefD22_17x_0)</f>
        <v>0</v>
      </c>
      <c r="E82" s="1"/>
      <c r="F82" s="5">
        <f t="shared" ref="F82:F92" si="56">IF(D$12=0,0,D82/D$12)</f>
        <v>0</v>
      </c>
      <c r="G82" s="1"/>
      <c r="H82" s="1">
        <f>SUM(OSRRefH22_17x_0)</f>
        <v>176.4</v>
      </c>
      <c r="I82" s="1"/>
      <c r="J82" s="5">
        <f t="shared" ref="J82:J92" si="57">IF(H$12=0,0,H82/H$12)</f>
        <v>4.4762905051635949E-4</v>
      </c>
      <c r="K82" s="1"/>
      <c r="L82" s="1">
        <f t="shared" ref="L82:L92" si="58">+D82-H82</f>
        <v>-176.4</v>
      </c>
      <c r="M82" s="1"/>
      <c r="N82" s="5">
        <f t="shared" ref="N82:N92" si="59">IF(H82=0,0,L82/H82)</f>
        <v>-1</v>
      </c>
      <c r="O82" s="13"/>
      <c r="P82" s="1">
        <f>SUM(OSRRefP22_17x_0)</f>
        <v>0</v>
      </c>
      <c r="Q82" s="1"/>
      <c r="R82" s="5">
        <f t="shared" ref="R82:R92" si="60">IF(P$12=0,0,P82/P$12)</f>
        <v>0</v>
      </c>
      <c r="S82" s="1"/>
      <c r="T82" s="1">
        <f>SUM(OSRRefT22_17x_0)</f>
        <v>1411.2</v>
      </c>
      <c r="U82" s="1"/>
      <c r="V82" s="5">
        <f t="shared" ref="V82:V92" si="61">IF(T$12=0,0,T82/T$12)</f>
        <v>6.4085446971992382E-4</v>
      </c>
      <c r="W82" s="1"/>
      <c r="X82" s="1">
        <f t="shared" ref="X82:X92" si="62">+P82-T82</f>
        <v>-1411.2</v>
      </c>
      <c r="Y82" s="1"/>
      <c r="Z82" s="5">
        <f t="shared" ref="Z82:Z92" si="63">IF(T82=0,0,X82/T82)</f>
        <v>-1</v>
      </c>
    </row>
    <row r="83" spans="1:26" s="24" customFormat="1" hidden="1" outlineLevel="2" x14ac:dyDescent="0.25">
      <c r="A83" s="26"/>
      <c r="B83" s="11" t="str">
        <f>CONCATENATE("          ", "6275", " - ", "SUBSCRIPTIONS")</f>
        <v xml:space="preserve">          6275 - SUBSCRIPTIONS</v>
      </c>
      <c r="C83" s="11"/>
      <c r="D83" s="6"/>
      <c r="E83" s="2"/>
      <c r="F83" s="7">
        <f t="shared" si="56"/>
        <v>0</v>
      </c>
      <c r="G83" s="2"/>
      <c r="H83" s="6">
        <v>176.4</v>
      </c>
      <c r="I83" s="2"/>
      <c r="J83" s="7">
        <f t="shared" si="57"/>
        <v>4.4762905051635949E-4</v>
      </c>
      <c r="K83" s="2"/>
      <c r="L83" s="6">
        <f t="shared" si="58"/>
        <v>-176.4</v>
      </c>
      <c r="M83" s="2"/>
      <c r="N83" s="7">
        <f t="shared" si="59"/>
        <v>-1</v>
      </c>
      <c r="O83" s="11"/>
      <c r="P83" s="6"/>
      <c r="Q83" s="2"/>
      <c r="R83" s="7">
        <f t="shared" si="60"/>
        <v>0</v>
      </c>
      <c r="S83" s="2"/>
      <c r="T83" s="6">
        <v>1411.2</v>
      </c>
      <c r="U83" s="2"/>
      <c r="V83" s="7">
        <f t="shared" si="61"/>
        <v>6.4085446971992382E-4</v>
      </c>
      <c r="W83" s="2"/>
      <c r="X83" s="6">
        <f t="shared" si="62"/>
        <v>-1411.2</v>
      </c>
      <c r="Y83" s="2"/>
      <c r="Z83" s="7">
        <f t="shared" si="63"/>
        <v>-1</v>
      </c>
    </row>
    <row r="84" spans="1:26" s="25" customFormat="1" outlineLevel="1" collapsed="1" x14ac:dyDescent="0.25">
      <c r="A84" s="27"/>
      <c r="B84" s="13" t="str">
        <f>CONCATENATE("     ","Supplies                                          ")</f>
        <v xml:space="preserve">     Supplies                                          </v>
      </c>
      <c r="C84" s="13"/>
      <c r="D84" s="1">
        <f>SUM(OSRRefD22_18x_0)</f>
        <v>0</v>
      </c>
      <c r="E84" s="1"/>
      <c r="F84" s="5">
        <f t="shared" si="56"/>
        <v>0</v>
      </c>
      <c r="G84" s="1"/>
      <c r="H84" s="1">
        <f>SUM(OSRRefH22_18x_0)</f>
        <v>7789.3099999999995</v>
      </c>
      <c r="I84" s="1"/>
      <c r="J84" s="5">
        <f t="shared" si="57"/>
        <v>1.9765994554861586E-2</v>
      </c>
      <c r="K84" s="1"/>
      <c r="L84" s="1">
        <f t="shared" si="58"/>
        <v>-7789.3099999999995</v>
      </c>
      <c r="M84" s="1"/>
      <c r="N84" s="5">
        <f t="shared" si="59"/>
        <v>-1</v>
      </c>
      <c r="O84" s="13"/>
      <c r="P84" s="1">
        <f>SUM(OSRRefP22_18x_0)</f>
        <v>1094.0899999999999</v>
      </c>
      <c r="Q84" s="1"/>
      <c r="R84" s="5">
        <f t="shared" si="60"/>
        <v>0.40216947806812786</v>
      </c>
      <c r="S84" s="1"/>
      <c r="T84" s="1">
        <f>SUM(OSRRefT22_18x_0)</f>
        <v>49047.55</v>
      </c>
      <c r="U84" s="1"/>
      <c r="V84" s="5">
        <f t="shared" si="61"/>
        <v>2.2273484726694624E-2</v>
      </c>
      <c r="W84" s="1"/>
      <c r="X84" s="1">
        <f t="shared" si="62"/>
        <v>-47953.460000000006</v>
      </c>
      <c r="Y84" s="1"/>
      <c r="Z84" s="5">
        <f t="shared" si="63"/>
        <v>-0.9776932792769466</v>
      </c>
    </row>
    <row r="85" spans="1:26" s="24" customFormat="1" hidden="1" outlineLevel="2" x14ac:dyDescent="0.25">
      <c r="A85" s="26"/>
      <c r="B85" s="11" t="str">
        <f>CONCATENATE("          ", "6234", " - ", "EXPENDABLE SUPPLIES &amp; EQUIPMEN")</f>
        <v xml:space="preserve">          6234 - EXPENDABLE SUPPLIES &amp; EQUIPMEN</v>
      </c>
      <c r="C85" s="11"/>
      <c r="D85" s="6"/>
      <c r="E85" s="2"/>
      <c r="F85" s="7">
        <f t="shared" si="56"/>
        <v>0</v>
      </c>
      <c r="G85" s="2"/>
      <c r="H85" s="6"/>
      <c r="I85" s="2"/>
      <c r="J85" s="7">
        <f t="shared" si="57"/>
        <v>0</v>
      </c>
      <c r="K85" s="2"/>
      <c r="L85" s="6">
        <f t="shared" si="58"/>
        <v>0</v>
      </c>
      <c r="M85" s="2"/>
      <c r="N85" s="7">
        <f t="shared" si="59"/>
        <v>0</v>
      </c>
      <c r="O85" s="11"/>
      <c r="P85" s="6">
        <v>316.67</v>
      </c>
      <c r="Q85" s="2"/>
      <c r="R85" s="7">
        <f t="shared" si="60"/>
        <v>0.11640268041919227</v>
      </c>
      <c r="S85" s="2"/>
      <c r="T85" s="6">
        <v>1092.46</v>
      </c>
      <c r="U85" s="2"/>
      <c r="V85" s="7">
        <f t="shared" si="61"/>
        <v>4.9610818735135208E-4</v>
      </c>
      <c r="W85" s="2"/>
      <c r="X85" s="6">
        <f t="shared" si="62"/>
        <v>-775.79</v>
      </c>
      <c r="Y85" s="2"/>
      <c r="Z85" s="7">
        <f t="shared" si="63"/>
        <v>-0.71013126338721777</v>
      </c>
    </row>
    <row r="86" spans="1:26" s="24" customFormat="1" hidden="1" outlineLevel="2" x14ac:dyDescent="0.25">
      <c r="A86" s="26"/>
      <c r="B86" s="11" t="str">
        <f>CONCATENATE("          ", "6235", " - ", "COVID-19 EXPENSES")</f>
        <v xml:space="preserve">          6235 - COVID-19 EXPENSES</v>
      </c>
      <c r="C86" s="11"/>
      <c r="D86" s="6"/>
      <c r="E86" s="2"/>
      <c r="F86" s="7">
        <f t="shared" si="56"/>
        <v>0</v>
      </c>
      <c r="G86" s="2"/>
      <c r="H86" s="6"/>
      <c r="I86" s="2"/>
      <c r="J86" s="7">
        <f t="shared" si="57"/>
        <v>0</v>
      </c>
      <c r="K86" s="2"/>
      <c r="L86" s="6">
        <f t="shared" si="58"/>
        <v>0</v>
      </c>
      <c r="M86" s="2"/>
      <c r="N86" s="7">
        <f t="shared" si="59"/>
        <v>0</v>
      </c>
      <c r="O86" s="11"/>
      <c r="P86" s="6">
        <v>207.27</v>
      </c>
      <c r="Q86" s="2"/>
      <c r="R86" s="7">
        <f t="shared" si="60"/>
        <v>7.6189040864262425E-2</v>
      </c>
      <c r="S86" s="2"/>
      <c r="T86" s="6"/>
      <c r="U86" s="2"/>
      <c r="V86" s="7">
        <f t="shared" si="61"/>
        <v>0</v>
      </c>
      <c r="W86" s="2"/>
      <c r="X86" s="6">
        <f t="shared" si="62"/>
        <v>207.27</v>
      </c>
      <c r="Y86" s="2"/>
      <c r="Z86" s="7">
        <f t="shared" si="63"/>
        <v>0</v>
      </c>
    </row>
    <row r="87" spans="1:26" s="24" customFormat="1" hidden="1" outlineLevel="2" x14ac:dyDescent="0.25">
      <c r="A87" s="26"/>
      <c r="B87" s="11" t="str">
        <f>CONCATENATE("          ", "6237", " - ", "JANITORIAL SUPPLIES")</f>
        <v xml:space="preserve">          6237 - JANITORIAL SUPPLIES</v>
      </c>
      <c r="C87" s="11"/>
      <c r="D87" s="6"/>
      <c r="E87" s="2"/>
      <c r="F87" s="7">
        <f t="shared" si="56"/>
        <v>0</v>
      </c>
      <c r="G87" s="2"/>
      <c r="H87" s="6">
        <v>1053.23</v>
      </c>
      <c r="I87" s="2"/>
      <c r="J87" s="7">
        <f t="shared" si="57"/>
        <v>2.6726550163001434E-3</v>
      </c>
      <c r="K87" s="2"/>
      <c r="L87" s="6">
        <f t="shared" si="58"/>
        <v>-1053.23</v>
      </c>
      <c r="M87" s="2"/>
      <c r="N87" s="7">
        <f t="shared" si="59"/>
        <v>-1</v>
      </c>
      <c r="O87" s="11"/>
      <c r="P87" s="6">
        <v>317.57</v>
      </c>
      <c r="Q87" s="2"/>
      <c r="R87" s="7">
        <f t="shared" si="60"/>
        <v>0.11673350560748692</v>
      </c>
      <c r="S87" s="2"/>
      <c r="T87" s="6">
        <v>4418.97</v>
      </c>
      <c r="U87" s="2"/>
      <c r="V87" s="7">
        <f t="shared" si="61"/>
        <v>2.0067436763451332E-3</v>
      </c>
      <c r="W87" s="2"/>
      <c r="X87" s="6">
        <f t="shared" si="62"/>
        <v>-4101.4000000000005</v>
      </c>
      <c r="Y87" s="2"/>
      <c r="Z87" s="7">
        <f t="shared" si="63"/>
        <v>-0.92813483685112153</v>
      </c>
    </row>
    <row r="88" spans="1:26" s="24" customFormat="1" hidden="1" outlineLevel="2" x14ac:dyDescent="0.25">
      <c r="A88" s="26"/>
      <c r="B88" s="11" t="str">
        <f>CONCATENATE("          ", "6239", " - ", "KITCHEN SUPPLIES")</f>
        <v xml:space="preserve">          6239 - KITCHEN SUPPLIES</v>
      </c>
      <c r="C88" s="11"/>
      <c r="D88" s="6"/>
      <c r="E88" s="2"/>
      <c r="F88" s="7">
        <f t="shared" si="56"/>
        <v>0</v>
      </c>
      <c r="G88" s="2"/>
      <c r="H88" s="6">
        <v>377.28</v>
      </c>
      <c r="I88" s="2"/>
      <c r="J88" s="7">
        <f t="shared" si="57"/>
        <v>9.5737805090029531E-4</v>
      </c>
      <c r="K88" s="2"/>
      <c r="L88" s="6">
        <f t="shared" si="58"/>
        <v>-377.28</v>
      </c>
      <c r="M88" s="2"/>
      <c r="N88" s="7">
        <f t="shared" si="59"/>
        <v>-1</v>
      </c>
      <c r="O88" s="11"/>
      <c r="P88" s="6"/>
      <c r="Q88" s="2"/>
      <c r="R88" s="7">
        <f t="shared" si="60"/>
        <v>0</v>
      </c>
      <c r="S88" s="2"/>
      <c r="T88" s="6">
        <v>441.2</v>
      </c>
      <c r="U88" s="2"/>
      <c r="V88" s="7">
        <f t="shared" si="61"/>
        <v>2.0035784583363831E-4</v>
      </c>
      <c r="W88" s="2"/>
      <c r="X88" s="6">
        <f t="shared" si="62"/>
        <v>-441.2</v>
      </c>
      <c r="Y88" s="2"/>
      <c r="Z88" s="7">
        <f t="shared" si="63"/>
        <v>-1</v>
      </c>
    </row>
    <row r="89" spans="1:26" s="24" customFormat="1" hidden="1" outlineLevel="2" x14ac:dyDescent="0.25">
      <c r="A89" s="26"/>
      <c r="B89" s="11" t="str">
        <f>CONCATENATE("          ", "6241", " - ", "OFFICE EXPENSE")</f>
        <v xml:space="preserve">          6241 - OFFICE EXPENSE</v>
      </c>
      <c r="C89" s="11"/>
      <c r="D89" s="6"/>
      <c r="E89" s="2"/>
      <c r="F89" s="7">
        <f t="shared" si="56"/>
        <v>0</v>
      </c>
      <c r="G89" s="2"/>
      <c r="H89" s="6">
        <v>183.29</v>
      </c>
      <c r="I89" s="2"/>
      <c r="J89" s="7">
        <f t="shared" si="57"/>
        <v>4.651129743148726E-4</v>
      </c>
      <c r="K89" s="2"/>
      <c r="L89" s="6">
        <f t="shared" si="58"/>
        <v>-183.29</v>
      </c>
      <c r="M89" s="2"/>
      <c r="N89" s="7">
        <f t="shared" si="59"/>
        <v>-1</v>
      </c>
      <c r="O89" s="11"/>
      <c r="P89" s="6">
        <v>131.30000000000001</v>
      </c>
      <c r="Q89" s="2"/>
      <c r="R89" s="7">
        <f t="shared" si="60"/>
        <v>4.826371913676681E-2</v>
      </c>
      <c r="S89" s="2"/>
      <c r="T89" s="6">
        <v>2343.4699999999998</v>
      </c>
      <c r="U89" s="2"/>
      <c r="V89" s="7">
        <f t="shared" si="61"/>
        <v>1.0642171372977252E-3</v>
      </c>
      <c r="W89" s="2"/>
      <c r="X89" s="6">
        <f t="shared" si="62"/>
        <v>-2212.1699999999996</v>
      </c>
      <c r="Y89" s="2"/>
      <c r="Z89" s="7">
        <f t="shared" si="63"/>
        <v>-0.9439719731850631</v>
      </c>
    </row>
    <row r="90" spans="1:26" s="24" customFormat="1" hidden="1" outlineLevel="2" x14ac:dyDescent="0.25">
      <c r="A90" s="26"/>
      <c r="B90" s="11" t="str">
        <f>CONCATENATE("          ", "6243", " - ", "PAPER SUPPLIES")</f>
        <v xml:space="preserve">          6243 - PAPER SUPPLIES</v>
      </c>
      <c r="C90" s="11"/>
      <c r="D90" s="6"/>
      <c r="E90" s="2"/>
      <c r="F90" s="7">
        <f t="shared" si="56"/>
        <v>0</v>
      </c>
      <c r="G90" s="2"/>
      <c r="H90" s="6">
        <v>906.34</v>
      </c>
      <c r="I90" s="2"/>
      <c r="J90" s="7">
        <f t="shared" si="57"/>
        <v>2.2999099412981702E-3</v>
      </c>
      <c r="K90" s="2"/>
      <c r="L90" s="6">
        <f t="shared" si="58"/>
        <v>-906.34</v>
      </c>
      <c r="M90" s="2"/>
      <c r="N90" s="7">
        <f t="shared" si="59"/>
        <v>-1</v>
      </c>
      <c r="O90" s="11"/>
      <c r="P90" s="6"/>
      <c r="Q90" s="2"/>
      <c r="R90" s="7">
        <f t="shared" si="60"/>
        <v>0</v>
      </c>
      <c r="S90" s="2"/>
      <c r="T90" s="6">
        <v>4837.4799999999996</v>
      </c>
      <c r="U90" s="2"/>
      <c r="V90" s="7">
        <f t="shared" si="61"/>
        <v>2.1967975341416787E-3</v>
      </c>
      <c r="W90" s="2"/>
      <c r="X90" s="6">
        <f t="shared" si="62"/>
        <v>-4837.4799999999996</v>
      </c>
      <c r="Y90" s="2"/>
      <c r="Z90" s="7">
        <f t="shared" si="63"/>
        <v>-1</v>
      </c>
    </row>
    <row r="91" spans="1:26" s="24" customFormat="1" hidden="1" outlineLevel="2" x14ac:dyDescent="0.25">
      <c r="A91" s="26"/>
      <c r="B91" s="11" t="str">
        <f>CONCATENATE("          ", "6245", " - ", "PRINTING")</f>
        <v xml:space="preserve">          6245 - PRINTING</v>
      </c>
      <c r="C91" s="11"/>
      <c r="D91" s="6"/>
      <c r="E91" s="2"/>
      <c r="F91" s="7">
        <f t="shared" si="56"/>
        <v>0</v>
      </c>
      <c r="G91" s="2"/>
      <c r="H91" s="6"/>
      <c r="I91" s="2"/>
      <c r="J91" s="7">
        <f t="shared" si="57"/>
        <v>0</v>
      </c>
      <c r="K91" s="2"/>
      <c r="L91" s="6">
        <f t="shared" si="58"/>
        <v>0</v>
      </c>
      <c r="M91" s="2"/>
      <c r="N91" s="7">
        <f t="shared" si="59"/>
        <v>0</v>
      </c>
      <c r="O91" s="11"/>
      <c r="P91" s="6"/>
      <c r="Q91" s="2"/>
      <c r="R91" s="7">
        <f t="shared" si="60"/>
        <v>0</v>
      </c>
      <c r="S91" s="2"/>
      <c r="T91" s="6">
        <v>81.739999999999995</v>
      </c>
      <c r="U91" s="2"/>
      <c r="V91" s="7">
        <f t="shared" si="61"/>
        <v>3.7119787666458738E-5</v>
      </c>
      <c r="W91" s="2"/>
      <c r="X91" s="6">
        <f t="shared" si="62"/>
        <v>-81.739999999999995</v>
      </c>
      <c r="Y91" s="2"/>
      <c r="Z91" s="7">
        <f t="shared" si="63"/>
        <v>-1</v>
      </c>
    </row>
    <row r="92" spans="1:26" s="24" customFormat="1" hidden="1" outlineLevel="2" x14ac:dyDescent="0.25">
      <c r="A92" s="26"/>
      <c r="B92" s="11" t="str">
        <f>CONCATENATE("          ", "6247", " - ", "STORE SUPPLIES")</f>
        <v xml:space="preserve">          6247 - STORE SUPPLIES</v>
      </c>
      <c r="C92" s="11"/>
      <c r="D92" s="6"/>
      <c r="E92" s="2"/>
      <c r="F92" s="7">
        <f t="shared" si="56"/>
        <v>0</v>
      </c>
      <c r="G92" s="2"/>
      <c r="H92" s="6">
        <v>5269.17</v>
      </c>
      <c r="I92" s="2"/>
      <c r="J92" s="7">
        <f t="shared" si="57"/>
        <v>1.3370938572048106E-2</v>
      </c>
      <c r="K92" s="2"/>
      <c r="L92" s="6">
        <f t="shared" si="58"/>
        <v>-5269.17</v>
      </c>
      <c r="M92" s="2"/>
      <c r="N92" s="7">
        <f t="shared" si="59"/>
        <v>-1</v>
      </c>
      <c r="O92" s="11"/>
      <c r="P92" s="6">
        <v>121.28</v>
      </c>
      <c r="Q92" s="2"/>
      <c r="R92" s="7">
        <f t="shared" si="60"/>
        <v>4.4580532040419479E-2</v>
      </c>
      <c r="S92" s="2"/>
      <c r="T92" s="6">
        <v>35832.230000000003</v>
      </c>
      <c r="U92" s="2"/>
      <c r="V92" s="7">
        <f t="shared" si="61"/>
        <v>1.6272140558058635E-2</v>
      </c>
      <c r="W92" s="2"/>
      <c r="X92" s="6">
        <f t="shared" si="62"/>
        <v>-35710.950000000004</v>
      </c>
      <c r="Y92" s="2"/>
      <c r="Z92" s="7">
        <f t="shared" si="63"/>
        <v>-0.99661533764434984</v>
      </c>
    </row>
    <row r="93" spans="1:26" s="25" customFormat="1" outlineLevel="1" collapsed="1" x14ac:dyDescent="0.25">
      <c r="A93" s="27"/>
      <c r="B93" s="13" t="str">
        <f>CONCATENATE("     ","Telephone/Data Lines                              ")</f>
        <v xml:space="preserve">     Telephone/Data Lines                              </v>
      </c>
      <c r="C93" s="13"/>
      <c r="D93" s="1">
        <f>SUM(OSRRefD22_19x_0)</f>
        <v>25.65</v>
      </c>
      <c r="E93" s="1"/>
      <c r="F93" s="5">
        <f t="shared" ref="F93:F98" si="64">IF(D$12=0,0,D93/D$12)</f>
        <v>0.19141791044776119</v>
      </c>
      <c r="G93" s="1"/>
      <c r="H93" s="1">
        <f>SUM(OSRRefH22_19x_0)</f>
        <v>443.41</v>
      </c>
      <c r="I93" s="1"/>
      <c r="J93" s="5">
        <f t="shared" ref="J93:J98" si="65">IF(H$12=0,0,H93/H$12)</f>
        <v>1.1251881932509012E-3</v>
      </c>
      <c r="K93" s="1"/>
      <c r="L93" s="1">
        <f t="shared" ref="L93:L98" si="66">+D93-H93</f>
        <v>-417.76000000000005</v>
      </c>
      <c r="M93" s="1"/>
      <c r="N93" s="5">
        <f t="shared" ref="N93:N98" si="67">IF(H93=0,0,L93/H93)</f>
        <v>-0.9421528607834736</v>
      </c>
      <c r="O93" s="13"/>
      <c r="P93" s="1">
        <f>SUM(OSRRefP22_19x_0)</f>
        <v>3011.44</v>
      </c>
      <c r="Q93" s="1"/>
      <c r="R93" s="5">
        <f t="shared" ref="R93:R98" si="68">IF(P$12=0,0,P93/P$12)</f>
        <v>1.1069557833756667</v>
      </c>
      <c r="S93" s="1"/>
      <c r="T93" s="1">
        <f>SUM(OSRRefT22_19x_0)</f>
        <v>2932.93</v>
      </c>
      <c r="U93" s="1"/>
      <c r="V93" s="5">
        <f t="shared" ref="V93:V98" si="69">IF(T$12=0,0,T93/T$12)</f>
        <v>1.3319028485513436E-3</v>
      </c>
      <c r="W93" s="1"/>
      <c r="X93" s="1">
        <f t="shared" ref="X93:X98" si="70">+P93-T93</f>
        <v>78.510000000000218</v>
      </c>
      <c r="Y93" s="1"/>
      <c r="Z93" s="5">
        <f t="shared" ref="Z93:Z98" si="71">IF(T93=0,0,X93/T93)</f>
        <v>2.6768453389613873E-2</v>
      </c>
    </row>
    <row r="94" spans="1:26" s="24" customFormat="1" hidden="1" outlineLevel="2" x14ac:dyDescent="0.25">
      <c r="A94" s="26"/>
      <c r="B94" s="11" t="str">
        <f>CONCATENATE("          ", "6309", " - ", "TELEPHONE")</f>
        <v xml:space="preserve">          6309 - TELEPHONE</v>
      </c>
      <c r="C94" s="11"/>
      <c r="D94" s="6">
        <v>25.65</v>
      </c>
      <c r="E94" s="2"/>
      <c r="F94" s="7">
        <f t="shared" si="64"/>
        <v>0.19141791044776119</v>
      </c>
      <c r="G94" s="2"/>
      <c r="H94" s="6">
        <v>443.41</v>
      </c>
      <c r="I94" s="2"/>
      <c r="J94" s="7">
        <f t="shared" si="65"/>
        <v>1.1251881932509012E-3</v>
      </c>
      <c r="K94" s="2"/>
      <c r="L94" s="6">
        <f t="shared" si="66"/>
        <v>-417.76000000000005</v>
      </c>
      <c r="M94" s="2"/>
      <c r="N94" s="7">
        <f t="shared" si="67"/>
        <v>-0.9421528607834736</v>
      </c>
      <c r="O94" s="11"/>
      <c r="P94" s="6">
        <v>3011.44</v>
      </c>
      <c r="Q94" s="2"/>
      <c r="R94" s="7">
        <f t="shared" si="68"/>
        <v>1.1069557833756667</v>
      </c>
      <c r="S94" s="2"/>
      <c r="T94" s="6">
        <v>2932.93</v>
      </c>
      <c r="U94" s="2"/>
      <c r="V94" s="7">
        <f t="shared" si="69"/>
        <v>1.3319028485513436E-3</v>
      </c>
      <c r="W94" s="2"/>
      <c r="X94" s="6">
        <f t="shared" si="70"/>
        <v>78.510000000000218</v>
      </c>
      <c r="Y94" s="2"/>
      <c r="Z94" s="7">
        <f t="shared" si="71"/>
        <v>2.6768453389613873E-2</v>
      </c>
    </row>
    <row r="95" spans="1:26" s="25" customFormat="1" outlineLevel="1" collapsed="1" x14ac:dyDescent="0.25">
      <c r="A95" s="27"/>
      <c r="B95" s="13" t="str">
        <f>CONCATENATE("     ","Training                                          ")</f>
        <v xml:space="preserve">     Training                                          </v>
      </c>
      <c r="C95" s="13"/>
      <c r="D95" s="1">
        <f>SUM(OSRRefD22_20x_0)</f>
        <v>0</v>
      </c>
      <c r="E95" s="1"/>
      <c r="F95" s="5">
        <f t="shared" si="64"/>
        <v>0</v>
      </c>
      <c r="G95" s="1"/>
      <c r="H95" s="1">
        <f>SUM(OSRRefH22_20x_0)</f>
        <v>14</v>
      </c>
      <c r="I95" s="1"/>
      <c r="J95" s="5">
        <f t="shared" si="65"/>
        <v>3.5526115120345987E-5</v>
      </c>
      <c r="K95" s="1"/>
      <c r="L95" s="1">
        <f t="shared" si="66"/>
        <v>-14</v>
      </c>
      <c r="M95" s="1"/>
      <c r="N95" s="5">
        <f t="shared" si="67"/>
        <v>-1</v>
      </c>
      <c r="O95" s="13"/>
      <c r="P95" s="1">
        <f>SUM(OSRRefP22_20x_0)</f>
        <v>0</v>
      </c>
      <c r="Q95" s="1"/>
      <c r="R95" s="5">
        <f t="shared" si="68"/>
        <v>0</v>
      </c>
      <c r="S95" s="1"/>
      <c r="T95" s="1">
        <f>SUM(OSRRefT22_20x_0)</f>
        <v>110</v>
      </c>
      <c r="U95" s="1"/>
      <c r="V95" s="5">
        <f t="shared" si="69"/>
        <v>4.9953225389166397E-5</v>
      </c>
      <c r="W95" s="1"/>
      <c r="X95" s="1">
        <f t="shared" si="70"/>
        <v>-110</v>
      </c>
      <c r="Y95" s="1"/>
      <c r="Z95" s="5">
        <f t="shared" si="71"/>
        <v>-1</v>
      </c>
    </row>
    <row r="96" spans="1:26" s="24" customFormat="1" hidden="1" outlineLevel="2" x14ac:dyDescent="0.25">
      <c r="A96" s="26"/>
      <c r="B96" s="11" t="str">
        <f>CONCATENATE("          ", "6376", " - ", "TRAINING")</f>
        <v xml:space="preserve">          6376 - TRAINING</v>
      </c>
      <c r="C96" s="11"/>
      <c r="D96" s="6"/>
      <c r="E96" s="2"/>
      <c r="F96" s="7">
        <f t="shared" si="64"/>
        <v>0</v>
      </c>
      <c r="G96" s="2"/>
      <c r="H96" s="6">
        <v>14</v>
      </c>
      <c r="I96" s="2"/>
      <c r="J96" s="7">
        <f t="shared" si="65"/>
        <v>3.5526115120345987E-5</v>
      </c>
      <c r="K96" s="2"/>
      <c r="L96" s="6">
        <f t="shared" si="66"/>
        <v>-14</v>
      </c>
      <c r="M96" s="2"/>
      <c r="N96" s="7">
        <f t="shared" si="67"/>
        <v>-1</v>
      </c>
      <c r="O96" s="11"/>
      <c r="P96" s="6"/>
      <c r="Q96" s="2"/>
      <c r="R96" s="7">
        <f t="shared" si="68"/>
        <v>0</v>
      </c>
      <c r="S96" s="2"/>
      <c r="T96" s="6">
        <v>110</v>
      </c>
      <c r="U96" s="2"/>
      <c r="V96" s="7">
        <f t="shared" si="69"/>
        <v>4.9953225389166397E-5</v>
      </c>
      <c r="W96" s="2"/>
      <c r="X96" s="6">
        <f t="shared" si="70"/>
        <v>-110</v>
      </c>
      <c r="Y96" s="2"/>
      <c r="Z96" s="7">
        <f t="shared" si="71"/>
        <v>-1</v>
      </c>
    </row>
    <row r="97" spans="1:26" s="25" customFormat="1" outlineLevel="1" collapsed="1" x14ac:dyDescent="0.25">
      <c r="A97" s="27"/>
      <c r="B97" s="13" t="str">
        <f>CONCATENATE("     ","Utilities                                         ")</f>
        <v xml:space="preserve">     Utilities                                         </v>
      </c>
      <c r="C97" s="13"/>
      <c r="D97" s="1">
        <f>SUM(OSRRefD22_21x_0)</f>
        <v>1136</v>
      </c>
      <c r="E97" s="1"/>
      <c r="F97" s="5">
        <f t="shared" si="64"/>
        <v>8.4776119402985071</v>
      </c>
      <c r="G97" s="1"/>
      <c r="H97" s="1">
        <f>SUM(OSRRefH22_21x_0)</f>
        <v>1126</v>
      </c>
      <c r="I97" s="1"/>
      <c r="J97" s="5">
        <f t="shared" si="65"/>
        <v>2.857314687536399E-3</v>
      </c>
      <c r="K97" s="1"/>
      <c r="L97" s="1">
        <f t="shared" si="66"/>
        <v>10</v>
      </c>
      <c r="M97" s="1"/>
      <c r="N97" s="5">
        <f t="shared" si="67"/>
        <v>8.8809946714031966E-3</v>
      </c>
      <c r="O97" s="13"/>
      <c r="P97" s="1">
        <f>SUM(OSRRefP22_21x_0)</f>
        <v>5830</v>
      </c>
      <c r="Q97" s="1"/>
      <c r="R97" s="5">
        <f t="shared" si="68"/>
        <v>2.1430120530643602</v>
      </c>
      <c r="S97" s="1"/>
      <c r="T97" s="1">
        <f>SUM(OSRRefT22_21x_0)</f>
        <v>7681.12</v>
      </c>
      <c r="U97" s="1"/>
      <c r="V97" s="5">
        <f t="shared" si="69"/>
        <v>3.4881519872839435E-3</v>
      </c>
      <c r="W97" s="1"/>
      <c r="X97" s="1">
        <f t="shared" si="70"/>
        <v>-1851.12</v>
      </c>
      <c r="Y97" s="1"/>
      <c r="Z97" s="5">
        <f t="shared" si="71"/>
        <v>-0.24099610473472619</v>
      </c>
    </row>
    <row r="98" spans="1:26" s="24" customFormat="1" hidden="1" outlineLevel="2" x14ac:dyDescent="0.25">
      <c r="A98" s="26"/>
      <c r="B98" s="11" t="str">
        <f>CONCATENATE("          ", "6274", " - ", "UTILITIES")</f>
        <v xml:space="preserve">          6274 - UTILITIES</v>
      </c>
      <c r="C98" s="11"/>
      <c r="D98" s="6">
        <v>1136</v>
      </c>
      <c r="E98" s="2"/>
      <c r="F98" s="7">
        <f t="shared" si="64"/>
        <v>8.4776119402985071</v>
      </c>
      <c r="G98" s="2"/>
      <c r="H98" s="6">
        <v>1126</v>
      </c>
      <c r="I98" s="2"/>
      <c r="J98" s="7">
        <f t="shared" si="65"/>
        <v>2.857314687536399E-3</v>
      </c>
      <c r="K98" s="2"/>
      <c r="L98" s="6">
        <f t="shared" si="66"/>
        <v>10</v>
      </c>
      <c r="M98" s="2"/>
      <c r="N98" s="7">
        <f t="shared" si="67"/>
        <v>8.8809946714031966E-3</v>
      </c>
      <c r="O98" s="11"/>
      <c r="P98" s="6">
        <v>5830</v>
      </c>
      <c r="Q98" s="2"/>
      <c r="R98" s="7">
        <f t="shared" si="68"/>
        <v>2.1430120530643602</v>
      </c>
      <c r="S98" s="2"/>
      <c r="T98" s="6">
        <v>7681.12</v>
      </c>
      <c r="U98" s="2"/>
      <c r="V98" s="7">
        <f t="shared" si="69"/>
        <v>3.4881519872839435E-3</v>
      </c>
      <c r="W98" s="2"/>
      <c r="X98" s="6">
        <f t="shared" si="70"/>
        <v>-1851.12</v>
      </c>
      <c r="Y98" s="2"/>
      <c r="Z98" s="7">
        <f t="shared" si="71"/>
        <v>-0.24099610473472619</v>
      </c>
    </row>
    <row r="99" spans="1:26" s="52" customFormat="1" x14ac:dyDescent="0.25">
      <c r="A99" s="37"/>
      <c r="B99" s="37"/>
      <c r="C99" s="37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7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x14ac:dyDescent="0.25">
      <c r="A100" s="10"/>
      <c r="B100" s="28" t="s">
        <v>0</v>
      </c>
      <c r="C100" s="10"/>
      <c r="D100" s="4">
        <f>SUM(0)</f>
        <v>0</v>
      </c>
      <c r="E100" s="4"/>
      <c r="F100" s="12">
        <f>IF(D$12=0,0,D100/D$12)</f>
        <v>0</v>
      </c>
      <c r="G100" s="4"/>
      <c r="H100" s="4">
        <f>SUM(0)</f>
        <v>0</v>
      </c>
      <c r="I100" s="4"/>
      <c r="J100" s="12">
        <f>IF(H$12=0,0,H100/H$12)</f>
        <v>0</v>
      </c>
      <c r="K100" s="4"/>
      <c r="L100" s="4">
        <f>+D100-H100</f>
        <v>0</v>
      </c>
      <c r="M100" s="4"/>
      <c r="N100" s="12">
        <f>IF(H100=0,0,L100/H100)</f>
        <v>0</v>
      </c>
      <c r="O100" s="10"/>
      <c r="P100" s="4">
        <f>SUM(0)</f>
        <v>0</v>
      </c>
      <c r="Q100" s="4"/>
      <c r="R100" s="12">
        <f>IF(P$12=0,0,P100/P$12)</f>
        <v>0</v>
      </c>
      <c r="S100" s="4"/>
      <c r="T100" s="4">
        <f>SUM(0)</f>
        <v>0</v>
      </c>
      <c r="U100" s="4"/>
      <c r="V100" s="12">
        <f>IF(T$12=0,0,T100/T$12)</f>
        <v>0</v>
      </c>
      <c r="W100" s="4"/>
      <c r="X100" s="4">
        <f>+P100-T100</f>
        <v>0</v>
      </c>
      <c r="Y100" s="4"/>
      <c r="Z100" s="12">
        <f>IF(T100=0,0,X100/T100)</f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9" t="s">
        <v>3</v>
      </c>
      <c r="C102" s="29"/>
      <c r="D102" s="22">
        <f>+D27-D29+D100</f>
        <v>-34647.020000000004</v>
      </c>
      <c r="E102" s="14"/>
      <c r="F102" s="20">
        <f>IF(D$12=0,0,D102/D$12)</f>
        <v>-258.55985074626869</v>
      </c>
      <c r="G102" s="14"/>
      <c r="H102" s="22">
        <f>+H27-H29+H100</f>
        <v>89397.459999999919</v>
      </c>
      <c r="I102" s="14"/>
      <c r="J102" s="20">
        <f>IF(H$12=0,0,H102/H$12)</f>
        <v>0.2268531753876088</v>
      </c>
      <c r="K102" s="16"/>
      <c r="L102" s="22">
        <f>+D102-H102</f>
        <v>-124044.47999999992</v>
      </c>
      <c r="M102" s="16"/>
      <c r="N102" s="20">
        <f>IF(H102=0,0,L102/H102)</f>
        <v>-1.3875615705412663</v>
      </c>
      <c r="O102" s="28"/>
      <c r="P102" s="22">
        <f>+P27-P29+P100</f>
        <v>-228895.40000000002</v>
      </c>
      <c r="Q102" s="14"/>
      <c r="R102" s="20">
        <f>IF(P$12=0,0,P102/P$12)</f>
        <v>-84.138182005315258</v>
      </c>
      <c r="S102" s="14"/>
      <c r="T102" s="22">
        <f>+T27-T29+T100</f>
        <v>302138.76999999979</v>
      </c>
      <c r="U102" s="14"/>
      <c r="V102" s="20">
        <f>IF(T$12=0,0,T102/T$12)</f>
        <v>0.13720732796923177</v>
      </c>
      <c r="W102" s="16"/>
      <c r="X102" s="22">
        <f>+P102-T102</f>
        <v>-531034.16999999981</v>
      </c>
      <c r="Y102" s="16"/>
      <c r="Z102" s="20">
        <f>IF(T102=0,0,X102/T102)</f>
        <v>-1.7575836758718524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1"/>
      <c r="B104" s="10" t="s">
        <v>13</v>
      </c>
      <c r="C104" s="10"/>
      <c r="D104" s="4">
        <v>69.239999999999995</v>
      </c>
      <c r="E104" s="4"/>
      <c r="F104" s="12">
        <f>IF(D$12=0,0,D104/D$12)</f>
        <v>0.51671641791044776</v>
      </c>
      <c r="G104" s="4"/>
      <c r="H104" s="4">
        <v>35886.369999999995</v>
      </c>
      <c r="I104" s="4"/>
      <c r="J104" s="12">
        <f>IF(H$12=0,0,H104/H$12)</f>
        <v>9.1064522276523618E-2</v>
      </c>
      <c r="K104" s="4"/>
      <c r="L104" s="4">
        <f>+D104-H104</f>
        <v>-35817.129999999997</v>
      </c>
      <c r="M104" s="4"/>
      <c r="N104" s="12">
        <f>IF(H104=0,0,L104/H104)</f>
        <v>-0.99807057665626264</v>
      </c>
      <c r="O104" s="10"/>
      <c r="P104" s="4">
        <v>538.75</v>
      </c>
      <c r="Q104" s="4"/>
      <c r="R104" s="12">
        <f>IF(P$12=0,0,P104/P$12)</f>
        <v>0.19803563354861475</v>
      </c>
      <c r="S104" s="4"/>
      <c r="T104" s="4">
        <v>224433.46</v>
      </c>
      <c r="U104" s="4"/>
      <c r="V104" s="12">
        <f>IF(T$12=0,0,T104/T$12)</f>
        <v>0.10191977465682237</v>
      </c>
      <c r="W104" s="4"/>
      <c r="X104" s="4">
        <f>+P104-T104</f>
        <v>-223894.71</v>
      </c>
      <c r="Y104" s="4"/>
      <c r="Z104" s="12">
        <f>IF(T104=0,0,X104/T104)</f>
        <v>-0.9975995112315249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9" t="s">
        <v>4</v>
      </c>
      <c r="C106" s="29"/>
      <c r="D106" s="35">
        <f>+D102-D104</f>
        <v>-34716.26</v>
      </c>
      <c r="E106" s="14"/>
      <c r="F106" s="36">
        <f>IF(D$12=0,0,D106/D$12)</f>
        <v>-259.0765671641791</v>
      </c>
      <c r="G106" s="14"/>
      <c r="H106" s="35">
        <f>+H102-H104</f>
        <v>53511.089999999924</v>
      </c>
      <c r="I106" s="14"/>
      <c r="J106" s="36">
        <f>IF(H$12=0,0,H106/H$12)</f>
        <v>0.13578865311108518</v>
      </c>
      <c r="K106" s="16"/>
      <c r="L106" s="35">
        <f>D106-H106</f>
        <v>-88227.349999999919</v>
      </c>
      <c r="M106" s="16"/>
      <c r="N106" s="36">
        <f>IF(H106=0,0,L106/H106)</f>
        <v>-1.6487675732264104</v>
      </c>
      <c r="O106" s="28"/>
      <c r="P106" s="35">
        <f>+P102-P104</f>
        <v>-229434.15000000002</v>
      </c>
      <c r="Q106" s="14"/>
      <c r="R106" s="36">
        <f>IF(P$12=0,0,P106/P$12)</f>
        <v>-84.336217638863872</v>
      </c>
      <c r="S106" s="14"/>
      <c r="T106" s="35">
        <f>+T102-T104</f>
        <v>77705.309999999794</v>
      </c>
      <c r="U106" s="14"/>
      <c r="V106" s="36">
        <f>IF(T$12=0,0,T106/T$12)</f>
        <v>3.528755331240941E-2</v>
      </c>
      <c r="W106" s="16"/>
      <c r="X106" s="35">
        <f>P106-T106</f>
        <v>-307139.45999999985</v>
      </c>
      <c r="Y106" s="16"/>
      <c r="Z106" s="36">
        <f>IF(T106=0,0,X106/T106)</f>
        <v>-3.9526186820437452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9" t="s">
        <v>5</v>
      </c>
      <c r="C109" s="29"/>
      <c r="D109" s="31">
        <f>SUM(D106:D108)</f>
        <v>-34716.26</v>
      </c>
      <c r="E109" s="14"/>
      <c r="F109" s="33">
        <f>IF(D$12=0,0,D109/D$12)</f>
        <v>-259.0765671641791</v>
      </c>
      <c r="G109" s="14"/>
      <c r="H109" s="31">
        <f>SUM(H106:H108)</f>
        <v>53511.089999999924</v>
      </c>
      <c r="I109" s="14"/>
      <c r="J109" s="33">
        <f>IF(H$12=0,0,H109/H$12)</f>
        <v>0.13578865311108518</v>
      </c>
      <c r="K109" s="16"/>
      <c r="L109" s="31">
        <f>+D109-H109</f>
        <v>-88227.349999999919</v>
      </c>
      <c r="M109" s="16"/>
      <c r="N109" s="33">
        <f>IF(H109=0,0,L109/H109)</f>
        <v>-1.6487675732264104</v>
      </c>
      <c r="O109" s="28"/>
      <c r="P109" s="31">
        <f>SUM(P106:P108)</f>
        <v>-229434.15000000002</v>
      </c>
      <c r="Q109" s="14"/>
      <c r="R109" s="33">
        <f>IF(P$12=0,0,P109/P$12)</f>
        <v>-84.336217638863872</v>
      </c>
      <c r="S109" s="14"/>
      <c r="T109" s="31">
        <f>SUM(T106:T108)</f>
        <v>77705.309999999794</v>
      </c>
      <c r="U109" s="14"/>
      <c r="V109" s="33">
        <f>IF(T$12=0,0,T109/T$12)</f>
        <v>3.528755331240941E-2</v>
      </c>
      <c r="W109" s="16"/>
      <c r="X109" s="31">
        <f>+P109-T109</f>
        <v>-307139.45999999985</v>
      </c>
      <c r="Y109" s="16"/>
      <c r="Z109" s="33">
        <f>IF(T109=0,0,X109/T109)</f>
        <v>-3.9526186820437452</v>
      </c>
    </row>
    <row r="110" spans="1:26" ht="15.75" thickTop="1" x14ac:dyDescent="0.25">
      <c r="A110" s="9"/>
      <c r="C110" s="9"/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56">
        <v>44267.667845717595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54" t="s">
        <v>313</v>
      </c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1:24" x14ac:dyDescent="0.25">
      <c r="A113" s="9"/>
      <c r="B113" s="58"/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","309", " - ", "Carts")</f>
        <v>Department 309 - Carts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49349.33</v>
      </c>
      <c r="I12" s="4"/>
      <c r="J12" s="12"/>
      <c r="K12" s="4"/>
      <c r="L12" s="4">
        <f t="shared" ref="L12:L14" si="0">+D12-H12</f>
        <v>-49349.33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268570.49</v>
      </c>
      <c r="U12" s="4"/>
      <c r="V12" s="12"/>
      <c r="W12" s="4"/>
      <c r="X12" s="4">
        <f t="shared" ref="X12:X14" si="2">+P12-T12</f>
        <v>-268570.49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--11994.62</f>
        <v>11994.62</v>
      </c>
      <c r="I13" s="2"/>
      <c r="J13" s="19"/>
      <c r="K13" s="2"/>
      <c r="L13" s="2">
        <f t="shared" si="0"/>
        <v>-11994.62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--60658.8</f>
        <v>60658.8</v>
      </c>
      <c r="U13" s="2"/>
      <c r="V13" s="19"/>
      <c r="W13" s="2"/>
      <c r="X13" s="2">
        <f t="shared" si="2"/>
        <v>-60658.8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--37354.71</f>
        <v>37354.71</v>
      </c>
      <c r="I14" s="2"/>
      <c r="J14" s="19"/>
      <c r="K14" s="2"/>
      <c r="L14" s="2">
        <f t="shared" si="0"/>
        <v>-37354.71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--207911.69</f>
        <v>207911.69</v>
      </c>
      <c r="U14" s="2"/>
      <c r="V14" s="19"/>
      <c r="W14" s="2"/>
      <c r="X14" s="2">
        <f t="shared" si="2"/>
        <v>-207911.69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24428.079999999998</v>
      </c>
      <c r="I16" s="4"/>
      <c r="J16" s="12">
        <f t="shared" ref="J16:J18" si="7">IF(H$12=0,0,H16/H$12)</f>
        <v>0.49500327562704494</v>
      </c>
      <c r="K16" s="4"/>
      <c r="L16" s="4">
        <f t="shared" ref="L16:L18" si="8">+D16-H16</f>
        <v>-24428.079999999998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125827.84000000001</v>
      </c>
      <c r="U16" s="4"/>
      <c r="V16" s="12">
        <f t="shared" ref="V16:V18" si="11">IF(T$12=0,0,T16/T$12)</f>
        <v>0.46850955218497764</v>
      </c>
      <c r="W16" s="4"/>
      <c r="X16" s="4">
        <f t="shared" ref="X16:X18" si="12">+P16-T16</f>
        <v>-125827.84000000001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23390.46</v>
      </c>
      <c r="I17" s="2"/>
      <c r="J17" s="19">
        <f t="shared" si="7"/>
        <v>0.47397725561826265</v>
      </c>
      <c r="K17" s="2"/>
      <c r="L17" s="2">
        <f t="shared" si="8"/>
        <v>-23390.46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134484.51</v>
      </c>
      <c r="U17" s="2"/>
      <c r="V17" s="19">
        <f t="shared" si="11"/>
        <v>0.50074194674180328</v>
      </c>
      <c r="W17" s="2"/>
      <c r="X17" s="2">
        <f t="shared" si="12"/>
        <v>-134484.51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1037.6199999999999</v>
      </c>
      <c r="I18" s="2"/>
      <c r="J18" s="19">
        <f t="shared" si="7"/>
        <v>2.1026020008782283E-2</v>
      </c>
      <c r="K18" s="2"/>
      <c r="L18" s="2">
        <f t="shared" si="8"/>
        <v>-1037.6199999999999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-8656.67</v>
      </c>
      <c r="U18" s="2"/>
      <c r="V18" s="19">
        <f t="shared" si="11"/>
        <v>-3.223239455682566E-2</v>
      </c>
      <c r="W18" s="2"/>
      <c r="X18" s="2">
        <f t="shared" si="12"/>
        <v>8656.67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2">
        <f>D12-D16</f>
        <v>0</v>
      </c>
      <c r="E20" s="14"/>
      <c r="F20" s="20">
        <f>IF(D$12=0,0,D20/D$12)</f>
        <v>0</v>
      </c>
      <c r="G20" s="14"/>
      <c r="H20" s="22">
        <f>H12-H16</f>
        <v>24921.250000000004</v>
      </c>
      <c r="I20" s="14"/>
      <c r="J20" s="20">
        <f>IF(H$12=0,0,H20/H$12)</f>
        <v>0.50499672437295506</v>
      </c>
      <c r="K20" s="16"/>
      <c r="L20" s="22">
        <f>+D20-H20</f>
        <v>-24921.250000000004</v>
      </c>
      <c r="M20" s="16"/>
      <c r="N20" s="20">
        <f>IF(H20=0,0,L20/H20)</f>
        <v>-1</v>
      </c>
      <c r="O20" s="28"/>
      <c r="P20" s="22">
        <f>P12-P16</f>
        <v>0</v>
      </c>
      <c r="Q20" s="14"/>
      <c r="R20" s="20">
        <f>IF(P$12=0,0,P20/P$12)</f>
        <v>0</v>
      </c>
      <c r="S20" s="14"/>
      <c r="T20" s="22">
        <f>T12-T16</f>
        <v>142742.64999999997</v>
      </c>
      <c r="U20" s="14"/>
      <c r="V20" s="20">
        <f>IF(T$12=0,0,T20/T$12)</f>
        <v>0.5314904478150223</v>
      </c>
      <c r="W20" s="16"/>
      <c r="X20" s="22">
        <f>+P20-T20</f>
        <v>-142742.64999999997</v>
      </c>
      <c r="Y20" s="16"/>
      <c r="Z20" s="20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1">
        <f>SUM(OSRRefD22x_0)</f>
        <v>760.09999999999991</v>
      </c>
      <c r="E22" s="21"/>
      <c r="F22" s="32">
        <f t="shared" ref="F22:F31" si="14">IF(D$12=0,0,D22/D$12)</f>
        <v>0</v>
      </c>
      <c r="G22" s="21"/>
      <c r="H22" s="21">
        <f>SUM(OSRRefH22x_0)</f>
        <v>14965.26</v>
      </c>
      <c r="I22" s="21"/>
      <c r="J22" s="32">
        <f t="shared" ref="J22:J31" si="15">IF(H$12=0,0,H22/H$12)</f>
        <v>0.30325153350612866</v>
      </c>
      <c r="K22" s="4"/>
      <c r="L22" s="21">
        <f t="shared" ref="L22:L31" si="16">+D22-H22</f>
        <v>-14205.16</v>
      </c>
      <c r="M22" s="4"/>
      <c r="N22" s="32">
        <f t="shared" ref="N22:N31" si="17">IF(H22=0,0,L22/H22)</f>
        <v>-0.94920903479124319</v>
      </c>
      <c r="O22" s="10"/>
      <c r="P22" s="21">
        <f>SUM(OSRRefP22x_0)</f>
        <v>7771.1</v>
      </c>
      <c r="Q22" s="21"/>
      <c r="R22" s="32">
        <f t="shared" ref="R22:R31" si="18">IF(P$12=0,0,P22/P$12)</f>
        <v>0</v>
      </c>
      <c r="S22" s="21"/>
      <c r="T22" s="21">
        <f>SUM(OSRRefT22x_0)</f>
        <v>115920.48</v>
      </c>
      <c r="U22" s="21"/>
      <c r="V22" s="32">
        <f t="shared" ref="V22:V31" si="19">IF(T$12=0,0,T22/T$12)</f>
        <v>0.43162031688589464</v>
      </c>
      <c r="W22" s="4"/>
      <c r="X22" s="21">
        <f t="shared" ref="X22:X31" si="20">+P22-T22</f>
        <v>-108149.37999999999</v>
      </c>
      <c r="Y22" s="4"/>
      <c r="Z22" s="32">
        <f t="shared" ref="Z22:Z31" si="21">IF(T22=0,0,X22/T22)</f>
        <v>-0.93296180278066476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679.53</v>
      </c>
      <c r="I23" s="1"/>
      <c r="J23" s="5">
        <f t="shared" si="15"/>
        <v>1.3769791808723644E-2</v>
      </c>
      <c r="K23" s="1"/>
      <c r="L23" s="1">
        <f t="shared" si="16"/>
        <v>-679.53</v>
      </c>
      <c r="M23" s="1"/>
      <c r="N23" s="5">
        <f t="shared" si="17"/>
        <v>-1</v>
      </c>
      <c r="O23" s="13"/>
      <c r="P23" s="1">
        <f>SUM(OSRRefP22_0x_0)</f>
        <v>0</v>
      </c>
      <c r="Q23" s="1"/>
      <c r="R23" s="5">
        <f t="shared" si="18"/>
        <v>0</v>
      </c>
      <c r="S23" s="1"/>
      <c r="T23" s="1">
        <f>SUM(OSRRefT22_0x_0)</f>
        <v>12136.539999999999</v>
      </c>
      <c r="U23" s="1"/>
      <c r="V23" s="5">
        <f t="shared" si="19"/>
        <v>4.5189402603391014E-2</v>
      </c>
      <c r="W23" s="1"/>
      <c r="X23" s="1">
        <f t="shared" si="20"/>
        <v>-12136.539999999999</v>
      </c>
      <c r="Y23" s="1"/>
      <c r="Z23" s="5">
        <f t="shared" si="21"/>
        <v>-1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481.71</v>
      </c>
      <c r="I24" s="2"/>
      <c r="J24" s="7">
        <f t="shared" si="15"/>
        <v>9.7612267481645646E-3</v>
      </c>
      <c r="K24" s="2"/>
      <c r="L24" s="6">
        <f t="shared" si="16"/>
        <v>-481.71</v>
      </c>
      <c r="M24" s="2"/>
      <c r="N24" s="7">
        <f t="shared" si="17"/>
        <v>-1</v>
      </c>
      <c r="O24" s="11"/>
      <c r="P24" s="6"/>
      <c r="Q24" s="2"/>
      <c r="R24" s="7">
        <f t="shared" si="18"/>
        <v>0</v>
      </c>
      <c r="S24" s="2"/>
      <c r="T24" s="6">
        <v>3107.98</v>
      </c>
      <c r="U24" s="2"/>
      <c r="V24" s="7">
        <f t="shared" si="19"/>
        <v>1.1572306398964383E-2</v>
      </c>
      <c r="W24" s="2"/>
      <c r="X24" s="6">
        <f t="shared" si="20"/>
        <v>-3107.98</v>
      </c>
      <c r="Y24" s="2"/>
      <c r="Z24" s="7">
        <f t="shared" si="21"/>
        <v>-1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174.01</v>
      </c>
      <c r="I25" s="2"/>
      <c r="J25" s="7">
        <f t="shared" si="15"/>
        <v>3.5260863723985711E-3</v>
      </c>
      <c r="K25" s="2"/>
      <c r="L25" s="6">
        <f t="shared" si="16"/>
        <v>-174.01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1146.98</v>
      </c>
      <c r="U25" s="2"/>
      <c r="V25" s="7">
        <f t="shared" si="19"/>
        <v>4.2706851374475288E-3</v>
      </c>
      <c r="W25" s="2"/>
      <c r="X25" s="6">
        <f t="shared" si="20"/>
        <v>-1146.98</v>
      </c>
      <c r="Y25" s="2"/>
      <c r="Z25" s="7">
        <f t="shared" si="21"/>
        <v>-1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/>
      <c r="I26" s="2"/>
      <c r="J26" s="7">
        <f t="shared" si="15"/>
        <v>0</v>
      </c>
      <c r="K26" s="2"/>
      <c r="L26" s="6">
        <f t="shared" si="16"/>
        <v>0</v>
      </c>
      <c r="M26" s="2"/>
      <c r="N26" s="7">
        <f t="shared" si="17"/>
        <v>0</v>
      </c>
      <c r="O26" s="11"/>
      <c r="P26" s="6"/>
      <c r="Q26" s="2"/>
      <c r="R26" s="7">
        <f t="shared" si="18"/>
        <v>0</v>
      </c>
      <c r="S26" s="2"/>
      <c r="T26" s="6">
        <v>4829.7</v>
      </c>
      <c r="U26" s="2"/>
      <c r="V26" s="7">
        <f t="shared" si="19"/>
        <v>1.7982988376720018E-2</v>
      </c>
      <c r="W26" s="2"/>
      <c r="X26" s="6">
        <f t="shared" si="20"/>
        <v>-4829.7</v>
      </c>
      <c r="Y26" s="2"/>
      <c r="Z26" s="7">
        <f t="shared" si="21"/>
        <v>-1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23.81</v>
      </c>
      <c r="I27" s="2"/>
      <c r="J27" s="7">
        <f t="shared" si="15"/>
        <v>4.824786881605079E-4</v>
      </c>
      <c r="K27" s="2"/>
      <c r="L27" s="6">
        <f t="shared" si="16"/>
        <v>-23.81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170.01</v>
      </c>
      <c r="U27" s="2"/>
      <c r="V27" s="7">
        <f t="shared" si="19"/>
        <v>6.3301816964328429E-4</v>
      </c>
      <c r="W27" s="2"/>
      <c r="X27" s="6">
        <f t="shared" si="20"/>
        <v>-170.01</v>
      </c>
      <c r="Y27" s="2"/>
      <c r="Z27" s="7">
        <f t="shared" si="21"/>
        <v>-1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/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/>
      <c r="Q28" s="2"/>
      <c r="R28" s="7">
        <f t="shared" si="18"/>
        <v>0</v>
      </c>
      <c r="S28" s="2"/>
      <c r="T28" s="6">
        <v>938.77</v>
      </c>
      <c r="U28" s="2"/>
      <c r="V28" s="7">
        <f t="shared" si="19"/>
        <v>3.4954324281867306E-3</v>
      </c>
      <c r="W28" s="2"/>
      <c r="X28" s="6">
        <f t="shared" si="20"/>
        <v>-938.77</v>
      </c>
      <c r="Y28" s="2"/>
      <c r="Z28" s="7">
        <f t="shared" si="21"/>
        <v>-1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/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1"/>
      <c r="P29" s="6"/>
      <c r="Q29" s="2"/>
      <c r="R29" s="7">
        <f t="shared" si="18"/>
        <v>0</v>
      </c>
      <c r="S29" s="2"/>
      <c r="T29" s="6">
        <v>480.48</v>
      </c>
      <c r="U29" s="2"/>
      <c r="V29" s="7">
        <f t="shared" si="19"/>
        <v>1.7890275286759913E-3</v>
      </c>
      <c r="W29" s="2"/>
      <c r="X29" s="6">
        <f t="shared" si="20"/>
        <v>-480.48</v>
      </c>
      <c r="Y29" s="2"/>
      <c r="Z29" s="7">
        <f t="shared" si="21"/>
        <v>-1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/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1"/>
      <c r="P30" s="6"/>
      <c r="Q30" s="2"/>
      <c r="R30" s="7">
        <f t="shared" si="18"/>
        <v>0</v>
      </c>
      <c r="S30" s="2"/>
      <c r="T30" s="6">
        <v>575.64</v>
      </c>
      <c r="U30" s="2"/>
      <c r="V30" s="7">
        <f t="shared" si="19"/>
        <v>2.1433479158488337E-3</v>
      </c>
      <c r="W30" s="2"/>
      <c r="X30" s="6">
        <f t="shared" si="20"/>
        <v>-575.64</v>
      </c>
      <c r="Y30" s="2"/>
      <c r="Z30" s="7">
        <f t="shared" si="21"/>
        <v>-1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/>
      <c r="I31" s="2"/>
      <c r="J31" s="7">
        <f t="shared" si="15"/>
        <v>0</v>
      </c>
      <c r="K31" s="2"/>
      <c r="L31" s="6">
        <f t="shared" si="16"/>
        <v>0</v>
      </c>
      <c r="M31" s="2"/>
      <c r="N31" s="7">
        <f t="shared" si="17"/>
        <v>0</v>
      </c>
      <c r="O31" s="11"/>
      <c r="P31" s="6"/>
      <c r="Q31" s="2"/>
      <c r="R31" s="7">
        <f t="shared" si="18"/>
        <v>0</v>
      </c>
      <c r="S31" s="2"/>
      <c r="T31" s="6">
        <v>886.98</v>
      </c>
      <c r="U31" s="2"/>
      <c r="V31" s="7">
        <f t="shared" si="19"/>
        <v>3.3025966479042429E-3</v>
      </c>
      <c r="W31" s="2"/>
      <c r="X31" s="6">
        <f t="shared" si="20"/>
        <v>-886.98</v>
      </c>
      <c r="Y31" s="2"/>
      <c r="Z31" s="7">
        <f t="shared" si="21"/>
        <v>-1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8535.52</v>
      </c>
      <c r="I32" s="1"/>
      <c r="J32" s="5">
        <f t="shared" ref="J32:J37" si="23">IF(H$12=0,0,H32/H$12)</f>
        <v>0.17296121345517762</v>
      </c>
      <c r="K32" s="1"/>
      <c r="L32" s="1">
        <f t="shared" ref="L32:L37" si="24">+D32-H32</f>
        <v>-8535.52</v>
      </c>
      <c r="M32" s="1"/>
      <c r="N32" s="5">
        <f t="shared" ref="N32:N37" si="25">IF(H32=0,0,L32/H32)</f>
        <v>-1</v>
      </c>
      <c r="O32" s="13"/>
      <c r="P32" s="1">
        <f>SUM(OSRRefP22_1x_0)</f>
        <v>0</v>
      </c>
      <c r="Q32" s="1"/>
      <c r="R32" s="5">
        <f t="shared" ref="R32:R37" si="26">IF(P$12=0,0,P32/P$12)</f>
        <v>0</v>
      </c>
      <c r="S32" s="1"/>
      <c r="T32" s="1">
        <f>SUM(OSRRefT22_1x_0)</f>
        <v>65935.199999999997</v>
      </c>
      <c r="U32" s="1"/>
      <c r="V32" s="5">
        <f t="shared" ref="V32:V37" si="27">IF(T$12=0,0,T32/T$12)</f>
        <v>0.24550426221436317</v>
      </c>
      <c r="W32" s="1"/>
      <c r="X32" s="1">
        <f t="shared" ref="X32:X37" si="28">+P32-T32</f>
        <v>-65935.199999999997</v>
      </c>
      <c r="Y32" s="1"/>
      <c r="Z32" s="5">
        <f t="shared" ref="Z32:Z37" si="29">IF(T32=0,0,X32/T32)</f>
        <v>-1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/>
      <c r="I33" s="2"/>
      <c r="J33" s="7">
        <f t="shared" si="23"/>
        <v>0</v>
      </c>
      <c r="K33" s="2"/>
      <c r="L33" s="6">
        <f t="shared" si="24"/>
        <v>0</v>
      </c>
      <c r="M33" s="2"/>
      <c r="N33" s="7">
        <f t="shared" si="25"/>
        <v>0</v>
      </c>
      <c r="O33" s="11"/>
      <c r="P33" s="6"/>
      <c r="Q33" s="2"/>
      <c r="R33" s="7">
        <f t="shared" si="26"/>
        <v>0</v>
      </c>
      <c r="S33" s="2"/>
      <c r="T33" s="6">
        <v>9840</v>
      </c>
      <c r="U33" s="2"/>
      <c r="V33" s="7">
        <f t="shared" si="27"/>
        <v>3.6638425911945875E-2</v>
      </c>
      <c r="W33" s="2"/>
      <c r="X33" s="6">
        <f t="shared" si="28"/>
        <v>-9840</v>
      </c>
      <c r="Y33" s="2"/>
      <c r="Z33" s="7">
        <f t="shared" si="29"/>
        <v>-1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2"/>
        <v>0</v>
      </c>
      <c r="G34" s="2"/>
      <c r="H34" s="6">
        <v>5201.67</v>
      </c>
      <c r="I34" s="2"/>
      <c r="J34" s="7">
        <f t="shared" si="23"/>
        <v>0.10540507844787356</v>
      </c>
      <c r="K34" s="2"/>
      <c r="L34" s="6">
        <f t="shared" si="24"/>
        <v>-5201.67</v>
      </c>
      <c r="M34" s="2"/>
      <c r="N34" s="7">
        <f t="shared" si="25"/>
        <v>-1</v>
      </c>
      <c r="O34" s="11"/>
      <c r="P34" s="6"/>
      <c r="Q34" s="2"/>
      <c r="R34" s="7">
        <f t="shared" si="26"/>
        <v>0</v>
      </c>
      <c r="S34" s="2"/>
      <c r="T34" s="6">
        <v>23430.73</v>
      </c>
      <c r="U34" s="2"/>
      <c r="V34" s="7">
        <f t="shared" si="27"/>
        <v>8.7242384671525161E-2</v>
      </c>
      <c r="W34" s="2"/>
      <c r="X34" s="6">
        <f t="shared" si="28"/>
        <v>-23430.73</v>
      </c>
      <c r="Y34" s="2"/>
      <c r="Z34" s="7">
        <f t="shared" si="29"/>
        <v>-1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2"/>
        <v>0</v>
      </c>
      <c r="G35" s="2"/>
      <c r="H35" s="6">
        <v>474.56</v>
      </c>
      <c r="I35" s="2"/>
      <c r="J35" s="7">
        <f t="shared" si="23"/>
        <v>9.6163412958190104E-3</v>
      </c>
      <c r="K35" s="2"/>
      <c r="L35" s="6">
        <f t="shared" si="24"/>
        <v>-474.56</v>
      </c>
      <c r="M35" s="2"/>
      <c r="N35" s="7">
        <f t="shared" si="25"/>
        <v>-1</v>
      </c>
      <c r="O35" s="11"/>
      <c r="P35" s="6"/>
      <c r="Q35" s="2"/>
      <c r="R35" s="7">
        <f t="shared" si="26"/>
        <v>0</v>
      </c>
      <c r="S35" s="2"/>
      <c r="T35" s="6">
        <v>759.75</v>
      </c>
      <c r="U35" s="2"/>
      <c r="V35" s="7">
        <f t="shared" si="27"/>
        <v>2.828866268963504E-3</v>
      </c>
      <c r="W35" s="2"/>
      <c r="X35" s="6">
        <f t="shared" si="28"/>
        <v>-759.75</v>
      </c>
      <c r="Y35" s="2"/>
      <c r="Z35" s="7">
        <f t="shared" si="29"/>
        <v>-1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2"/>
        <v>0</v>
      </c>
      <c r="G36" s="2"/>
      <c r="H36" s="6">
        <v>2859.29</v>
      </c>
      <c r="I36" s="2"/>
      <c r="J36" s="7">
        <f t="shared" si="23"/>
        <v>5.7939793711485034E-2</v>
      </c>
      <c r="K36" s="2"/>
      <c r="L36" s="6">
        <f t="shared" si="24"/>
        <v>-2859.29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31847.72</v>
      </c>
      <c r="U36" s="2"/>
      <c r="V36" s="7">
        <f t="shared" si="27"/>
        <v>0.11858235057768261</v>
      </c>
      <c r="W36" s="2"/>
      <c r="X36" s="6">
        <f t="shared" si="28"/>
        <v>-31847.72</v>
      </c>
      <c r="Y36" s="2"/>
      <c r="Z36" s="7">
        <f t="shared" si="29"/>
        <v>-1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2"/>
        <v>0</v>
      </c>
      <c r="G37" s="2"/>
      <c r="H37" s="6"/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57</v>
      </c>
      <c r="U37" s="2"/>
      <c r="V37" s="7">
        <f t="shared" si="27"/>
        <v>2.1223478424602793E-4</v>
      </c>
      <c r="W37" s="2"/>
      <c r="X37" s="6">
        <f t="shared" si="28"/>
        <v>-57</v>
      </c>
      <c r="Y37" s="2"/>
      <c r="Z37" s="7">
        <f t="shared" si="29"/>
        <v>-1</v>
      </c>
    </row>
    <row r="38" spans="1:26" s="25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54" si="30">IF(D$12=0,0,D38/D$12)</f>
        <v>0</v>
      </c>
      <c r="G38" s="1"/>
      <c r="H38" s="1">
        <f>SUM(OSRRefH22_2x_0)</f>
        <v>11.25</v>
      </c>
      <c r="I38" s="1"/>
      <c r="J38" s="5">
        <f t="shared" ref="J38:J54" si="31">IF(H$12=0,0,H38/H$12)</f>
        <v>2.2796662082342353E-4</v>
      </c>
      <c r="K38" s="1"/>
      <c r="L38" s="1">
        <f t="shared" ref="L38:L54" si="32">+D38-H38</f>
        <v>-11.25</v>
      </c>
      <c r="M38" s="1"/>
      <c r="N38" s="5">
        <f t="shared" ref="N38:N54" si="33">IF(H38=0,0,L38/H38)</f>
        <v>-1</v>
      </c>
      <c r="O38" s="13"/>
      <c r="P38" s="1">
        <f>SUM(OSRRefP22_2x_0)</f>
        <v>0</v>
      </c>
      <c r="Q38" s="1"/>
      <c r="R38" s="5">
        <f t="shared" ref="R38:R54" si="34">IF(P$12=0,0,P38/P$12)</f>
        <v>0</v>
      </c>
      <c r="S38" s="1"/>
      <c r="T38" s="1">
        <f>SUM(OSRRefT22_2x_0)</f>
        <v>889.84</v>
      </c>
      <c r="U38" s="1"/>
      <c r="V38" s="5">
        <f t="shared" ref="V38:V54" si="35">IF(T$12=0,0,T38/T$12)</f>
        <v>3.3132456212892191E-3</v>
      </c>
      <c r="W38" s="1"/>
      <c r="X38" s="1">
        <f t="shared" ref="X38:X54" si="36">+P38-T38</f>
        <v>-889.84</v>
      </c>
      <c r="Y38" s="1"/>
      <c r="Z38" s="5">
        <f t="shared" ref="Z38:Z54" si="37">IF(T38=0,0,X38/T38)</f>
        <v>-1</v>
      </c>
    </row>
    <row r="39" spans="1:26" s="24" customFormat="1" hidden="1" outlineLevel="2" x14ac:dyDescent="0.25">
      <c r="A39" s="26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30"/>
        <v>0</v>
      </c>
      <c r="G39" s="2"/>
      <c r="H39" s="6">
        <v>11.25</v>
      </c>
      <c r="I39" s="2"/>
      <c r="J39" s="7">
        <f t="shared" si="31"/>
        <v>2.2796662082342353E-4</v>
      </c>
      <c r="K39" s="2"/>
      <c r="L39" s="6">
        <f t="shared" si="32"/>
        <v>-11.25</v>
      </c>
      <c r="M39" s="2"/>
      <c r="N39" s="7">
        <f t="shared" si="33"/>
        <v>-1</v>
      </c>
      <c r="O39" s="11"/>
      <c r="P39" s="6"/>
      <c r="Q39" s="2"/>
      <c r="R39" s="7">
        <f t="shared" si="34"/>
        <v>0</v>
      </c>
      <c r="S39" s="2"/>
      <c r="T39" s="6">
        <v>889.84</v>
      </c>
      <c r="U39" s="2"/>
      <c r="V39" s="7">
        <f t="shared" si="35"/>
        <v>3.3132456212892191E-3</v>
      </c>
      <c r="W39" s="2"/>
      <c r="X39" s="6">
        <f t="shared" si="36"/>
        <v>-889.84</v>
      </c>
      <c r="Y39" s="2"/>
      <c r="Z39" s="7">
        <f t="shared" si="37"/>
        <v>-1</v>
      </c>
    </row>
    <row r="40" spans="1:26" s="25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5.1100000000000003</v>
      </c>
      <c r="I40" s="1"/>
      <c r="J40" s="5">
        <f t="shared" si="31"/>
        <v>1.0354750510290616E-4</v>
      </c>
      <c r="K40" s="1"/>
      <c r="L40" s="1">
        <f t="shared" si="32"/>
        <v>-5.1100000000000003</v>
      </c>
      <c r="M40" s="1"/>
      <c r="N40" s="5">
        <f t="shared" si="33"/>
        <v>-1</v>
      </c>
      <c r="O40" s="13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-19.75</v>
      </c>
      <c r="U40" s="1"/>
      <c r="V40" s="5">
        <f t="shared" si="35"/>
        <v>-7.3537491032614943E-5</v>
      </c>
      <c r="W40" s="1"/>
      <c r="X40" s="1">
        <f t="shared" si="36"/>
        <v>19.75</v>
      </c>
      <c r="Y40" s="1"/>
      <c r="Z40" s="5">
        <f t="shared" si="37"/>
        <v>-1</v>
      </c>
    </row>
    <row r="41" spans="1:26" s="24" customFormat="1" hidden="1" outlineLevel="2" x14ac:dyDescent="0.25">
      <c r="A41" s="26"/>
      <c r="B41" s="11" t="str">
        <f>CONCATENATE("          ", "6272", " - ", "CASH (OVER/SHORT)")</f>
        <v xml:space="preserve">          6272 - CASH (OVER/SHORT)</v>
      </c>
      <c r="C41" s="11"/>
      <c r="D41" s="6"/>
      <c r="E41" s="2"/>
      <c r="F41" s="7">
        <f t="shared" si="30"/>
        <v>0</v>
      </c>
      <c r="G41" s="2"/>
      <c r="H41" s="6">
        <v>5.1100000000000003</v>
      </c>
      <c r="I41" s="2"/>
      <c r="J41" s="7">
        <f t="shared" si="31"/>
        <v>1.0354750510290616E-4</v>
      </c>
      <c r="K41" s="2"/>
      <c r="L41" s="6">
        <f t="shared" si="32"/>
        <v>-5.1100000000000003</v>
      </c>
      <c r="M41" s="2"/>
      <c r="N41" s="7">
        <f t="shared" si="33"/>
        <v>-1</v>
      </c>
      <c r="O41" s="11"/>
      <c r="P41" s="6"/>
      <c r="Q41" s="2"/>
      <c r="R41" s="7">
        <f t="shared" si="34"/>
        <v>0</v>
      </c>
      <c r="S41" s="2"/>
      <c r="T41" s="6">
        <v>-19.75</v>
      </c>
      <c r="U41" s="2"/>
      <c r="V41" s="7">
        <f t="shared" si="35"/>
        <v>-7.3537491032614943E-5</v>
      </c>
      <c r="W41" s="2"/>
      <c r="X41" s="6">
        <f t="shared" si="36"/>
        <v>19.75</v>
      </c>
      <c r="Y41" s="2"/>
      <c r="Z41" s="7">
        <f t="shared" si="37"/>
        <v>-1</v>
      </c>
    </row>
    <row r="42" spans="1:26" s="25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2055.16</v>
      </c>
      <c r="I42" s="1"/>
      <c r="J42" s="5">
        <f t="shared" si="31"/>
        <v>4.1645144929019294E-2</v>
      </c>
      <c r="K42" s="1"/>
      <c r="L42" s="1">
        <f t="shared" si="32"/>
        <v>-2055.16</v>
      </c>
      <c r="M42" s="1"/>
      <c r="N42" s="5">
        <f t="shared" si="33"/>
        <v>-1</v>
      </c>
      <c r="O42" s="13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9598.67</v>
      </c>
      <c r="U42" s="1"/>
      <c r="V42" s="5">
        <f t="shared" si="35"/>
        <v>3.5739853622786331E-2</v>
      </c>
      <c r="W42" s="1"/>
      <c r="X42" s="1">
        <f t="shared" si="36"/>
        <v>-9598.67</v>
      </c>
      <c r="Y42" s="1"/>
      <c r="Z42" s="5">
        <f t="shared" si="37"/>
        <v>-1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6"/>
      <c r="E43" s="2"/>
      <c r="F43" s="7">
        <f t="shared" si="30"/>
        <v>0</v>
      </c>
      <c r="G43" s="2"/>
      <c r="H43" s="6">
        <v>2055.16</v>
      </c>
      <c r="I43" s="2"/>
      <c r="J43" s="7">
        <f t="shared" si="31"/>
        <v>4.1645144929019294E-2</v>
      </c>
      <c r="K43" s="2"/>
      <c r="L43" s="6">
        <f t="shared" si="32"/>
        <v>-2055.16</v>
      </c>
      <c r="M43" s="2"/>
      <c r="N43" s="7">
        <f t="shared" si="33"/>
        <v>-1</v>
      </c>
      <c r="O43" s="11"/>
      <c r="P43" s="6"/>
      <c r="Q43" s="2"/>
      <c r="R43" s="7">
        <f t="shared" si="34"/>
        <v>0</v>
      </c>
      <c r="S43" s="2"/>
      <c r="T43" s="6">
        <v>9598.67</v>
      </c>
      <c r="U43" s="2"/>
      <c r="V43" s="7">
        <f t="shared" si="35"/>
        <v>3.5739853622786331E-2</v>
      </c>
      <c r="W43" s="2"/>
      <c r="X43" s="6">
        <f t="shared" si="36"/>
        <v>-9598.67</v>
      </c>
      <c r="Y43" s="2"/>
      <c r="Z43" s="7">
        <f t="shared" si="37"/>
        <v>-1</v>
      </c>
    </row>
    <row r="44" spans="1:26" s="25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588.16999999999996</v>
      </c>
      <c r="E44" s="1"/>
      <c r="F44" s="5">
        <f t="shared" si="30"/>
        <v>0</v>
      </c>
      <c r="G44" s="1"/>
      <c r="H44" s="1">
        <f>SUM(OSRRefH22_5x_0)</f>
        <v>155.66999999999999</v>
      </c>
      <c r="I44" s="1"/>
      <c r="J44" s="5">
        <f t="shared" si="31"/>
        <v>3.154450121207319E-3</v>
      </c>
      <c r="K44" s="1"/>
      <c r="L44" s="1">
        <f t="shared" si="32"/>
        <v>432.5</v>
      </c>
      <c r="M44" s="1"/>
      <c r="N44" s="5">
        <f t="shared" si="33"/>
        <v>2.778313098220595</v>
      </c>
      <c r="O44" s="13"/>
      <c r="P44" s="1">
        <f>SUM(OSRRefP22_5x_0)</f>
        <v>4441.1400000000003</v>
      </c>
      <c r="Q44" s="1"/>
      <c r="R44" s="5">
        <f t="shared" si="34"/>
        <v>0</v>
      </c>
      <c r="S44" s="1"/>
      <c r="T44" s="1">
        <f>SUM(OSRRefT22_5x_0)</f>
        <v>1245.3599999999999</v>
      </c>
      <c r="U44" s="1"/>
      <c r="V44" s="5">
        <f t="shared" si="35"/>
        <v>4.6369949282216369E-3</v>
      </c>
      <c r="W44" s="1"/>
      <c r="X44" s="1">
        <f t="shared" si="36"/>
        <v>3195.7800000000007</v>
      </c>
      <c r="Y44" s="1"/>
      <c r="Z44" s="5">
        <f t="shared" si="37"/>
        <v>2.566149547118906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588.16999999999996</v>
      </c>
      <c r="E45" s="2"/>
      <c r="F45" s="7">
        <f t="shared" si="30"/>
        <v>0</v>
      </c>
      <c r="G45" s="2"/>
      <c r="H45" s="6">
        <v>155.66999999999999</v>
      </c>
      <c r="I45" s="2"/>
      <c r="J45" s="7">
        <f t="shared" si="31"/>
        <v>3.154450121207319E-3</v>
      </c>
      <c r="K45" s="2"/>
      <c r="L45" s="6">
        <f t="shared" si="32"/>
        <v>432.5</v>
      </c>
      <c r="M45" s="2"/>
      <c r="N45" s="7">
        <f t="shared" si="33"/>
        <v>2.778313098220595</v>
      </c>
      <c r="O45" s="11"/>
      <c r="P45" s="6">
        <v>4441.1400000000003</v>
      </c>
      <c r="Q45" s="2"/>
      <c r="R45" s="7">
        <f t="shared" si="34"/>
        <v>0</v>
      </c>
      <c r="S45" s="2"/>
      <c r="T45" s="6">
        <v>1245.3599999999999</v>
      </c>
      <c r="U45" s="2"/>
      <c r="V45" s="7">
        <f t="shared" si="35"/>
        <v>4.6369949282216369E-3</v>
      </c>
      <c r="W45" s="2"/>
      <c r="X45" s="6">
        <f t="shared" si="36"/>
        <v>3195.7800000000007</v>
      </c>
      <c r="Y45" s="2"/>
      <c r="Z45" s="7">
        <f t="shared" si="37"/>
        <v>2.566149547118906</v>
      </c>
    </row>
    <row r="46" spans="1:26" s="25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0</v>
      </c>
      <c r="I46" s="1"/>
      <c r="J46" s="5">
        <f t="shared" si="31"/>
        <v>0</v>
      </c>
      <c r="K46" s="1"/>
      <c r="L46" s="1">
        <f t="shared" si="32"/>
        <v>0</v>
      </c>
      <c r="M46" s="1"/>
      <c r="N46" s="5">
        <f t="shared" si="33"/>
        <v>0</v>
      </c>
      <c r="O46" s="13"/>
      <c r="P46" s="1">
        <f>SUM(OSRRefP22_6x_0)</f>
        <v>0</v>
      </c>
      <c r="Q46" s="1"/>
      <c r="R46" s="5">
        <f t="shared" si="34"/>
        <v>0</v>
      </c>
      <c r="S46" s="1"/>
      <c r="T46" s="1">
        <f>SUM(OSRRefT22_6x_0)</f>
        <v>62.26</v>
      </c>
      <c r="U46" s="1"/>
      <c r="V46" s="5">
        <f t="shared" si="35"/>
        <v>2.3181995907294207E-4</v>
      </c>
      <c r="W46" s="1"/>
      <c r="X46" s="1">
        <f t="shared" si="36"/>
        <v>-62.26</v>
      </c>
      <c r="Y46" s="1"/>
      <c r="Z46" s="5">
        <f t="shared" si="37"/>
        <v>-1</v>
      </c>
    </row>
    <row r="47" spans="1:26" s="24" customFormat="1" hidden="1" outlineLevel="2" x14ac:dyDescent="0.25">
      <c r="A47" s="26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30"/>
        <v>0</v>
      </c>
      <c r="G47" s="2"/>
      <c r="H47" s="6"/>
      <c r="I47" s="2"/>
      <c r="J47" s="7">
        <f t="shared" si="31"/>
        <v>0</v>
      </c>
      <c r="K47" s="2"/>
      <c r="L47" s="6">
        <f t="shared" si="32"/>
        <v>0</v>
      </c>
      <c r="M47" s="2"/>
      <c r="N47" s="7">
        <f t="shared" si="33"/>
        <v>0</v>
      </c>
      <c r="O47" s="11"/>
      <c r="P47" s="6"/>
      <c r="Q47" s="2"/>
      <c r="R47" s="7">
        <f t="shared" si="34"/>
        <v>0</v>
      </c>
      <c r="S47" s="2"/>
      <c r="T47" s="6">
        <v>62.26</v>
      </c>
      <c r="U47" s="2"/>
      <c r="V47" s="7">
        <f t="shared" si="35"/>
        <v>2.3181995907294207E-4</v>
      </c>
      <c r="W47" s="2"/>
      <c r="X47" s="6">
        <f t="shared" si="36"/>
        <v>-62.26</v>
      </c>
      <c r="Y47" s="2"/>
      <c r="Z47" s="7">
        <f t="shared" si="37"/>
        <v>-1</v>
      </c>
    </row>
    <row r="48" spans="1:26" s="25" customFormat="1" outlineLevel="1" collapsed="1" x14ac:dyDescent="0.25">
      <c r="A48" s="27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0</v>
      </c>
      <c r="I48" s="1"/>
      <c r="J48" s="5">
        <f t="shared" si="31"/>
        <v>0</v>
      </c>
      <c r="K48" s="1"/>
      <c r="L48" s="1">
        <f t="shared" si="32"/>
        <v>0</v>
      </c>
      <c r="M48" s="1"/>
      <c r="N48" s="5">
        <f t="shared" si="33"/>
        <v>0</v>
      </c>
      <c r="O48" s="13"/>
      <c r="P48" s="1">
        <f>SUM(OSRRefP22_7x_0)</f>
        <v>12</v>
      </c>
      <c r="Q48" s="1"/>
      <c r="R48" s="5">
        <f t="shared" si="34"/>
        <v>0</v>
      </c>
      <c r="S48" s="1"/>
      <c r="T48" s="1">
        <f>SUM(OSRRefT22_7x_0)</f>
        <v>12</v>
      </c>
      <c r="U48" s="1"/>
      <c r="V48" s="5">
        <f t="shared" si="35"/>
        <v>4.4681007209690088E-5</v>
      </c>
      <c r="W48" s="1"/>
      <c r="X48" s="1">
        <f t="shared" si="36"/>
        <v>0</v>
      </c>
      <c r="Y48" s="1"/>
      <c r="Z48" s="5">
        <f t="shared" si="37"/>
        <v>0</v>
      </c>
    </row>
    <row r="49" spans="1:26" s="24" customFormat="1" hidden="1" outlineLevel="2" x14ac:dyDescent="0.25">
      <c r="A49" s="26"/>
      <c r="B49" s="11" t="str">
        <f>CONCATENATE("          ", "6351", " - ", "EQUIPMENT RENTAL")</f>
        <v xml:space="preserve">          6351 - EQUIPMENT RENTAL</v>
      </c>
      <c r="C49" s="11"/>
      <c r="D49" s="6"/>
      <c r="E49" s="2"/>
      <c r="F49" s="7">
        <f t="shared" si="30"/>
        <v>0</v>
      </c>
      <c r="G49" s="2"/>
      <c r="H49" s="6"/>
      <c r="I49" s="2"/>
      <c r="J49" s="7">
        <f t="shared" si="31"/>
        <v>0</v>
      </c>
      <c r="K49" s="2"/>
      <c r="L49" s="6">
        <f t="shared" si="32"/>
        <v>0</v>
      </c>
      <c r="M49" s="2"/>
      <c r="N49" s="7">
        <f t="shared" si="33"/>
        <v>0</v>
      </c>
      <c r="O49" s="11"/>
      <c r="P49" s="6">
        <v>12</v>
      </c>
      <c r="Q49" s="2"/>
      <c r="R49" s="7">
        <f t="shared" si="34"/>
        <v>0</v>
      </c>
      <c r="S49" s="2"/>
      <c r="T49" s="6">
        <v>12</v>
      </c>
      <c r="U49" s="2"/>
      <c r="V49" s="7">
        <f t="shared" si="35"/>
        <v>4.4681007209690088E-5</v>
      </c>
      <c r="W49" s="2"/>
      <c r="X49" s="6">
        <f t="shared" si="36"/>
        <v>0</v>
      </c>
      <c r="Y49" s="2"/>
      <c r="Z49" s="7">
        <f t="shared" si="37"/>
        <v>0</v>
      </c>
    </row>
    <row r="50" spans="1:26" s="25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0</v>
      </c>
      <c r="E50" s="1"/>
      <c r="F50" s="5">
        <f t="shared" si="30"/>
        <v>0</v>
      </c>
      <c r="G50" s="1"/>
      <c r="H50" s="1">
        <f>SUM(OSRRefH22_8x_0)</f>
        <v>3</v>
      </c>
      <c r="I50" s="1"/>
      <c r="J50" s="5">
        <f t="shared" si="31"/>
        <v>6.0791098886246272E-5</v>
      </c>
      <c r="K50" s="1"/>
      <c r="L50" s="1">
        <f t="shared" si="32"/>
        <v>-3</v>
      </c>
      <c r="M50" s="1"/>
      <c r="N50" s="5">
        <f t="shared" si="33"/>
        <v>-1</v>
      </c>
      <c r="O50" s="13"/>
      <c r="P50" s="1">
        <f>SUM(OSRRefP22_8x_0)</f>
        <v>575</v>
      </c>
      <c r="Q50" s="1"/>
      <c r="R50" s="5">
        <f t="shared" si="34"/>
        <v>0</v>
      </c>
      <c r="S50" s="1"/>
      <c r="T50" s="1">
        <f>SUM(OSRRefT22_8x_0)</f>
        <v>5618.89</v>
      </c>
      <c r="U50" s="1"/>
      <c r="V50" s="5">
        <f t="shared" si="35"/>
        <v>2.0921472050037963E-2</v>
      </c>
      <c r="W50" s="1"/>
      <c r="X50" s="1">
        <f t="shared" si="36"/>
        <v>-5043.8900000000003</v>
      </c>
      <c r="Y50" s="1"/>
      <c r="Z50" s="5">
        <f t="shared" si="37"/>
        <v>-0.89766662098741923</v>
      </c>
    </row>
    <row r="51" spans="1:26" s="24" customFormat="1" hidden="1" outlineLevel="2" x14ac:dyDescent="0.25">
      <c r="A51" s="26"/>
      <c r="B51" s="11" t="str">
        <f>CONCATENATE("          ", "6279", " - ", "GENERAL EXPENSE")</f>
        <v xml:space="preserve">          6279 - GENERAL EXPENSE</v>
      </c>
      <c r="C51" s="11"/>
      <c r="D51" s="6"/>
      <c r="E51" s="2"/>
      <c r="F51" s="7">
        <f t="shared" si="30"/>
        <v>0</v>
      </c>
      <c r="G51" s="2"/>
      <c r="H51" s="6">
        <v>3</v>
      </c>
      <c r="I51" s="2"/>
      <c r="J51" s="7">
        <f t="shared" si="31"/>
        <v>6.0791098886246272E-5</v>
      </c>
      <c r="K51" s="2"/>
      <c r="L51" s="6">
        <f t="shared" si="32"/>
        <v>-3</v>
      </c>
      <c r="M51" s="2"/>
      <c r="N51" s="7">
        <f t="shared" si="33"/>
        <v>-1</v>
      </c>
      <c r="O51" s="11"/>
      <c r="P51" s="6">
        <v>575</v>
      </c>
      <c r="Q51" s="2"/>
      <c r="R51" s="7">
        <f t="shared" si="34"/>
        <v>0</v>
      </c>
      <c r="S51" s="2"/>
      <c r="T51" s="6">
        <v>5618.89</v>
      </c>
      <c r="U51" s="2"/>
      <c r="V51" s="7">
        <f t="shared" si="35"/>
        <v>2.0921472050037963E-2</v>
      </c>
      <c r="W51" s="2"/>
      <c r="X51" s="6">
        <f t="shared" si="36"/>
        <v>-5043.8900000000003</v>
      </c>
      <c r="Y51" s="2"/>
      <c r="Z51" s="7">
        <f t="shared" si="37"/>
        <v>-0.89766662098741923</v>
      </c>
    </row>
    <row r="52" spans="1:26" s="25" customFormat="1" outlineLevel="1" collapsed="1" x14ac:dyDescent="0.25">
      <c r="A52" s="27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SUM(OSRRefD22_9x_0)</f>
        <v>0</v>
      </c>
      <c r="E52" s="1"/>
      <c r="F52" s="5">
        <f t="shared" si="30"/>
        <v>0</v>
      </c>
      <c r="G52" s="1"/>
      <c r="H52" s="1">
        <f>SUM(OSRRefH22_9x_0)</f>
        <v>93.5</v>
      </c>
      <c r="I52" s="1"/>
      <c r="J52" s="5">
        <f t="shared" si="31"/>
        <v>1.8946559152880089E-3</v>
      </c>
      <c r="K52" s="1"/>
      <c r="L52" s="1">
        <f t="shared" si="32"/>
        <v>-93.5</v>
      </c>
      <c r="M52" s="1"/>
      <c r="N52" s="5">
        <f t="shared" si="33"/>
        <v>-1</v>
      </c>
      <c r="O52" s="13"/>
      <c r="P52" s="1">
        <f>SUM(OSRRefP22_9x_0)</f>
        <v>1232.0500000000002</v>
      </c>
      <c r="Q52" s="1"/>
      <c r="R52" s="5">
        <f t="shared" si="34"/>
        <v>0</v>
      </c>
      <c r="S52" s="1"/>
      <c r="T52" s="1">
        <f>SUM(OSRRefT22_9x_0)</f>
        <v>6245.2400000000007</v>
      </c>
      <c r="U52" s="1"/>
      <c r="V52" s="5">
        <f t="shared" si="35"/>
        <v>2.3253634455520415E-2</v>
      </c>
      <c r="W52" s="1"/>
      <c r="X52" s="1">
        <f t="shared" si="36"/>
        <v>-5013.1900000000005</v>
      </c>
      <c r="Y52" s="1"/>
      <c r="Z52" s="5">
        <f t="shared" si="37"/>
        <v>-0.80272175288699876</v>
      </c>
    </row>
    <row r="53" spans="1:26" s="24" customFormat="1" hidden="1" outlineLevel="2" x14ac:dyDescent="0.25">
      <c r="A53" s="26"/>
      <c r="B53" s="11" t="str">
        <f>CONCATENATE("          ", "6373", " - ", "MAINTENANCE CONTRACTS")</f>
        <v xml:space="preserve">          6373 - MAINTENANCE CONTRACTS</v>
      </c>
      <c r="C53" s="11"/>
      <c r="D53" s="6"/>
      <c r="E53" s="2"/>
      <c r="F53" s="7">
        <f t="shared" si="30"/>
        <v>0</v>
      </c>
      <c r="G53" s="2"/>
      <c r="H53" s="6"/>
      <c r="I53" s="2"/>
      <c r="J53" s="7">
        <f t="shared" si="31"/>
        <v>0</v>
      </c>
      <c r="K53" s="2"/>
      <c r="L53" s="6">
        <f t="shared" si="32"/>
        <v>0</v>
      </c>
      <c r="M53" s="2"/>
      <c r="N53" s="7">
        <f t="shared" si="33"/>
        <v>0</v>
      </c>
      <c r="O53" s="11"/>
      <c r="P53" s="6">
        <v>214.36</v>
      </c>
      <c r="Q53" s="2"/>
      <c r="R53" s="7">
        <f t="shared" si="34"/>
        <v>0</v>
      </c>
      <c r="S53" s="2"/>
      <c r="T53" s="6">
        <v>93.22</v>
      </c>
      <c r="U53" s="2"/>
      <c r="V53" s="7">
        <f t="shared" si="35"/>
        <v>3.4709695767394251E-4</v>
      </c>
      <c r="W53" s="2"/>
      <c r="X53" s="6">
        <f t="shared" si="36"/>
        <v>121.14000000000001</v>
      </c>
      <c r="Y53" s="2"/>
      <c r="Z53" s="7">
        <f t="shared" si="37"/>
        <v>1.2995065436601589</v>
      </c>
    </row>
    <row r="54" spans="1:26" s="24" customFormat="1" hidden="1" outlineLevel="2" x14ac:dyDescent="0.25">
      <c r="A54" s="26"/>
      <c r="B54" s="11" t="str">
        <f>CONCATENATE("          ", "6375", " - ", "OUTSIDE REPAIRS &amp; MAINTENANCE")</f>
        <v xml:space="preserve">          6375 - OUTSIDE REPAIRS &amp; MAINTENANCE</v>
      </c>
      <c r="C54" s="11"/>
      <c r="D54" s="6"/>
      <c r="E54" s="2"/>
      <c r="F54" s="7">
        <f t="shared" si="30"/>
        <v>0</v>
      </c>
      <c r="G54" s="2"/>
      <c r="H54" s="6">
        <v>93.5</v>
      </c>
      <c r="I54" s="2"/>
      <c r="J54" s="7">
        <f t="shared" si="31"/>
        <v>1.8946559152880089E-3</v>
      </c>
      <c r="K54" s="2"/>
      <c r="L54" s="6">
        <f t="shared" si="32"/>
        <v>-93.5</v>
      </c>
      <c r="M54" s="2"/>
      <c r="N54" s="7">
        <f t="shared" si="33"/>
        <v>-1</v>
      </c>
      <c r="O54" s="11"/>
      <c r="P54" s="6">
        <v>1017.69</v>
      </c>
      <c r="Q54" s="2"/>
      <c r="R54" s="7">
        <f t="shared" si="34"/>
        <v>0</v>
      </c>
      <c r="S54" s="2"/>
      <c r="T54" s="6">
        <v>6152.02</v>
      </c>
      <c r="U54" s="2"/>
      <c r="V54" s="7">
        <f t="shared" si="35"/>
        <v>2.290653749784647E-2</v>
      </c>
      <c r="W54" s="2"/>
      <c r="X54" s="6">
        <f t="shared" si="36"/>
        <v>-5134.33</v>
      </c>
      <c r="Y54" s="2"/>
      <c r="Z54" s="7">
        <f t="shared" si="37"/>
        <v>-0.83457628551272578</v>
      </c>
    </row>
    <row r="55" spans="1:26" s="25" customFormat="1" outlineLevel="1" collapsed="1" x14ac:dyDescent="0.25">
      <c r="A55" s="27"/>
      <c r="B55" s="13" t="str">
        <f>CONCATENATE("     ","Services                                          ")</f>
        <v xml:space="preserve">     Services                                          </v>
      </c>
      <c r="C55" s="13"/>
      <c r="D55" s="1">
        <f>SUM(OSRRefD22_10x_0)</f>
        <v>141.93</v>
      </c>
      <c r="E55" s="1"/>
      <c r="F55" s="5">
        <f t="shared" ref="F55:F58" si="38">IF(D$12=0,0,D55/D$12)</f>
        <v>0</v>
      </c>
      <c r="G55" s="1"/>
      <c r="H55" s="1">
        <f>SUM(OSRRefH22_10x_0)</f>
        <v>356.77</v>
      </c>
      <c r="I55" s="1"/>
      <c r="J55" s="5">
        <f t="shared" ref="J55:J58" si="39">IF(H$12=0,0,H55/H$12)</f>
        <v>7.2294801165486942E-3</v>
      </c>
      <c r="K55" s="1"/>
      <c r="L55" s="1">
        <f t="shared" ref="L55:L58" si="40">+D55-H55</f>
        <v>-214.83999999999997</v>
      </c>
      <c r="M55" s="1"/>
      <c r="N55" s="5">
        <f t="shared" ref="N55:N58" si="41">IF(H55=0,0,L55/H55)</f>
        <v>-0.60218067662639796</v>
      </c>
      <c r="O55" s="13"/>
      <c r="P55" s="1">
        <f>SUM(OSRRefP22_10x_0)</f>
        <v>1176.5900000000001</v>
      </c>
      <c r="Q55" s="1"/>
      <c r="R55" s="5">
        <f t="shared" ref="R55:R58" si="42">IF(P$12=0,0,P55/P$12)</f>
        <v>0</v>
      </c>
      <c r="S55" s="1"/>
      <c r="T55" s="1">
        <f>SUM(OSRRefT22_10x_0)</f>
        <v>3170.63</v>
      </c>
      <c r="U55" s="1"/>
      <c r="V55" s="5">
        <f t="shared" ref="V55:V58" si="43">IF(T$12=0,0,T55/T$12)</f>
        <v>1.1805578490771641E-2</v>
      </c>
      <c r="W55" s="1"/>
      <c r="X55" s="1">
        <f t="shared" ref="X55:X58" si="44">+P55-T55</f>
        <v>-1994.04</v>
      </c>
      <c r="Y55" s="1"/>
      <c r="Z55" s="5">
        <f t="shared" ref="Z55:Z58" si="45">IF(T55=0,0,X55/T55)</f>
        <v>-0.62890971194999101</v>
      </c>
    </row>
    <row r="56" spans="1:26" s="24" customFormat="1" hidden="1" outlineLevel="2" x14ac:dyDescent="0.25">
      <c r="A56" s="26"/>
      <c r="B56" s="11" t="str">
        <f>CONCATENATE("          ", "6282", " - ", "JANITORIAL/EXTERMINATOR EXPENS")</f>
        <v xml:space="preserve">          6282 - JANITORIAL/EXTERMINATOR EXPENS</v>
      </c>
      <c r="C56" s="11"/>
      <c r="D56" s="6">
        <v>141.93</v>
      </c>
      <c r="E56" s="2"/>
      <c r="F56" s="7">
        <f t="shared" si="38"/>
        <v>0</v>
      </c>
      <c r="G56" s="2"/>
      <c r="H56" s="6">
        <v>327.93</v>
      </c>
      <c r="I56" s="2"/>
      <c r="J56" s="7">
        <f t="shared" si="39"/>
        <v>6.6450750192555801E-3</v>
      </c>
      <c r="K56" s="2"/>
      <c r="L56" s="6">
        <f t="shared" si="40"/>
        <v>-186</v>
      </c>
      <c r="M56" s="2"/>
      <c r="N56" s="7">
        <f t="shared" si="41"/>
        <v>-0.56719421827829108</v>
      </c>
      <c r="O56" s="11"/>
      <c r="P56" s="6">
        <v>1349.63</v>
      </c>
      <c r="Q56" s="2"/>
      <c r="R56" s="7">
        <f t="shared" si="42"/>
        <v>0</v>
      </c>
      <c r="S56" s="2"/>
      <c r="T56" s="6">
        <v>2765.37</v>
      </c>
      <c r="U56" s="2"/>
      <c r="V56" s="7">
        <f t="shared" si="43"/>
        <v>1.0296626408955057E-2</v>
      </c>
      <c r="W56" s="2"/>
      <c r="X56" s="6">
        <f t="shared" si="44"/>
        <v>-1415.7399999999998</v>
      </c>
      <c r="Y56" s="2"/>
      <c r="Z56" s="7">
        <f t="shared" si="45"/>
        <v>-0.51195319252034988</v>
      </c>
    </row>
    <row r="57" spans="1:26" s="24" customFormat="1" hidden="1" outlineLevel="2" x14ac:dyDescent="0.25">
      <c r="A57" s="26"/>
      <c r="B57" s="11" t="str">
        <f>CONCATENATE("          ", "6285", " - ", "JANITORIAL SERVICES")</f>
        <v xml:space="preserve">          6285 - JANITORIAL SERVICES</v>
      </c>
      <c r="C57" s="11"/>
      <c r="D57" s="6"/>
      <c r="E57" s="2"/>
      <c r="F57" s="7">
        <f t="shared" si="38"/>
        <v>0</v>
      </c>
      <c r="G57" s="2"/>
      <c r="H57" s="6">
        <v>28.84</v>
      </c>
      <c r="I57" s="2"/>
      <c r="J57" s="7">
        <f t="shared" si="39"/>
        <v>5.8440509729311418E-4</v>
      </c>
      <c r="K57" s="2"/>
      <c r="L57" s="6">
        <f t="shared" si="40"/>
        <v>-28.84</v>
      </c>
      <c r="M57" s="2"/>
      <c r="N57" s="7">
        <f t="shared" si="41"/>
        <v>-1</v>
      </c>
      <c r="O57" s="11"/>
      <c r="P57" s="6">
        <v>-173.04</v>
      </c>
      <c r="Q57" s="2"/>
      <c r="R57" s="7">
        <f t="shared" si="42"/>
        <v>0</v>
      </c>
      <c r="S57" s="2"/>
      <c r="T57" s="6">
        <v>219.26</v>
      </c>
      <c r="U57" s="2"/>
      <c r="V57" s="7">
        <f t="shared" si="43"/>
        <v>8.1639647006638745E-4</v>
      </c>
      <c r="W57" s="2"/>
      <c r="X57" s="6">
        <f t="shared" si="44"/>
        <v>-392.29999999999995</v>
      </c>
      <c r="Y57" s="2"/>
      <c r="Z57" s="7">
        <f t="shared" si="45"/>
        <v>-1.7892000364863632</v>
      </c>
    </row>
    <row r="58" spans="1:26" s="24" customFormat="1" hidden="1" outlineLevel="2" x14ac:dyDescent="0.25">
      <c r="A58" s="26"/>
      <c r="B58" s="11" t="str">
        <f>CONCATENATE("          ", "6286", " - ", "LAUNDRY EXPENSE")</f>
        <v xml:space="preserve">          6286 - LAUNDRY EXPENSE</v>
      </c>
      <c r="C58" s="11"/>
      <c r="D58" s="6"/>
      <c r="E58" s="2"/>
      <c r="F58" s="7">
        <f t="shared" si="38"/>
        <v>0</v>
      </c>
      <c r="G58" s="2"/>
      <c r="H58" s="6"/>
      <c r="I58" s="2"/>
      <c r="J58" s="7">
        <f t="shared" si="39"/>
        <v>0</v>
      </c>
      <c r="K58" s="2"/>
      <c r="L58" s="6">
        <f t="shared" si="40"/>
        <v>0</v>
      </c>
      <c r="M58" s="2"/>
      <c r="N58" s="7">
        <f t="shared" si="41"/>
        <v>0</v>
      </c>
      <c r="O58" s="11"/>
      <c r="P58" s="6"/>
      <c r="Q58" s="2"/>
      <c r="R58" s="7">
        <f t="shared" si="42"/>
        <v>0</v>
      </c>
      <c r="S58" s="2"/>
      <c r="T58" s="6">
        <v>186</v>
      </c>
      <c r="U58" s="2"/>
      <c r="V58" s="7">
        <f t="shared" si="43"/>
        <v>6.9255561175019637E-4</v>
      </c>
      <c r="W58" s="2"/>
      <c r="X58" s="6">
        <f t="shared" si="44"/>
        <v>-186</v>
      </c>
      <c r="Y58" s="2"/>
      <c r="Z58" s="7">
        <f t="shared" si="45"/>
        <v>-1</v>
      </c>
    </row>
    <row r="59" spans="1:26" s="25" customFormat="1" outlineLevel="1" collapsed="1" x14ac:dyDescent="0.25">
      <c r="A59" s="27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SUM(OSRRefD22_11x_0)</f>
        <v>0</v>
      </c>
      <c r="E59" s="1"/>
      <c r="F59" s="5">
        <f t="shared" ref="F59:F62" si="46">IF(D$12=0,0,D59/D$12)</f>
        <v>0</v>
      </c>
      <c r="G59" s="1"/>
      <c r="H59" s="1">
        <f>SUM(OSRRefH22_11x_0)</f>
        <v>2978.74</v>
      </c>
      <c r="I59" s="1"/>
      <c r="J59" s="5">
        <f t="shared" ref="J59:J62" si="47">IF(H$12=0,0,H59/H$12)</f>
        <v>6.0360292632139073E-2</v>
      </c>
      <c r="K59" s="1"/>
      <c r="L59" s="1">
        <f t="shared" ref="L59:L62" si="48">+D59-H59</f>
        <v>-2978.74</v>
      </c>
      <c r="M59" s="1"/>
      <c r="N59" s="5">
        <f t="shared" ref="N59:N62" si="49">IF(H59=0,0,L59/H59)</f>
        <v>-1</v>
      </c>
      <c r="O59" s="13"/>
      <c r="P59" s="1">
        <f>SUM(OSRRefP22_11x_0)</f>
        <v>0</v>
      </c>
      <c r="Q59" s="1"/>
      <c r="R59" s="5">
        <f t="shared" ref="R59:R62" si="50">IF(P$12=0,0,P59/P$12)</f>
        <v>0</v>
      </c>
      <c r="S59" s="1"/>
      <c r="T59" s="1">
        <f>SUM(OSRRefT22_11x_0)</f>
        <v>10297.52</v>
      </c>
      <c r="U59" s="1"/>
      <c r="V59" s="5">
        <f t="shared" ref="V59:V62" si="51">IF(T$12=0,0,T59/T$12)</f>
        <v>3.8341963780160658E-2</v>
      </c>
      <c r="W59" s="1"/>
      <c r="X59" s="1">
        <f t="shared" ref="X59:X62" si="52">+P59-T59</f>
        <v>-10297.52</v>
      </c>
      <c r="Y59" s="1"/>
      <c r="Z59" s="5">
        <f t="shared" ref="Z59:Z62" si="53">IF(T59=0,0,X59/T59)</f>
        <v>-1</v>
      </c>
    </row>
    <row r="60" spans="1:26" s="24" customFormat="1" hidden="1" outlineLevel="2" x14ac:dyDescent="0.25">
      <c r="A60" s="26"/>
      <c r="B60" s="11" t="str">
        <f>CONCATENATE("          ", "6237", " - ", "JANITORIAL SUPPLIES")</f>
        <v xml:space="preserve">          6237 - JANITORIAL SUPPLIES</v>
      </c>
      <c r="C60" s="11"/>
      <c r="D60" s="6"/>
      <c r="E60" s="2"/>
      <c r="F60" s="7">
        <f t="shared" si="46"/>
        <v>0</v>
      </c>
      <c r="G60" s="2"/>
      <c r="H60" s="6">
        <v>101.43</v>
      </c>
      <c r="I60" s="2"/>
      <c r="J60" s="7">
        <f t="shared" si="47"/>
        <v>2.0553470533439867E-3</v>
      </c>
      <c r="K60" s="2"/>
      <c r="L60" s="6">
        <f t="shared" si="48"/>
        <v>-101.43</v>
      </c>
      <c r="M60" s="2"/>
      <c r="N60" s="7">
        <f t="shared" si="49"/>
        <v>-1</v>
      </c>
      <c r="O60" s="11"/>
      <c r="P60" s="6"/>
      <c r="Q60" s="2"/>
      <c r="R60" s="7">
        <f t="shared" si="50"/>
        <v>0</v>
      </c>
      <c r="S60" s="2"/>
      <c r="T60" s="6">
        <v>1096.97</v>
      </c>
      <c r="U60" s="2"/>
      <c r="V60" s="7">
        <f t="shared" si="51"/>
        <v>4.0844770399011453E-3</v>
      </c>
      <c r="W60" s="2"/>
      <c r="X60" s="6">
        <f t="shared" si="52"/>
        <v>-1096.97</v>
      </c>
      <c r="Y60" s="2"/>
      <c r="Z60" s="7">
        <f t="shared" si="53"/>
        <v>-1</v>
      </c>
    </row>
    <row r="61" spans="1:26" s="24" customFormat="1" hidden="1" outlineLevel="2" x14ac:dyDescent="0.25">
      <c r="A61" s="26"/>
      <c r="B61" s="11" t="str">
        <f>CONCATENATE("          ", "6243", " - ", "PAPER SUPPLIES")</f>
        <v xml:space="preserve">          6243 - PAPER SUPPLIES</v>
      </c>
      <c r="C61" s="11"/>
      <c r="D61" s="6"/>
      <c r="E61" s="2"/>
      <c r="F61" s="7">
        <f t="shared" si="46"/>
        <v>0</v>
      </c>
      <c r="G61" s="2"/>
      <c r="H61" s="6">
        <v>37.15</v>
      </c>
      <c r="I61" s="2"/>
      <c r="J61" s="7">
        <f t="shared" si="47"/>
        <v>7.5279644120801632E-4</v>
      </c>
      <c r="K61" s="2"/>
      <c r="L61" s="6">
        <f t="shared" si="48"/>
        <v>-37.15</v>
      </c>
      <c r="M61" s="2"/>
      <c r="N61" s="7">
        <f t="shared" si="49"/>
        <v>-1</v>
      </c>
      <c r="O61" s="11"/>
      <c r="P61" s="6"/>
      <c r="Q61" s="2"/>
      <c r="R61" s="7">
        <f t="shared" si="50"/>
        <v>0</v>
      </c>
      <c r="S61" s="2"/>
      <c r="T61" s="6">
        <v>741.91</v>
      </c>
      <c r="U61" s="2"/>
      <c r="V61" s="7">
        <f t="shared" si="51"/>
        <v>2.7624405049117644E-3</v>
      </c>
      <c r="W61" s="2"/>
      <c r="X61" s="6">
        <f t="shared" si="52"/>
        <v>-741.91</v>
      </c>
      <c r="Y61" s="2"/>
      <c r="Z61" s="7">
        <f t="shared" si="53"/>
        <v>-1</v>
      </c>
    </row>
    <row r="62" spans="1:26" s="24" customFormat="1" hidden="1" outlineLevel="2" x14ac:dyDescent="0.25">
      <c r="A62" s="26"/>
      <c r="B62" s="11" t="str">
        <f>CONCATENATE("          ", "6247", " - ", "STORE SUPPLIES")</f>
        <v xml:space="preserve">          6247 - STORE SUPPLIES</v>
      </c>
      <c r="C62" s="11"/>
      <c r="D62" s="6"/>
      <c r="E62" s="2"/>
      <c r="F62" s="7">
        <f t="shared" si="46"/>
        <v>0</v>
      </c>
      <c r="G62" s="2"/>
      <c r="H62" s="6">
        <v>2840.16</v>
      </c>
      <c r="I62" s="2"/>
      <c r="J62" s="7">
        <f t="shared" si="47"/>
        <v>5.7552149137587071E-2</v>
      </c>
      <c r="K62" s="2"/>
      <c r="L62" s="6">
        <f t="shared" si="48"/>
        <v>-2840.16</v>
      </c>
      <c r="M62" s="2"/>
      <c r="N62" s="7">
        <f t="shared" si="49"/>
        <v>-1</v>
      </c>
      <c r="O62" s="11"/>
      <c r="P62" s="6"/>
      <c r="Q62" s="2"/>
      <c r="R62" s="7">
        <f t="shared" si="50"/>
        <v>0</v>
      </c>
      <c r="S62" s="2"/>
      <c r="T62" s="6">
        <v>8458.64</v>
      </c>
      <c r="U62" s="2"/>
      <c r="V62" s="7">
        <f t="shared" si="51"/>
        <v>3.1495046235347747E-2</v>
      </c>
      <c r="W62" s="2"/>
      <c r="X62" s="6">
        <f t="shared" si="52"/>
        <v>-8458.64</v>
      </c>
      <c r="Y62" s="2"/>
      <c r="Z62" s="7">
        <f t="shared" si="53"/>
        <v>-1</v>
      </c>
    </row>
    <row r="63" spans="1:26" s="25" customFormat="1" outlineLevel="1" collapsed="1" x14ac:dyDescent="0.25">
      <c r="A63" s="27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SUM(OSRRefD22_12x_0)</f>
        <v>30</v>
      </c>
      <c r="E63" s="1"/>
      <c r="F63" s="5">
        <f t="shared" ref="F63:F64" si="54">IF(D$12=0,0,D63/D$12)</f>
        <v>0</v>
      </c>
      <c r="G63" s="1"/>
      <c r="H63" s="1">
        <f>SUM(OSRRefH22_12x_0)</f>
        <v>91.01</v>
      </c>
      <c r="I63" s="1"/>
      <c r="J63" s="5">
        <f t="shared" ref="J63:J64" si="55">IF(H$12=0,0,H63/H$12)</f>
        <v>1.8441993032124247E-3</v>
      </c>
      <c r="K63" s="1"/>
      <c r="L63" s="1">
        <f t="shared" ref="L63:L64" si="56">+D63-H63</f>
        <v>-61.010000000000005</v>
      </c>
      <c r="M63" s="1"/>
      <c r="N63" s="5">
        <f t="shared" ref="N63:N64" si="57">IF(H63=0,0,L63/H63)</f>
        <v>-0.67036589385781786</v>
      </c>
      <c r="O63" s="13"/>
      <c r="P63" s="1">
        <f>SUM(OSRRefP22_12x_0)</f>
        <v>334.32</v>
      </c>
      <c r="Q63" s="1"/>
      <c r="R63" s="5">
        <f t="shared" ref="R63:R64" si="58">IF(P$12=0,0,P63/P$12)</f>
        <v>0</v>
      </c>
      <c r="S63" s="1"/>
      <c r="T63" s="1">
        <f>SUM(OSRRefT22_12x_0)</f>
        <v>728.08</v>
      </c>
      <c r="U63" s="1"/>
      <c r="V63" s="5">
        <f t="shared" ref="V63:V64" si="59">IF(T$12=0,0,T63/T$12)</f>
        <v>2.710945644102597E-3</v>
      </c>
      <c r="W63" s="1"/>
      <c r="X63" s="1">
        <f t="shared" ref="X63:X64" si="60">+P63-T63</f>
        <v>-393.76000000000005</v>
      </c>
      <c r="Y63" s="1"/>
      <c r="Z63" s="5">
        <f t="shared" ref="Z63:Z64" si="61">IF(T63=0,0,X63/T63)</f>
        <v>-0.54081969014394027</v>
      </c>
    </row>
    <row r="64" spans="1:26" s="24" customFormat="1" hidden="1" outlineLevel="2" x14ac:dyDescent="0.25">
      <c r="A64" s="26"/>
      <c r="B64" s="11" t="str">
        <f>CONCATENATE("          ", "6309", " - ", "TELEPHONE")</f>
        <v xml:space="preserve">          6309 - TELEPHONE</v>
      </c>
      <c r="C64" s="11"/>
      <c r="D64" s="6">
        <v>30</v>
      </c>
      <c r="E64" s="2"/>
      <c r="F64" s="7">
        <f t="shared" si="54"/>
        <v>0</v>
      </c>
      <c r="G64" s="2"/>
      <c r="H64" s="6">
        <v>91.01</v>
      </c>
      <c r="I64" s="2"/>
      <c r="J64" s="7">
        <f t="shared" si="55"/>
        <v>1.8441993032124247E-3</v>
      </c>
      <c r="K64" s="2"/>
      <c r="L64" s="6">
        <f t="shared" si="56"/>
        <v>-61.010000000000005</v>
      </c>
      <c r="M64" s="2"/>
      <c r="N64" s="7">
        <f t="shared" si="57"/>
        <v>-0.67036589385781786</v>
      </c>
      <c r="O64" s="11"/>
      <c r="P64" s="6">
        <v>334.32</v>
      </c>
      <c r="Q64" s="2"/>
      <c r="R64" s="7">
        <f t="shared" si="58"/>
        <v>0</v>
      </c>
      <c r="S64" s="2"/>
      <c r="T64" s="6">
        <v>728.08</v>
      </c>
      <c r="U64" s="2"/>
      <c r="V64" s="7">
        <f t="shared" si="59"/>
        <v>2.710945644102597E-3</v>
      </c>
      <c r="W64" s="2"/>
      <c r="X64" s="6">
        <f t="shared" si="60"/>
        <v>-393.76000000000005</v>
      </c>
      <c r="Y64" s="2"/>
      <c r="Z64" s="7">
        <f t="shared" si="61"/>
        <v>-0.54081969014394027</v>
      </c>
    </row>
    <row r="65" spans="1:26" s="52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8" t="s">
        <v>0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9" t="s">
        <v>3</v>
      </c>
      <c r="C68" s="29"/>
      <c r="D68" s="22">
        <f>+D20-D22+D66</f>
        <v>-760.09999999999991</v>
      </c>
      <c r="E68" s="14"/>
      <c r="F68" s="20">
        <f>IF(D$12=0,0,D68/D$12)</f>
        <v>0</v>
      </c>
      <c r="G68" s="14"/>
      <c r="H68" s="22">
        <f>+H20-H22+H66</f>
        <v>9955.9900000000034</v>
      </c>
      <c r="I68" s="14"/>
      <c r="J68" s="20">
        <f>IF(H$12=0,0,H68/H$12)</f>
        <v>0.20174519086682641</v>
      </c>
      <c r="K68" s="16"/>
      <c r="L68" s="22">
        <f>+D68-H68</f>
        <v>-10716.090000000004</v>
      </c>
      <c r="M68" s="16"/>
      <c r="N68" s="20">
        <f>IF(H68=0,0,L68/H68)</f>
        <v>-1.0763459987404567</v>
      </c>
      <c r="O68" s="28"/>
      <c r="P68" s="22">
        <f>+P20-P22+P66</f>
        <v>-7771.1</v>
      </c>
      <c r="Q68" s="14"/>
      <c r="R68" s="20">
        <f>IF(P$12=0,0,P68/P$12)</f>
        <v>0</v>
      </c>
      <c r="S68" s="14"/>
      <c r="T68" s="22">
        <f>+T20-T22+T66</f>
        <v>26822.169999999969</v>
      </c>
      <c r="U68" s="14"/>
      <c r="V68" s="20">
        <f>IF(T$12=0,0,T68/T$12)</f>
        <v>9.9870130929127651E-2</v>
      </c>
      <c r="W68" s="16"/>
      <c r="X68" s="22">
        <f>+P68-T68</f>
        <v>-34593.269999999968</v>
      </c>
      <c r="Y68" s="16"/>
      <c r="Z68" s="20">
        <f>IF(T68=0,0,X68/T68)</f>
        <v>-1.2897267447041014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51"/>
      <c r="B70" s="10" t="s">
        <v>13</v>
      </c>
      <c r="C70" s="10"/>
      <c r="D70" s="4"/>
      <c r="E70" s="4"/>
      <c r="F70" s="12">
        <f>IF(D$12=0,0,D70/D$12)</f>
        <v>0</v>
      </c>
      <c r="G70" s="4"/>
      <c r="H70" s="4">
        <v>4510.9799999999996</v>
      </c>
      <c r="I70" s="4"/>
      <c r="J70" s="12">
        <f>IF(H$12=0,0,H70/H$12)</f>
        <v>9.1409143751293068E-2</v>
      </c>
      <c r="K70" s="4"/>
      <c r="L70" s="4">
        <f>+D70-H70</f>
        <v>-4510.9799999999996</v>
      </c>
      <c r="M70" s="4"/>
      <c r="N70" s="12">
        <f>IF(H70=0,0,L70/H70)</f>
        <v>-1</v>
      </c>
      <c r="O70" s="10"/>
      <c r="P70" s="4"/>
      <c r="Q70" s="4"/>
      <c r="R70" s="12">
        <f>IF(P$12=0,0,P70/P$12)</f>
        <v>0</v>
      </c>
      <c r="S70" s="4"/>
      <c r="T70" s="4">
        <v>27372.639999999999</v>
      </c>
      <c r="U70" s="4"/>
      <c r="V70" s="12">
        <f>IF(T$12=0,0,T70/T$12)</f>
        <v>0.10191976043235428</v>
      </c>
      <c r="W70" s="4"/>
      <c r="X70" s="4">
        <f>+P70-T70</f>
        <v>-27372.639999999999</v>
      </c>
      <c r="Y70" s="4"/>
      <c r="Z70" s="12">
        <f>IF(T70=0,0,X70/T70)</f>
        <v>-1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9" t="s">
        <v>4</v>
      </c>
      <c r="C72" s="29"/>
      <c r="D72" s="35">
        <f>+D68-D70</f>
        <v>-760.09999999999991</v>
      </c>
      <c r="E72" s="14"/>
      <c r="F72" s="36">
        <f>IF(D$12=0,0,D72/D$12)</f>
        <v>0</v>
      </c>
      <c r="G72" s="14"/>
      <c r="H72" s="35">
        <f>+H68-H70</f>
        <v>5445.0100000000039</v>
      </c>
      <c r="I72" s="14"/>
      <c r="J72" s="36">
        <f>IF(H$12=0,0,H72/H$12)</f>
        <v>0.11033604711553335</v>
      </c>
      <c r="K72" s="16"/>
      <c r="L72" s="35">
        <f>D72-H72</f>
        <v>-6205.1100000000042</v>
      </c>
      <c r="M72" s="16"/>
      <c r="N72" s="36">
        <f>IF(H72=0,0,L72/H72)</f>
        <v>-1.1395957032218489</v>
      </c>
      <c r="O72" s="28"/>
      <c r="P72" s="35">
        <f>+P68-P70</f>
        <v>-7771.1</v>
      </c>
      <c r="Q72" s="14"/>
      <c r="R72" s="36">
        <f>IF(P$12=0,0,P72/P$12)</f>
        <v>0</v>
      </c>
      <c r="S72" s="14"/>
      <c r="T72" s="35">
        <f>+T68-T70</f>
        <v>-550.47000000003027</v>
      </c>
      <c r="U72" s="14"/>
      <c r="V72" s="36">
        <f>IF(T$12=0,0,T72/T$12)</f>
        <v>-2.0496295032266213E-3</v>
      </c>
      <c r="W72" s="16"/>
      <c r="X72" s="35">
        <f>P72-T72</f>
        <v>-7220.6299999999701</v>
      </c>
      <c r="Y72" s="16"/>
      <c r="Z72" s="36">
        <f>IF(T72=0,0,X72/T72)</f>
        <v>13.117208930549481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9" t="s">
        <v>5</v>
      </c>
      <c r="C75" s="29"/>
      <c r="D75" s="31">
        <f>SUM(D72:D74)</f>
        <v>-760.09999999999991</v>
      </c>
      <c r="E75" s="14"/>
      <c r="F75" s="33">
        <f>IF(D$12=0,0,D75/D$12)</f>
        <v>0</v>
      </c>
      <c r="G75" s="14"/>
      <c r="H75" s="31">
        <f>SUM(H72:H74)</f>
        <v>5445.0100000000039</v>
      </c>
      <c r="I75" s="14"/>
      <c r="J75" s="33">
        <f>IF(H$12=0,0,H75/H$12)</f>
        <v>0.11033604711553335</v>
      </c>
      <c r="K75" s="16"/>
      <c r="L75" s="31">
        <f>+D75-H75</f>
        <v>-6205.1100000000042</v>
      </c>
      <c r="M75" s="16"/>
      <c r="N75" s="33">
        <f>IF(H75=0,0,L75/H75)</f>
        <v>-1.1395957032218489</v>
      </c>
      <c r="O75" s="28"/>
      <c r="P75" s="31">
        <f>SUM(P72:P74)</f>
        <v>-7771.1</v>
      </c>
      <c r="Q75" s="14"/>
      <c r="R75" s="33">
        <f>IF(P$12=0,0,P75/P$12)</f>
        <v>0</v>
      </c>
      <c r="S75" s="14"/>
      <c r="T75" s="31">
        <f>SUM(T72:T74)</f>
        <v>-550.47000000003027</v>
      </c>
      <c r="U75" s="14"/>
      <c r="V75" s="33">
        <f>IF(T$12=0,0,T75/T$12)</f>
        <v>-2.0496295032266213E-3</v>
      </c>
      <c r="W75" s="16"/>
      <c r="X75" s="31">
        <f>+P75-T75</f>
        <v>-7220.6299999999701</v>
      </c>
      <c r="Y75" s="16"/>
      <c r="Z75" s="33">
        <f>IF(T75=0,0,X75/T75)</f>
        <v>13.117208930549481</v>
      </c>
    </row>
    <row r="76" spans="1:26" ht="15.75" thickTop="1" x14ac:dyDescent="0.25">
      <c r="A76" s="9"/>
      <c r="C76" s="9"/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A77" s="9"/>
      <c r="B77" s="56">
        <v>44267.668207060182</v>
      </c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4" t="s">
        <v>313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8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","313", " - ", "Convenience Store")</f>
        <v>Department 313 - Convenience 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82283.05</v>
      </c>
      <c r="I12" s="4"/>
      <c r="J12" s="12"/>
      <c r="K12" s="4"/>
      <c r="L12" s="4">
        <f t="shared" ref="L12:L18" si="0">+D12-H12</f>
        <v>-82283.05</v>
      </c>
      <c r="M12" s="4"/>
      <c r="N12" s="12">
        <f t="shared" ref="N12:N18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462203.43000000005</v>
      </c>
      <c r="U12" s="4"/>
      <c r="V12" s="12"/>
      <c r="W12" s="4"/>
      <c r="X12" s="4">
        <f t="shared" ref="X12:X18" si="2">+P12-T12</f>
        <v>-462203.43000000005</v>
      </c>
      <c r="Y12" s="4"/>
      <c r="Z12" s="12">
        <f t="shared" ref="Z12:Z18" si="3">IF(T12=0,0,X12/T12)</f>
        <v>-1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8" si="4">0</f>
        <v>0</v>
      </c>
      <c r="E13" s="2"/>
      <c r="F13" s="19"/>
      <c r="G13" s="2"/>
      <c r="H13" s="2">
        <f>--17552.78</f>
        <v>17552.78</v>
      </c>
      <c r="I13" s="2"/>
      <c r="J13" s="19"/>
      <c r="K13" s="2"/>
      <c r="L13" s="2">
        <f t="shared" si="0"/>
        <v>-17552.78</v>
      </c>
      <c r="M13" s="2"/>
      <c r="N13" s="19">
        <f t="shared" si="1"/>
        <v>-1</v>
      </c>
      <c r="O13" s="11"/>
      <c r="P13" s="2">
        <f t="shared" ref="P13:P18" si="5">0</f>
        <v>0</v>
      </c>
      <c r="Q13" s="2"/>
      <c r="R13" s="19"/>
      <c r="S13" s="2"/>
      <c r="T13" s="2">
        <f>--98053.87</f>
        <v>98053.87</v>
      </c>
      <c r="U13" s="2"/>
      <c r="V13" s="19"/>
      <c r="W13" s="2"/>
      <c r="X13" s="2">
        <f t="shared" si="2"/>
        <v>-98053.87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 t="shared" si="4"/>
        <v>0</v>
      </c>
      <c r="E14" s="2"/>
      <c r="F14" s="19"/>
      <c r="G14" s="2"/>
      <c r="H14" s="2">
        <f>--456.01</f>
        <v>456.01</v>
      </c>
      <c r="I14" s="2"/>
      <c r="J14" s="19"/>
      <c r="K14" s="2"/>
      <c r="L14" s="2">
        <f t="shared" si="0"/>
        <v>-456.01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--2960.02</f>
        <v>2960.02</v>
      </c>
      <c r="U14" s="2"/>
      <c r="V14" s="19"/>
      <c r="W14" s="2"/>
      <c r="X14" s="2">
        <f t="shared" si="2"/>
        <v>-2960.02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 t="shared" si="4"/>
        <v>0</v>
      </c>
      <c r="E15" s="2"/>
      <c r="F15" s="19"/>
      <c r="G15" s="2"/>
      <c r="H15" s="2">
        <f>--64085.15</f>
        <v>64085.15</v>
      </c>
      <c r="I15" s="2"/>
      <c r="J15" s="19"/>
      <c r="K15" s="2"/>
      <c r="L15" s="2">
        <f t="shared" si="0"/>
        <v>-64085.15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--359707.65</f>
        <v>359707.65</v>
      </c>
      <c r="U15" s="2"/>
      <c r="V15" s="19"/>
      <c r="W15" s="2"/>
      <c r="X15" s="2">
        <f t="shared" si="2"/>
        <v>-359707.65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"4133", " - ", "NON-TAXABLE SALES-CANDY")</f>
        <v xml:space="preserve">          4133 - NON-TAXABLE SALES-CANDY</v>
      </c>
      <c r="C16" s="11"/>
      <c r="D16" s="2">
        <f t="shared" si="4"/>
        <v>0</v>
      </c>
      <c r="E16" s="2"/>
      <c r="F16" s="19"/>
      <c r="G16" s="2"/>
      <c r="H16" s="2">
        <f t="shared" ref="H16:H17" si="6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>
        <f>--1.59</f>
        <v>1.59</v>
      </c>
      <c r="U16" s="2"/>
      <c r="V16" s="19"/>
      <c r="W16" s="2"/>
      <c r="X16" s="2">
        <f t="shared" si="2"/>
        <v>-1.59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"4134", " - ", "NON-TAXABLE SALES-SODA")</f>
        <v xml:space="preserve">          4134 - NON-TAXABLE SALES-SODA</v>
      </c>
      <c r="C17" s="11"/>
      <c r="D17" s="2">
        <f t="shared" si="4"/>
        <v>0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si="5"/>
        <v>0</v>
      </c>
      <c r="Q17" s="2"/>
      <c r="R17" s="19"/>
      <c r="S17" s="2"/>
      <c r="T17" s="2">
        <f>--8.41</f>
        <v>8.41</v>
      </c>
      <c r="U17" s="2"/>
      <c r="V17" s="19"/>
      <c r="W17" s="2"/>
      <c r="X17" s="2">
        <f t="shared" si="2"/>
        <v>-8.41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"4137", " - ", "NON-TAXABLE SALES-WATER")</f>
        <v xml:space="preserve">          4137 - NON-TAXABLE SALES-WATER</v>
      </c>
      <c r="C18" s="11"/>
      <c r="D18" s="2">
        <f t="shared" si="4"/>
        <v>0</v>
      </c>
      <c r="E18" s="2"/>
      <c r="F18" s="19"/>
      <c r="G18" s="2"/>
      <c r="H18" s="2">
        <f>--189.11</f>
        <v>189.11</v>
      </c>
      <c r="I18" s="2"/>
      <c r="J18" s="19"/>
      <c r="K18" s="2"/>
      <c r="L18" s="2">
        <f t="shared" si="0"/>
        <v>-189.11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--1471.89</f>
        <v>1471.89</v>
      </c>
      <c r="U18" s="2"/>
      <c r="V18" s="19"/>
      <c r="W18" s="2"/>
      <c r="X18" s="2">
        <f t="shared" si="2"/>
        <v>-1471.89</v>
      </c>
      <c r="Y18" s="2"/>
      <c r="Z18" s="19">
        <f t="shared" si="3"/>
        <v>-1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8" t="s">
        <v>8</v>
      </c>
      <c r="C20" s="10"/>
      <c r="D20" s="4">
        <f>SUM(OSRRefD16x_0)</f>
        <v>0</v>
      </c>
      <c r="E20" s="4"/>
      <c r="F20" s="12">
        <f t="shared" ref="F20:F22" si="7">IF(D$12=0,0,D20/D$12)</f>
        <v>0</v>
      </c>
      <c r="G20" s="4"/>
      <c r="H20" s="4">
        <f>SUM(OSRRefH16x_0)</f>
        <v>39496.179999999993</v>
      </c>
      <c r="I20" s="4"/>
      <c r="J20" s="12">
        <f t="shared" ref="J20:J22" si="8">IF(H$12=0,0,H20/H$12)</f>
        <v>0.48000384040212402</v>
      </c>
      <c r="K20" s="4"/>
      <c r="L20" s="4">
        <f t="shared" ref="L20:L22" si="9">+D20-H20</f>
        <v>-39496.179999999993</v>
      </c>
      <c r="M20" s="4"/>
      <c r="N20" s="12">
        <f t="shared" ref="N20:N22" si="10">IF(H20=0,0,L20/H20)</f>
        <v>-1</v>
      </c>
      <c r="O20" s="10"/>
      <c r="P20" s="4">
        <f>SUM(OSRRefP16x_0)</f>
        <v>-613.59</v>
      </c>
      <c r="Q20" s="4"/>
      <c r="R20" s="12">
        <f t="shared" ref="R20:R22" si="11">IF(P$12=0,0,P20/P$12)</f>
        <v>0</v>
      </c>
      <c r="S20" s="4"/>
      <c r="T20" s="4">
        <f>SUM(OSRRefT16x_0)</f>
        <v>218908.79999999999</v>
      </c>
      <c r="U20" s="4"/>
      <c r="V20" s="12">
        <f t="shared" ref="V20:V22" si="12">IF(T$12=0,0,T20/T$12)</f>
        <v>0.47362002484490423</v>
      </c>
      <c r="W20" s="4"/>
      <c r="X20" s="4">
        <f t="shared" ref="X20:X22" si="13">+P20-T20</f>
        <v>-219522.38999999998</v>
      </c>
      <c r="Y20" s="4"/>
      <c r="Z20" s="12">
        <f t="shared" ref="Z20:Z22" si="14">IF(T20=0,0,X20/T20)</f>
        <v>-1.0028029480770073</v>
      </c>
    </row>
    <row r="21" spans="1:26" s="24" customFormat="1" hidden="1" outlineLevel="1" x14ac:dyDescent="0.25">
      <c r="A21" s="44"/>
      <c r="B21" s="11" t="str">
        <f>CONCATENATE("          ", "5053", " - ", "PURCHASES @ COST-FOOD")</f>
        <v xml:space="preserve">          5053 - PURCHASES @ COST-FOOD</v>
      </c>
      <c r="C21" s="11"/>
      <c r="D21" s="2"/>
      <c r="E21" s="2"/>
      <c r="F21" s="19">
        <f t="shared" si="7"/>
        <v>0</v>
      </c>
      <c r="G21" s="2"/>
      <c r="H21" s="2">
        <v>37956.979999999996</v>
      </c>
      <c r="I21" s="2"/>
      <c r="J21" s="19">
        <f t="shared" si="8"/>
        <v>0.46129767916964665</v>
      </c>
      <c r="K21" s="2"/>
      <c r="L21" s="2">
        <f t="shared" si="9"/>
        <v>-37956.979999999996</v>
      </c>
      <c r="M21" s="2"/>
      <c r="N21" s="19">
        <f t="shared" si="10"/>
        <v>-1</v>
      </c>
      <c r="O21" s="11"/>
      <c r="P21" s="2">
        <v>-613.59</v>
      </c>
      <c r="Q21" s="2"/>
      <c r="R21" s="19">
        <f t="shared" si="11"/>
        <v>0</v>
      </c>
      <c r="S21" s="2"/>
      <c r="T21" s="2">
        <v>222357.81999999998</v>
      </c>
      <c r="U21" s="2"/>
      <c r="V21" s="19">
        <f t="shared" si="12"/>
        <v>0.4810821503423286</v>
      </c>
      <c r="W21" s="2"/>
      <c r="X21" s="2">
        <f t="shared" si="13"/>
        <v>-222971.40999999997</v>
      </c>
      <c r="Y21" s="2"/>
      <c r="Z21" s="19">
        <f t="shared" si="14"/>
        <v>-1.0027594711982695</v>
      </c>
    </row>
    <row r="22" spans="1:26" s="24" customFormat="1" hidden="1" outlineLevel="1" x14ac:dyDescent="0.25">
      <c r="A22" s="44"/>
      <c r="B22" s="11" t="str">
        <f>CONCATENATE("          ", "5059", " - ", "PURCHASES @ COST-FOOD")</f>
        <v xml:space="preserve">          5059 - PURCHASES @ COST-FOOD</v>
      </c>
      <c r="C22" s="11"/>
      <c r="D22" s="2"/>
      <c r="E22" s="2"/>
      <c r="F22" s="19">
        <f t="shared" si="7"/>
        <v>0</v>
      </c>
      <c r="G22" s="2"/>
      <c r="H22" s="2">
        <v>1539.2</v>
      </c>
      <c r="I22" s="2"/>
      <c r="J22" s="19">
        <f t="shared" si="8"/>
        <v>1.8706161232477404E-2</v>
      </c>
      <c r="K22" s="2"/>
      <c r="L22" s="2">
        <f t="shared" si="9"/>
        <v>-1539.2</v>
      </c>
      <c r="M22" s="2"/>
      <c r="N22" s="19">
        <f t="shared" si="10"/>
        <v>-1</v>
      </c>
      <c r="O22" s="11"/>
      <c r="P22" s="2"/>
      <c r="Q22" s="2"/>
      <c r="R22" s="19">
        <f t="shared" si="11"/>
        <v>0</v>
      </c>
      <c r="S22" s="2"/>
      <c r="T22" s="2">
        <v>-3449.02</v>
      </c>
      <c r="U22" s="2"/>
      <c r="V22" s="19">
        <f t="shared" si="12"/>
        <v>-7.4621254974243691E-3</v>
      </c>
      <c r="W22" s="2"/>
      <c r="X22" s="2">
        <f t="shared" si="13"/>
        <v>3449.02</v>
      </c>
      <c r="Y22" s="2"/>
      <c r="Z22" s="19">
        <f t="shared" si="14"/>
        <v>-1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9" t="s">
        <v>6</v>
      </c>
      <c r="C24" s="29"/>
      <c r="D24" s="22">
        <f>D12-D20</f>
        <v>0</v>
      </c>
      <c r="E24" s="14"/>
      <c r="F24" s="20">
        <f>IF(D$12=0,0,D24/D$12)</f>
        <v>0</v>
      </c>
      <c r="G24" s="14"/>
      <c r="H24" s="22">
        <f>H12-H20</f>
        <v>42786.87000000001</v>
      </c>
      <c r="I24" s="14"/>
      <c r="J24" s="20">
        <f>IF(H$12=0,0,H24/H$12)</f>
        <v>0.51999615959787593</v>
      </c>
      <c r="K24" s="16"/>
      <c r="L24" s="22">
        <f>+D24-H24</f>
        <v>-42786.87000000001</v>
      </c>
      <c r="M24" s="16"/>
      <c r="N24" s="20">
        <f>IF(H24=0,0,L24/H24)</f>
        <v>-1</v>
      </c>
      <c r="O24" s="28"/>
      <c r="P24" s="22">
        <f>P12-P20</f>
        <v>613.59</v>
      </c>
      <c r="Q24" s="14"/>
      <c r="R24" s="20">
        <f>IF(P$12=0,0,P24/P$12)</f>
        <v>0</v>
      </c>
      <c r="S24" s="14"/>
      <c r="T24" s="22">
        <f>T12-T20</f>
        <v>243294.63000000006</v>
      </c>
      <c r="U24" s="14"/>
      <c r="V24" s="20">
        <f>IF(T$12=0,0,T24/T$12)</f>
        <v>0.52637997515509571</v>
      </c>
      <c r="W24" s="16"/>
      <c r="X24" s="22">
        <f>+P24-T24</f>
        <v>-242681.04000000007</v>
      </c>
      <c r="Y24" s="16"/>
      <c r="Z24" s="20">
        <f>IF(T24=0,0,X24/T24)</f>
        <v>-0.99747799612346566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8" t="s">
        <v>9</v>
      </c>
      <c r="C26" s="10"/>
      <c r="D26" s="21">
        <f>SUM(OSRRefD22x_0)</f>
        <v>162.61000000000001</v>
      </c>
      <c r="E26" s="21"/>
      <c r="F26" s="32">
        <f t="shared" ref="F26:F35" si="15">IF(D$12=0,0,D26/D$12)</f>
        <v>0</v>
      </c>
      <c r="G26" s="21"/>
      <c r="H26" s="21">
        <f>SUM(OSRRefH22x_0)</f>
        <v>22282.99</v>
      </c>
      <c r="I26" s="21"/>
      <c r="J26" s="32">
        <f t="shared" ref="J26:J35" si="16">IF(H$12=0,0,H26/H$12)</f>
        <v>0.27080899407593667</v>
      </c>
      <c r="K26" s="4"/>
      <c r="L26" s="21">
        <f t="shared" ref="L26:L35" si="17">+D26-H26</f>
        <v>-22120.38</v>
      </c>
      <c r="M26" s="4"/>
      <c r="N26" s="32">
        <f t="shared" ref="N26:N35" si="18">IF(H26=0,0,L26/H26)</f>
        <v>-0.99270250536395699</v>
      </c>
      <c r="O26" s="10"/>
      <c r="P26" s="21">
        <f>SUM(OSRRefP22x_0)</f>
        <v>46504.68</v>
      </c>
      <c r="Q26" s="21"/>
      <c r="R26" s="32">
        <f t="shared" ref="R26:R35" si="19">IF(P$12=0,0,P26/P$12)</f>
        <v>0</v>
      </c>
      <c r="S26" s="21"/>
      <c r="T26" s="21">
        <f>SUM(OSRRefT22x_0)</f>
        <v>154967.76999999993</v>
      </c>
      <c r="U26" s="21"/>
      <c r="V26" s="32">
        <f t="shared" ref="V26:V35" si="20">IF(T$12=0,0,T26/T$12)</f>
        <v>0.33528044134159696</v>
      </c>
      <c r="W26" s="4"/>
      <c r="X26" s="21">
        <f t="shared" ref="X26:X35" si="21">+P26-T26</f>
        <v>-108463.08999999994</v>
      </c>
      <c r="Y26" s="4"/>
      <c r="Z26" s="32">
        <f t="shared" ref="Z26:Z35" si="22">IF(T26=0,0,X26/T26)</f>
        <v>-0.69990740655298833</v>
      </c>
    </row>
    <row r="27" spans="1:26" s="25" customFormat="1" outlineLevel="1" collapsed="1" x14ac:dyDescent="0.25">
      <c r="A27" s="27"/>
      <c r="B27" s="13" t="str">
        <f>CONCATENATE("     ","*Benefits                                         ")</f>
        <v xml:space="preserve">     *Benefits                                         </v>
      </c>
      <c r="C27" s="13"/>
      <c r="D27" s="1">
        <f>SUM(OSRRefD22_0x_0)</f>
        <v>0</v>
      </c>
      <c r="E27" s="1"/>
      <c r="F27" s="5">
        <f t="shared" si="15"/>
        <v>0</v>
      </c>
      <c r="G27" s="1"/>
      <c r="H27" s="1">
        <f>SUM(OSRRefH22_0x_0)</f>
        <v>4104.32</v>
      </c>
      <c r="I27" s="1"/>
      <c r="J27" s="5">
        <f t="shared" si="16"/>
        <v>4.9880503943400246E-2</v>
      </c>
      <c r="K27" s="1"/>
      <c r="L27" s="1">
        <f t="shared" si="17"/>
        <v>-4104.32</v>
      </c>
      <c r="M27" s="1"/>
      <c r="N27" s="5">
        <f t="shared" si="18"/>
        <v>-1</v>
      </c>
      <c r="O27" s="13"/>
      <c r="P27" s="1">
        <f>SUM(OSRRefP22_0x_0)</f>
        <v>21787.579999999998</v>
      </c>
      <c r="Q27" s="1"/>
      <c r="R27" s="5">
        <f t="shared" si="19"/>
        <v>0</v>
      </c>
      <c r="S27" s="1"/>
      <c r="T27" s="1">
        <f>SUM(OSRRefT22_0x_0)</f>
        <v>34920.89</v>
      </c>
      <c r="U27" s="1"/>
      <c r="V27" s="5">
        <f t="shared" si="20"/>
        <v>7.5553074108515375E-2</v>
      </c>
      <c r="W27" s="1"/>
      <c r="X27" s="1">
        <f t="shared" si="21"/>
        <v>-13133.310000000001</v>
      </c>
      <c r="Y27" s="1"/>
      <c r="Z27" s="5">
        <f t="shared" si="22"/>
        <v>-0.3760874937608979</v>
      </c>
    </row>
    <row r="28" spans="1:26" s="24" customFormat="1" hidden="1" outlineLevel="2" x14ac:dyDescent="0.25">
      <c r="A28" s="26"/>
      <c r="B28" s="11" t="str">
        <f>CONCATENATE("          ", "6111", " - ", "F.I.C.A.")</f>
        <v xml:space="preserve">          6111 - F.I.C.A.</v>
      </c>
      <c r="C28" s="11"/>
      <c r="D28" s="6"/>
      <c r="E28" s="2"/>
      <c r="F28" s="7">
        <f t="shared" si="15"/>
        <v>0</v>
      </c>
      <c r="G28" s="2"/>
      <c r="H28" s="6">
        <v>407.09</v>
      </c>
      <c r="I28" s="2"/>
      <c r="J28" s="7">
        <f t="shared" si="16"/>
        <v>4.9474344959259528E-3</v>
      </c>
      <c r="K28" s="2"/>
      <c r="L28" s="6">
        <f t="shared" si="17"/>
        <v>-407.09</v>
      </c>
      <c r="M28" s="2"/>
      <c r="N28" s="7">
        <f t="shared" si="18"/>
        <v>-1</v>
      </c>
      <c r="O28" s="11"/>
      <c r="P28" s="6">
        <v>1924.35</v>
      </c>
      <c r="Q28" s="2"/>
      <c r="R28" s="7">
        <f t="shared" si="19"/>
        <v>0</v>
      </c>
      <c r="S28" s="2"/>
      <c r="T28" s="6">
        <v>4032.41</v>
      </c>
      <c r="U28" s="2"/>
      <c r="V28" s="7">
        <f t="shared" si="20"/>
        <v>8.724318640387415E-3</v>
      </c>
      <c r="W28" s="2"/>
      <c r="X28" s="6">
        <f t="shared" si="21"/>
        <v>-2108.06</v>
      </c>
      <c r="Y28" s="2"/>
      <c r="Z28" s="7">
        <f t="shared" si="22"/>
        <v>-0.52277918168043425</v>
      </c>
    </row>
    <row r="29" spans="1:26" s="24" customFormat="1" hidden="1" outlineLevel="2" x14ac:dyDescent="0.25">
      <c r="A29" s="26"/>
      <c r="B29" s="11" t="str">
        <f>CONCATENATE("          ", "6112", " - ", "COMPENSATION INSURANCE")</f>
        <v xml:space="preserve">          6112 - COMPENSATION INSURANCE</v>
      </c>
      <c r="C29" s="11"/>
      <c r="D29" s="6"/>
      <c r="E29" s="2"/>
      <c r="F29" s="7">
        <f t="shared" si="15"/>
        <v>0</v>
      </c>
      <c r="G29" s="2"/>
      <c r="H29" s="6">
        <v>237.13</v>
      </c>
      <c r="I29" s="2"/>
      <c r="J29" s="7">
        <f t="shared" si="16"/>
        <v>2.8818815053647134E-3</v>
      </c>
      <c r="K29" s="2"/>
      <c r="L29" s="6">
        <f t="shared" si="17"/>
        <v>-237.13</v>
      </c>
      <c r="M29" s="2"/>
      <c r="N29" s="7">
        <f t="shared" si="18"/>
        <v>-1</v>
      </c>
      <c r="O29" s="11"/>
      <c r="P29" s="6">
        <v>499.06</v>
      </c>
      <c r="Q29" s="2"/>
      <c r="R29" s="7">
        <f t="shared" si="19"/>
        <v>0</v>
      </c>
      <c r="S29" s="2"/>
      <c r="T29" s="6">
        <v>1449.95</v>
      </c>
      <c r="U29" s="2"/>
      <c r="V29" s="7">
        <f t="shared" si="20"/>
        <v>3.1370385979178042E-3</v>
      </c>
      <c r="W29" s="2"/>
      <c r="X29" s="6">
        <f t="shared" si="21"/>
        <v>-950.8900000000001</v>
      </c>
      <c r="Y29" s="2"/>
      <c r="Z29" s="7">
        <f t="shared" si="22"/>
        <v>-0.65580882099382742</v>
      </c>
    </row>
    <row r="30" spans="1:26" s="24" customFormat="1" hidden="1" outlineLevel="2" x14ac:dyDescent="0.25">
      <c r="A30" s="26"/>
      <c r="B30" s="11" t="str">
        <f>CONCATENATE("          ", "6113", " - ", "GROUP INSURANCE")</f>
        <v xml:space="preserve">          6113 - GROUP INSURANCE</v>
      </c>
      <c r="C30" s="11"/>
      <c r="D30" s="6"/>
      <c r="E30" s="2"/>
      <c r="F30" s="7">
        <f t="shared" si="15"/>
        <v>0</v>
      </c>
      <c r="G30" s="2"/>
      <c r="H30" s="6">
        <v>2021.26</v>
      </c>
      <c r="I30" s="2"/>
      <c r="J30" s="7">
        <f t="shared" si="16"/>
        <v>2.4564718979182224E-2</v>
      </c>
      <c r="K30" s="2"/>
      <c r="L30" s="6">
        <f t="shared" si="17"/>
        <v>-2021.26</v>
      </c>
      <c r="M30" s="2"/>
      <c r="N30" s="7">
        <f t="shared" si="18"/>
        <v>-1</v>
      </c>
      <c r="O30" s="11"/>
      <c r="P30" s="6">
        <v>12083.19</v>
      </c>
      <c r="Q30" s="2"/>
      <c r="R30" s="7">
        <f t="shared" si="19"/>
        <v>0</v>
      </c>
      <c r="S30" s="2"/>
      <c r="T30" s="6">
        <v>16162.34</v>
      </c>
      <c r="U30" s="2"/>
      <c r="V30" s="7">
        <f t="shared" si="20"/>
        <v>3.4968022630208519E-2</v>
      </c>
      <c r="W30" s="2"/>
      <c r="X30" s="6">
        <f t="shared" si="21"/>
        <v>-4079.1499999999996</v>
      </c>
      <c r="Y30" s="2"/>
      <c r="Z30" s="7">
        <f t="shared" si="22"/>
        <v>-0.25238610250743393</v>
      </c>
    </row>
    <row r="31" spans="1:26" s="24" customFormat="1" hidden="1" outlineLevel="2" x14ac:dyDescent="0.25">
      <c r="A31" s="26"/>
      <c r="B31" s="11" t="str">
        <f>CONCATENATE("          ", "6114", " - ", "STATE UNEMPLOYMENT INSURANCE")</f>
        <v xml:space="preserve">          6114 - STATE UNEMPLOYMENT INSURANCE</v>
      </c>
      <c r="C31" s="11"/>
      <c r="D31" s="6"/>
      <c r="E31" s="2"/>
      <c r="F31" s="7">
        <f t="shared" si="15"/>
        <v>0</v>
      </c>
      <c r="G31" s="2"/>
      <c r="H31" s="6">
        <v>32.450000000000003</v>
      </c>
      <c r="I31" s="2"/>
      <c r="J31" s="7">
        <f t="shared" si="16"/>
        <v>3.9437040800018963E-4</v>
      </c>
      <c r="K31" s="2"/>
      <c r="L31" s="6">
        <f t="shared" si="17"/>
        <v>-32.450000000000003</v>
      </c>
      <c r="M31" s="2"/>
      <c r="N31" s="7">
        <f t="shared" si="18"/>
        <v>-1</v>
      </c>
      <c r="O31" s="11"/>
      <c r="P31" s="6">
        <v>70.14</v>
      </c>
      <c r="Q31" s="2"/>
      <c r="R31" s="7">
        <f t="shared" si="19"/>
        <v>0</v>
      </c>
      <c r="S31" s="2"/>
      <c r="T31" s="6">
        <v>231.3</v>
      </c>
      <c r="U31" s="2"/>
      <c r="V31" s="7">
        <f t="shared" si="20"/>
        <v>5.0042899941266116E-4</v>
      </c>
      <c r="W31" s="2"/>
      <c r="X31" s="6">
        <f t="shared" si="21"/>
        <v>-161.16000000000003</v>
      </c>
      <c r="Y31" s="2"/>
      <c r="Z31" s="7">
        <f t="shared" si="22"/>
        <v>-0.69675745784695209</v>
      </c>
    </row>
    <row r="32" spans="1:26" s="24" customFormat="1" hidden="1" outlineLevel="2" x14ac:dyDescent="0.25">
      <c r="A32" s="26"/>
      <c r="B32" s="11" t="str">
        <f>CONCATENATE("          ", "6115", " - ", "P.E.R.S.")</f>
        <v xml:space="preserve">          6115 - P.E.R.S.</v>
      </c>
      <c r="C32" s="11"/>
      <c r="D32" s="6"/>
      <c r="E32" s="2"/>
      <c r="F32" s="7">
        <f t="shared" si="15"/>
        <v>0</v>
      </c>
      <c r="G32" s="2"/>
      <c r="H32" s="6">
        <v>568.97</v>
      </c>
      <c r="I32" s="2"/>
      <c r="J32" s="7">
        <f t="shared" si="16"/>
        <v>6.9147898625537092E-3</v>
      </c>
      <c r="K32" s="2"/>
      <c r="L32" s="6">
        <f t="shared" si="17"/>
        <v>-568.97</v>
      </c>
      <c r="M32" s="2"/>
      <c r="N32" s="7">
        <f t="shared" si="18"/>
        <v>-1</v>
      </c>
      <c r="O32" s="11"/>
      <c r="P32" s="6">
        <v>3490.92</v>
      </c>
      <c r="Q32" s="2"/>
      <c r="R32" s="7">
        <f t="shared" si="19"/>
        <v>0</v>
      </c>
      <c r="S32" s="2"/>
      <c r="T32" s="6">
        <v>5354</v>
      </c>
      <c r="U32" s="2"/>
      <c r="V32" s="7">
        <f t="shared" si="20"/>
        <v>1.1583644024450444E-2</v>
      </c>
      <c r="W32" s="2"/>
      <c r="X32" s="6">
        <f t="shared" si="21"/>
        <v>-1863.08</v>
      </c>
      <c r="Y32" s="2"/>
      <c r="Z32" s="7">
        <f t="shared" si="22"/>
        <v>-0.34797908106088904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6"/>
      <c r="E33" s="2"/>
      <c r="F33" s="7">
        <f t="shared" si="15"/>
        <v>0</v>
      </c>
      <c r="G33" s="2"/>
      <c r="H33" s="6">
        <v>407.06</v>
      </c>
      <c r="I33" s="2"/>
      <c r="J33" s="7">
        <f t="shared" si="16"/>
        <v>4.9470699007875861E-3</v>
      </c>
      <c r="K33" s="2"/>
      <c r="L33" s="6">
        <f t="shared" si="17"/>
        <v>-407.06</v>
      </c>
      <c r="M33" s="2"/>
      <c r="N33" s="7">
        <f t="shared" si="18"/>
        <v>-1</v>
      </c>
      <c r="O33" s="11"/>
      <c r="P33" s="6">
        <v>2035.3</v>
      </c>
      <c r="Q33" s="2"/>
      <c r="R33" s="7">
        <f t="shared" si="19"/>
        <v>0</v>
      </c>
      <c r="S33" s="2"/>
      <c r="T33" s="6">
        <v>3768.9</v>
      </c>
      <c r="U33" s="2"/>
      <c r="V33" s="7">
        <f t="shared" si="20"/>
        <v>8.1542017115710276E-3</v>
      </c>
      <c r="W33" s="2"/>
      <c r="X33" s="6">
        <f t="shared" si="21"/>
        <v>-1733.6000000000001</v>
      </c>
      <c r="Y33" s="2"/>
      <c r="Z33" s="7">
        <f t="shared" si="22"/>
        <v>-0.45997505903579294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6"/>
      <c r="E34" s="2"/>
      <c r="F34" s="7">
        <f t="shared" si="15"/>
        <v>0</v>
      </c>
      <c r="G34" s="2"/>
      <c r="H34" s="6">
        <v>256.76</v>
      </c>
      <c r="I34" s="2"/>
      <c r="J34" s="7">
        <f t="shared" si="16"/>
        <v>3.1204482575694506E-3</v>
      </c>
      <c r="K34" s="2"/>
      <c r="L34" s="6">
        <f t="shared" si="17"/>
        <v>-256.76</v>
      </c>
      <c r="M34" s="2"/>
      <c r="N34" s="7">
        <f t="shared" si="18"/>
        <v>-1</v>
      </c>
      <c r="O34" s="11"/>
      <c r="P34" s="6">
        <v>1283.8</v>
      </c>
      <c r="Q34" s="2"/>
      <c r="R34" s="7">
        <f t="shared" si="19"/>
        <v>0</v>
      </c>
      <c r="S34" s="2"/>
      <c r="T34" s="6">
        <v>2586.88</v>
      </c>
      <c r="U34" s="2"/>
      <c r="V34" s="7">
        <f t="shared" si="20"/>
        <v>5.5968429312608084E-3</v>
      </c>
      <c r="W34" s="2"/>
      <c r="X34" s="6">
        <f t="shared" si="21"/>
        <v>-1303.0800000000002</v>
      </c>
      <c r="Y34" s="2"/>
      <c r="Z34" s="7">
        <f t="shared" si="22"/>
        <v>-0.50372649678377046</v>
      </c>
    </row>
    <row r="35" spans="1:26" s="24" customFormat="1" hidden="1" outlineLevel="2" x14ac:dyDescent="0.25">
      <c r="A35" s="26"/>
      <c r="B35" s="11" t="str">
        <f>CONCATENATE("          ", "6156", " - ", "EMPLOYEE MEALS")</f>
        <v xml:space="preserve">          6156 - EMPLOYEE MEALS</v>
      </c>
      <c r="C35" s="11"/>
      <c r="D35" s="6"/>
      <c r="E35" s="2"/>
      <c r="F35" s="7">
        <f t="shared" si="15"/>
        <v>0</v>
      </c>
      <c r="G35" s="2"/>
      <c r="H35" s="6">
        <v>173.6</v>
      </c>
      <c r="I35" s="2"/>
      <c r="J35" s="7">
        <f t="shared" si="16"/>
        <v>2.1097905340164225E-3</v>
      </c>
      <c r="K35" s="2"/>
      <c r="L35" s="6">
        <f t="shared" si="17"/>
        <v>-173.6</v>
      </c>
      <c r="M35" s="2"/>
      <c r="N35" s="7">
        <f t="shared" si="18"/>
        <v>-1</v>
      </c>
      <c r="O35" s="11"/>
      <c r="P35" s="6">
        <v>400.82</v>
      </c>
      <c r="Q35" s="2"/>
      <c r="R35" s="7">
        <f t="shared" si="19"/>
        <v>0</v>
      </c>
      <c r="S35" s="2"/>
      <c r="T35" s="6">
        <v>1335.11</v>
      </c>
      <c r="U35" s="2"/>
      <c r="V35" s="7">
        <f t="shared" si="20"/>
        <v>2.8885765733066924E-3</v>
      </c>
      <c r="W35" s="2"/>
      <c r="X35" s="6">
        <f t="shared" si="21"/>
        <v>-934.29</v>
      </c>
      <c r="Y35" s="2"/>
      <c r="Z35" s="7">
        <f t="shared" si="22"/>
        <v>-0.69978503643894518</v>
      </c>
    </row>
    <row r="36" spans="1:26" s="25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0</v>
      </c>
      <c r="E36" s="1"/>
      <c r="F36" s="5">
        <f t="shared" ref="F36:F41" si="23">IF(D$12=0,0,D36/D$12)</f>
        <v>0</v>
      </c>
      <c r="G36" s="1"/>
      <c r="H36" s="1">
        <f>SUM(OSRRefH22_1x_0)</f>
        <v>12325.21</v>
      </c>
      <c r="I36" s="1"/>
      <c r="J36" s="5">
        <f t="shared" ref="J36:J41" si="24">IF(H$12=0,0,H36/H$12)</f>
        <v>0.14979038817836721</v>
      </c>
      <c r="K36" s="1"/>
      <c r="L36" s="1">
        <f t="shared" ref="L36:L41" si="25">+D36-H36</f>
        <v>-12325.21</v>
      </c>
      <c r="M36" s="1"/>
      <c r="N36" s="5">
        <f t="shared" ref="N36:N41" si="26">IF(H36=0,0,L36/H36)</f>
        <v>-1</v>
      </c>
      <c r="O36" s="13"/>
      <c r="P36" s="1">
        <f>SUM(OSRRefP22_1x_0)</f>
        <v>23136.42</v>
      </c>
      <c r="Q36" s="1"/>
      <c r="R36" s="5">
        <f t="shared" ref="R36:R41" si="27">IF(P$12=0,0,P36/P$12)</f>
        <v>0</v>
      </c>
      <c r="S36" s="1"/>
      <c r="T36" s="1">
        <f>SUM(OSRRefT22_1x_0)</f>
        <v>91997.86</v>
      </c>
      <c r="U36" s="1"/>
      <c r="V36" s="5">
        <f t="shared" ref="V36:V41" si="28">IF(T$12=0,0,T36/T$12)</f>
        <v>0.19904192402899301</v>
      </c>
      <c r="W36" s="1"/>
      <c r="X36" s="1">
        <f t="shared" ref="X36:X41" si="29">+P36-T36</f>
        <v>-68861.440000000002</v>
      </c>
      <c r="Y36" s="1"/>
      <c r="Z36" s="5">
        <f t="shared" ref="Z36:Z41" si="30">IF(T36=0,0,X36/T36)</f>
        <v>-0.74851132406775556</v>
      </c>
    </row>
    <row r="37" spans="1:26" s="24" customFormat="1" hidden="1" outlineLevel="2" x14ac:dyDescent="0.25">
      <c r="A37" s="26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3"/>
        <v>0</v>
      </c>
      <c r="G37" s="2"/>
      <c r="H37" s="6">
        <v>5566.66</v>
      </c>
      <c r="I37" s="2"/>
      <c r="J37" s="7">
        <f t="shared" si="24"/>
        <v>6.7652572431381675E-2</v>
      </c>
      <c r="K37" s="2"/>
      <c r="L37" s="6">
        <f t="shared" si="25"/>
        <v>-5566.66</v>
      </c>
      <c r="M37" s="2"/>
      <c r="N37" s="7">
        <f t="shared" si="26"/>
        <v>-1</v>
      </c>
      <c r="O37" s="11"/>
      <c r="P37" s="6">
        <v>23136.42</v>
      </c>
      <c r="Q37" s="2"/>
      <c r="R37" s="7">
        <f t="shared" si="27"/>
        <v>0</v>
      </c>
      <c r="S37" s="2"/>
      <c r="T37" s="6">
        <v>46064.45</v>
      </c>
      <c r="U37" s="2"/>
      <c r="V37" s="7">
        <f t="shared" si="28"/>
        <v>9.9662717777754248E-2</v>
      </c>
      <c r="W37" s="2"/>
      <c r="X37" s="6">
        <f t="shared" si="29"/>
        <v>-22928.03</v>
      </c>
      <c r="Y37" s="2"/>
      <c r="Z37" s="7">
        <f t="shared" si="30"/>
        <v>-0.4977380604783081</v>
      </c>
    </row>
    <row r="38" spans="1:26" s="24" customFormat="1" hidden="1" outlineLevel="2" x14ac:dyDescent="0.25">
      <c r="A38" s="26"/>
      <c r="B38" s="11" t="str">
        <f>CONCATENATE("          ", "6005", " - ", "TEMPORARY WAGES-HOURLY")</f>
        <v xml:space="preserve">          6005 - TEMPORARY WAGES-HOURLY</v>
      </c>
      <c r="C38" s="11"/>
      <c r="D38" s="6"/>
      <c r="E38" s="2"/>
      <c r="F38" s="7">
        <f t="shared" si="23"/>
        <v>0</v>
      </c>
      <c r="G38" s="2"/>
      <c r="H38" s="6">
        <v>70.540000000000006</v>
      </c>
      <c r="I38" s="2"/>
      <c r="J38" s="7">
        <f t="shared" si="24"/>
        <v>8.5728470201335515E-4</v>
      </c>
      <c r="K38" s="2"/>
      <c r="L38" s="6">
        <f t="shared" si="25"/>
        <v>-70.540000000000006</v>
      </c>
      <c r="M38" s="2"/>
      <c r="N38" s="7">
        <f t="shared" si="26"/>
        <v>-1</v>
      </c>
      <c r="O38" s="11"/>
      <c r="P38" s="6"/>
      <c r="Q38" s="2"/>
      <c r="R38" s="7">
        <f t="shared" si="27"/>
        <v>0</v>
      </c>
      <c r="S38" s="2"/>
      <c r="T38" s="6">
        <v>1174.26</v>
      </c>
      <c r="U38" s="2"/>
      <c r="V38" s="7">
        <f t="shared" si="28"/>
        <v>2.5405696361881173E-3</v>
      </c>
      <c r="W38" s="2"/>
      <c r="X38" s="6">
        <f t="shared" si="29"/>
        <v>-1174.26</v>
      </c>
      <c r="Y38" s="2"/>
      <c r="Z38" s="7">
        <f t="shared" si="30"/>
        <v>-1</v>
      </c>
    </row>
    <row r="39" spans="1:26" s="24" customFormat="1" hidden="1" outlineLevel="2" x14ac:dyDescent="0.25">
      <c r="A39" s="26"/>
      <c r="B39" s="11" t="str">
        <f>CONCATENATE("          ", "6006", " - ", "TEMPORARY PART TIME")</f>
        <v xml:space="preserve">          6006 - TEMPORARY PART TIME</v>
      </c>
      <c r="C39" s="11"/>
      <c r="D39" s="6"/>
      <c r="E39" s="2"/>
      <c r="F39" s="7">
        <f t="shared" si="23"/>
        <v>0</v>
      </c>
      <c r="G39" s="2"/>
      <c r="H39" s="6">
        <v>160.46</v>
      </c>
      <c r="I39" s="2"/>
      <c r="J39" s="7">
        <f t="shared" si="24"/>
        <v>1.9500978634117234E-3</v>
      </c>
      <c r="K39" s="2"/>
      <c r="L39" s="6">
        <f t="shared" si="25"/>
        <v>-160.46</v>
      </c>
      <c r="M39" s="2"/>
      <c r="N39" s="7">
        <f t="shared" si="26"/>
        <v>-1</v>
      </c>
      <c r="O39" s="11"/>
      <c r="P39" s="6"/>
      <c r="Q39" s="2"/>
      <c r="R39" s="7">
        <f t="shared" si="27"/>
        <v>0</v>
      </c>
      <c r="S39" s="2"/>
      <c r="T39" s="6">
        <v>3206.96</v>
      </c>
      <c r="U39" s="2"/>
      <c r="V39" s="7">
        <f t="shared" si="28"/>
        <v>6.9384167053887936E-3</v>
      </c>
      <c r="W39" s="2"/>
      <c r="X39" s="6">
        <f t="shared" si="29"/>
        <v>-3206.96</v>
      </c>
      <c r="Y39" s="2"/>
      <c r="Z39" s="7">
        <f t="shared" si="30"/>
        <v>-1</v>
      </c>
    </row>
    <row r="40" spans="1:26" s="24" customFormat="1" hidden="1" outlineLevel="2" x14ac:dyDescent="0.25">
      <c r="A40" s="26"/>
      <c r="B40" s="11" t="str">
        <f>CONCATENATE("          ", "6007", " - ", "STUDENT HOURLY")</f>
        <v xml:space="preserve">          6007 - STUDENT HOURLY</v>
      </c>
      <c r="C40" s="11"/>
      <c r="D40" s="6"/>
      <c r="E40" s="2"/>
      <c r="F40" s="7">
        <f t="shared" si="23"/>
        <v>0</v>
      </c>
      <c r="G40" s="2"/>
      <c r="H40" s="6">
        <v>6527.55</v>
      </c>
      <c r="I40" s="2"/>
      <c r="J40" s="7">
        <f t="shared" si="24"/>
        <v>7.9330433181560481E-2</v>
      </c>
      <c r="K40" s="2"/>
      <c r="L40" s="6">
        <f t="shared" si="25"/>
        <v>-6527.55</v>
      </c>
      <c r="M40" s="2"/>
      <c r="N40" s="7">
        <f t="shared" si="26"/>
        <v>-1</v>
      </c>
      <c r="O40" s="11"/>
      <c r="P40" s="6"/>
      <c r="Q40" s="2"/>
      <c r="R40" s="7">
        <f t="shared" si="27"/>
        <v>0</v>
      </c>
      <c r="S40" s="2"/>
      <c r="T40" s="6">
        <v>37996.71</v>
      </c>
      <c r="U40" s="2"/>
      <c r="V40" s="7">
        <f t="shared" si="28"/>
        <v>8.220776293243863E-2</v>
      </c>
      <c r="W40" s="2"/>
      <c r="X40" s="6">
        <f t="shared" si="29"/>
        <v>-37996.71</v>
      </c>
      <c r="Y40" s="2"/>
      <c r="Z40" s="7">
        <f t="shared" si="30"/>
        <v>-1</v>
      </c>
    </row>
    <row r="41" spans="1:26" s="24" customFormat="1" hidden="1" outlineLevel="2" x14ac:dyDescent="0.25">
      <c r="A41" s="26"/>
      <c r="B41" s="11" t="str">
        <f>CONCATENATE("          ", "6008", " - ", "STUDENT HOURLY-FICA EXEMPT")</f>
        <v xml:space="preserve">          6008 - STUDENT HOURLY-FICA EXEMPT</v>
      </c>
      <c r="C41" s="11"/>
      <c r="D41" s="6"/>
      <c r="E41" s="2"/>
      <c r="F41" s="7">
        <f t="shared" si="23"/>
        <v>0</v>
      </c>
      <c r="G41" s="2"/>
      <c r="H41" s="6"/>
      <c r="I41" s="2"/>
      <c r="J41" s="7">
        <f t="shared" si="24"/>
        <v>0</v>
      </c>
      <c r="K41" s="2"/>
      <c r="L41" s="6">
        <f t="shared" si="25"/>
        <v>0</v>
      </c>
      <c r="M41" s="2"/>
      <c r="N41" s="7">
        <f t="shared" si="26"/>
        <v>0</v>
      </c>
      <c r="O41" s="11"/>
      <c r="P41" s="6"/>
      <c r="Q41" s="2"/>
      <c r="R41" s="7">
        <f t="shared" si="27"/>
        <v>0</v>
      </c>
      <c r="S41" s="2"/>
      <c r="T41" s="6">
        <v>3555.48</v>
      </c>
      <c r="U41" s="2"/>
      <c r="V41" s="7">
        <f t="shared" si="28"/>
        <v>7.6924569772232098E-3</v>
      </c>
      <c r="W41" s="2"/>
      <c r="X41" s="6">
        <f t="shared" si="29"/>
        <v>-3555.48</v>
      </c>
      <c r="Y41" s="2"/>
      <c r="Z41" s="7">
        <f t="shared" si="30"/>
        <v>-1</v>
      </c>
    </row>
    <row r="42" spans="1:26" s="25" customFormat="1" outlineLevel="1" collapsed="1" x14ac:dyDescent="0.25">
      <c r="A42" s="27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0</v>
      </c>
      <c r="E42" s="1"/>
      <c r="F42" s="5">
        <f t="shared" ref="F42:F57" si="31">IF(D$12=0,0,D42/D$12)</f>
        <v>0</v>
      </c>
      <c r="G42" s="1"/>
      <c r="H42" s="1">
        <f>SUM(OSRRefH22_2x_0)</f>
        <v>203.82</v>
      </c>
      <c r="I42" s="1"/>
      <c r="J42" s="5">
        <f t="shared" ref="J42:J57" si="32">IF(H$12=0,0,H42/H$12)</f>
        <v>2.4770593700646731E-3</v>
      </c>
      <c r="K42" s="1"/>
      <c r="L42" s="1">
        <f t="shared" ref="L42:L57" si="33">+D42-H42</f>
        <v>-203.82</v>
      </c>
      <c r="M42" s="1"/>
      <c r="N42" s="5">
        <f t="shared" ref="N42:N57" si="34">IF(H42=0,0,L42/H42)</f>
        <v>-1</v>
      </c>
      <c r="O42" s="13"/>
      <c r="P42" s="1">
        <f>SUM(OSRRefP22_2x_0)</f>
        <v>0</v>
      </c>
      <c r="Q42" s="1"/>
      <c r="R42" s="5">
        <f t="shared" ref="R42:R57" si="35">IF(P$12=0,0,P42/P$12)</f>
        <v>0</v>
      </c>
      <c r="S42" s="1"/>
      <c r="T42" s="1">
        <f>SUM(OSRRefT22_2x_0)</f>
        <v>1415.23</v>
      </c>
      <c r="U42" s="1"/>
      <c r="V42" s="5">
        <f t="shared" ref="V42:V57" si="36">IF(T$12=0,0,T42/T$12)</f>
        <v>3.061920159268398E-3</v>
      </c>
      <c r="W42" s="1"/>
      <c r="X42" s="1">
        <f t="shared" ref="X42:X57" si="37">+P42-T42</f>
        <v>-1415.23</v>
      </c>
      <c r="Y42" s="1"/>
      <c r="Z42" s="5">
        <f t="shared" ref="Z42:Z57" si="38">IF(T42=0,0,X42/T42)</f>
        <v>-1</v>
      </c>
    </row>
    <row r="43" spans="1:26" s="24" customFormat="1" hidden="1" outlineLevel="2" x14ac:dyDescent="0.25">
      <c r="A43" s="26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31"/>
        <v>0</v>
      </c>
      <c r="G43" s="2"/>
      <c r="H43" s="6">
        <v>203.82</v>
      </c>
      <c r="I43" s="2"/>
      <c r="J43" s="7">
        <f t="shared" si="32"/>
        <v>2.4770593700646731E-3</v>
      </c>
      <c r="K43" s="2"/>
      <c r="L43" s="6">
        <f t="shared" si="33"/>
        <v>-203.82</v>
      </c>
      <c r="M43" s="2"/>
      <c r="N43" s="7">
        <f t="shared" si="34"/>
        <v>-1</v>
      </c>
      <c r="O43" s="11"/>
      <c r="P43" s="6"/>
      <c r="Q43" s="2"/>
      <c r="R43" s="7">
        <f t="shared" si="35"/>
        <v>0</v>
      </c>
      <c r="S43" s="2"/>
      <c r="T43" s="6">
        <v>1415.23</v>
      </c>
      <c r="U43" s="2"/>
      <c r="V43" s="7">
        <f t="shared" si="36"/>
        <v>3.061920159268398E-3</v>
      </c>
      <c r="W43" s="2"/>
      <c r="X43" s="6">
        <f t="shared" si="37"/>
        <v>-1415.23</v>
      </c>
      <c r="Y43" s="2"/>
      <c r="Z43" s="7">
        <f t="shared" si="38"/>
        <v>-1</v>
      </c>
    </row>
    <row r="44" spans="1:26" s="25" customFormat="1" outlineLevel="1" collapsed="1" x14ac:dyDescent="0.25">
      <c r="A44" s="27"/>
      <c r="B44" s="13" t="str">
        <f>CONCATENATE("     ","Bad Debts/Over/Short                              ")</f>
        <v xml:space="preserve">     Bad Debts/Over/Short                              </v>
      </c>
      <c r="C44" s="13"/>
      <c r="D44" s="1">
        <f>SUM(OSRRefD22_3x_0)</f>
        <v>0</v>
      </c>
      <c r="E44" s="1"/>
      <c r="F44" s="5">
        <f t="shared" si="31"/>
        <v>0</v>
      </c>
      <c r="G44" s="1"/>
      <c r="H44" s="1">
        <f>SUM(OSRRefH22_3x_0)</f>
        <v>-26.37</v>
      </c>
      <c r="I44" s="1"/>
      <c r="J44" s="5">
        <f t="shared" si="32"/>
        <v>-3.2047912662449922E-4</v>
      </c>
      <c r="K44" s="1"/>
      <c r="L44" s="1">
        <f t="shared" si="33"/>
        <v>26.37</v>
      </c>
      <c r="M44" s="1"/>
      <c r="N44" s="5">
        <f t="shared" si="34"/>
        <v>-1</v>
      </c>
      <c r="O44" s="13"/>
      <c r="P44" s="1">
        <f>SUM(OSRRefP22_3x_0)</f>
        <v>0</v>
      </c>
      <c r="Q44" s="1"/>
      <c r="R44" s="5">
        <f t="shared" si="35"/>
        <v>0</v>
      </c>
      <c r="S44" s="1"/>
      <c r="T44" s="1">
        <f>SUM(OSRRefT22_3x_0)</f>
        <v>-184.19</v>
      </c>
      <c r="U44" s="1"/>
      <c r="V44" s="5">
        <f t="shared" si="36"/>
        <v>-3.9850418245489867E-4</v>
      </c>
      <c r="W44" s="1"/>
      <c r="X44" s="1">
        <f t="shared" si="37"/>
        <v>184.19</v>
      </c>
      <c r="Y44" s="1"/>
      <c r="Z44" s="5">
        <f t="shared" si="38"/>
        <v>-1</v>
      </c>
    </row>
    <row r="45" spans="1:26" s="24" customFormat="1" hidden="1" outlineLevel="2" x14ac:dyDescent="0.25">
      <c r="A45" s="26"/>
      <c r="B45" s="11" t="str">
        <f>CONCATENATE("          ", "6272", " - ", "CASH (OVER/SHORT)")</f>
        <v xml:space="preserve">          6272 - CASH (OVER/SHORT)</v>
      </c>
      <c r="C45" s="11"/>
      <c r="D45" s="6"/>
      <c r="E45" s="2"/>
      <c r="F45" s="7">
        <f t="shared" si="31"/>
        <v>0</v>
      </c>
      <c r="G45" s="2"/>
      <c r="H45" s="6">
        <v>-26.37</v>
      </c>
      <c r="I45" s="2"/>
      <c r="J45" s="7">
        <f t="shared" si="32"/>
        <v>-3.2047912662449922E-4</v>
      </c>
      <c r="K45" s="2"/>
      <c r="L45" s="6">
        <f t="shared" si="33"/>
        <v>26.37</v>
      </c>
      <c r="M45" s="2"/>
      <c r="N45" s="7">
        <f t="shared" si="34"/>
        <v>-1</v>
      </c>
      <c r="O45" s="11"/>
      <c r="P45" s="6"/>
      <c r="Q45" s="2"/>
      <c r="R45" s="7">
        <f t="shared" si="35"/>
        <v>0</v>
      </c>
      <c r="S45" s="2"/>
      <c r="T45" s="6">
        <v>-184.19</v>
      </c>
      <c r="U45" s="2"/>
      <c r="V45" s="7">
        <f t="shared" si="36"/>
        <v>-3.9850418245489867E-4</v>
      </c>
      <c r="W45" s="2"/>
      <c r="X45" s="6">
        <f t="shared" si="37"/>
        <v>184.19</v>
      </c>
      <c r="Y45" s="2"/>
      <c r="Z45" s="7">
        <f t="shared" si="38"/>
        <v>-1</v>
      </c>
    </row>
    <row r="46" spans="1:26" s="25" customFormat="1" outlineLevel="1" collapsed="1" x14ac:dyDescent="0.25">
      <c r="A46" s="27"/>
      <c r="B46" s="13" t="str">
        <f>CONCATENATE("     ","Bank/card Fees                                    ")</f>
        <v xml:space="preserve">     Bank/card Fees                                    </v>
      </c>
      <c r="C46" s="13"/>
      <c r="D46" s="1">
        <f>SUM(OSRRefD22_4x_0)</f>
        <v>0</v>
      </c>
      <c r="E46" s="1"/>
      <c r="F46" s="5">
        <f t="shared" si="31"/>
        <v>0</v>
      </c>
      <c r="G46" s="1"/>
      <c r="H46" s="1">
        <f>SUM(OSRRefH22_4x_0)</f>
        <v>3337.48</v>
      </c>
      <c r="I46" s="1"/>
      <c r="J46" s="5">
        <f t="shared" si="32"/>
        <v>4.0560966079891299E-2</v>
      </c>
      <c r="K46" s="1"/>
      <c r="L46" s="1">
        <f t="shared" si="33"/>
        <v>-3337.48</v>
      </c>
      <c r="M46" s="1"/>
      <c r="N46" s="5">
        <f t="shared" si="34"/>
        <v>-1</v>
      </c>
      <c r="O46" s="13"/>
      <c r="P46" s="1">
        <f>SUM(OSRRefP22_4x_0)</f>
        <v>240</v>
      </c>
      <c r="Q46" s="1"/>
      <c r="R46" s="5">
        <f t="shared" si="35"/>
        <v>0</v>
      </c>
      <c r="S46" s="1"/>
      <c r="T46" s="1">
        <f>SUM(OSRRefT22_4x_0)</f>
        <v>16324.5</v>
      </c>
      <c r="U46" s="1"/>
      <c r="V46" s="5">
        <f t="shared" si="36"/>
        <v>3.5318863817172447E-2</v>
      </c>
      <c r="W46" s="1"/>
      <c r="X46" s="1">
        <f t="shared" si="37"/>
        <v>-16084.5</v>
      </c>
      <c r="Y46" s="1"/>
      <c r="Z46" s="5">
        <f t="shared" si="38"/>
        <v>-0.98529817146007537</v>
      </c>
    </row>
    <row r="47" spans="1:26" s="24" customFormat="1" hidden="1" outlineLevel="2" x14ac:dyDescent="0.25">
      <c r="A47" s="26"/>
      <c r="B47" s="11" t="str">
        <f>CONCATENATE("          ", "6381", " - ", "BANK/CREDIT CARD FEES")</f>
        <v xml:space="preserve">          6381 - BANK/CREDIT CARD FEES</v>
      </c>
      <c r="C47" s="11"/>
      <c r="D47" s="6"/>
      <c r="E47" s="2"/>
      <c r="F47" s="7">
        <f t="shared" si="31"/>
        <v>0</v>
      </c>
      <c r="G47" s="2"/>
      <c r="H47" s="6">
        <v>3337.48</v>
      </c>
      <c r="I47" s="2"/>
      <c r="J47" s="7">
        <f t="shared" si="32"/>
        <v>4.0560966079891299E-2</v>
      </c>
      <c r="K47" s="2"/>
      <c r="L47" s="6">
        <f t="shared" si="33"/>
        <v>-3337.48</v>
      </c>
      <c r="M47" s="2"/>
      <c r="N47" s="7">
        <f t="shared" si="34"/>
        <v>-1</v>
      </c>
      <c r="O47" s="11"/>
      <c r="P47" s="6">
        <v>240</v>
      </c>
      <c r="Q47" s="2"/>
      <c r="R47" s="7">
        <f t="shared" si="35"/>
        <v>0</v>
      </c>
      <c r="S47" s="2"/>
      <c r="T47" s="6">
        <v>16324.5</v>
      </c>
      <c r="U47" s="2"/>
      <c r="V47" s="7">
        <f t="shared" si="36"/>
        <v>3.5318863817172447E-2</v>
      </c>
      <c r="W47" s="2"/>
      <c r="X47" s="6">
        <f t="shared" si="37"/>
        <v>-16084.5</v>
      </c>
      <c r="Y47" s="2"/>
      <c r="Z47" s="7">
        <f t="shared" si="38"/>
        <v>-0.98529817146007537</v>
      </c>
    </row>
    <row r="48" spans="1:26" s="25" customFormat="1" outlineLevel="1" collapsed="1" x14ac:dyDescent="0.25">
      <c r="A48" s="27"/>
      <c r="B48" s="13" t="str">
        <f>CONCATENATE("     ","Discounts and Markdowns                           ")</f>
        <v xml:space="preserve">     Discounts and Markdowns                           </v>
      </c>
      <c r="C48" s="13"/>
      <c r="D48" s="1">
        <f>SUM(OSRRefD22_5x_0)</f>
        <v>0</v>
      </c>
      <c r="E48" s="1"/>
      <c r="F48" s="5">
        <f t="shared" si="31"/>
        <v>0</v>
      </c>
      <c r="G48" s="1"/>
      <c r="H48" s="1">
        <f>SUM(OSRRefH22_5x_0)</f>
        <v>11.81</v>
      </c>
      <c r="I48" s="1"/>
      <c r="J48" s="5">
        <f t="shared" si="32"/>
        <v>1.4352895280376701E-4</v>
      </c>
      <c r="K48" s="1"/>
      <c r="L48" s="1">
        <f t="shared" si="33"/>
        <v>-11.81</v>
      </c>
      <c r="M48" s="1"/>
      <c r="N48" s="5">
        <f t="shared" si="34"/>
        <v>-1</v>
      </c>
      <c r="O48" s="13"/>
      <c r="P48" s="1">
        <f>SUM(OSRRefP22_5x_0)</f>
        <v>0</v>
      </c>
      <c r="Q48" s="1"/>
      <c r="R48" s="5">
        <f t="shared" si="35"/>
        <v>0</v>
      </c>
      <c r="S48" s="1"/>
      <c r="T48" s="1">
        <f>SUM(OSRRefT22_5x_0)</f>
        <v>119.96</v>
      </c>
      <c r="U48" s="1"/>
      <c r="V48" s="5">
        <f t="shared" si="36"/>
        <v>2.5953939805249817E-4</v>
      </c>
      <c r="W48" s="1"/>
      <c r="X48" s="1">
        <f t="shared" si="37"/>
        <v>-119.96</v>
      </c>
      <c r="Y48" s="1"/>
      <c r="Z48" s="5">
        <f t="shared" si="38"/>
        <v>-1</v>
      </c>
    </row>
    <row r="49" spans="1:26" s="24" customFormat="1" hidden="1" outlineLevel="2" x14ac:dyDescent="0.25">
      <c r="A49" s="26"/>
      <c r="B49" s="11" t="str">
        <f>CONCATENATE("          ", "6382", " - ", "DISCOUNTS/MARK DOWNS")</f>
        <v xml:space="preserve">          6382 - DISCOUNTS/MARK DOWNS</v>
      </c>
      <c r="C49" s="11"/>
      <c r="D49" s="6"/>
      <c r="E49" s="2"/>
      <c r="F49" s="7">
        <f t="shared" si="31"/>
        <v>0</v>
      </c>
      <c r="G49" s="2"/>
      <c r="H49" s="6">
        <v>11.81</v>
      </c>
      <c r="I49" s="2"/>
      <c r="J49" s="7">
        <f t="shared" si="32"/>
        <v>1.4352895280376701E-4</v>
      </c>
      <c r="K49" s="2"/>
      <c r="L49" s="6">
        <f t="shared" si="33"/>
        <v>-11.81</v>
      </c>
      <c r="M49" s="2"/>
      <c r="N49" s="7">
        <f t="shared" si="34"/>
        <v>-1</v>
      </c>
      <c r="O49" s="11"/>
      <c r="P49" s="6"/>
      <c r="Q49" s="2"/>
      <c r="R49" s="7">
        <f t="shared" si="35"/>
        <v>0</v>
      </c>
      <c r="S49" s="2"/>
      <c r="T49" s="6">
        <v>119.96</v>
      </c>
      <c r="U49" s="2"/>
      <c r="V49" s="7">
        <f t="shared" si="36"/>
        <v>2.5953939805249817E-4</v>
      </c>
      <c r="W49" s="2"/>
      <c r="X49" s="6">
        <f t="shared" si="37"/>
        <v>-119.96</v>
      </c>
      <c r="Y49" s="2"/>
      <c r="Z49" s="7">
        <f t="shared" si="38"/>
        <v>-1</v>
      </c>
    </row>
    <row r="50" spans="1:26" s="25" customFormat="1" outlineLevel="1" collapsed="1" x14ac:dyDescent="0.25">
      <c r="A50" s="27"/>
      <c r="B50" s="13" t="str">
        <f>CONCATENATE("     ","Freight out/Postage                               ")</f>
        <v xml:space="preserve">     Freight out/Postage                               </v>
      </c>
      <c r="C50" s="13"/>
      <c r="D50" s="1">
        <f>SUM(OSRRefD22_6x_0)</f>
        <v>90.46</v>
      </c>
      <c r="E50" s="1"/>
      <c r="F50" s="5">
        <f t="shared" si="31"/>
        <v>0</v>
      </c>
      <c r="G50" s="1"/>
      <c r="H50" s="1">
        <f>SUM(OSRRefH22_6x_0)</f>
        <v>20.83</v>
      </c>
      <c r="I50" s="1"/>
      <c r="J50" s="5">
        <f t="shared" si="32"/>
        <v>2.5315055773941287E-4</v>
      </c>
      <c r="K50" s="1"/>
      <c r="L50" s="1">
        <f t="shared" si="33"/>
        <v>69.63</v>
      </c>
      <c r="M50" s="1"/>
      <c r="N50" s="5">
        <f t="shared" si="34"/>
        <v>3.342774843975036</v>
      </c>
      <c r="O50" s="13"/>
      <c r="P50" s="1">
        <f>SUM(OSRRefP22_6x_0)</f>
        <v>207.89</v>
      </c>
      <c r="Q50" s="1"/>
      <c r="R50" s="5">
        <f t="shared" si="35"/>
        <v>0</v>
      </c>
      <c r="S50" s="1"/>
      <c r="T50" s="1">
        <f>SUM(OSRRefT22_6x_0)</f>
        <v>254.46</v>
      </c>
      <c r="U50" s="1"/>
      <c r="V50" s="5">
        <f t="shared" si="36"/>
        <v>5.5053680583893542E-4</v>
      </c>
      <c r="W50" s="1"/>
      <c r="X50" s="1">
        <f t="shared" si="37"/>
        <v>-46.570000000000022</v>
      </c>
      <c r="Y50" s="1"/>
      <c r="Z50" s="5">
        <f t="shared" si="38"/>
        <v>-0.18301501218266139</v>
      </c>
    </row>
    <row r="51" spans="1:26" s="24" customFormat="1" hidden="1" outlineLevel="2" x14ac:dyDescent="0.25">
      <c r="A51" s="26"/>
      <c r="B51" s="11" t="str">
        <f>CONCATENATE("          ", "6305", " - ", "FREIGHT OUT")</f>
        <v xml:space="preserve">          6305 - FREIGHT OUT</v>
      </c>
      <c r="C51" s="11"/>
      <c r="D51" s="6">
        <v>90.46</v>
      </c>
      <c r="E51" s="2"/>
      <c r="F51" s="7">
        <f t="shared" si="31"/>
        <v>0</v>
      </c>
      <c r="G51" s="2"/>
      <c r="H51" s="6">
        <v>20.83</v>
      </c>
      <c r="I51" s="2"/>
      <c r="J51" s="7">
        <f t="shared" si="32"/>
        <v>2.5315055773941287E-4</v>
      </c>
      <c r="K51" s="2"/>
      <c r="L51" s="6">
        <f t="shared" si="33"/>
        <v>69.63</v>
      </c>
      <c r="M51" s="2"/>
      <c r="N51" s="7">
        <f t="shared" si="34"/>
        <v>3.342774843975036</v>
      </c>
      <c r="O51" s="11"/>
      <c r="P51" s="6">
        <v>207.89</v>
      </c>
      <c r="Q51" s="2"/>
      <c r="R51" s="7">
        <f t="shared" si="35"/>
        <v>0</v>
      </c>
      <c r="S51" s="2"/>
      <c r="T51" s="6">
        <v>254.46</v>
      </c>
      <c r="U51" s="2"/>
      <c r="V51" s="7">
        <f t="shared" si="36"/>
        <v>5.5053680583893542E-4</v>
      </c>
      <c r="W51" s="2"/>
      <c r="X51" s="6">
        <f t="shared" si="37"/>
        <v>-46.570000000000022</v>
      </c>
      <c r="Y51" s="2"/>
      <c r="Z51" s="7">
        <f t="shared" si="38"/>
        <v>-0.18301501218266139</v>
      </c>
    </row>
    <row r="52" spans="1:26" s="25" customFormat="1" outlineLevel="1" collapsed="1" x14ac:dyDescent="0.25">
      <c r="A52" s="27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SUM(OSRRefD22_7x_0)</f>
        <v>0</v>
      </c>
      <c r="E52" s="1"/>
      <c r="F52" s="5">
        <f t="shared" si="31"/>
        <v>0</v>
      </c>
      <c r="G52" s="1"/>
      <c r="H52" s="1">
        <f>SUM(OSRRefH22_7x_0)</f>
        <v>49.3</v>
      </c>
      <c r="I52" s="1"/>
      <c r="J52" s="5">
        <f t="shared" si="32"/>
        <v>5.9915134404959461E-4</v>
      </c>
      <c r="K52" s="1"/>
      <c r="L52" s="1">
        <f t="shared" si="33"/>
        <v>-49.3</v>
      </c>
      <c r="M52" s="1"/>
      <c r="N52" s="5">
        <f t="shared" si="34"/>
        <v>-1</v>
      </c>
      <c r="O52" s="13"/>
      <c r="P52" s="1">
        <f>SUM(OSRRefP22_7x_0)</f>
        <v>160</v>
      </c>
      <c r="Q52" s="1"/>
      <c r="R52" s="5">
        <f t="shared" si="35"/>
        <v>0</v>
      </c>
      <c r="S52" s="1"/>
      <c r="T52" s="1">
        <f>SUM(OSRRefT22_7x_0)</f>
        <v>1192.3499999999999</v>
      </c>
      <c r="U52" s="1"/>
      <c r="V52" s="5">
        <f t="shared" si="36"/>
        <v>2.5797082466480175E-3</v>
      </c>
      <c r="W52" s="1"/>
      <c r="X52" s="1">
        <f t="shared" si="37"/>
        <v>-1032.3499999999999</v>
      </c>
      <c r="Y52" s="1"/>
      <c r="Z52" s="5">
        <f t="shared" si="38"/>
        <v>-0.86581121315050114</v>
      </c>
    </row>
    <row r="53" spans="1:26" s="24" customFormat="1" hidden="1" outlineLevel="2" x14ac:dyDescent="0.25">
      <c r="A53" s="26"/>
      <c r="B53" s="11" t="str">
        <f>CONCATENATE("          ", "6279", " - ", "GENERAL EXPENSE")</f>
        <v xml:space="preserve">          6279 - GENERAL EXPENSE</v>
      </c>
      <c r="C53" s="11"/>
      <c r="D53" s="6"/>
      <c r="E53" s="2"/>
      <c r="F53" s="7">
        <f t="shared" si="31"/>
        <v>0</v>
      </c>
      <c r="G53" s="2"/>
      <c r="H53" s="6">
        <v>49.3</v>
      </c>
      <c r="I53" s="2"/>
      <c r="J53" s="7">
        <f t="shared" si="32"/>
        <v>5.9915134404959461E-4</v>
      </c>
      <c r="K53" s="2"/>
      <c r="L53" s="6">
        <f t="shared" si="33"/>
        <v>-49.3</v>
      </c>
      <c r="M53" s="2"/>
      <c r="N53" s="7">
        <f t="shared" si="34"/>
        <v>-1</v>
      </c>
      <c r="O53" s="11"/>
      <c r="P53" s="6">
        <v>160</v>
      </c>
      <c r="Q53" s="2"/>
      <c r="R53" s="7">
        <f t="shared" si="35"/>
        <v>0</v>
      </c>
      <c r="S53" s="2"/>
      <c r="T53" s="6">
        <v>1192.3499999999999</v>
      </c>
      <c r="U53" s="2"/>
      <c r="V53" s="7">
        <f t="shared" si="36"/>
        <v>2.5797082466480175E-3</v>
      </c>
      <c r="W53" s="2"/>
      <c r="X53" s="6">
        <f t="shared" si="37"/>
        <v>-1032.3499999999999</v>
      </c>
      <c r="Y53" s="2"/>
      <c r="Z53" s="7">
        <f t="shared" si="38"/>
        <v>-0.86581121315050114</v>
      </c>
    </row>
    <row r="54" spans="1:26" s="25" customFormat="1" outlineLevel="1" collapsed="1" x14ac:dyDescent="0.25">
      <c r="A54" s="27"/>
      <c r="B54" s="13" t="str">
        <f>CONCATENATE("     ","Repair and Maintenance                            ")</f>
        <v xml:space="preserve">     Repair and Maintenance                            </v>
      </c>
      <c r="C54" s="13"/>
      <c r="D54" s="1">
        <f>SUM(OSRRefD22_8x_0)</f>
        <v>0</v>
      </c>
      <c r="E54" s="1"/>
      <c r="F54" s="5">
        <f t="shared" si="31"/>
        <v>0</v>
      </c>
      <c r="G54" s="1"/>
      <c r="H54" s="1">
        <f>SUM(OSRRefH22_8x_0)</f>
        <v>0</v>
      </c>
      <c r="I54" s="1"/>
      <c r="J54" s="5">
        <f t="shared" si="32"/>
        <v>0</v>
      </c>
      <c r="K54" s="1"/>
      <c r="L54" s="1">
        <f t="shared" si="33"/>
        <v>0</v>
      </c>
      <c r="M54" s="1"/>
      <c r="N54" s="5">
        <f t="shared" si="34"/>
        <v>0</v>
      </c>
      <c r="O54" s="13"/>
      <c r="P54" s="1">
        <f>SUM(OSRRefP22_8x_0)</f>
        <v>48.24</v>
      </c>
      <c r="Q54" s="1"/>
      <c r="R54" s="5">
        <f t="shared" si="35"/>
        <v>0</v>
      </c>
      <c r="S54" s="1"/>
      <c r="T54" s="1">
        <f>SUM(OSRRefT22_8x_0)</f>
        <v>1064.5</v>
      </c>
      <c r="U54" s="1"/>
      <c r="V54" s="5">
        <f t="shared" si="36"/>
        <v>2.3030984430383824E-3</v>
      </c>
      <c r="W54" s="1"/>
      <c r="X54" s="1">
        <f t="shared" si="37"/>
        <v>-1016.26</v>
      </c>
      <c r="Y54" s="1"/>
      <c r="Z54" s="5">
        <f t="shared" si="38"/>
        <v>-0.95468294974166279</v>
      </c>
    </row>
    <row r="55" spans="1:26" s="24" customFormat="1" hidden="1" outlineLevel="2" x14ac:dyDescent="0.25">
      <c r="A55" s="26"/>
      <c r="B55" s="11" t="str">
        <f>CONCATENATE("          ", "6371", " - ", "COMPUTER SOFTWARE MAINTENANCE")</f>
        <v xml:space="preserve">          6371 - COMPUTER SOFTWARE MAINTENANCE</v>
      </c>
      <c r="C55" s="11"/>
      <c r="D55" s="6"/>
      <c r="E55" s="2"/>
      <c r="F55" s="7">
        <f t="shared" si="31"/>
        <v>0</v>
      </c>
      <c r="G55" s="2"/>
      <c r="H55" s="6"/>
      <c r="I55" s="2"/>
      <c r="J55" s="7">
        <f t="shared" si="32"/>
        <v>0</v>
      </c>
      <c r="K55" s="2"/>
      <c r="L55" s="6">
        <f t="shared" si="33"/>
        <v>0</v>
      </c>
      <c r="M55" s="2"/>
      <c r="N55" s="7">
        <f t="shared" si="34"/>
        <v>0</v>
      </c>
      <c r="O55" s="11"/>
      <c r="P55" s="6"/>
      <c r="Q55" s="2"/>
      <c r="R55" s="7">
        <f t="shared" si="35"/>
        <v>0</v>
      </c>
      <c r="S55" s="2"/>
      <c r="T55" s="6">
        <v>437.31</v>
      </c>
      <c r="U55" s="2"/>
      <c r="V55" s="7">
        <f t="shared" si="36"/>
        <v>9.4614183196347105E-4</v>
      </c>
      <c r="W55" s="2"/>
      <c r="X55" s="6">
        <f t="shared" si="37"/>
        <v>-437.31</v>
      </c>
      <c r="Y55" s="2"/>
      <c r="Z55" s="7">
        <f t="shared" si="38"/>
        <v>-1</v>
      </c>
    </row>
    <row r="56" spans="1:26" s="24" customFormat="1" hidden="1" outlineLevel="2" x14ac:dyDescent="0.25">
      <c r="A56" s="26"/>
      <c r="B56" s="11" t="str">
        <f>CONCATENATE("          ", "6373", " - ", "MAINTENANCE CONTRACTS")</f>
        <v xml:space="preserve">          6373 - MAINTENANCE CONTRACTS</v>
      </c>
      <c r="C56" s="11"/>
      <c r="D56" s="6"/>
      <c r="E56" s="2"/>
      <c r="F56" s="7">
        <f t="shared" si="31"/>
        <v>0</v>
      </c>
      <c r="G56" s="2"/>
      <c r="H56" s="6"/>
      <c r="I56" s="2"/>
      <c r="J56" s="7">
        <f t="shared" si="32"/>
        <v>0</v>
      </c>
      <c r="K56" s="2"/>
      <c r="L56" s="6">
        <f t="shared" si="33"/>
        <v>0</v>
      </c>
      <c r="M56" s="2"/>
      <c r="N56" s="7">
        <f t="shared" si="34"/>
        <v>0</v>
      </c>
      <c r="O56" s="11"/>
      <c r="P56" s="6">
        <v>48.24</v>
      </c>
      <c r="Q56" s="2"/>
      <c r="R56" s="7">
        <f t="shared" si="35"/>
        <v>0</v>
      </c>
      <c r="S56" s="2"/>
      <c r="T56" s="6">
        <v>46.61</v>
      </c>
      <c r="U56" s="2"/>
      <c r="V56" s="7">
        <f t="shared" si="36"/>
        <v>1.0084304220762705E-4</v>
      </c>
      <c r="W56" s="2"/>
      <c r="X56" s="6">
        <f t="shared" si="37"/>
        <v>1.6300000000000026</v>
      </c>
      <c r="Y56" s="2"/>
      <c r="Z56" s="7">
        <f t="shared" si="38"/>
        <v>3.4971036258313722E-2</v>
      </c>
    </row>
    <row r="57" spans="1:26" s="24" customFormat="1" hidden="1" outlineLevel="2" x14ac:dyDescent="0.25">
      <c r="A57" s="26"/>
      <c r="B57" s="11" t="str">
        <f>CONCATENATE("          ", "6375", " - ", "OUTSIDE REPAIRS &amp; MAINTENANCE")</f>
        <v xml:space="preserve">          6375 - OUTSIDE REPAIRS &amp; MAINTENANCE</v>
      </c>
      <c r="C57" s="11"/>
      <c r="D57" s="6"/>
      <c r="E57" s="2"/>
      <c r="F57" s="7">
        <f t="shared" si="31"/>
        <v>0</v>
      </c>
      <c r="G57" s="2"/>
      <c r="H57" s="6"/>
      <c r="I57" s="2"/>
      <c r="J57" s="7">
        <f t="shared" si="32"/>
        <v>0</v>
      </c>
      <c r="K57" s="2"/>
      <c r="L57" s="6">
        <f t="shared" si="33"/>
        <v>0</v>
      </c>
      <c r="M57" s="2"/>
      <c r="N57" s="7">
        <f t="shared" si="34"/>
        <v>0</v>
      </c>
      <c r="O57" s="11"/>
      <c r="P57" s="6"/>
      <c r="Q57" s="2"/>
      <c r="R57" s="7">
        <f t="shared" si="35"/>
        <v>0</v>
      </c>
      <c r="S57" s="2"/>
      <c r="T57" s="6">
        <v>580.58000000000004</v>
      </c>
      <c r="U57" s="2"/>
      <c r="V57" s="7">
        <f t="shared" si="36"/>
        <v>1.2561135688672841E-3</v>
      </c>
      <c r="W57" s="2"/>
      <c r="X57" s="6">
        <f t="shared" si="37"/>
        <v>-580.58000000000004</v>
      </c>
      <c r="Y57" s="2"/>
      <c r="Z57" s="7">
        <f t="shared" si="38"/>
        <v>-1</v>
      </c>
    </row>
    <row r="58" spans="1:26" s="25" customFormat="1" outlineLevel="1" collapsed="1" x14ac:dyDescent="0.25">
      <c r="A58" s="27"/>
      <c r="B58" s="13" t="str">
        <f>CONCATENATE("     ","Services                                          ")</f>
        <v xml:space="preserve">     Services                                          </v>
      </c>
      <c r="C58" s="13"/>
      <c r="D58" s="1">
        <f>SUM(OSRRefD22_9x_0)</f>
        <v>0</v>
      </c>
      <c r="E58" s="1"/>
      <c r="F58" s="5">
        <f t="shared" ref="F58:F65" si="39">IF(D$12=0,0,D58/D$12)</f>
        <v>0</v>
      </c>
      <c r="G58" s="1"/>
      <c r="H58" s="1">
        <f>SUM(OSRRefH22_9x_0)</f>
        <v>137.80000000000001</v>
      </c>
      <c r="I58" s="1"/>
      <c r="J58" s="5">
        <f t="shared" ref="J58:J65" si="40">IF(H$12=0,0,H58/H$12)</f>
        <v>1.67470700223193E-3</v>
      </c>
      <c r="K58" s="1"/>
      <c r="L58" s="1">
        <f t="shared" ref="L58:L65" si="41">+D58-H58</f>
        <v>-137.80000000000001</v>
      </c>
      <c r="M58" s="1"/>
      <c r="N58" s="5">
        <f t="shared" ref="N58:N65" si="42">IF(H58=0,0,L58/H58)</f>
        <v>-1</v>
      </c>
      <c r="O58" s="13"/>
      <c r="P58" s="1">
        <f>SUM(OSRRefP22_9x_0)</f>
        <v>0</v>
      </c>
      <c r="Q58" s="1"/>
      <c r="R58" s="5">
        <f t="shared" ref="R58:R65" si="43">IF(P$12=0,0,P58/P$12)</f>
        <v>0</v>
      </c>
      <c r="S58" s="1"/>
      <c r="T58" s="1">
        <f>SUM(OSRRefT22_9x_0)</f>
        <v>1111.4100000000001</v>
      </c>
      <c r="U58" s="1"/>
      <c r="V58" s="5">
        <f t="shared" ref="V58:V65" si="44">IF(T$12=0,0,T58/T$12)</f>
        <v>2.4045905500960909E-3</v>
      </c>
      <c r="W58" s="1"/>
      <c r="X58" s="1">
        <f t="shared" ref="X58:X65" si="45">+P58-T58</f>
        <v>-1111.4100000000001</v>
      </c>
      <c r="Y58" s="1"/>
      <c r="Z58" s="5">
        <f t="shared" ref="Z58:Z65" si="46">IF(T58=0,0,X58/T58)</f>
        <v>-1</v>
      </c>
    </row>
    <row r="59" spans="1:26" s="24" customFormat="1" hidden="1" outlineLevel="2" x14ac:dyDescent="0.25">
      <c r="A59" s="26"/>
      <c r="B59" s="11" t="str">
        <f>CONCATENATE("          ", "6286", " - ", "LAUNDRY EXPENSE")</f>
        <v xml:space="preserve">          6286 - LAUNDRY EXPENSE</v>
      </c>
      <c r="C59" s="11"/>
      <c r="D59" s="6"/>
      <c r="E59" s="2"/>
      <c r="F59" s="7">
        <f t="shared" si="39"/>
        <v>0</v>
      </c>
      <c r="G59" s="2"/>
      <c r="H59" s="6">
        <v>137.80000000000001</v>
      </c>
      <c r="I59" s="2"/>
      <c r="J59" s="7">
        <f t="shared" si="40"/>
        <v>1.67470700223193E-3</v>
      </c>
      <c r="K59" s="2"/>
      <c r="L59" s="6">
        <f t="shared" si="41"/>
        <v>-137.80000000000001</v>
      </c>
      <c r="M59" s="2"/>
      <c r="N59" s="7">
        <f t="shared" si="42"/>
        <v>-1</v>
      </c>
      <c r="O59" s="11"/>
      <c r="P59" s="6"/>
      <c r="Q59" s="2"/>
      <c r="R59" s="7">
        <f t="shared" si="43"/>
        <v>0</v>
      </c>
      <c r="S59" s="2"/>
      <c r="T59" s="6">
        <v>1111.4100000000001</v>
      </c>
      <c r="U59" s="2"/>
      <c r="V59" s="7">
        <f t="shared" si="44"/>
        <v>2.4045905500960909E-3</v>
      </c>
      <c r="W59" s="2"/>
      <c r="X59" s="6">
        <f t="shared" si="45"/>
        <v>-1111.4100000000001</v>
      </c>
      <c r="Y59" s="2"/>
      <c r="Z59" s="7">
        <f t="shared" si="46"/>
        <v>-1</v>
      </c>
    </row>
    <row r="60" spans="1:26" s="25" customFormat="1" outlineLevel="1" collapsed="1" x14ac:dyDescent="0.25">
      <c r="A60" s="27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SUM(OSRRefD22_10x_0)</f>
        <v>0</v>
      </c>
      <c r="E60" s="1"/>
      <c r="F60" s="5">
        <f t="shared" si="39"/>
        <v>0</v>
      </c>
      <c r="G60" s="1"/>
      <c r="H60" s="1">
        <f>SUM(OSRRefH22_10x_0)</f>
        <v>1992.34</v>
      </c>
      <c r="I60" s="1"/>
      <c r="J60" s="5">
        <f t="shared" si="40"/>
        <v>2.4213249265796537E-2</v>
      </c>
      <c r="K60" s="1"/>
      <c r="L60" s="1">
        <f t="shared" si="41"/>
        <v>-1992.34</v>
      </c>
      <c r="M60" s="1"/>
      <c r="N60" s="5">
        <f t="shared" si="42"/>
        <v>-1</v>
      </c>
      <c r="O60" s="13"/>
      <c r="P60" s="1">
        <f>SUM(OSRRefP22_10x_0)</f>
        <v>0</v>
      </c>
      <c r="Q60" s="1"/>
      <c r="R60" s="5">
        <f t="shared" si="43"/>
        <v>0</v>
      </c>
      <c r="S60" s="1"/>
      <c r="T60" s="1">
        <f>SUM(OSRRefT22_10x_0)</f>
        <v>5696.65</v>
      </c>
      <c r="U60" s="1"/>
      <c r="V60" s="5">
        <f t="shared" si="44"/>
        <v>1.2324984260718271E-2</v>
      </c>
      <c r="W60" s="1"/>
      <c r="X60" s="1">
        <f t="shared" si="45"/>
        <v>-5696.65</v>
      </c>
      <c r="Y60" s="1"/>
      <c r="Z60" s="5">
        <f t="shared" si="46"/>
        <v>-1</v>
      </c>
    </row>
    <row r="61" spans="1:26" s="24" customFormat="1" hidden="1" outlineLevel="2" x14ac:dyDescent="0.25">
      <c r="A61" s="26"/>
      <c r="B61" s="11" t="str">
        <f>CONCATENATE("          ", "6234", " - ", "EXPENDABLE SUPPLIES &amp; EQUIPMEN")</f>
        <v xml:space="preserve">          6234 - EXPENDABLE SUPPLIES &amp; EQUIPMEN</v>
      </c>
      <c r="C61" s="11"/>
      <c r="D61" s="6"/>
      <c r="E61" s="2"/>
      <c r="F61" s="7">
        <f t="shared" si="39"/>
        <v>0</v>
      </c>
      <c r="G61" s="2"/>
      <c r="H61" s="6"/>
      <c r="I61" s="2"/>
      <c r="J61" s="7">
        <f t="shared" si="40"/>
        <v>0</v>
      </c>
      <c r="K61" s="2"/>
      <c r="L61" s="6">
        <f t="shared" si="41"/>
        <v>0</v>
      </c>
      <c r="M61" s="2"/>
      <c r="N61" s="7">
        <f t="shared" si="42"/>
        <v>0</v>
      </c>
      <c r="O61" s="11"/>
      <c r="P61" s="6"/>
      <c r="Q61" s="2"/>
      <c r="R61" s="7">
        <f t="shared" si="43"/>
        <v>0</v>
      </c>
      <c r="S61" s="2"/>
      <c r="T61" s="6">
        <v>354.82</v>
      </c>
      <c r="U61" s="2"/>
      <c r="V61" s="7">
        <f t="shared" si="44"/>
        <v>7.6767063368612378E-4</v>
      </c>
      <c r="W61" s="2"/>
      <c r="X61" s="6">
        <f t="shared" si="45"/>
        <v>-354.82</v>
      </c>
      <c r="Y61" s="2"/>
      <c r="Z61" s="7">
        <f t="shared" si="46"/>
        <v>-1</v>
      </c>
    </row>
    <row r="62" spans="1:26" s="24" customFormat="1" hidden="1" outlineLevel="2" x14ac:dyDescent="0.25">
      <c r="A62" s="26"/>
      <c r="B62" s="11" t="str">
        <f>CONCATENATE("          ", "6237", " - ", "JANITORIAL SUPPLIES")</f>
        <v xml:space="preserve">          6237 - JANITORIAL SUPPLIES</v>
      </c>
      <c r="C62" s="11"/>
      <c r="D62" s="6"/>
      <c r="E62" s="2"/>
      <c r="F62" s="7">
        <f t="shared" si="39"/>
        <v>0</v>
      </c>
      <c r="G62" s="2"/>
      <c r="H62" s="6"/>
      <c r="I62" s="2"/>
      <c r="J62" s="7">
        <f t="shared" si="40"/>
        <v>0</v>
      </c>
      <c r="K62" s="2"/>
      <c r="L62" s="6">
        <f t="shared" si="41"/>
        <v>0</v>
      </c>
      <c r="M62" s="2"/>
      <c r="N62" s="7">
        <f t="shared" si="42"/>
        <v>0</v>
      </c>
      <c r="O62" s="11"/>
      <c r="P62" s="6"/>
      <c r="Q62" s="2"/>
      <c r="R62" s="7">
        <f t="shared" si="43"/>
        <v>0</v>
      </c>
      <c r="S62" s="2"/>
      <c r="T62" s="6">
        <v>151.25</v>
      </c>
      <c r="U62" s="2"/>
      <c r="V62" s="7">
        <f t="shared" si="44"/>
        <v>3.2723686191597491E-4</v>
      </c>
      <c r="W62" s="2"/>
      <c r="X62" s="6">
        <f t="shared" si="45"/>
        <v>-151.25</v>
      </c>
      <c r="Y62" s="2"/>
      <c r="Z62" s="7">
        <f t="shared" si="46"/>
        <v>-1</v>
      </c>
    </row>
    <row r="63" spans="1:26" s="24" customFormat="1" hidden="1" outlineLevel="2" x14ac:dyDescent="0.25">
      <c r="A63" s="26"/>
      <c r="B63" s="11" t="str">
        <f>CONCATENATE("          ", "6241", " - ", "OFFICE EXPENSE")</f>
        <v xml:space="preserve">          6241 - OFFICE EXPENSE</v>
      </c>
      <c r="C63" s="11"/>
      <c r="D63" s="6"/>
      <c r="E63" s="2"/>
      <c r="F63" s="7">
        <f t="shared" si="39"/>
        <v>0</v>
      </c>
      <c r="G63" s="2"/>
      <c r="H63" s="6"/>
      <c r="I63" s="2"/>
      <c r="J63" s="7">
        <f t="shared" si="40"/>
        <v>0</v>
      </c>
      <c r="K63" s="2"/>
      <c r="L63" s="6">
        <f t="shared" si="41"/>
        <v>0</v>
      </c>
      <c r="M63" s="2"/>
      <c r="N63" s="7">
        <f t="shared" si="42"/>
        <v>0</v>
      </c>
      <c r="O63" s="11"/>
      <c r="P63" s="6"/>
      <c r="Q63" s="2"/>
      <c r="R63" s="7">
        <f t="shared" si="43"/>
        <v>0</v>
      </c>
      <c r="S63" s="2"/>
      <c r="T63" s="6">
        <v>328.56</v>
      </c>
      <c r="U63" s="2"/>
      <c r="V63" s="7">
        <f t="shared" si="44"/>
        <v>7.1085582380900976E-4</v>
      </c>
      <c r="W63" s="2"/>
      <c r="X63" s="6">
        <f t="shared" si="45"/>
        <v>-328.56</v>
      </c>
      <c r="Y63" s="2"/>
      <c r="Z63" s="7">
        <f t="shared" si="46"/>
        <v>-1</v>
      </c>
    </row>
    <row r="64" spans="1:26" s="24" customFormat="1" hidden="1" outlineLevel="2" x14ac:dyDescent="0.25">
      <c r="A64" s="26"/>
      <c r="B64" s="11" t="str">
        <f>CONCATENATE("          ", "6245", " - ", "PRINTING")</f>
        <v xml:space="preserve">          6245 - PRINTING</v>
      </c>
      <c r="C64" s="11"/>
      <c r="D64" s="6"/>
      <c r="E64" s="2"/>
      <c r="F64" s="7">
        <f t="shared" si="39"/>
        <v>0</v>
      </c>
      <c r="G64" s="2"/>
      <c r="H64" s="6"/>
      <c r="I64" s="2"/>
      <c r="J64" s="7">
        <f t="shared" si="40"/>
        <v>0</v>
      </c>
      <c r="K64" s="2"/>
      <c r="L64" s="6">
        <f t="shared" si="41"/>
        <v>0</v>
      </c>
      <c r="M64" s="2"/>
      <c r="N64" s="7">
        <f t="shared" si="42"/>
        <v>0</v>
      </c>
      <c r="O64" s="11"/>
      <c r="P64" s="6"/>
      <c r="Q64" s="2"/>
      <c r="R64" s="7">
        <f t="shared" si="43"/>
        <v>0</v>
      </c>
      <c r="S64" s="2"/>
      <c r="T64" s="6">
        <v>81.739999999999995</v>
      </c>
      <c r="U64" s="2"/>
      <c r="V64" s="7">
        <f t="shared" si="44"/>
        <v>1.7684853615214407E-4</v>
      </c>
      <c r="W64" s="2"/>
      <c r="X64" s="6">
        <f t="shared" si="45"/>
        <v>-81.739999999999995</v>
      </c>
      <c r="Y64" s="2"/>
      <c r="Z64" s="7">
        <f t="shared" si="46"/>
        <v>-1</v>
      </c>
    </row>
    <row r="65" spans="1:26" s="24" customFormat="1" hidden="1" outlineLevel="2" x14ac:dyDescent="0.25">
      <c r="A65" s="26"/>
      <c r="B65" s="11" t="str">
        <f>CONCATENATE("          ", "6247", " - ", "STORE SUPPLIES")</f>
        <v xml:space="preserve">          6247 - STORE SUPPLIES</v>
      </c>
      <c r="C65" s="11"/>
      <c r="D65" s="6"/>
      <c r="E65" s="2"/>
      <c r="F65" s="7">
        <f t="shared" si="39"/>
        <v>0</v>
      </c>
      <c r="G65" s="2"/>
      <c r="H65" s="6">
        <v>1992.34</v>
      </c>
      <c r="I65" s="2"/>
      <c r="J65" s="7">
        <f t="shared" si="40"/>
        <v>2.4213249265796537E-2</v>
      </c>
      <c r="K65" s="2"/>
      <c r="L65" s="6">
        <f t="shared" si="41"/>
        <v>-1992.34</v>
      </c>
      <c r="M65" s="2"/>
      <c r="N65" s="7">
        <f t="shared" si="42"/>
        <v>-1</v>
      </c>
      <c r="O65" s="11"/>
      <c r="P65" s="6"/>
      <c r="Q65" s="2"/>
      <c r="R65" s="7">
        <f t="shared" si="43"/>
        <v>0</v>
      </c>
      <c r="S65" s="2"/>
      <c r="T65" s="6">
        <v>4780.28</v>
      </c>
      <c r="U65" s="2"/>
      <c r="V65" s="7">
        <f t="shared" si="44"/>
        <v>1.0342372405155018E-2</v>
      </c>
      <c r="W65" s="2"/>
      <c r="X65" s="6">
        <f t="shared" si="45"/>
        <v>-4780.28</v>
      </c>
      <c r="Y65" s="2"/>
      <c r="Z65" s="7">
        <f t="shared" si="46"/>
        <v>-1</v>
      </c>
    </row>
    <row r="66" spans="1:26" s="25" customFormat="1" outlineLevel="1" collapsed="1" x14ac:dyDescent="0.25">
      <c r="A66" s="27"/>
      <c r="B66" s="13" t="str">
        <f>CONCATENATE("     ","Telephone/Data Lines                              ")</f>
        <v xml:space="preserve">     Telephone/Data Lines                              </v>
      </c>
      <c r="C66" s="13"/>
      <c r="D66" s="1">
        <f>SUM(OSRRefD22_11x_0)</f>
        <v>72.150000000000006</v>
      </c>
      <c r="E66" s="1"/>
      <c r="F66" s="5">
        <f t="shared" ref="F66:F69" si="47">IF(D$12=0,0,D66/D$12)</f>
        <v>0</v>
      </c>
      <c r="G66" s="1"/>
      <c r="H66" s="1">
        <f>SUM(OSRRefH22_11x_0)</f>
        <v>126.45</v>
      </c>
      <c r="I66" s="1"/>
      <c r="J66" s="5">
        <f t="shared" ref="J66:J69" si="48">IF(H$12=0,0,H66/H$12)</f>
        <v>1.5367685082164552E-3</v>
      </c>
      <c r="K66" s="1"/>
      <c r="L66" s="1">
        <f t="shared" ref="L66:L69" si="49">+D66-H66</f>
        <v>-54.3</v>
      </c>
      <c r="M66" s="1"/>
      <c r="N66" s="5">
        <f t="shared" ref="N66:N69" si="50">IF(H66=0,0,L66/H66)</f>
        <v>-0.42941874258600232</v>
      </c>
      <c r="O66" s="13"/>
      <c r="P66" s="1">
        <f>SUM(OSRRefP22_11x_0)</f>
        <v>924.55</v>
      </c>
      <c r="Q66" s="1"/>
      <c r="R66" s="5">
        <f t="shared" ref="R66:R69" si="51">IF(P$12=0,0,P66/P$12)</f>
        <v>0</v>
      </c>
      <c r="S66" s="1"/>
      <c r="T66" s="1">
        <f>SUM(OSRRefT22_11x_0)</f>
        <v>958.15</v>
      </c>
      <c r="U66" s="1"/>
      <c r="V66" s="5">
        <f t="shared" ref="V66:V69" si="52">IF(T$12=0,0,T66/T$12)</f>
        <v>2.0730049536845712E-3</v>
      </c>
      <c r="W66" s="1"/>
      <c r="X66" s="1">
        <f t="shared" ref="X66:X69" si="53">+P66-T66</f>
        <v>-33.600000000000023</v>
      </c>
      <c r="Y66" s="1"/>
      <c r="Z66" s="5">
        <f t="shared" ref="Z66:Z69" si="54">IF(T66=0,0,X66/T66)</f>
        <v>-3.5067578145384359E-2</v>
      </c>
    </row>
    <row r="67" spans="1:26" s="24" customFormat="1" hidden="1" outlineLevel="2" x14ac:dyDescent="0.25">
      <c r="A67" s="26"/>
      <c r="B67" s="11" t="str">
        <f>CONCATENATE("          ", "6309", " - ", "TELEPHONE")</f>
        <v xml:space="preserve">          6309 - TELEPHONE</v>
      </c>
      <c r="C67" s="11"/>
      <c r="D67" s="6">
        <v>72.150000000000006</v>
      </c>
      <c r="E67" s="2"/>
      <c r="F67" s="7">
        <f t="shared" si="47"/>
        <v>0</v>
      </c>
      <c r="G67" s="2"/>
      <c r="H67" s="6">
        <v>126.45</v>
      </c>
      <c r="I67" s="2"/>
      <c r="J67" s="7">
        <f t="shared" si="48"/>
        <v>1.5367685082164552E-3</v>
      </c>
      <c r="K67" s="2"/>
      <c r="L67" s="6">
        <f t="shared" si="49"/>
        <v>-54.3</v>
      </c>
      <c r="M67" s="2"/>
      <c r="N67" s="7">
        <f t="shared" si="50"/>
        <v>-0.42941874258600232</v>
      </c>
      <c r="O67" s="11"/>
      <c r="P67" s="6">
        <v>924.55</v>
      </c>
      <c r="Q67" s="2"/>
      <c r="R67" s="7">
        <f t="shared" si="51"/>
        <v>0</v>
      </c>
      <c r="S67" s="2"/>
      <c r="T67" s="6">
        <v>958.15</v>
      </c>
      <c r="U67" s="2"/>
      <c r="V67" s="7">
        <f t="shared" si="52"/>
        <v>2.0730049536845712E-3</v>
      </c>
      <c r="W67" s="2"/>
      <c r="X67" s="6">
        <f t="shared" si="53"/>
        <v>-33.600000000000023</v>
      </c>
      <c r="Y67" s="2"/>
      <c r="Z67" s="7">
        <f t="shared" si="54"/>
        <v>-3.5067578145384359E-2</v>
      </c>
    </row>
    <row r="68" spans="1:26" s="25" customFormat="1" outlineLevel="1" collapsed="1" x14ac:dyDescent="0.25">
      <c r="A68" s="27"/>
      <c r="B68" s="13" t="str">
        <f>CONCATENATE("     ","Training                                          ")</f>
        <v xml:space="preserve">     Training                                          </v>
      </c>
      <c r="C68" s="13"/>
      <c r="D68" s="1">
        <f>SUM(OSRRefD22_12x_0)</f>
        <v>0</v>
      </c>
      <c r="E68" s="1"/>
      <c r="F68" s="5">
        <f t="shared" si="47"/>
        <v>0</v>
      </c>
      <c r="G68" s="1"/>
      <c r="H68" s="1">
        <f>SUM(OSRRefH22_12x_0)</f>
        <v>0</v>
      </c>
      <c r="I68" s="1"/>
      <c r="J68" s="5">
        <f t="shared" si="48"/>
        <v>0</v>
      </c>
      <c r="K68" s="1"/>
      <c r="L68" s="1">
        <f t="shared" si="49"/>
        <v>0</v>
      </c>
      <c r="M68" s="1"/>
      <c r="N68" s="5">
        <f t="shared" si="50"/>
        <v>0</v>
      </c>
      <c r="O68" s="13"/>
      <c r="P68" s="1">
        <f>SUM(OSRRefP22_12x_0)</f>
        <v>0</v>
      </c>
      <c r="Q68" s="1"/>
      <c r="R68" s="5">
        <f t="shared" si="51"/>
        <v>0</v>
      </c>
      <c r="S68" s="1"/>
      <c r="T68" s="1">
        <f>SUM(OSRRefT22_12x_0)</f>
        <v>96</v>
      </c>
      <c r="U68" s="1"/>
      <c r="V68" s="5">
        <f t="shared" si="52"/>
        <v>2.0770075202600723E-4</v>
      </c>
      <c r="W68" s="1"/>
      <c r="X68" s="1">
        <f t="shared" si="53"/>
        <v>-96</v>
      </c>
      <c r="Y68" s="1"/>
      <c r="Z68" s="5">
        <f t="shared" si="54"/>
        <v>-1</v>
      </c>
    </row>
    <row r="69" spans="1:26" s="24" customFormat="1" hidden="1" outlineLevel="2" x14ac:dyDescent="0.25">
      <c r="A69" s="26"/>
      <c r="B69" s="11" t="str">
        <f>CONCATENATE("          ", "6376", " - ", "TRAINING")</f>
        <v xml:space="preserve">          6376 - TRAINING</v>
      </c>
      <c r="C69" s="11"/>
      <c r="D69" s="6"/>
      <c r="E69" s="2"/>
      <c r="F69" s="7">
        <f t="shared" si="47"/>
        <v>0</v>
      </c>
      <c r="G69" s="2"/>
      <c r="H69" s="6"/>
      <c r="I69" s="2"/>
      <c r="J69" s="7">
        <f t="shared" si="48"/>
        <v>0</v>
      </c>
      <c r="K69" s="2"/>
      <c r="L69" s="6">
        <f t="shared" si="49"/>
        <v>0</v>
      </c>
      <c r="M69" s="2"/>
      <c r="N69" s="7">
        <f t="shared" si="50"/>
        <v>0</v>
      </c>
      <c r="O69" s="11"/>
      <c r="P69" s="6"/>
      <c r="Q69" s="2"/>
      <c r="R69" s="7">
        <f t="shared" si="51"/>
        <v>0</v>
      </c>
      <c r="S69" s="2"/>
      <c r="T69" s="6">
        <v>96</v>
      </c>
      <c r="U69" s="2"/>
      <c r="V69" s="7">
        <f t="shared" si="52"/>
        <v>2.0770075202600723E-4</v>
      </c>
      <c r="W69" s="2"/>
      <c r="X69" s="6">
        <f t="shared" si="53"/>
        <v>-96</v>
      </c>
      <c r="Y69" s="2"/>
      <c r="Z69" s="7">
        <f t="shared" si="54"/>
        <v>-1</v>
      </c>
    </row>
    <row r="70" spans="1:26" s="52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8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9" t="s">
        <v>3</v>
      </c>
      <c r="C73" s="29"/>
      <c r="D73" s="22">
        <f>+D24-D26+D71</f>
        <v>-162.61000000000001</v>
      </c>
      <c r="E73" s="14"/>
      <c r="F73" s="20">
        <f>IF(D$12=0,0,D73/D$12)</f>
        <v>0</v>
      </c>
      <c r="G73" s="14"/>
      <c r="H73" s="22">
        <f>+H24-H26+H71</f>
        <v>20503.880000000008</v>
      </c>
      <c r="I73" s="14"/>
      <c r="J73" s="20">
        <f>IF(H$12=0,0,H73/H$12)</f>
        <v>0.24918716552193931</v>
      </c>
      <c r="K73" s="16"/>
      <c r="L73" s="22">
        <f>+D73-H73</f>
        <v>-20666.490000000009</v>
      </c>
      <c r="M73" s="16"/>
      <c r="N73" s="20">
        <f>IF(H73=0,0,L73/H73)</f>
        <v>-1.0079306940930204</v>
      </c>
      <c r="O73" s="28"/>
      <c r="P73" s="22">
        <f>+P24-P26+P71</f>
        <v>-45891.090000000004</v>
      </c>
      <c r="Q73" s="14"/>
      <c r="R73" s="20">
        <f>IF(P$12=0,0,P73/P$12)</f>
        <v>0</v>
      </c>
      <c r="S73" s="14"/>
      <c r="T73" s="22">
        <f>+T24-T26+T71</f>
        <v>88326.860000000132</v>
      </c>
      <c r="U73" s="14"/>
      <c r="V73" s="20">
        <f>IF(T$12=0,0,T73/T$12)</f>
        <v>0.19109953381349878</v>
      </c>
      <c r="W73" s="16"/>
      <c r="X73" s="22">
        <f>+P73-T73</f>
        <v>-134217.95000000013</v>
      </c>
      <c r="Y73" s="16"/>
      <c r="Z73" s="20">
        <f>IF(T73=0,0,X73/T73)</f>
        <v>-1.5195598484990853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/>
      <c r="E75" s="4"/>
      <c r="F75" s="12">
        <f>IF(D$12=0,0,D75/D$12)</f>
        <v>0</v>
      </c>
      <c r="G75" s="4"/>
      <c r="H75" s="4">
        <v>7487.36</v>
      </c>
      <c r="I75" s="4"/>
      <c r="J75" s="12">
        <f>IF(H$12=0,0,H75/H$12)</f>
        <v>9.0995168506758067E-2</v>
      </c>
      <c r="K75" s="4"/>
      <c r="L75" s="4">
        <f>+D75-H75</f>
        <v>-7487.36</v>
      </c>
      <c r="M75" s="4"/>
      <c r="N75" s="12">
        <f>IF(H75=0,0,L75/H75)</f>
        <v>-1</v>
      </c>
      <c r="O75" s="10"/>
      <c r="P75" s="4"/>
      <c r="Q75" s="4"/>
      <c r="R75" s="12">
        <f>IF(P$12=0,0,P75/P$12)</f>
        <v>0</v>
      </c>
      <c r="S75" s="4"/>
      <c r="T75" s="4">
        <v>47107.67</v>
      </c>
      <c r="U75" s="4"/>
      <c r="V75" s="12">
        <f>IF(T$12=0,0,T75/T$12)</f>
        <v>0.10191977588742687</v>
      </c>
      <c r="W75" s="4"/>
      <c r="X75" s="4">
        <f>+P75-T75</f>
        <v>-47107.67</v>
      </c>
      <c r="Y75" s="4"/>
      <c r="Z75" s="12">
        <f>IF(T75=0,0,X75/T75)</f>
        <v>-1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4</v>
      </c>
      <c r="C77" s="29"/>
      <c r="D77" s="35">
        <f>+D73-D75</f>
        <v>-162.61000000000001</v>
      </c>
      <c r="E77" s="14"/>
      <c r="F77" s="36">
        <f>IF(D$12=0,0,D77/D$12)</f>
        <v>0</v>
      </c>
      <c r="G77" s="14"/>
      <c r="H77" s="35">
        <f>+H73-H75</f>
        <v>13016.520000000008</v>
      </c>
      <c r="I77" s="14"/>
      <c r="J77" s="36">
        <f>IF(H$12=0,0,H77/H$12)</f>
        <v>0.15819199701518122</v>
      </c>
      <c r="K77" s="16"/>
      <c r="L77" s="35">
        <f>D77-H77</f>
        <v>-13179.130000000008</v>
      </c>
      <c r="M77" s="16"/>
      <c r="N77" s="36">
        <f>IF(H77=0,0,L77/H77)</f>
        <v>-1.0124925863441228</v>
      </c>
      <c r="O77" s="28"/>
      <c r="P77" s="35">
        <f>+P73-P75</f>
        <v>-45891.090000000004</v>
      </c>
      <c r="Q77" s="14"/>
      <c r="R77" s="36">
        <f>IF(P$12=0,0,P77/P$12)</f>
        <v>0</v>
      </c>
      <c r="S77" s="14"/>
      <c r="T77" s="35">
        <f>+T73-T75</f>
        <v>41219.190000000133</v>
      </c>
      <c r="U77" s="14"/>
      <c r="V77" s="36">
        <f>IF(T$12=0,0,T77/T$12)</f>
        <v>8.9179757926071926E-2</v>
      </c>
      <c r="W77" s="16"/>
      <c r="X77" s="35">
        <f>P77-T77</f>
        <v>-87110.280000000144</v>
      </c>
      <c r="Y77" s="16"/>
      <c r="Z77" s="36">
        <f>IF(T77=0,0,X77/T77)</f>
        <v>-2.1133428386147295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5</v>
      </c>
      <c r="C80" s="29"/>
      <c r="D80" s="31">
        <f>SUM(D77:D79)</f>
        <v>-162.61000000000001</v>
      </c>
      <c r="E80" s="14"/>
      <c r="F80" s="33">
        <f>IF(D$12=0,0,D80/D$12)</f>
        <v>0</v>
      </c>
      <c r="G80" s="14"/>
      <c r="H80" s="31">
        <f>SUM(H77:H79)</f>
        <v>13016.520000000008</v>
      </c>
      <c r="I80" s="14"/>
      <c r="J80" s="33">
        <f>IF(H$12=0,0,H80/H$12)</f>
        <v>0.15819199701518122</v>
      </c>
      <c r="K80" s="16"/>
      <c r="L80" s="31">
        <f>+D80-H80</f>
        <v>-13179.130000000008</v>
      </c>
      <c r="M80" s="16"/>
      <c r="N80" s="33">
        <f>IF(H80=0,0,L80/H80)</f>
        <v>-1.0124925863441228</v>
      </c>
      <c r="O80" s="28"/>
      <c r="P80" s="31">
        <f>SUM(P77:P79)</f>
        <v>-45891.090000000004</v>
      </c>
      <c r="Q80" s="14"/>
      <c r="R80" s="33">
        <f>IF(P$12=0,0,P80/P$12)</f>
        <v>0</v>
      </c>
      <c r="S80" s="14"/>
      <c r="T80" s="31">
        <f>SUM(T77:T79)</f>
        <v>41219.190000000133</v>
      </c>
      <c r="U80" s="14"/>
      <c r="V80" s="33">
        <f>IF(T$12=0,0,T80/T$12)</f>
        <v>8.9179757926071926E-2</v>
      </c>
      <c r="W80" s="16"/>
      <c r="X80" s="31">
        <f>+P80-T80</f>
        <v>-87110.280000000144</v>
      </c>
      <c r="Y80" s="16"/>
      <c r="Z80" s="33">
        <f>IF(T80=0,0,X80/T80)</f>
        <v>-2.1133428386147295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6">
        <v>44267.668247685186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54" t="s">
        <v>313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A84" s="9"/>
      <c r="B84" s="58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4" x14ac:dyDescent="0.25"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297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","321", " - ", "Student Union C-Store")</f>
        <v>Department 321 - Student Union C-Store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48032.259999999995</v>
      </c>
      <c r="I12" s="4"/>
      <c r="J12" s="12"/>
      <c r="K12" s="4"/>
      <c r="L12" s="4">
        <f t="shared" ref="L12:L14" si="0">+D12-H12</f>
        <v>-48032.259999999995</v>
      </c>
      <c r="M12" s="4"/>
      <c r="N12" s="12">
        <f t="shared" ref="N12:N14" si="1">IF(H12=0,0,L12/H12)</f>
        <v>-1</v>
      </c>
      <c r="O12" s="10"/>
      <c r="P12" s="4">
        <f>SUM(OSRRefP13x_0)</f>
        <v>2476.4700000000003</v>
      </c>
      <c r="Q12" s="4"/>
      <c r="R12" s="12"/>
      <c r="S12" s="4"/>
      <c r="T12" s="4">
        <f>SUM(OSRRefT13x_0)</f>
        <v>261282.44</v>
      </c>
      <c r="U12" s="4"/>
      <c r="V12" s="12"/>
      <c r="W12" s="4"/>
      <c r="X12" s="4">
        <f t="shared" ref="X12:X14" si="2">+P12-T12</f>
        <v>-258805.97</v>
      </c>
      <c r="Y12" s="4"/>
      <c r="Z12" s="12">
        <f t="shared" ref="Z12:Z14" si="3">IF(T12=0,0,X12/T12)</f>
        <v>-0.99052186591643898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4" si="4">0</f>
        <v>0</v>
      </c>
      <c r="E13" s="2"/>
      <c r="F13" s="19"/>
      <c r="G13" s="2"/>
      <c r="H13" s="2">
        <f>--11236.49</f>
        <v>11236.49</v>
      </c>
      <c r="I13" s="2"/>
      <c r="J13" s="19"/>
      <c r="K13" s="2"/>
      <c r="L13" s="2">
        <f t="shared" si="0"/>
        <v>-11236.49</v>
      </c>
      <c r="M13" s="2"/>
      <c r="N13" s="19">
        <f t="shared" si="1"/>
        <v>-1</v>
      </c>
      <c r="O13" s="11"/>
      <c r="P13" s="2">
        <f>--444.59</f>
        <v>444.59</v>
      </c>
      <c r="Q13" s="2"/>
      <c r="R13" s="19"/>
      <c r="S13" s="2"/>
      <c r="T13" s="2">
        <f>--60670.51</f>
        <v>60670.51</v>
      </c>
      <c r="U13" s="2"/>
      <c r="V13" s="19"/>
      <c r="W13" s="2"/>
      <c r="X13" s="2">
        <f t="shared" si="2"/>
        <v>-60225.920000000006</v>
      </c>
      <c r="Y13" s="2"/>
      <c r="Z13" s="19">
        <f t="shared" si="3"/>
        <v>-0.99267205764382072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>--36795.77</f>
        <v>36795.769999999997</v>
      </c>
      <c r="I14" s="2"/>
      <c r="J14" s="19"/>
      <c r="K14" s="2"/>
      <c r="L14" s="2">
        <f t="shared" si="0"/>
        <v>-36795.769999999997</v>
      </c>
      <c r="M14" s="2"/>
      <c r="N14" s="19">
        <f t="shared" si="1"/>
        <v>-1</v>
      </c>
      <c r="O14" s="11"/>
      <c r="P14" s="2">
        <f>--2031.88</f>
        <v>2031.88</v>
      </c>
      <c r="Q14" s="2"/>
      <c r="R14" s="19"/>
      <c r="S14" s="2"/>
      <c r="T14" s="2">
        <f>--200611.93</f>
        <v>200611.93</v>
      </c>
      <c r="U14" s="2"/>
      <c r="V14" s="19"/>
      <c r="W14" s="2"/>
      <c r="X14" s="2">
        <f t="shared" si="2"/>
        <v>-198580.05</v>
      </c>
      <c r="Y14" s="2"/>
      <c r="Z14" s="19">
        <f t="shared" si="3"/>
        <v>-0.9898715893915182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19579</v>
      </c>
      <c r="E16" s="4"/>
      <c r="F16" s="12">
        <f t="shared" ref="F16:F18" si="5">IF(D$12=0,0,D16/D$12)</f>
        <v>0</v>
      </c>
      <c r="G16" s="4"/>
      <c r="H16" s="4">
        <f>SUM(OSRRefH16x_0)</f>
        <v>22959.29</v>
      </c>
      <c r="I16" s="4"/>
      <c r="J16" s="12">
        <f t="shared" ref="J16:J18" si="6">IF(H$12=0,0,H16/H$12)</f>
        <v>0.47799728765625443</v>
      </c>
      <c r="K16" s="4"/>
      <c r="L16" s="4">
        <f t="shared" ref="L16:L18" si="7">+D16-H16</f>
        <v>-3380.2900000000009</v>
      </c>
      <c r="M16" s="4"/>
      <c r="N16" s="12">
        <f t="shared" ref="N16:N18" si="8">IF(H16=0,0,L16/H16)</f>
        <v>-0.14722972705166409</v>
      </c>
      <c r="O16" s="10"/>
      <c r="P16" s="4">
        <f>SUM(OSRRefP16x_0)</f>
        <v>19579.73</v>
      </c>
      <c r="Q16" s="4"/>
      <c r="R16" s="12">
        <f t="shared" ref="R16:R18" si="9">IF(P$12=0,0,P16/P$12)</f>
        <v>7.9063061535169004</v>
      </c>
      <c r="S16" s="4"/>
      <c r="T16" s="4">
        <f>SUM(OSRRefT16x_0)</f>
        <v>125220.49</v>
      </c>
      <c r="U16" s="4"/>
      <c r="V16" s="12">
        <f t="shared" ref="V16:V18" si="10">IF(T$12=0,0,T16/T$12)</f>
        <v>0.47925337041402399</v>
      </c>
      <c r="W16" s="4"/>
      <c r="X16" s="4">
        <f t="shared" ref="X16:X18" si="11">+P16-T16</f>
        <v>-105640.76000000001</v>
      </c>
      <c r="Y16" s="4"/>
      <c r="Z16" s="12">
        <f t="shared" ref="Z16:Z18" si="12">IF(T16=0,0,X16/T16)</f>
        <v>-0.84363797011176045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>
        <v>19693.16</v>
      </c>
      <c r="I17" s="2"/>
      <c r="J17" s="19">
        <f t="shared" si="6"/>
        <v>0.40999861343188937</v>
      </c>
      <c r="K17" s="2"/>
      <c r="L17" s="2">
        <f t="shared" si="7"/>
        <v>-19693.16</v>
      </c>
      <c r="M17" s="2"/>
      <c r="N17" s="19">
        <f t="shared" si="8"/>
        <v>-1</v>
      </c>
      <c r="O17" s="11"/>
      <c r="P17" s="2">
        <v>0.73</v>
      </c>
      <c r="Q17" s="2"/>
      <c r="R17" s="19">
        <f t="shared" si="9"/>
        <v>2.9477441681102534E-4</v>
      </c>
      <c r="S17" s="2"/>
      <c r="T17" s="2">
        <v>124888.11</v>
      </c>
      <c r="U17" s="2"/>
      <c r="V17" s="19">
        <f t="shared" si="10"/>
        <v>0.47798126043219741</v>
      </c>
      <c r="W17" s="2"/>
      <c r="X17" s="2">
        <f t="shared" si="11"/>
        <v>-124887.38</v>
      </c>
      <c r="Y17" s="2"/>
      <c r="Z17" s="19">
        <f t="shared" si="12"/>
        <v>-0.99999415476781583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19579</v>
      </c>
      <c r="E18" s="2"/>
      <c r="F18" s="19">
        <f t="shared" si="5"/>
        <v>0</v>
      </c>
      <c r="G18" s="2"/>
      <c r="H18" s="2">
        <v>3266.13</v>
      </c>
      <c r="I18" s="2"/>
      <c r="J18" s="19">
        <f t="shared" si="6"/>
        <v>6.7998674224365049E-2</v>
      </c>
      <c r="K18" s="2"/>
      <c r="L18" s="2">
        <f t="shared" si="7"/>
        <v>16312.869999999999</v>
      </c>
      <c r="M18" s="2"/>
      <c r="N18" s="19">
        <f t="shared" si="8"/>
        <v>4.9945562485265436</v>
      </c>
      <c r="O18" s="11"/>
      <c r="P18" s="2">
        <v>19579</v>
      </c>
      <c r="Q18" s="2"/>
      <c r="R18" s="19">
        <f t="shared" si="9"/>
        <v>7.9060113791000894</v>
      </c>
      <c r="S18" s="2"/>
      <c r="T18" s="2">
        <v>332.38</v>
      </c>
      <c r="U18" s="2"/>
      <c r="V18" s="19">
        <f t="shared" si="10"/>
        <v>1.2721099818265628E-3</v>
      </c>
      <c r="W18" s="2"/>
      <c r="X18" s="2">
        <f t="shared" si="11"/>
        <v>19246.62</v>
      </c>
      <c r="Y18" s="2"/>
      <c r="Z18" s="19">
        <f t="shared" si="12"/>
        <v>57.905469643179494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2">
        <f>D12-D16</f>
        <v>-19579</v>
      </c>
      <c r="E20" s="14"/>
      <c r="F20" s="20">
        <f>IF(D$12=0,0,D20/D$12)</f>
        <v>0</v>
      </c>
      <c r="G20" s="14"/>
      <c r="H20" s="22">
        <f>H12-H16</f>
        <v>25072.969999999994</v>
      </c>
      <c r="I20" s="14"/>
      <c r="J20" s="20">
        <f>IF(H$12=0,0,H20/H$12)</f>
        <v>0.52200271234374562</v>
      </c>
      <c r="K20" s="16"/>
      <c r="L20" s="22">
        <f>+D20-H20</f>
        <v>-44651.969999999994</v>
      </c>
      <c r="M20" s="16"/>
      <c r="N20" s="20">
        <f>IF(H20=0,0,L20/H20)</f>
        <v>-1.7808807652224687</v>
      </c>
      <c r="O20" s="28"/>
      <c r="P20" s="22">
        <f>P12-P16</f>
        <v>-17103.259999999998</v>
      </c>
      <c r="Q20" s="14"/>
      <c r="R20" s="20">
        <f>IF(P$12=0,0,P20/P$12)</f>
        <v>-6.9063061535168995</v>
      </c>
      <c r="S20" s="14"/>
      <c r="T20" s="22">
        <f>T12-T16</f>
        <v>136061.95000000001</v>
      </c>
      <c r="U20" s="14"/>
      <c r="V20" s="20">
        <f>IF(T$12=0,0,T20/T$12)</f>
        <v>0.52074662958597606</v>
      </c>
      <c r="W20" s="16"/>
      <c r="X20" s="22">
        <f>+P20-T20</f>
        <v>-153165.21000000002</v>
      </c>
      <c r="Y20" s="16"/>
      <c r="Z20" s="20">
        <f>IF(T20=0,0,X20/T20)</f>
        <v>-1.1257020055937756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1">
        <f>SUM(OSRRefD22x_0)</f>
        <v>1401.82</v>
      </c>
      <c r="E22" s="21"/>
      <c r="F22" s="32">
        <f t="shared" ref="F22:F31" si="13">IF(D$12=0,0,D22/D$12)</f>
        <v>0</v>
      </c>
      <c r="G22" s="21"/>
      <c r="H22" s="21">
        <f>SUM(OSRRefH22x_0)</f>
        <v>9827.49</v>
      </c>
      <c r="I22" s="21"/>
      <c r="J22" s="32">
        <f t="shared" ref="J22:J31" si="14">IF(H$12=0,0,H22/H$12)</f>
        <v>0.20460186549623111</v>
      </c>
      <c r="K22" s="4"/>
      <c r="L22" s="21">
        <f t="shared" ref="L22:L31" si="15">+D22-H22</f>
        <v>-8425.67</v>
      </c>
      <c r="M22" s="4"/>
      <c r="N22" s="32">
        <f t="shared" ref="N22:N31" si="16">IF(H22=0,0,L22/H22)</f>
        <v>-0.85735727026941777</v>
      </c>
      <c r="O22" s="10"/>
      <c r="P22" s="21">
        <f>SUM(OSRRefP22x_0)</f>
        <v>37559.439999999988</v>
      </c>
      <c r="Q22" s="21"/>
      <c r="R22" s="32">
        <f t="shared" ref="R22:R31" si="17">IF(P$12=0,0,P22/P$12)</f>
        <v>15.166523317463964</v>
      </c>
      <c r="S22" s="21"/>
      <c r="T22" s="21">
        <f>SUM(OSRRefT22x_0)</f>
        <v>99170.91</v>
      </c>
      <c r="U22" s="21"/>
      <c r="V22" s="32">
        <f t="shared" ref="V22:V31" si="18">IF(T$12=0,0,T22/T$12)</f>
        <v>0.37955443924972532</v>
      </c>
      <c r="W22" s="4"/>
      <c r="X22" s="21">
        <f t="shared" ref="X22:X31" si="19">+P22-T22</f>
        <v>-61611.470000000016</v>
      </c>
      <c r="Y22" s="4"/>
      <c r="Z22" s="32">
        <f t="shared" ref="Z22:Z31" si="20">IF(T22=0,0,X22/T22)</f>
        <v>-0.62126555055308064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381.89</v>
      </c>
      <c r="I23" s="1"/>
      <c r="J23" s="5">
        <f t="shared" si="14"/>
        <v>7.9506981349617943E-3</v>
      </c>
      <c r="K23" s="1"/>
      <c r="L23" s="1">
        <f t="shared" si="15"/>
        <v>-381.89</v>
      </c>
      <c r="M23" s="1"/>
      <c r="N23" s="5">
        <f t="shared" si="16"/>
        <v>-1</v>
      </c>
      <c r="O23" s="13"/>
      <c r="P23" s="1">
        <f>SUM(OSRRefP22_0x_0)</f>
        <v>8751.99</v>
      </c>
      <c r="Q23" s="1"/>
      <c r="R23" s="5">
        <f t="shared" si="17"/>
        <v>3.5340585591588023</v>
      </c>
      <c r="S23" s="1"/>
      <c r="T23" s="1">
        <f>SUM(OSRRefT22_0x_0)</f>
        <v>9799.9699999999993</v>
      </c>
      <c r="U23" s="1"/>
      <c r="V23" s="5">
        <f t="shared" si="18"/>
        <v>3.7507189537880924E-2</v>
      </c>
      <c r="W23" s="1"/>
      <c r="X23" s="1">
        <f t="shared" si="19"/>
        <v>-1047.9799999999996</v>
      </c>
      <c r="Y23" s="1"/>
      <c r="Z23" s="5">
        <f t="shared" si="20"/>
        <v>-0.10693706205223073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3"/>
        <v>0</v>
      </c>
      <c r="G24" s="2"/>
      <c r="H24" s="6">
        <v>266.63</v>
      </c>
      <c r="I24" s="2"/>
      <c r="J24" s="7">
        <f t="shared" si="14"/>
        <v>5.5510608911594006E-3</v>
      </c>
      <c r="K24" s="2"/>
      <c r="L24" s="6">
        <f t="shared" si="15"/>
        <v>-266.63</v>
      </c>
      <c r="M24" s="2"/>
      <c r="N24" s="7">
        <f t="shared" si="16"/>
        <v>-1</v>
      </c>
      <c r="O24" s="11"/>
      <c r="P24" s="6">
        <v>1667.09</v>
      </c>
      <c r="Q24" s="2"/>
      <c r="R24" s="7">
        <f t="shared" si="17"/>
        <v>0.67317189386505782</v>
      </c>
      <c r="S24" s="2"/>
      <c r="T24" s="6">
        <v>2104.1999999999998</v>
      </c>
      <c r="U24" s="2"/>
      <c r="V24" s="7">
        <f t="shared" si="18"/>
        <v>8.0533540639011175E-3</v>
      </c>
      <c r="W24" s="2"/>
      <c r="X24" s="6">
        <f t="shared" si="19"/>
        <v>-437.1099999999999</v>
      </c>
      <c r="Y24" s="2"/>
      <c r="Z24" s="7">
        <f t="shared" si="20"/>
        <v>-0.20773215473814274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3"/>
        <v>0</v>
      </c>
      <c r="G25" s="2"/>
      <c r="H25" s="6">
        <v>101.39</v>
      </c>
      <c r="I25" s="2"/>
      <c r="J25" s="7">
        <f t="shared" si="14"/>
        <v>2.1108729841152595E-3</v>
      </c>
      <c r="K25" s="2"/>
      <c r="L25" s="6">
        <f t="shared" si="15"/>
        <v>-101.39</v>
      </c>
      <c r="M25" s="2"/>
      <c r="N25" s="7">
        <f t="shared" si="16"/>
        <v>-1</v>
      </c>
      <c r="O25" s="11"/>
      <c r="P25" s="6">
        <v>331.61</v>
      </c>
      <c r="Q25" s="2"/>
      <c r="R25" s="7">
        <f t="shared" si="17"/>
        <v>0.13390430734069056</v>
      </c>
      <c r="S25" s="2"/>
      <c r="T25" s="6">
        <v>743.75</v>
      </c>
      <c r="U25" s="2"/>
      <c r="V25" s="7">
        <f t="shared" si="18"/>
        <v>2.8465364913156811E-3</v>
      </c>
      <c r="W25" s="2"/>
      <c r="X25" s="6">
        <f t="shared" si="19"/>
        <v>-412.14</v>
      </c>
      <c r="Y25" s="2"/>
      <c r="Z25" s="7">
        <f t="shared" si="20"/>
        <v>-0.55413781512605043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3"/>
        <v>0</v>
      </c>
      <c r="G26" s="2"/>
      <c r="H26" s="6"/>
      <c r="I26" s="2"/>
      <c r="J26" s="7">
        <f t="shared" si="14"/>
        <v>0</v>
      </c>
      <c r="K26" s="2"/>
      <c r="L26" s="6">
        <f t="shared" si="15"/>
        <v>0</v>
      </c>
      <c r="M26" s="2"/>
      <c r="N26" s="7">
        <f t="shared" si="16"/>
        <v>0</v>
      </c>
      <c r="O26" s="11"/>
      <c r="P26" s="6">
        <v>3385.22</v>
      </c>
      <c r="Q26" s="2"/>
      <c r="R26" s="7">
        <f t="shared" si="17"/>
        <v>1.366953768872629</v>
      </c>
      <c r="S26" s="2"/>
      <c r="T26" s="6">
        <v>4676.5</v>
      </c>
      <c r="U26" s="2"/>
      <c r="V26" s="7">
        <f t="shared" si="18"/>
        <v>1.7898256002202063E-2</v>
      </c>
      <c r="W26" s="2"/>
      <c r="X26" s="6">
        <f t="shared" si="19"/>
        <v>-1291.2800000000002</v>
      </c>
      <c r="Y26" s="2"/>
      <c r="Z26" s="7">
        <f t="shared" si="20"/>
        <v>-0.27612103068534166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3"/>
        <v>0</v>
      </c>
      <c r="G27" s="2"/>
      <c r="H27" s="6">
        <v>13.87</v>
      </c>
      <c r="I27" s="2"/>
      <c r="J27" s="7">
        <f t="shared" si="14"/>
        <v>2.887642596871353E-4</v>
      </c>
      <c r="K27" s="2"/>
      <c r="L27" s="6">
        <f t="shared" si="15"/>
        <v>-13.87</v>
      </c>
      <c r="M27" s="2"/>
      <c r="N27" s="7">
        <f t="shared" si="16"/>
        <v>-1</v>
      </c>
      <c r="O27" s="11"/>
      <c r="P27" s="6">
        <v>62.01</v>
      </c>
      <c r="Q27" s="2"/>
      <c r="R27" s="7">
        <f t="shared" si="17"/>
        <v>2.5039673406098192E-2</v>
      </c>
      <c r="S27" s="2"/>
      <c r="T27" s="6">
        <v>107.65</v>
      </c>
      <c r="U27" s="2"/>
      <c r="V27" s="7">
        <f t="shared" si="18"/>
        <v>4.120062565245487E-4</v>
      </c>
      <c r="W27" s="2"/>
      <c r="X27" s="6">
        <f t="shared" si="19"/>
        <v>-45.640000000000008</v>
      </c>
      <c r="Y27" s="2"/>
      <c r="Z27" s="7">
        <f t="shared" si="20"/>
        <v>-0.42396655829075713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3"/>
        <v>0</v>
      </c>
      <c r="G28" s="2"/>
      <c r="H28" s="6"/>
      <c r="I28" s="2"/>
      <c r="J28" s="7">
        <f t="shared" si="14"/>
        <v>0</v>
      </c>
      <c r="K28" s="2"/>
      <c r="L28" s="6">
        <f t="shared" si="15"/>
        <v>0</v>
      </c>
      <c r="M28" s="2"/>
      <c r="N28" s="7">
        <f t="shared" si="16"/>
        <v>0</v>
      </c>
      <c r="O28" s="11"/>
      <c r="P28" s="6">
        <v>1254.1099999999999</v>
      </c>
      <c r="Q28" s="2"/>
      <c r="R28" s="7">
        <f t="shared" si="17"/>
        <v>0.50641033406421232</v>
      </c>
      <c r="S28" s="2"/>
      <c r="T28" s="6">
        <v>670.55</v>
      </c>
      <c r="U28" s="2"/>
      <c r="V28" s="7">
        <f t="shared" si="18"/>
        <v>2.5663798914308976E-3</v>
      </c>
      <c r="W28" s="2"/>
      <c r="X28" s="6">
        <f t="shared" si="19"/>
        <v>583.55999999999995</v>
      </c>
      <c r="Y28" s="2"/>
      <c r="Z28" s="7">
        <f t="shared" si="20"/>
        <v>0.87027067332786512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3"/>
        <v>0</v>
      </c>
      <c r="G29" s="2"/>
      <c r="H29" s="6"/>
      <c r="I29" s="2"/>
      <c r="J29" s="7">
        <f t="shared" si="14"/>
        <v>0</v>
      </c>
      <c r="K29" s="2"/>
      <c r="L29" s="6">
        <f t="shared" si="15"/>
        <v>0</v>
      </c>
      <c r="M29" s="2"/>
      <c r="N29" s="7">
        <f t="shared" si="16"/>
        <v>0</v>
      </c>
      <c r="O29" s="11"/>
      <c r="P29" s="6">
        <v>958.88</v>
      </c>
      <c r="Q29" s="2"/>
      <c r="R29" s="7">
        <f t="shared" si="17"/>
        <v>0.38719629149555612</v>
      </c>
      <c r="S29" s="2"/>
      <c r="T29" s="6">
        <v>1098.8</v>
      </c>
      <c r="U29" s="2"/>
      <c r="V29" s="7">
        <f t="shared" si="18"/>
        <v>4.2054108190355231E-3</v>
      </c>
      <c r="W29" s="2"/>
      <c r="X29" s="6">
        <f t="shared" si="19"/>
        <v>-139.91999999999996</v>
      </c>
      <c r="Y29" s="2"/>
      <c r="Z29" s="7">
        <f t="shared" si="20"/>
        <v>-0.12733891518019655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3"/>
        <v>0</v>
      </c>
      <c r="G30" s="2"/>
      <c r="H30" s="6"/>
      <c r="I30" s="2"/>
      <c r="J30" s="7">
        <f t="shared" si="14"/>
        <v>0</v>
      </c>
      <c r="K30" s="2"/>
      <c r="L30" s="6">
        <f t="shared" si="15"/>
        <v>0</v>
      </c>
      <c r="M30" s="2"/>
      <c r="N30" s="7">
        <f t="shared" si="16"/>
        <v>0</v>
      </c>
      <c r="O30" s="11"/>
      <c r="P30" s="6">
        <v>767.52</v>
      </c>
      <c r="Q30" s="2"/>
      <c r="R30" s="7">
        <f t="shared" si="17"/>
        <v>0.30992501423397006</v>
      </c>
      <c r="S30" s="2"/>
      <c r="T30" s="6">
        <v>398.52</v>
      </c>
      <c r="U30" s="2"/>
      <c r="V30" s="7">
        <f t="shared" si="18"/>
        <v>1.5252460134710928E-3</v>
      </c>
      <c r="W30" s="2"/>
      <c r="X30" s="6">
        <f t="shared" si="19"/>
        <v>369</v>
      </c>
      <c r="Y30" s="2"/>
      <c r="Z30" s="7">
        <f t="shared" si="20"/>
        <v>0.92592592592592593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3"/>
        <v>0</v>
      </c>
      <c r="G31" s="2"/>
      <c r="H31" s="6"/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>
        <v>325.55</v>
      </c>
      <c r="Q31" s="2"/>
      <c r="R31" s="7">
        <f t="shared" si="17"/>
        <v>0.13145727588058809</v>
      </c>
      <c r="S31" s="2"/>
      <c r="T31" s="6"/>
      <c r="U31" s="2"/>
      <c r="V31" s="7">
        <f t="shared" si="18"/>
        <v>0</v>
      </c>
      <c r="W31" s="2"/>
      <c r="X31" s="6">
        <f t="shared" si="19"/>
        <v>325.55</v>
      </c>
      <c r="Y31" s="2"/>
      <c r="Z31" s="7">
        <f t="shared" si="20"/>
        <v>0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7" si="21">IF(D$12=0,0,D32/D$12)</f>
        <v>0</v>
      </c>
      <c r="G32" s="1"/>
      <c r="H32" s="1">
        <f>SUM(OSRRefH22_1x_0)</f>
        <v>5281.6900000000005</v>
      </c>
      <c r="I32" s="1"/>
      <c r="J32" s="5">
        <f t="shared" ref="J32:J37" si="22">IF(H$12=0,0,H32/H$12)</f>
        <v>0.10996130517281513</v>
      </c>
      <c r="K32" s="1"/>
      <c r="L32" s="1">
        <f t="shared" ref="L32:L37" si="23">+D32-H32</f>
        <v>-5281.6900000000005</v>
      </c>
      <c r="M32" s="1"/>
      <c r="N32" s="5">
        <f t="shared" ref="N32:N37" si="24">IF(H32=0,0,L32/H32)</f>
        <v>-1</v>
      </c>
      <c r="O32" s="13"/>
      <c r="P32" s="1">
        <f>SUM(OSRRefP22_1x_0)</f>
        <v>15859.96</v>
      </c>
      <c r="Q32" s="1"/>
      <c r="R32" s="5">
        <f t="shared" ref="R32:R37" si="25">IF(P$12=0,0,P32/P$12)</f>
        <v>6.404260903624917</v>
      </c>
      <c r="S32" s="1"/>
      <c r="T32" s="1">
        <f>SUM(OSRRefT22_1x_0)</f>
        <v>44891.28</v>
      </c>
      <c r="U32" s="1"/>
      <c r="V32" s="5">
        <f t="shared" ref="V32:V37" si="26">IF(T$12=0,0,T32/T$12)</f>
        <v>0.1718113165201611</v>
      </c>
      <c r="W32" s="1"/>
      <c r="X32" s="1">
        <f t="shared" ref="X32:X37" si="27">+P32-T32</f>
        <v>-29031.32</v>
      </c>
      <c r="Y32" s="1"/>
      <c r="Z32" s="5">
        <f t="shared" ref="Z32:Z37" si="28">IF(T32=0,0,X32/T32)</f>
        <v>-0.64670287859914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1"/>
        <v>0</v>
      </c>
      <c r="G33" s="2"/>
      <c r="H33" s="6">
        <v>-800</v>
      </c>
      <c r="I33" s="2"/>
      <c r="J33" s="7">
        <f t="shared" si="22"/>
        <v>-1.6655472800988339E-2</v>
      </c>
      <c r="K33" s="2"/>
      <c r="L33" s="6">
        <f t="shared" si="23"/>
        <v>800</v>
      </c>
      <c r="M33" s="2"/>
      <c r="N33" s="7">
        <f t="shared" si="24"/>
        <v>-1</v>
      </c>
      <c r="O33" s="11"/>
      <c r="P33" s="6">
        <v>13728</v>
      </c>
      <c r="Q33" s="2"/>
      <c r="R33" s="7">
        <f t="shared" si="25"/>
        <v>5.5433742383311726</v>
      </c>
      <c r="S33" s="2"/>
      <c r="T33" s="6">
        <v>10272</v>
      </c>
      <c r="U33" s="2"/>
      <c r="V33" s="7">
        <f t="shared" si="26"/>
        <v>3.9313778606782757E-2</v>
      </c>
      <c r="W33" s="2"/>
      <c r="X33" s="6">
        <f t="shared" si="27"/>
        <v>3456</v>
      </c>
      <c r="Y33" s="2"/>
      <c r="Z33" s="7">
        <f t="shared" si="28"/>
        <v>0.3364485981308411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1"/>
        <v>0</v>
      </c>
      <c r="G34" s="2"/>
      <c r="H34" s="6">
        <v>903.53</v>
      </c>
      <c r="I34" s="2"/>
      <c r="J34" s="7">
        <f t="shared" si="22"/>
        <v>1.8810899174846241E-2</v>
      </c>
      <c r="K34" s="2"/>
      <c r="L34" s="6">
        <f t="shared" si="23"/>
        <v>-903.53</v>
      </c>
      <c r="M34" s="2"/>
      <c r="N34" s="7">
        <f t="shared" si="24"/>
        <v>-1</v>
      </c>
      <c r="O34" s="11"/>
      <c r="P34" s="6">
        <v>2131.96</v>
      </c>
      <c r="Q34" s="2"/>
      <c r="R34" s="7">
        <f t="shared" si="25"/>
        <v>0.86088666529374469</v>
      </c>
      <c r="S34" s="2"/>
      <c r="T34" s="6">
        <v>3256.8</v>
      </c>
      <c r="U34" s="2"/>
      <c r="V34" s="7">
        <f t="shared" si="26"/>
        <v>1.2464672329300049E-2</v>
      </c>
      <c r="W34" s="2"/>
      <c r="X34" s="6">
        <f t="shared" si="27"/>
        <v>-1124.8400000000001</v>
      </c>
      <c r="Y34" s="2"/>
      <c r="Z34" s="7">
        <f t="shared" si="28"/>
        <v>-0.34538197003193322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1"/>
        <v>0</v>
      </c>
      <c r="G35" s="2"/>
      <c r="H35" s="6">
        <v>2276.31</v>
      </c>
      <c r="I35" s="2"/>
      <c r="J35" s="7">
        <f t="shared" si="22"/>
        <v>4.7391274114522201E-2</v>
      </c>
      <c r="K35" s="2"/>
      <c r="L35" s="6">
        <f t="shared" si="23"/>
        <v>-2276.31</v>
      </c>
      <c r="M35" s="2"/>
      <c r="N35" s="7">
        <f t="shared" si="24"/>
        <v>-1</v>
      </c>
      <c r="O35" s="11"/>
      <c r="P35" s="6"/>
      <c r="Q35" s="2"/>
      <c r="R35" s="7">
        <f t="shared" si="25"/>
        <v>0</v>
      </c>
      <c r="S35" s="2"/>
      <c r="T35" s="6">
        <v>9580.61</v>
      </c>
      <c r="U35" s="2"/>
      <c r="V35" s="7">
        <f t="shared" si="26"/>
        <v>3.6667638284455704E-2</v>
      </c>
      <c r="W35" s="2"/>
      <c r="X35" s="6">
        <f t="shared" si="27"/>
        <v>-9580.61</v>
      </c>
      <c r="Y35" s="2"/>
      <c r="Z35" s="7">
        <f t="shared" si="28"/>
        <v>-1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1"/>
        <v>0</v>
      </c>
      <c r="G36" s="2"/>
      <c r="H36" s="6">
        <v>2901.85</v>
      </c>
      <c r="I36" s="2"/>
      <c r="J36" s="7">
        <f t="shared" si="22"/>
        <v>6.0414604684435005E-2</v>
      </c>
      <c r="K36" s="2"/>
      <c r="L36" s="6">
        <f t="shared" si="23"/>
        <v>-2901.85</v>
      </c>
      <c r="M36" s="2"/>
      <c r="N36" s="7">
        <f t="shared" si="24"/>
        <v>-1</v>
      </c>
      <c r="O36" s="11"/>
      <c r="P36" s="6">
        <v>0</v>
      </c>
      <c r="Q36" s="2"/>
      <c r="R36" s="7">
        <f t="shared" si="25"/>
        <v>0</v>
      </c>
      <c r="S36" s="2"/>
      <c r="T36" s="6">
        <v>20727.560000000001</v>
      </c>
      <c r="U36" s="2"/>
      <c r="V36" s="7">
        <f t="shared" si="26"/>
        <v>7.9330091987812115E-2</v>
      </c>
      <c r="W36" s="2"/>
      <c r="X36" s="6">
        <f t="shared" si="27"/>
        <v>-20727.560000000001</v>
      </c>
      <c r="Y36" s="2"/>
      <c r="Z36" s="7">
        <f t="shared" si="28"/>
        <v>-1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1"/>
        <v>0</v>
      </c>
      <c r="G37" s="2"/>
      <c r="H37" s="6"/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1054.31</v>
      </c>
      <c r="U37" s="2"/>
      <c r="V37" s="7">
        <f t="shared" si="26"/>
        <v>4.0351353118104685E-3</v>
      </c>
      <c r="W37" s="2"/>
      <c r="X37" s="6">
        <f t="shared" si="27"/>
        <v>-1054.31</v>
      </c>
      <c r="Y37" s="2"/>
      <c r="Z37" s="7">
        <f t="shared" si="28"/>
        <v>-1</v>
      </c>
    </row>
    <row r="38" spans="1:26" s="25" customFormat="1" outlineLevel="1" collapsed="1" x14ac:dyDescent="0.25">
      <c r="A38" s="27"/>
      <c r="B38" s="13" t="str">
        <f>CONCATENATE("     ","Bad Debts/Over/Short                              ")</f>
        <v xml:space="preserve">     Bad Debts/Over/Short                              </v>
      </c>
      <c r="C38" s="13"/>
      <c r="D38" s="1">
        <f>SUM(OSRRefD22_2x_0)</f>
        <v>0</v>
      </c>
      <c r="E38" s="1"/>
      <c r="F38" s="5">
        <f t="shared" ref="F38:F49" si="29">IF(D$12=0,0,D38/D$12)</f>
        <v>0</v>
      </c>
      <c r="G38" s="1"/>
      <c r="H38" s="1">
        <f>SUM(OSRRefH22_2x_0)</f>
        <v>-9.69</v>
      </c>
      <c r="I38" s="1"/>
      <c r="J38" s="5">
        <f t="shared" ref="J38:J49" si="30">IF(H$12=0,0,H38/H$12)</f>
        <v>-2.0173941430197122E-4</v>
      </c>
      <c r="K38" s="1"/>
      <c r="L38" s="1">
        <f t="shared" ref="L38:L49" si="31">+D38-H38</f>
        <v>9.69</v>
      </c>
      <c r="M38" s="1"/>
      <c r="N38" s="5">
        <f t="shared" ref="N38:N49" si="32">IF(H38=0,0,L38/H38)</f>
        <v>-1</v>
      </c>
      <c r="O38" s="13"/>
      <c r="P38" s="1">
        <f>SUM(OSRRefP22_2x_0)</f>
        <v>3.31</v>
      </c>
      <c r="Q38" s="1"/>
      <c r="R38" s="5">
        <f t="shared" ref="R38:R49" si="33">IF(P$12=0,0,P38/P$12)</f>
        <v>1.3365798899239642E-3</v>
      </c>
      <c r="S38" s="1"/>
      <c r="T38" s="1">
        <f>SUM(OSRRefT22_2x_0)</f>
        <v>-72.88</v>
      </c>
      <c r="U38" s="1"/>
      <c r="V38" s="5">
        <f t="shared" ref="V38:V49" si="34">IF(T$12=0,0,T38/T$12)</f>
        <v>-2.7893187157927642E-4</v>
      </c>
      <c r="W38" s="1"/>
      <c r="X38" s="1">
        <f t="shared" ref="X38:X49" si="35">+P38-T38</f>
        <v>76.19</v>
      </c>
      <c r="Y38" s="1"/>
      <c r="Z38" s="5">
        <f t="shared" ref="Z38:Z49" si="36">IF(T38=0,0,X38/T38)</f>
        <v>-1.0454171240395171</v>
      </c>
    </row>
    <row r="39" spans="1:26" s="24" customFormat="1" hidden="1" outlineLevel="2" x14ac:dyDescent="0.25">
      <c r="A39" s="26"/>
      <c r="B39" s="11" t="str">
        <f>CONCATENATE("          ", "6272", " - ", "CASH (OVER/SHORT)")</f>
        <v xml:space="preserve">          6272 - CASH (OVER/SHORT)</v>
      </c>
      <c r="C39" s="11"/>
      <c r="D39" s="6"/>
      <c r="E39" s="2"/>
      <c r="F39" s="7">
        <f t="shared" si="29"/>
        <v>0</v>
      </c>
      <c r="G39" s="2"/>
      <c r="H39" s="6">
        <v>-9.69</v>
      </c>
      <c r="I39" s="2"/>
      <c r="J39" s="7">
        <f t="shared" si="30"/>
        <v>-2.0173941430197122E-4</v>
      </c>
      <c r="K39" s="2"/>
      <c r="L39" s="6">
        <f t="shared" si="31"/>
        <v>9.69</v>
      </c>
      <c r="M39" s="2"/>
      <c r="N39" s="7">
        <f t="shared" si="32"/>
        <v>-1</v>
      </c>
      <c r="O39" s="11"/>
      <c r="P39" s="6">
        <v>3.31</v>
      </c>
      <c r="Q39" s="2"/>
      <c r="R39" s="7">
        <f t="shared" si="33"/>
        <v>1.3365798899239642E-3</v>
      </c>
      <c r="S39" s="2"/>
      <c r="T39" s="6">
        <v>-72.88</v>
      </c>
      <c r="U39" s="2"/>
      <c r="V39" s="7">
        <f t="shared" si="34"/>
        <v>-2.7893187157927642E-4</v>
      </c>
      <c r="W39" s="2"/>
      <c r="X39" s="6">
        <f t="shared" si="35"/>
        <v>76.19</v>
      </c>
      <c r="Y39" s="2"/>
      <c r="Z39" s="7">
        <f t="shared" si="36"/>
        <v>-1.0454171240395171</v>
      </c>
    </row>
    <row r="40" spans="1:26" s="25" customFormat="1" outlineLevel="1" collapsed="1" x14ac:dyDescent="0.25">
      <c r="A40" s="27"/>
      <c r="B40" s="13" t="str">
        <f>CONCATENATE("     ","Bank/card Fees                                    ")</f>
        <v xml:space="preserve">     Bank/card Fees                                    </v>
      </c>
      <c r="C40" s="13"/>
      <c r="D40" s="1">
        <f>SUM(OSRRefD22_3x_0)</f>
        <v>224.95</v>
      </c>
      <c r="E40" s="1"/>
      <c r="F40" s="5">
        <f t="shared" si="29"/>
        <v>0</v>
      </c>
      <c r="G40" s="1"/>
      <c r="H40" s="1">
        <f>SUM(OSRRefH22_3x_0)</f>
        <v>2037.45</v>
      </c>
      <c r="I40" s="1"/>
      <c r="J40" s="5">
        <f t="shared" si="30"/>
        <v>4.241836632296711E-2</v>
      </c>
      <c r="K40" s="1"/>
      <c r="L40" s="1">
        <f t="shared" si="31"/>
        <v>-1812.5</v>
      </c>
      <c r="M40" s="1"/>
      <c r="N40" s="5">
        <f t="shared" si="32"/>
        <v>-0.88959238263515672</v>
      </c>
      <c r="O40" s="13"/>
      <c r="P40" s="1">
        <f>SUM(OSRRefP22_3x_0)</f>
        <v>1123.23</v>
      </c>
      <c r="Q40" s="1"/>
      <c r="R40" s="5">
        <f t="shared" si="33"/>
        <v>0.45356091533513426</v>
      </c>
      <c r="S40" s="1"/>
      <c r="T40" s="1">
        <f>SUM(OSRRefT22_3x_0)</f>
        <v>9643.83</v>
      </c>
      <c r="U40" s="1"/>
      <c r="V40" s="5">
        <f t="shared" si="34"/>
        <v>3.6909598670312481E-2</v>
      </c>
      <c r="W40" s="1"/>
      <c r="X40" s="1">
        <f t="shared" si="35"/>
        <v>-8520.6</v>
      </c>
      <c r="Y40" s="1"/>
      <c r="Z40" s="5">
        <f t="shared" si="36"/>
        <v>-0.88352863955503158</v>
      </c>
    </row>
    <row r="41" spans="1:26" s="24" customFormat="1" hidden="1" outlineLevel="2" x14ac:dyDescent="0.25">
      <c r="A41" s="26"/>
      <c r="B41" s="11" t="str">
        <f>CONCATENATE("          ", "6381", " - ", "BANK/CREDIT CARD FEES")</f>
        <v xml:space="preserve">          6381 - BANK/CREDIT CARD FEES</v>
      </c>
      <c r="C41" s="11"/>
      <c r="D41" s="6">
        <v>224.95</v>
      </c>
      <c r="E41" s="2"/>
      <c r="F41" s="7">
        <f t="shared" si="29"/>
        <v>0</v>
      </c>
      <c r="G41" s="2"/>
      <c r="H41" s="6">
        <v>2037.45</v>
      </c>
      <c r="I41" s="2"/>
      <c r="J41" s="7">
        <f t="shared" si="30"/>
        <v>4.241836632296711E-2</v>
      </c>
      <c r="K41" s="2"/>
      <c r="L41" s="6">
        <f t="shared" si="31"/>
        <v>-1812.5</v>
      </c>
      <c r="M41" s="2"/>
      <c r="N41" s="7">
        <f t="shared" si="32"/>
        <v>-0.88959238263515672</v>
      </c>
      <c r="O41" s="11"/>
      <c r="P41" s="6">
        <v>1123.23</v>
      </c>
      <c r="Q41" s="2"/>
      <c r="R41" s="7">
        <f t="shared" si="33"/>
        <v>0.45356091533513426</v>
      </c>
      <c r="S41" s="2"/>
      <c r="T41" s="6">
        <v>9643.83</v>
      </c>
      <c r="U41" s="2"/>
      <c r="V41" s="7">
        <f t="shared" si="34"/>
        <v>3.6909598670312481E-2</v>
      </c>
      <c r="W41" s="2"/>
      <c r="X41" s="6">
        <f t="shared" si="35"/>
        <v>-8520.6</v>
      </c>
      <c r="Y41" s="2"/>
      <c r="Z41" s="7">
        <f t="shared" si="36"/>
        <v>-0.88352863955503158</v>
      </c>
    </row>
    <row r="42" spans="1:26" s="25" customFormat="1" outlineLevel="1" collapsed="1" x14ac:dyDescent="0.25">
      <c r="A42" s="27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SUM(OSRRefD22_4x_0)</f>
        <v>1075.3699999999999</v>
      </c>
      <c r="E42" s="1"/>
      <c r="F42" s="5">
        <f t="shared" si="29"/>
        <v>0</v>
      </c>
      <c r="G42" s="1"/>
      <c r="H42" s="1">
        <f>SUM(OSRRefH22_4x_0)</f>
        <v>968.86</v>
      </c>
      <c r="I42" s="1"/>
      <c r="J42" s="5">
        <f t="shared" si="30"/>
        <v>2.017102672245695E-2</v>
      </c>
      <c r="K42" s="1"/>
      <c r="L42" s="1">
        <f t="shared" si="31"/>
        <v>106.50999999999988</v>
      </c>
      <c r="M42" s="1"/>
      <c r="N42" s="5">
        <f t="shared" si="32"/>
        <v>0.10993332370001845</v>
      </c>
      <c r="O42" s="13"/>
      <c r="P42" s="1">
        <f>SUM(OSRRefP22_4x_0)</f>
        <v>8602.9599999999991</v>
      </c>
      <c r="Q42" s="1"/>
      <c r="R42" s="5">
        <f t="shared" si="33"/>
        <v>3.4738801600665457</v>
      </c>
      <c r="S42" s="1"/>
      <c r="T42" s="1">
        <f>SUM(OSRRefT22_4x_0)</f>
        <v>7750.88</v>
      </c>
      <c r="U42" s="1"/>
      <c r="V42" s="5">
        <f t="shared" si="34"/>
        <v>2.9664756651843881E-2</v>
      </c>
      <c r="W42" s="1"/>
      <c r="X42" s="1">
        <f t="shared" si="35"/>
        <v>852.07999999999902</v>
      </c>
      <c r="Y42" s="1"/>
      <c r="Z42" s="5">
        <f t="shared" si="36"/>
        <v>0.10993332370001845</v>
      </c>
    </row>
    <row r="43" spans="1:26" s="24" customFormat="1" hidden="1" outlineLevel="2" x14ac:dyDescent="0.25">
      <c r="A43" s="26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1075.3699999999999</v>
      </c>
      <c r="E43" s="2"/>
      <c r="F43" s="7">
        <f t="shared" si="29"/>
        <v>0</v>
      </c>
      <c r="G43" s="2"/>
      <c r="H43" s="6">
        <v>968.86</v>
      </c>
      <c r="I43" s="2"/>
      <c r="J43" s="7">
        <f t="shared" si="30"/>
        <v>2.017102672245695E-2</v>
      </c>
      <c r="K43" s="2"/>
      <c r="L43" s="6">
        <f t="shared" si="31"/>
        <v>106.50999999999988</v>
      </c>
      <c r="M43" s="2"/>
      <c r="N43" s="7">
        <f t="shared" si="32"/>
        <v>0.10993332370001845</v>
      </c>
      <c r="O43" s="11"/>
      <c r="P43" s="6">
        <v>8602.9599999999991</v>
      </c>
      <c r="Q43" s="2"/>
      <c r="R43" s="7">
        <f t="shared" si="33"/>
        <v>3.4738801600665457</v>
      </c>
      <c r="S43" s="2"/>
      <c r="T43" s="6">
        <v>7750.88</v>
      </c>
      <c r="U43" s="2"/>
      <c r="V43" s="7">
        <f t="shared" si="34"/>
        <v>2.9664756651843881E-2</v>
      </c>
      <c r="W43" s="2"/>
      <c r="X43" s="6">
        <f t="shared" si="35"/>
        <v>852.07999999999902</v>
      </c>
      <c r="Y43" s="2"/>
      <c r="Z43" s="7">
        <f t="shared" si="36"/>
        <v>0.10993332370001845</v>
      </c>
    </row>
    <row r="44" spans="1:26" s="25" customFormat="1" outlineLevel="1" collapsed="1" x14ac:dyDescent="0.25">
      <c r="A44" s="27"/>
      <c r="B44" s="13" t="str">
        <f>CONCATENATE("     ","General                                           ")</f>
        <v xml:space="preserve">     General                                           </v>
      </c>
      <c r="C44" s="13"/>
      <c r="D44" s="1">
        <f>SUM(OSRRefD22_5x_0)</f>
        <v>0</v>
      </c>
      <c r="E44" s="1"/>
      <c r="F44" s="5">
        <f t="shared" si="29"/>
        <v>0</v>
      </c>
      <c r="G44" s="1"/>
      <c r="H44" s="1">
        <f>SUM(OSRRefH22_5x_0)</f>
        <v>151.5</v>
      </c>
      <c r="I44" s="1"/>
      <c r="J44" s="5">
        <f t="shared" si="30"/>
        <v>3.1541301616871665E-3</v>
      </c>
      <c r="K44" s="1"/>
      <c r="L44" s="1">
        <f t="shared" si="31"/>
        <v>-151.5</v>
      </c>
      <c r="M44" s="1"/>
      <c r="N44" s="5">
        <f t="shared" si="32"/>
        <v>-1</v>
      </c>
      <c r="O44" s="13"/>
      <c r="P44" s="1">
        <f>SUM(OSRRefP22_5x_0)</f>
        <v>1138.94</v>
      </c>
      <c r="Q44" s="1"/>
      <c r="R44" s="5">
        <f t="shared" si="33"/>
        <v>0.4599046223051359</v>
      </c>
      <c r="S44" s="1"/>
      <c r="T44" s="1">
        <f>SUM(OSRRefT22_5x_0)</f>
        <v>1356.19</v>
      </c>
      <c r="U44" s="1"/>
      <c r="V44" s="5">
        <f t="shared" si="34"/>
        <v>5.1905133770183713E-3</v>
      </c>
      <c r="W44" s="1"/>
      <c r="X44" s="1">
        <f t="shared" si="35"/>
        <v>-217.25</v>
      </c>
      <c r="Y44" s="1"/>
      <c r="Z44" s="5">
        <f t="shared" si="36"/>
        <v>-0.16019141860653743</v>
      </c>
    </row>
    <row r="45" spans="1:26" s="24" customFormat="1" hidden="1" outlineLevel="2" x14ac:dyDescent="0.25">
      <c r="A45" s="26"/>
      <c r="B45" s="11" t="str">
        <f>CONCATENATE("          ", "6279", " - ", "GENERAL EXPENSE")</f>
        <v xml:space="preserve">          6279 - GENERAL EXPENSE</v>
      </c>
      <c r="C45" s="11"/>
      <c r="D45" s="6"/>
      <c r="E45" s="2"/>
      <c r="F45" s="7">
        <f t="shared" si="29"/>
        <v>0</v>
      </c>
      <c r="G45" s="2"/>
      <c r="H45" s="6">
        <v>151.5</v>
      </c>
      <c r="I45" s="2"/>
      <c r="J45" s="7">
        <f t="shared" si="30"/>
        <v>3.1541301616871665E-3</v>
      </c>
      <c r="K45" s="2"/>
      <c r="L45" s="6">
        <f t="shared" si="31"/>
        <v>-151.5</v>
      </c>
      <c r="M45" s="2"/>
      <c r="N45" s="7">
        <f t="shared" si="32"/>
        <v>-1</v>
      </c>
      <c r="O45" s="11"/>
      <c r="P45" s="6">
        <v>1138.94</v>
      </c>
      <c r="Q45" s="2"/>
      <c r="R45" s="7">
        <f t="shared" si="33"/>
        <v>0.4599046223051359</v>
      </c>
      <c r="S45" s="2"/>
      <c r="T45" s="6">
        <v>1356.19</v>
      </c>
      <c r="U45" s="2"/>
      <c r="V45" s="7">
        <f t="shared" si="34"/>
        <v>5.1905133770183713E-3</v>
      </c>
      <c r="W45" s="2"/>
      <c r="X45" s="6">
        <f t="shared" si="35"/>
        <v>-217.25</v>
      </c>
      <c r="Y45" s="2"/>
      <c r="Z45" s="7">
        <f t="shared" si="36"/>
        <v>-0.16019141860653743</v>
      </c>
    </row>
    <row r="46" spans="1:26" s="25" customFormat="1" outlineLevel="1" collapsed="1" x14ac:dyDescent="0.25">
      <c r="A46" s="27"/>
      <c r="B46" s="13" t="str">
        <f>CONCATENATE("     ","Repair and Maintenance                            ")</f>
        <v xml:space="preserve">     Repair and Maintenance                            </v>
      </c>
      <c r="C46" s="13"/>
      <c r="D46" s="1">
        <f>SUM(OSRRefD22_6x_0)</f>
        <v>0</v>
      </c>
      <c r="E46" s="1"/>
      <c r="F46" s="5">
        <f t="shared" si="29"/>
        <v>0</v>
      </c>
      <c r="G46" s="1"/>
      <c r="H46" s="1">
        <f>SUM(OSRRefH22_6x_0)</f>
        <v>729.41</v>
      </c>
      <c r="I46" s="1"/>
      <c r="J46" s="5">
        <f t="shared" si="30"/>
        <v>1.5185835519711128E-2</v>
      </c>
      <c r="K46" s="1"/>
      <c r="L46" s="1">
        <f t="shared" si="31"/>
        <v>-729.41</v>
      </c>
      <c r="M46" s="1"/>
      <c r="N46" s="5">
        <f t="shared" si="32"/>
        <v>-1</v>
      </c>
      <c r="O46" s="13"/>
      <c r="P46" s="1">
        <f>SUM(OSRRefP22_6x_0)</f>
        <v>492.62</v>
      </c>
      <c r="Q46" s="1"/>
      <c r="R46" s="5">
        <f t="shared" si="33"/>
        <v>0.19892023727321548</v>
      </c>
      <c r="S46" s="1"/>
      <c r="T46" s="1">
        <f>SUM(OSRRefT22_6x_0)</f>
        <v>1616.8899999999999</v>
      </c>
      <c r="U46" s="1"/>
      <c r="V46" s="5">
        <f t="shared" si="34"/>
        <v>6.1882842184113095E-3</v>
      </c>
      <c r="W46" s="1"/>
      <c r="X46" s="1">
        <f t="shared" si="35"/>
        <v>-1124.27</v>
      </c>
      <c r="Y46" s="1"/>
      <c r="Z46" s="5">
        <f t="shared" si="36"/>
        <v>-0.6953286865525794</v>
      </c>
    </row>
    <row r="47" spans="1:26" s="24" customFormat="1" hidden="1" outlineLevel="2" x14ac:dyDescent="0.25">
      <c r="A47" s="26"/>
      <c r="B47" s="11" t="str">
        <f>CONCATENATE("          ", "6371", " - ", "COMPUTER SOFTWARE MAINTENANCE")</f>
        <v xml:space="preserve">          6371 - COMPUTER SOFTWARE MAINTENANCE</v>
      </c>
      <c r="C47" s="11"/>
      <c r="D47" s="6"/>
      <c r="E47" s="2"/>
      <c r="F47" s="7">
        <f t="shared" si="29"/>
        <v>0</v>
      </c>
      <c r="G47" s="2"/>
      <c r="H47" s="6"/>
      <c r="I47" s="2"/>
      <c r="J47" s="7">
        <f t="shared" si="30"/>
        <v>0</v>
      </c>
      <c r="K47" s="2"/>
      <c r="L47" s="6">
        <f t="shared" si="31"/>
        <v>0</v>
      </c>
      <c r="M47" s="2"/>
      <c r="N47" s="7">
        <f t="shared" si="32"/>
        <v>0</v>
      </c>
      <c r="O47" s="11"/>
      <c r="P47" s="6"/>
      <c r="Q47" s="2"/>
      <c r="R47" s="7">
        <f t="shared" si="33"/>
        <v>0</v>
      </c>
      <c r="S47" s="2"/>
      <c r="T47" s="6">
        <v>437.31</v>
      </c>
      <c r="U47" s="2"/>
      <c r="V47" s="7">
        <f t="shared" si="34"/>
        <v>1.6737060477542999E-3</v>
      </c>
      <c r="W47" s="2"/>
      <c r="X47" s="6">
        <f t="shared" si="35"/>
        <v>-437.31</v>
      </c>
      <c r="Y47" s="2"/>
      <c r="Z47" s="7">
        <f t="shared" si="36"/>
        <v>-1</v>
      </c>
    </row>
    <row r="48" spans="1:26" s="24" customFormat="1" hidden="1" outlineLevel="2" x14ac:dyDescent="0.25">
      <c r="A48" s="26"/>
      <c r="B48" s="11" t="str">
        <f>CONCATENATE("          ", "6373", " - ", "MAINTENANCE CONTRACTS")</f>
        <v xml:space="preserve">          6373 - MAINTENANCE CONTRACTS</v>
      </c>
      <c r="C48" s="11"/>
      <c r="D48" s="6"/>
      <c r="E48" s="2"/>
      <c r="F48" s="7">
        <f t="shared" si="29"/>
        <v>0</v>
      </c>
      <c r="G48" s="2"/>
      <c r="H48" s="6"/>
      <c r="I48" s="2"/>
      <c r="J48" s="7">
        <f t="shared" si="30"/>
        <v>0</v>
      </c>
      <c r="K48" s="2"/>
      <c r="L48" s="6">
        <f t="shared" si="31"/>
        <v>0</v>
      </c>
      <c r="M48" s="2"/>
      <c r="N48" s="7">
        <f t="shared" si="32"/>
        <v>0</v>
      </c>
      <c r="O48" s="11"/>
      <c r="P48" s="6">
        <v>175.06</v>
      </c>
      <c r="Q48" s="2"/>
      <c r="R48" s="7">
        <f t="shared" si="33"/>
        <v>7.0689327954709724E-2</v>
      </c>
      <c r="S48" s="2"/>
      <c r="T48" s="6">
        <v>93.22</v>
      </c>
      <c r="U48" s="2"/>
      <c r="V48" s="7">
        <f t="shared" si="34"/>
        <v>3.5677866449808105E-4</v>
      </c>
      <c r="W48" s="2"/>
      <c r="X48" s="6">
        <f t="shared" si="35"/>
        <v>81.84</v>
      </c>
      <c r="Y48" s="2"/>
      <c r="Z48" s="7">
        <f t="shared" si="36"/>
        <v>0.87792319244797257</v>
      </c>
    </row>
    <row r="49" spans="1:26" s="24" customFormat="1" hidden="1" outlineLevel="2" x14ac:dyDescent="0.25">
      <c r="A49" s="26"/>
      <c r="B49" s="11" t="str">
        <f>CONCATENATE("          ", "6375", " - ", "OUTSIDE REPAIRS &amp; MAINTENANCE")</f>
        <v xml:space="preserve">          6375 - OUTSIDE REPAIRS &amp; MAINTENANCE</v>
      </c>
      <c r="C49" s="11"/>
      <c r="D49" s="6"/>
      <c r="E49" s="2"/>
      <c r="F49" s="7">
        <f t="shared" si="29"/>
        <v>0</v>
      </c>
      <c r="G49" s="2"/>
      <c r="H49" s="6">
        <v>729.41</v>
      </c>
      <c r="I49" s="2"/>
      <c r="J49" s="7">
        <f t="shared" si="30"/>
        <v>1.5185835519711128E-2</v>
      </c>
      <c r="K49" s="2"/>
      <c r="L49" s="6">
        <f t="shared" si="31"/>
        <v>-729.41</v>
      </c>
      <c r="M49" s="2"/>
      <c r="N49" s="7">
        <f t="shared" si="32"/>
        <v>-1</v>
      </c>
      <c r="O49" s="11"/>
      <c r="P49" s="6">
        <v>317.56</v>
      </c>
      <c r="Q49" s="2"/>
      <c r="R49" s="7">
        <f t="shared" si="33"/>
        <v>0.12823090931850575</v>
      </c>
      <c r="S49" s="2"/>
      <c r="T49" s="6">
        <v>1086.3599999999999</v>
      </c>
      <c r="U49" s="2"/>
      <c r="V49" s="7">
        <f t="shared" si="34"/>
        <v>4.1577995061589284E-3</v>
      </c>
      <c r="W49" s="2"/>
      <c r="X49" s="6">
        <f t="shared" si="35"/>
        <v>-768.8</v>
      </c>
      <c r="Y49" s="2"/>
      <c r="Z49" s="7">
        <f t="shared" si="36"/>
        <v>-0.70768437718619981</v>
      </c>
    </row>
    <row r="50" spans="1:26" s="25" customFormat="1" outlineLevel="1" collapsed="1" x14ac:dyDescent="0.25">
      <c r="A50" s="27"/>
      <c r="B50" s="13" t="str">
        <f>CONCATENATE("     ","Royalty &amp; Commissions                             ")</f>
        <v xml:space="preserve">     Royalty &amp; Commissions                             </v>
      </c>
      <c r="C50" s="13"/>
      <c r="D50" s="1">
        <f>SUM(OSRRefD22_7x_0)</f>
        <v>0</v>
      </c>
      <c r="E50" s="1"/>
      <c r="F50" s="5">
        <f t="shared" ref="F50:F55" si="37">IF(D$12=0,0,D50/D$12)</f>
        <v>0</v>
      </c>
      <c r="G50" s="1"/>
      <c r="H50" s="1">
        <f>SUM(OSRRefH22_7x_0)</f>
        <v>0</v>
      </c>
      <c r="I50" s="1"/>
      <c r="J50" s="5">
        <f t="shared" ref="J50:J55" si="38">IF(H$12=0,0,H50/H$12)</f>
        <v>0</v>
      </c>
      <c r="K50" s="1"/>
      <c r="L50" s="1">
        <f t="shared" ref="L50:L55" si="39">+D50-H50</f>
        <v>0</v>
      </c>
      <c r="M50" s="1"/>
      <c r="N50" s="5">
        <f t="shared" ref="N50:N55" si="40">IF(H50=0,0,L50/H50)</f>
        <v>0</v>
      </c>
      <c r="O50" s="13"/>
      <c r="P50" s="1">
        <f>SUM(OSRRefP22_7x_0)</f>
        <v>185.7</v>
      </c>
      <c r="Q50" s="1"/>
      <c r="R50" s="5">
        <f t="shared" ref="R50:R55" si="41">IF(P$12=0,0,P50/P$12)</f>
        <v>7.4985766029873155E-2</v>
      </c>
      <c r="S50" s="1"/>
      <c r="T50" s="1">
        <f>SUM(OSRRefT22_7x_0)</f>
        <v>15334.79</v>
      </c>
      <c r="U50" s="1"/>
      <c r="V50" s="5">
        <f t="shared" ref="V50:V55" si="42">IF(T$12=0,0,T50/T$12)</f>
        <v>5.8690473037529813E-2</v>
      </c>
      <c r="W50" s="1"/>
      <c r="X50" s="1">
        <f t="shared" ref="X50:X55" si="43">+P50-T50</f>
        <v>-15149.09</v>
      </c>
      <c r="Y50" s="1"/>
      <c r="Z50" s="5">
        <f t="shared" ref="Z50:Z55" si="44">IF(T50=0,0,X50/T50)</f>
        <v>-0.98789028085810104</v>
      </c>
    </row>
    <row r="51" spans="1:26" s="24" customFormat="1" hidden="1" outlineLevel="2" x14ac:dyDescent="0.25">
      <c r="A51" s="26"/>
      <c r="B51" s="11" t="str">
        <f>CONCATENATE("          ", "6254", " - ", "ROYALTY &amp; COMMISSIONS")</f>
        <v xml:space="preserve">          6254 - ROYALTY &amp; COMMISSIONS</v>
      </c>
      <c r="C51" s="11"/>
      <c r="D51" s="6"/>
      <c r="E51" s="2"/>
      <c r="F51" s="7">
        <f t="shared" si="37"/>
        <v>0</v>
      </c>
      <c r="G51" s="2"/>
      <c r="H51" s="6"/>
      <c r="I51" s="2"/>
      <c r="J51" s="7">
        <f t="shared" si="38"/>
        <v>0</v>
      </c>
      <c r="K51" s="2"/>
      <c r="L51" s="6">
        <f t="shared" si="39"/>
        <v>0</v>
      </c>
      <c r="M51" s="2"/>
      <c r="N51" s="7">
        <f t="shared" si="40"/>
        <v>0</v>
      </c>
      <c r="O51" s="11"/>
      <c r="P51" s="6">
        <v>185.7</v>
      </c>
      <c r="Q51" s="2"/>
      <c r="R51" s="7">
        <f t="shared" si="41"/>
        <v>7.4985766029873155E-2</v>
      </c>
      <c r="S51" s="2"/>
      <c r="T51" s="6">
        <v>15334.79</v>
      </c>
      <c r="U51" s="2"/>
      <c r="V51" s="7">
        <f t="shared" si="42"/>
        <v>5.8690473037529813E-2</v>
      </c>
      <c r="W51" s="2"/>
      <c r="X51" s="6">
        <f t="shared" si="43"/>
        <v>-15149.09</v>
      </c>
      <c r="Y51" s="2"/>
      <c r="Z51" s="7">
        <f t="shared" si="44"/>
        <v>-0.98789028085810104</v>
      </c>
    </row>
    <row r="52" spans="1:26" s="25" customFormat="1" outlineLevel="1" collapsed="1" x14ac:dyDescent="0.25">
      <c r="A52" s="27"/>
      <c r="B52" s="13" t="str">
        <f>CONCATENATE("     ","Services                                          ")</f>
        <v xml:space="preserve">     Services                                          </v>
      </c>
      <c r="C52" s="13"/>
      <c r="D52" s="1">
        <f>SUM(OSRRefD22_8x_0)</f>
        <v>0</v>
      </c>
      <c r="E52" s="1"/>
      <c r="F52" s="5">
        <f t="shared" si="37"/>
        <v>0</v>
      </c>
      <c r="G52" s="1"/>
      <c r="H52" s="1">
        <f>SUM(OSRRefH22_8x_0)</f>
        <v>239.25</v>
      </c>
      <c r="I52" s="1"/>
      <c r="J52" s="5">
        <f t="shared" si="38"/>
        <v>4.9810273345455751E-3</v>
      </c>
      <c r="K52" s="1"/>
      <c r="L52" s="1">
        <f t="shared" si="39"/>
        <v>-239.25</v>
      </c>
      <c r="M52" s="1"/>
      <c r="N52" s="5">
        <f t="shared" si="40"/>
        <v>-1</v>
      </c>
      <c r="O52" s="13"/>
      <c r="P52" s="1">
        <f>SUM(OSRRefP22_8x_0)</f>
        <v>-63.319999999999993</v>
      </c>
      <c r="Q52" s="1"/>
      <c r="R52" s="5">
        <f t="shared" si="41"/>
        <v>-2.556865215407414E-2</v>
      </c>
      <c r="S52" s="1"/>
      <c r="T52" s="1">
        <f>SUM(OSRRefT22_8x_0)</f>
        <v>1682.67</v>
      </c>
      <c r="U52" s="1"/>
      <c r="V52" s="5">
        <f t="shared" si="42"/>
        <v>6.4400424307121448E-3</v>
      </c>
      <c r="W52" s="1"/>
      <c r="X52" s="1">
        <f t="shared" si="43"/>
        <v>-1745.99</v>
      </c>
      <c r="Y52" s="1"/>
      <c r="Z52" s="5">
        <f t="shared" si="44"/>
        <v>-1.0376306703037435</v>
      </c>
    </row>
    <row r="53" spans="1:26" s="24" customFormat="1" hidden="1" outlineLevel="2" x14ac:dyDescent="0.25">
      <c r="A53" s="26"/>
      <c r="B53" s="11" t="str">
        <f>CONCATENATE("          ", "6282", " - ", "JANITORIAL/EXTERMINATOR EXPENS")</f>
        <v xml:space="preserve">          6282 - JANITORIAL/EXTERMINATOR EXPENS</v>
      </c>
      <c r="C53" s="11"/>
      <c r="D53" s="6"/>
      <c r="E53" s="2"/>
      <c r="F53" s="7">
        <f t="shared" si="37"/>
        <v>0</v>
      </c>
      <c r="G53" s="2"/>
      <c r="H53" s="6">
        <v>41</v>
      </c>
      <c r="I53" s="2"/>
      <c r="J53" s="7">
        <f t="shared" si="38"/>
        <v>8.5359298105065231E-4</v>
      </c>
      <c r="K53" s="2"/>
      <c r="L53" s="6">
        <f t="shared" si="39"/>
        <v>-41</v>
      </c>
      <c r="M53" s="2"/>
      <c r="N53" s="7">
        <f t="shared" si="40"/>
        <v>-1</v>
      </c>
      <c r="O53" s="11"/>
      <c r="P53" s="6">
        <v>82</v>
      </c>
      <c r="Q53" s="2"/>
      <c r="R53" s="7">
        <f t="shared" si="41"/>
        <v>3.3111646819868598E-2</v>
      </c>
      <c r="S53" s="2"/>
      <c r="T53" s="6">
        <v>205</v>
      </c>
      <c r="U53" s="2"/>
      <c r="V53" s="7">
        <f t="shared" si="42"/>
        <v>7.8459157071558271E-4</v>
      </c>
      <c r="W53" s="2"/>
      <c r="X53" s="6">
        <f t="shared" si="43"/>
        <v>-123</v>
      </c>
      <c r="Y53" s="2"/>
      <c r="Z53" s="7">
        <f t="shared" si="44"/>
        <v>-0.6</v>
      </c>
    </row>
    <row r="54" spans="1:26" s="24" customFormat="1" hidden="1" outlineLevel="2" x14ac:dyDescent="0.25">
      <c r="A54" s="26"/>
      <c r="B54" s="11" t="str">
        <f>CONCATENATE("          ", "6285", " - ", "JANITORIAL SERVICES")</f>
        <v xml:space="preserve">          6285 - JANITORIAL SERVICES</v>
      </c>
      <c r="C54" s="11"/>
      <c r="D54" s="6"/>
      <c r="E54" s="2"/>
      <c r="F54" s="7">
        <f t="shared" si="37"/>
        <v>0</v>
      </c>
      <c r="G54" s="2"/>
      <c r="H54" s="6">
        <v>24.22</v>
      </c>
      <c r="I54" s="2"/>
      <c r="J54" s="7">
        <f t="shared" si="38"/>
        <v>5.042444390499219E-4</v>
      </c>
      <c r="K54" s="2"/>
      <c r="L54" s="6">
        <f t="shared" si="39"/>
        <v>-24.22</v>
      </c>
      <c r="M54" s="2"/>
      <c r="N54" s="7">
        <f t="shared" si="40"/>
        <v>-1</v>
      </c>
      <c r="O54" s="11"/>
      <c r="P54" s="6">
        <v>-145.32</v>
      </c>
      <c r="Q54" s="2"/>
      <c r="R54" s="7">
        <f t="shared" si="41"/>
        <v>-5.8680298973942738E-2</v>
      </c>
      <c r="S54" s="2"/>
      <c r="T54" s="6">
        <v>184.16</v>
      </c>
      <c r="U54" s="2"/>
      <c r="V54" s="7">
        <f t="shared" si="42"/>
        <v>7.0483113981942302E-4</v>
      </c>
      <c r="W54" s="2"/>
      <c r="X54" s="6">
        <f t="shared" si="43"/>
        <v>-329.48</v>
      </c>
      <c r="Y54" s="2"/>
      <c r="Z54" s="7">
        <f t="shared" si="44"/>
        <v>-1.7890964378801044</v>
      </c>
    </row>
    <row r="55" spans="1:26" s="24" customFormat="1" hidden="1" outlineLevel="2" x14ac:dyDescent="0.25">
      <c r="A55" s="26"/>
      <c r="B55" s="11" t="str">
        <f>CONCATENATE("          ", "6286", " - ", "LAUNDRY EXPENSE")</f>
        <v xml:space="preserve">          6286 - LAUNDRY EXPENSE</v>
      </c>
      <c r="C55" s="11"/>
      <c r="D55" s="6"/>
      <c r="E55" s="2"/>
      <c r="F55" s="7">
        <f t="shared" si="37"/>
        <v>0</v>
      </c>
      <c r="G55" s="2"/>
      <c r="H55" s="6">
        <v>174.03</v>
      </c>
      <c r="I55" s="2"/>
      <c r="J55" s="7">
        <f t="shared" si="38"/>
        <v>3.6231899144450004E-3</v>
      </c>
      <c r="K55" s="2"/>
      <c r="L55" s="6">
        <f t="shared" si="39"/>
        <v>-174.03</v>
      </c>
      <c r="M55" s="2"/>
      <c r="N55" s="7">
        <f t="shared" si="40"/>
        <v>-1</v>
      </c>
      <c r="O55" s="11"/>
      <c r="P55" s="6"/>
      <c r="Q55" s="2"/>
      <c r="R55" s="7">
        <f t="shared" si="41"/>
        <v>0</v>
      </c>
      <c r="S55" s="2"/>
      <c r="T55" s="6">
        <v>1293.51</v>
      </c>
      <c r="U55" s="2"/>
      <c r="V55" s="7">
        <f t="shared" si="42"/>
        <v>4.9506197201771383E-3</v>
      </c>
      <c r="W55" s="2"/>
      <c r="X55" s="6">
        <f t="shared" si="43"/>
        <v>-1293.51</v>
      </c>
      <c r="Y55" s="2"/>
      <c r="Z55" s="7">
        <f t="shared" si="44"/>
        <v>-1</v>
      </c>
    </row>
    <row r="56" spans="1:26" s="25" customFormat="1" outlineLevel="1" collapsed="1" x14ac:dyDescent="0.25">
      <c r="A56" s="27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SUM(OSRRefD22_9x_0)</f>
        <v>0</v>
      </c>
      <c r="E56" s="1"/>
      <c r="F56" s="5">
        <f t="shared" ref="F56:F60" si="45">IF(D$12=0,0,D56/D$12)</f>
        <v>0</v>
      </c>
      <c r="G56" s="1"/>
      <c r="H56" s="1">
        <f>SUM(OSRRefH22_9x_0)</f>
        <v>-44.370000000000005</v>
      </c>
      <c r="I56" s="1"/>
      <c r="J56" s="5">
        <f t="shared" ref="J56:J60" si="46">IF(H$12=0,0,H56/H$12)</f>
        <v>-9.2375416022481577E-4</v>
      </c>
      <c r="K56" s="1"/>
      <c r="L56" s="1">
        <f t="shared" ref="L56:L60" si="47">+D56-H56</f>
        <v>44.370000000000005</v>
      </c>
      <c r="M56" s="1"/>
      <c r="N56" s="5">
        <f t="shared" ref="N56:N60" si="48">IF(H56=0,0,L56/H56)</f>
        <v>-1</v>
      </c>
      <c r="O56" s="13"/>
      <c r="P56" s="1">
        <f>SUM(OSRRefP22_9x_0)</f>
        <v>328.55</v>
      </c>
      <c r="Q56" s="1"/>
      <c r="R56" s="5">
        <f t="shared" ref="R56:R60" si="49">IF(P$12=0,0,P56/P$12)</f>
        <v>0.13266867759351011</v>
      </c>
      <c r="S56" s="1"/>
      <c r="T56" s="1">
        <f>SUM(OSRRefT22_9x_0)</f>
        <v>7426.17</v>
      </c>
      <c r="U56" s="1"/>
      <c r="V56" s="5">
        <f t="shared" ref="V56:V60" si="50">IF(T$12=0,0,T56/T$12)</f>
        <v>2.8422001876589945E-2</v>
      </c>
      <c r="W56" s="1"/>
      <c r="X56" s="1">
        <f t="shared" ref="X56:X60" si="51">+P56-T56</f>
        <v>-7097.62</v>
      </c>
      <c r="Y56" s="1"/>
      <c r="Z56" s="5">
        <f t="shared" ref="Z56:Z60" si="52">IF(T56=0,0,X56/T56)</f>
        <v>-0.95575781324693609</v>
      </c>
    </row>
    <row r="57" spans="1:26" s="24" customFormat="1" hidden="1" outlineLevel="2" x14ac:dyDescent="0.25">
      <c r="A57" s="26"/>
      <c r="B57" s="11" t="str">
        <f>CONCATENATE("          ", "6234", " - ", "EXPENDABLE SUPPLIES &amp; EQUIPMEN")</f>
        <v xml:space="preserve">          6234 - EXPENDABLE SUPPLIES &amp; EQUIPMEN</v>
      </c>
      <c r="C57" s="11"/>
      <c r="D57" s="6"/>
      <c r="E57" s="2"/>
      <c r="F57" s="7">
        <f t="shared" si="45"/>
        <v>0</v>
      </c>
      <c r="G57" s="2"/>
      <c r="H57" s="6"/>
      <c r="I57" s="2"/>
      <c r="J57" s="7">
        <f t="shared" si="46"/>
        <v>0</v>
      </c>
      <c r="K57" s="2"/>
      <c r="L57" s="6">
        <f t="shared" si="47"/>
        <v>0</v>
      </c>
      <c r="M57" s="2"/>
      <c r="N57" s="7">
        <f t="shared" si="48"/>
        <v>0</v>
      </c>
      <c r="O57" s="11"/>
      <c r="P57" s="6"/>
      <c r="Q57" s="2"/>
      <c r="R57" s="7">
        <f t="shared" si="49"/>
        <v>0</v>
      </c>
      <c r="S57" s="2"/>
      <c r="T57" s="6">
        <v>354.71</v>
      </c>
      <c r="U57" s="2"/>
      <c r="V57" s="7">
        <f t="shared" si="50"/>
        <v>1.3575730538952406E-3</v>
      </c>
      <c r="W57" s="2"/>
      <c r="X57" s="6">
        <f t="shared" si="51"/>
        <v>-354.71</v>
      </c>
      <c r="Y57" s="2"/>
      <c r="Z57" s="7">
        <f t="shared" si="52"/>
        <v>-1</v>
      </c>
    </row>
    <row r="58" spans="1:26" s="24" customFormat="1" hidden="1" outlineLevel="2" x14ac:dyDescent="0.25">
      <c r="A58" s="26"/>
      <c r="B58" s="11" t="str">
        <f>CONCATENATE("          ", "6235", " - ", "COVID-19 EXPENSES")</f>
        <v xml:space="preserve">          6235 - COVID-19 EXPENSES</v>
      </c>
      <c r="C58" s="11"/>
      <c r="D58" s="6"/>
      <c r="E58" s="2"/>
      <c r="F58" s="7">
        <f t="shared" si="45"/>
        <v>0</v>
      </c>
      <c r="G58" s="2"/>
      <c r="H58" s="6"/>
      <c r="I58" s="2"/>
      <c r="J58" s="7">
        <f t="shared" si="46"/>
        <v>0</v>
      </c>
      <c r="K58" s="2"/>
      <c r="L58" s="6">
        <f t="shared" si="47"/>
        <v>0</v>
      </c>
      <c r="M58" s="2"/>
      <c r="N58" s="7">
        <f t="shared" si="48"/>
        <v>0</v>
      </c>
      <c r="O58" s="11"/>
      <c r="P58" s="6">
        <v>207.27</v>
      </c>
      <c r="Q58" s="2"/>
      <c r="R58" s="7">
        <f t="shared" si="49"/>
        <v>8.3695744345782502E-2</v>
      </c>
      <c r="S58" s="2"/>
      <c r="T58" s="6"/>
      <c r="U58" s="2"/>
      <c r="V58" s="7">
        <f t="shared" si="50"/>
        <v>0</v>
      </c>
      <c r="W58" s="2"/>
      <c r="X58" s="6">
        <f t="shared" si="51"/>
        <v>207.27</v>
      </c>
      <c r="Y58" s="2"/>
      <c r="Z58" s="7">
        <f t="shared" si="52"/>
        <v>0</v>
      </c>
    </row>
    <row r="59" spans="1:26" s="24" customFormat="1" hidden="1" outlineLevel="2" x14ac:dyDescent="0.25">
      <c r="A59" s="26"/>
      <c r="B59" s="11" t="str">
        <f>CONCATENATE("          ", "6237", " - ", "JANITORIAL SUPPLIES")</f>
        <v xml:space="preserve">          6237 - JANITORIAL SUPPLIES</v>
      </c>
      <c r="C59" s="11"/>
      <c r="D59" s="6"/>
      <c r="E59" s="2"/>
      <c r="F59" s="7">
        <f t="shared" si="45"/>
        <v>0</v>
      </c>
      <c r="G59" s="2"/>
      <c r="H59" s="6">
        <v>17.63</v>
      </c>
      <c r="I59" s="2"/>
      <c r="J59" s="7">
        <f t="shared" si="46"/>
        <v>3.6704498185178045E-4</v>
      </c>
      <c r="K59" s="2"/>
      <c r="L59" s="6">
        <f t="shared" si="47"/>
        <v>-17.63</v>
      </c>
      <c r="M59" s="2"/>
      <c r="N59" s="7">
        <f t="shared" si="48"/>
        <v>-1</v>
      </c>
      <c r="O59" s="11"/>
      <c r="P59" s="6"/>
      <c r="Q59" s="2"/>
      <c r="R59" s="7">
        <f t="shared" si="49"/>
        <v>0</v>
      </c>
      <c r="S59" s="2"/>
      <c r="T59" s="6">
        <v>38.56</v>
      </c>
      <c r="U59" s="2"/>
      <c r="V59" s="7">
        <f t="shared" si="50"/>
        <v>1.4757976081362378E-4</v>
      </c>
      <c r="W59" s="2"/>
      <c r="X59" s="6">
        <f t="shared" si="51"/>
        <v>-38.56</v>
      </c>
      <c r="Y59" s="2"/>
      <c r="Z59" s="7">
        <f t="shared" si="52"/>
        <v>-1</v>
      </c>
    </row>
    <row r="60" spans="1:26" s="24" customFormat="1" hidden="1" outlineLevel="2" x14ac:dyDescent="0.25">
      <c r="A60" s="26"/>
      <c r="B60" s="11" t="str">
        <f>CONCATENATE("          ", "6247", " - ", "STORE SUPPLIES")</f>
        <v xml:space="preserve">          6247 - STORE SUPPLIES</v>
      </c>
      <c r="C60" s="11"/>
      <c r="D60" s="6"/>
      <c r="E60" s="2"/>
      <c r="F60" s="7">
        <f t="shared" si="45"/>
        <v>0</v>
      </c>
      <c r="G60" s="2"/>
      <c r="H60" s="6">
        <v>-62</v>
      </c>
      <c r="I60" s="2"/>
      <c r="J60" s="7">
        <f t="shared" si="46"/>
        <v>-1.2907991420765962E-3</v>
      </c>
      <c r="K60" s="2"/>
      <c r="L60" s="6">
        <f t="shared" si="47"/>
        <v>62</v>
      </c>
      <c r="M60" s="2"/>
      <c r="N60" s="7">
        <f t="shared" si="48"/>
        <v>-1</v>
      </c>
      <c r="O60" s="11"/>
      <c r="P60" s="6">
        <v>121.28</v>
      </c>
      <c r="Q60" s="2"/>
      <c r="R60" s="7">
        <f t="shared" si="49"/>
        <v>4.8972933247727606E-2</v>
      </c>
      <c r="S60" s="2"/>
      <c r="T60" s="6">
        <v>7032.9</v>
      </c>
      <c r="U60" s="2"/>
      <c r="V60" s="7">
        <f t="shared" si="50"/>
        <v>2.691684906188108E-2</v>
      </c>
      <c r="W60" s="2"/>
      <c r="X60" s="6">
        <f t="shared" si="51"/>
        <v>-6911.62</v>
      </c>
      <c r="Y60" s="2"/>
      <c r="Z60" s="7">
        <f t="shared" si="52"/>
        <v>-0.98275533563679285</v>
      </c>
    </row>
    <row r="61" spans="1:26" s="25" customFormat="1" outlineLevel="1" collapsed="1" x14ac:dyDescent="0.25">
      <c r="A61" s="27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SUM(OSRRefD22_10x_0)</f>
        <v>51.5</v>
      </c>
      <c r="E61" s="1"/>
      <c r="F61" s="5">
        <f t="shared" ref="F61:F64" si="53">IF(D$12=0,0,D61/D$12)</f>
        <v>0</v>
      </c>
      <c r="G61" s="1"/>
      <c r="H61" s="1">
        <f>SUM(OSRRefH22_10x_0)</f>
        <v>51.5</v>
      </c>
      <c r="I61" s="1"/>
      <c r="J61" s="5">
        <f t="shared" ref="J61:J64" si="54">IF(H$12=0,0,H61/H$12)</f>
        <v>1.0721960615636243E-3</v>
      </c>
      <c r="K61" s="1"/>
      <c r="L61" s="1">
        <f t="shared" ref="L61:L64" si="55">+D61-H61</f>
        <v>0</v>
      </c>
      <c r="M61" s="1"/>
      <c r="N61" s="5">
        <f t="shared" ref="N61:N64" si="56">IF(H61=0,0,L61/H61)</f>
        <v>0</v>
      </c>
      <c r="O61" s="13"/>
      <c r="P61" s="1">
        <f>SUM(OSRRefP22_10x_0)</f>
        <v>735.5</v>
      </c>
      <c r="Q61" s="1"/>
      <c r="R61" s="5">
        <f t="shared" ref="R61:R64" si="57">IF(P$12=0,0,P61/P$12)</f>
        <v>0.2969953199513824</v>
      </c>
      <c r="S61" s="1"/>
      <c r="T61" s="1">
        <f>SUM(OSRRefT22_10x_0)</f>
        <v>433</v>
      </c>
      <c r="U61" s="1"/>
      <c r="V61" s="5">
        <f t="shared" ref="V61:V64" si="58">IF(T$12=0,0,T61/T$12)</f>
        <v>1.6572104883894991E-3</v>
      </c>
      <c r="W61" s="1"/>
      <c r="X61" s="1">
        <f t="shared" ref="X61:X64" si="59">+P61-T61</f>
        <v>302.5</v>
      </c>
      <c r="Y61" s="1"/>
      <c r="Z61" s="5">
        <f t="shared" ref="Z61:Z64" si="60">IF(T61=0,0,X61/T61)</f>
        <v>0.69861431870669743</v>
      </c>
    </row>
    <row r="62" spans="1:26" s="24" customFormat="1" hidden="1" outlineLevel="2" x14ac:dyDescent="0.25">
      <c r="A62" s="26"/>
      <c r="B62" s="11" t="str">
        <f>CONCATENATE("          ", "6309", " - ", "TELEPHONE")</f>
        <v xml:space="preserve">          6309 - TELEPHONE</v>
      </c>
      <c r="C62" s="11"/>
      <c r="D62" s="6">
        <v>51.5</v>
      </c>
      <c r="E62" s="2"/>
      <c r="F62" s="7">
        <f t="shared" si="53"/>
        <v>0</v>
      </c>
      <c r="G62" s="2"/>
      <c r="H62" s="6">
        <v>51.5</v>
      </c>
      <c r="I62" s="2"/>
      <c r="J62" s="7">
        <f t="shared" si="54"/>
        <v>1.0721960615636243E-3</v>
      </c>
      <c r="K62" s="2"/>
      <c r="L62" s="6">
        <f t="shared" si="55"/>
        <v>0</v>
      </c>
      <c r="M62" s="2"/>
      <c r="N62" s="7">
        <f t="shared" si="56"/>
        <v>0</v>
      </c>
      <c r="O62" s="11"/>
      <c r="P62" s="6">
        <v>735.5</v>
      </c>
      <c r="Q62" s="2"/>
      <c r="R62" s="7">
        <f t="shared" si="57"/>
        <v>0.2969953199513824</v>
      </c>
      <c r="S62" s="2"/>
      <c r="T62" s="6">
        <v>433</v>
      </c>
      <c r="U62" s="2"/>
      <c r="V62" s="7">
        <f t="shared" si="58"/>
        <v>1.6572104883894991E-3</v>
      </c>
      <c r="W62" s="2"/>
      <c r="X62" s="6">
        <f t="shared" si="59"/>
        <v>302.5</v>
      </c>
      <c r="Y62" s="2"/>
      <c r="Z62" s="7">
        <f t="shared" si="60"/>
        <v>0.69861431870669743</v>
      </c>
    </row>
    <row r="63" spans="1:26" s="25" customFormat="1" outlineLevel="1" collapsed="1" x14ac:dyDescent="0.25">
      <c r="A63" s="27"/>
      <c r="B63" s="13" t="str">
        <f>CONCATENATE("     ","Utilities                                         ")</f>
        <v xml:space="preserve">     Utilities                                         </v>
      </c>
      <c r="C63" s="13"/>
      <c r="D63" s="1">
        <f>SUM(OSRRefD22_11x_0)</f>
        <v>50</v>
      </c>
      <c r="E63" s="1"/>
      <c r="F63" s="5">
        <f t="shared" si="53"/>
        <v>0</v>
      </c>
      <c r="G63" s="1"/>
      <c r="H63" s="1">
        <f>SUM(OSRRefH22_11x_0)</f>
        <v>40</v>
      </c>
      <c r="I63" s="1"/>
      <c r="J63" s="5">
        <f t="shared" si="54"/>
        <v>8.3277364004941687E-4</v>
      </c>
      <c r="K63" s="1"/>
      <c r="L63" s="1">
        <f t="shared" si="55"/>
        <v>10</v>
      </c>
      <c r="M63" s="1"/>
      <c r="N63" s="5">
        <f t="shared" si="56"/>
        <v>0.25</v>
      </c>
      <c r="O63" s="13"/>
      <c r="P63" s="1">
        <f>SUM(OSRRefP22_11x_0)</f>
        <v>400</v>
      </c>
      <c r="Q63" s="1"/>
      <c r="R63" s="5">
        <f t="shared" si="57"/>
        <v>0.16152022838960292</v>
      </c>
      <c r="S63" s="1"/>
      <c r="T63" s="1">
        <f>SUM(OSRRefT22_11x_0)</f>
        <v>-691.88</v>
      </c>
      <c r="U63" s="1"/>
      <c r="V63" s="5">
        <f t="shared" si="58"/>
        <v>-2.6480156875448653E-3</v>
      </c>
      <c r="W63" s="1"/>
      <c r="X63" s="1">
        <f t="shared" si="59"/>
        <v>1091.8800000000001</v>
      </c>
      <c r="Y63" s="1"/>
      <c r="Z63" s="5">
        <f t="shared" si="60"/>
        <v>-1.5781349366942246</v>
      </c>
    </row>
    <row r="64" spans="1:26" s="24" customFormat="1" hidden="1" outlineLevel="2" x14ac:dyDescent="0.25">
      <c r="A64" s="26"/>
      <c r="B64" s="11" t="str">
        <f>CONCATENATE("          ", "6274", " - ", "UTILITIES")</f>
        <v xml:space="preserve">          6274 - UTILITIES</v>
      </c>
      <c r="C64" s="11"/>
      <c r="D64" s="6">
        <v>50</v>
      </c>
      <c r="E64" s="2"/>
      <c r="F64" s="7">
        <f t="shared" si="53"/>
        <v>0</v>
      </c>
      <c r="G64" s="2"/>
      <c r="H64" s="6">
        <v>40</v>
      </c>
      <c r="I64" s="2"/>
      <c r="J64" s="7">
        <f t="shared" si="54"/>
        <v>8.3277364004941687E-4</v>
      </c>
      <c r="K64" s="2"/>
      <c r="L64" s="6">
        <f t="shared" si="55"/>
        <v>10</v>
      </c>
      <c r="M64" s="2"/>
      <c r="N64" s="7">
        <f t="shared" si="56"/>
        <v>0.25</v>
      </c>
      <c r="O64" s="11"/>
      <c r="P64" s="6">
        <v>400</v>
      </c>
      <c r="Q64" s="2"/>
      <c r="R64" s="7">
        <f t="shared" si="57"/>
        <v>0.16152022838960292</v>
      </c>
      <c r="S64" s="2"/>
      <c r="T64" s="6">
        <v>-691.88</v>
      </c>
      <c r="U64" s="2"/>
      <c r="V64" s="7">
        <f t="shared" si="58"/>
        <v>-2.6480156875448653E-3</v>
      </c>
      <c r="W64" s="2"/>
      <c r="X64" s="6">
        <f t="shared" si="59"/>
        <v>1091.8800000000001</v>
      </c>
      <c r="Y64" s="2"/>
      <c r="Z64" s="7">
        <f t="shared" si="60"/>
        <v>-1.5781349366942246</v>
      </c>
    </row>
    <row r="65" spans="1:26" s="52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8" t="s">
        <v>0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9" t="s">
        <v>3</v>
      </c>
      <c r="C68" s="29"/>
      <c r="D68" s="22">
        <f>+D20-D22+D66</f>
        <v>-20980.82</v>
      </c>
      <c r="E68" s="14"/>
      <c r="F68" s="20">
        <f>IF(D$12=0,0,D68/D$12)</f>
        <v>0</v>
      </c>
      <c r="G68" s="14"/>
      <c r="H68" s="22">
        <f>+H20-H22+H66</f>
        <v>15245.479999999994</v>
      </c>
      <c r="I68" s="14"/>
      <c r="J68" s="20">
        <f>IF(H$12=0,0,H68/H$12)</f>
        <v>0.31740084684751446</v>
      </c>
      <c r="K68" s="16"/>
      <c r="L68" s="22">
        <f>+D68-H68</f>
        <v>-36226.299999999996</v>
      </c>
      <c r="M68" s="16"/>
      <c r="N68" s="20">
        <f>IF(H68=0,0,L68/H68)</f>
        <v>-2.3761993718794034</v>
      </c>
      <c r="O68" s="28"/>
      <c r="P68" s="22">
        <f>+P20-P22+P66</f>
        <v>-54662.699999999983</v>
      </c>
      <c r="Q68" s="14"/>
      <c r="R68" s="20">
        <f>IF(P$12=0,0,P68/P$12)</f>
        <v>-22.072829470980864</v>
      </c>
      <c r="S68" s="14"/>
      <c r="T68" s="22">
        <f>+T20-T22+T66</f>
        <v>36891.040000000008</v>
      </c>
      <c r="U68" s="14"/>
      <c r="V68" s="20">
        <f>IF(T$12=0,0,T68/T$12)</f>
        <v>0.14119219033625072</v>
      </c>
      <c r="W68" s="16"/>
      <c r="X68" s="22">
        <f>+P68-T68</f>
        <v>-91553.739999999991</v>
      </c>
      <c r="Y68" s="16"/>
      <c r="Z68" s="20">
        <f>IF(T68=0,0,X68/T68)</f>
        <v>-2.4817337760063141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51"/>
      <c r="B70" s="10" t="s">
        <v>13</v>
      </c>
      <c r="C70" s="10"/>
      <c r="D70" s="4">
        <v>40.89</v>
      </c>
      <c r="E70" s="4"/>
      <c r="F70" s="12">
        <f>IF(D$12=0,0,D70/D$12)</f>
        <v>0</v>
      </c>
      <c r="G70" s="4"/>
      <c r="H70" s="4">
        <v>4390.88</v>
      </c>
      <c r="I70" s="4"/>
      <c r="J70" s="12">
        <f>IF(H$12=0,0,H70/H$12)</f>
        <v>9.1415228015504599E-2</v>
      </c>
      <c r="K70" s="4"/>
      <c r="L70" s="4">
        <f>+D70-H70</f>
        <v>-4349.99</v>
      </c>
      <c r="M70" s="4"/>
      <c r="N70" s="12">
        <f>IF(H70=0,0,L70/H70)</f>
        <v>-0.99068751594213456</v>
      </c>
      <c r="O70" s="10"/>
      <c r="P70" s="4">
        <v>490.43</v>
      </c>
      <c r="Q70" s="4"/>
      <c r="R70" s="12">
        <f>IF(P$12=0,0,P70/P$12)</f>
        <v>0.19803591402278242</v>
      </c>
      <c r="S70" s="4"/>
      <c r="T70" s="4">
        <v>26629.85</v>
      </c>
      <c r="U70" s="4"/>
      <c r="V70" s="12">
        <f>IF(T$12=0,0,T70/T$12)</f>
        <v>0.10191978458253834</v>
      </c>
      <c r="W70" s="4"/>
      <c r="X70" s="4">
        <f>+P70-T70</f>
        <v>-26139.42</v>
      </c>
      <c r="Y70" s="4"/>
      <c r="Z70" s="12">
        <f>IF(T70=0,0,X70/T70)</f>
        <v>-0.98158344864879077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9" t="s">
        <v>4</v>
      </c>
      <c r="C72" s="29"/>
      <c r="D72" s="35">
        <f>+D68-D70</f>
        <v>-21021.71</v>
      </c>
      <c r="E72" s="14"/>
      <c r="F72" s="36">
        <f>IF(D$12=0,0,D72/D$12)</f>
        <v>0</v>
      </c>
      <c r="G72" s="14"/>
      <c r="H72" s="35">
        <f>+H68-H70</f>
        <v>10854.599999999995</v>
      </c>
      <c r="I72" s="14"/>
      <c r="J72" s="36">
        <f>IF(H$12=0,0,H72/H$12)</f>
        <v>0.2259856188320099</v>
      </c>
      <c r="K72" s="16"/>
      <c r="L72" s="35">
        <f>D72-H72</f>
        <v>-31876.309999999994</v>
      </c>
      <c r="M72" s="16"/>
      <c r="N72" s="36">
        <f>IF(H72=0,0,L72/H72)</f>
        <v>-2.9366637186077802</v>
      </c>
      <c r="O72" s="28"/>
      <c r="P72" s="35">
        <f>+P68-P70</f>
        <v>-55153.129999999983</v>
      </c>
      <c r="Q72" s="14"/>
      <c r="R72" s="36">
        <f>IF(P$12=0,0,P72/P$12)</f>
        <v>-22.270865385003646</v>
      </c>
      <c r="S72" s="14"/>
      <c r="T72" s="35">
        <f>+T68-T70</f>
        <v>10261.19000000001</v>
      </c>
      <c r="U72" s="14"/>
      <c r="V72" s="36">
        <f>IF(T$12=0,0,T72/T$12)</f>
        <v>3.9272405753712381E-2</v>
      </c>
      <c r="W72" s="16"/>
      <c r="X72" s="35">
        <f>P72-T72</f>
        <v>-65414.319999999992</v>
      </c>
      <c r="Y72" s="16"/>
      <c r="Z72" s="36">
        <f>IF(T72=0,0,X72/T72)</f>
        <v>-6.3749253254252123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9" t="s">
        <v>5</v>
      </c>
      <c r="C75" s="29"/>
      <c r="D75" s="31">
        <f>SUM(D72:D74)</f>
        <v>-21021.71</v>
      </c>
      <c r="E75" s="14"/>
      <c r="F75" s="33">
        <f>IF(D$12=0,0,D75/D$12)</f>
        <v>0</v>
      </c>
      <c r="G75" s="14"/>
      <c r="H75" s="31">
        <f>SUM(H72:H74)</f>
        <v>10854.599999999995</v>
      </c>
      <c r="I75" s="14"/>
      <c r="J75" s="33">
        <f>IF(H$12=0,0,H75/H$12)</f>
        <v>0.2259856188320099</v>
      </c>
      <c r="K75" s="16"/>
      <c r="L75" s="31">
        <f>+D75-H75</f>
        <v>-31876.309999999994</v>
      </c>
      <c r="M75" s="16"/>
      <c r="N75" s="33">
        <f>IF(H75=0,0,L75/H75)</f>
        <v>-2.9366637186077802</v>
      </c>
      <c r="O75" s="28"/>
      <c r="P75" s="31">
        <f>SUM(P72:P74)</f>
        <v>-55153.129999999983</v>
      </c>
      <c r="Q75" s="14"/>
      <c r="R75" s="33">
        <f>IF(P$12=0,0,P75/P$12)</f>
        <v>-22.270865385003646</v>
      </c>
      <c r="S75" s="14"/>
      <c r="T75" s="31">
        <f>SUM(T72:T74)</f>
        <v>10261.19000000001</v>
      </c>
      <c r="U75" s="14"/>
      <c r="V75" s="33">
        <f>IF(T$12=0,0,T75/T$12)</f>
        <v>3.9272405753712381E-2</v>
      </c>
      <c r="W75" s="16"/>
      <c r="X75" s="31">
        <f>+P75-T75</f>
        <v>-65414.319999999992</v>
      </c>
      <c r="Y75" s="16"/>
      <c r="Z75" s="33">
        <f>IF(T75=0,0,X75/T75)</f>
        <v>-6.3749253254252123</v>
      </c>
    </row>
    <row r="76" spans="1:26" ht="15.75" thickTop="1" x14ac:dyDescent="0.25">
      <c r="A76" s="9"/>
      <c r="C76" s="9"/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A77" s="9"/>
      <c r="B77" s="56">
        <v>44267.668348807871</v>
      </c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4" t="s">
        <v>313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8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","322", " - ", "Beach Hut")</f>
        <v>Department 322 - Beach Hut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110719.90000000001</v>
      </c>
      <c r="I12" s="4"/>
      <c r="J12" s="12"/>
      <c r="K12" s="4"/>
      <c r="L12" s="4">
        <f t="shared" ref="L12:L14" si="0">+D12-H12</f>
        <v>-110719.90000000001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643820.08000000007</v>
      </c>
      <c r="U12" s="4"/>
      <c r="V12" s="12"/>
      <c r="W12" s="4"/>
      <c r="X12" s="4">
        <f t="shared" ref="X12:X14" si="2">+P12-T12</f>
        <v>-643820.08000000007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--11983.02</f>
        <v>11983.02</v>
      </c>
      <c r="I13" s="2"/>
      <c r="J13" s="19"/>
      <c r="K13" s="2"/>
      <c r="L13" s="2">
        <f t="shared" si="0"/>
        <v>-11983.02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--80255.55</f>
        <v>80255.55</v>
      </c>
      <c r="U13" s="2"/>
      <c r="V13" s="19"/>
      <c r="W13" s="2"/>
      <c r="X13" s="2">
        <f t="shared" si="2"/>
        <v>-80255.55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--98736.88</f>
        <v>98736.88</v>
      </c>
      <c r="I14" s="2"/>
      <c r="J14" s="19"/>
      <c r="K14" s="2"/>
      <c r="L14" s="2">
        <f t="shared" si="0"/>
        <v>-98736.88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--563564.53</f>
        <v>563564.53</v>
      </c>
      <c r="U14" s="2"/>
      <c r="V14" s="19"/>
      <c r="W14" s="2"/>
      <c r="X14" s="2">
        <f t="shared" si="2"/>
        <v>-563564.53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53145.83</v>
      </c>
      <c r="I16" s="4"/>
      <c r="J16" s="12">
        <f t="shared" ref="J16:J18" si="7">IF(H$12=0,0,H16/H$12)</f>
        <v>0.48000251084041801</v>
      </c>
      <c r="K16" s="4"/>
      <c r="L16" s="4">
        <f t="shared" ref="L16:L18" si="8">+D16-H16</f>
        <v>-53145.83</v>
      </c>
      <c r="M16" s="4"/>
      <c r="N16" s="12">
        <f t="shared" ref="N16:N18" si="9">IF(H16=0,0,L16/H16)</f>
        <v>-1</v>
      </c>
      <c r="O16" s="10"/>
      <c r="P16" s="4">
        <f>SUM(OSRRefP16x_0)</f>
        <v>-1222.33</v>
      </c>
      <c r="Q16" s="4"/>
      <c r="R16" s="12">
        <f t="shared" ref="R16:R18" si="10">IF(P$12=0,0,P16/P$12)</f>
        <v>0</v>
      </c>
      <c r="S16" s="4"/>
      <c r="T16" s="4">
        <f>SUM(OSRRefT16x_0)</f>
        <v>322974.99000000005</v>
      </c>
      <c r="U16" s="4"/>
      <c r="V16" s="12">
        <f t="shared" ref="V16:V18" si="11">IF(T$12=0,0,T16/T$12)</f>
        <v>0.50165411119205849</v>
      </c>
      <c r="W16" s="4"/>
      <c r="X16" s="4">
        <f t="shared" ref="X16:X18" si="12">+P16-T16</f>
        <v>-324197.32000000007</v>
      </c>
      <c r="Y16" s="4"/>
      <c r="Z16" s="12">
        <f t="shared" ref="Z16:Z18" si="13">IF(T16=0,0,X16/T16)</f>
        <v>-1.0037845964481646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56586.36</v>
      </c>
      <c r="I17" s="2"/>
      <c r="J17" s="19">
        <f t="shared" si="7"/>
        <v>0.51107668991753064</v>
      </c>
      <c r="K17" s="2"/>
      <c r="L17" s="2">
        <f t="shared" si="8"/>
        <v>-56586.36</v>
      </c>
      <c r="M17" s="2"/>
      <c r="N17" s="19">
        <f t="shared" si="9"/>
        <v>-1</v>
      </c>
      <c r="O17" s="11"/>
      <c r="P17" s="2">
        <v>-1222.33</v>
      </c>
      <c r="Q17" s="2"/>
      <c r="R17" s="19">
        <f t="shared" si="10"/>
        <v>0</v>
      </c>
      <c r="S17" s="2"/>
      <c r="T17" s="2">
        <v>341934.47000000003</v>
      </c>
      <c r="U17" s="2"/>
      <c r="V17" s="19">
        <f t="shared" si="11"/>
        <v>0.53110252479233011</v>
      </c>
      <c r="W17" s="2"/>
      <c r="X17" s="2">
        <f t="shared" si="12"/>
        <v>-343156.80000000005</v>
      </c>
      <c r="Y17" s="2"/>
      <c r="Z17" s="19">
        <f t="shared" si="13"/>
        <v>-1.0035747492787142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-3440.53</v>
      </c>
      <c r="I18" s="2"/>
      <c r="J18" s="19">
        <f t="shared" si="7"/>
        <v>-3.1074179077112605E-2</v>
      </c>
      <c r="K18" s="2"/>
      <c r="L18" s="2">
        <f t="shared" si="8"/>
        <v>3440.53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-18959.48</v>
      </c>
      <c r="U18" s="2"/>
      <c r="V18" s="19">
        <f t="shared" si="11"/>
        <v>-2.9448413600271676E-2</v>
      </c>
      <c r="W18" s="2"/>
      <c r="X18" s="2">
        <f t="shared" si="12"/>
        <v>18959.48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2">
        <f>D12-D16</f>
        <v>0</v>
      </c>
      <c r="E20" s="14"/>
      <c r="F20" s="20">
        <f>IF(D$12=0,0,D20/D$12)</f>
        <v>0</v>
      </c>
      <c r="G20" s="14"/>
      <c r="H20" s="22">
        <f>H12-H16</f>
        <v>57574.070000000007</v>
      </c>
      <c r="I20" s="14"/>
      <c r="J20" s="20">
        <f>IF(H$12=0,0,H20/H$12)</f>
        <v>0.51999748915958199</v>
      </c>
      <c r="K20" s="16"/>
      <c r="L20" s="22">
        <f>+D20-H20</f>
        <v>-57574.070000000007</v>
      </c>
      <c r="M20" s="16"/>
      <c r="N20" s="20">
        <f>IF(H20=0,0,L20/H20)</f>
        <v>-1</v>
      </c>
      <c r="O20" s="28"/>
      <c r="P20" s="22">
        <f>P12-P16</f>
        <v>1222.33</v>
      </c>
      <c r="Q20" s="14"/>
      <c r="R20" s="20">
        <f>IF(P$12=0,0,P20/P$12)</f>
        <v>0</v>
      </c>
      <c r="S20" s="14"/>
      <c r="T20" s="22">
        <f>T12-T16</f>
        <v>320845.09000000003</v>
      </c>
      <c r="U20" s="14"/>
      <c r="V20" s="20">
        <f>IF(T$12=0,0,T20/T$12)</f>
        <v>0.49834588880794151</v>
      </c>
      <c r="W20" s="16"/>
      <c r="X20" s="22">
        <f>+P20-T20</f>
        <v>-319622.76</v>
      </c>
      <c r="Y20" s="16"/>
      <c r="Z20" s="20">
        <f>IF(T20=0,0,X20/T20)</f>
        <v>-0.99619027986371855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1">
        <f>SUM(OSRRefD22x_0)</f>
        <v>2225.34</v>
      </c>
      <c r="E22" s="21"/>
      <c r="F22" s="32">
        <f t="shared" ref="F22:F31" si="14">IF(D$12=0,0,D22/D$12)</f>
        <v>0</v>
      </c>
      <c r="G22" s="21"/>
      <c r="H22" s="21">
        <f>SUM(OSRRefH22x_0)</f>
        <v>32514.740000000005</v>
      </c>
      <c r="I22" s="21"/>
      <c r="J22" s="32">
        <f t="shared" ref="J22:J31" si="15">IF(H$12=0,0,H22/H$12)</f>
        <v>0.29366663084052641</v>
      </c>
      <c r="K22" s="4"/>
      <c r="L22" s="21">
        <f t="shared" ref="L22:L31" si="16">+D22-H22</f>
        <v>-30289.400000000005</v>
      </c>
      <c r="M22" s="4"/>
      <c r="N22" s="32">
        <f t="shared" ref="N22:N31" si="17">IF(H22=0,0,L22/H22)</f>
        <v>-0.93155904060742911</v>
      </c>
      <c r="O22" s="10"/>
      <c r="P22" s="21">
        <f>SUM(OSRRefP22x_0)</f>
        <v>20240.969999999998</v>
      </c>
      <c r="Q22" s="21"/>
      <c r="R22" s="32">
        <f t="shared" ref="R22:R31" si="18">IF(P$12=0,0,P22/P$12)</f>
        <v>0</v>
      </c>
      <c r="S22" s="21"/>
      <c r="T22" s="21">
        <f>SUM(OSRRefT22x_0)</f>
        <v>230441.44000000003</v>
      </c>
      <c r="U22" s="21"/>
      <c r="V22" s="32">
        <f t="shared" ref="V22:V31" si="19">IF(T$12=0,0,T22/T$12)</f>
        <v>0.35792832059540608</v>
      </c>
      <c r="W22" s="4"/>
      <c r="X22" s="21">
        <f t="shared" ref="X22:X31" si="20">+P22-T22</f>
        <v>-210200.47000000003</v>
      </c>
      <c r="Y22" s="4"/>
      <c r="Z22" s="32">
        <f t="shared" ref="Z22:Z31" si="21">IF(T22=0,0,X22/T22)</f>
        <v>-0.91216436592307359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2422.7699999999995</v>
      </c>
      <c r="I23" s="1"/>
      <c r="J23" s="5">
        <f t="shared" si="15"/>
        <v>2.188197424311257E-2</v>
      </c>
      <c r="K23" s="1"/>
      <c r="L23" s="1">
        <f t="shared" si="16"/>
        <v>-2422.7699999999995</v>
      </c>
      <c r="M23" s="1"/>
      <c r="N23" s="5">
        <f t="shared" si="17"/>
        <v>-1</v>
      </c>
      <c r="O23" s="13"/>
      <c r="P23" s="1">
        <f>SUM(OSRRefP22_0x_0)</f>
        <v>1595.9699999999998</v>
      </c>
      <c r="Q23" s="1"/>
      <c r="R23" s="5">
        <f t="shared" si="18"/>
        <v>0</v>
      </c>
      <c r="S23" s="1"/>
      <c r="T23" s="1">
        <f>SUM(OSRRefT22_0x_0)</f>
        <v>19209.98</v>
      </c>
      <c r="U23" s="1"/>
      <c r="V23" s="5">
        <f t="shared" si="19"/>
        <v>2.9837497457364172E-2</v>
      </c>
      <c r="W23" s="1"/>
      <c r="X23" s="1">
        <f t="shared" si="20"/>
        <v>-17614.009999999998</v>
      </c>
      <c r="Y23" s="1"/>
      <c r="Z23" s="5">
        <f t="shared" si="21"/>
        <v>-0.91691974692321376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407.57</v>
      </c>
      <c r="I24" s="2"/>
      <c r="J24" s="7">
        <f t="shared" si="15"/>
        <v>3.6810907524302311E-3</v>
      </c>
      <c r="K24" s="2"/>
      <c r="L24" s="6">
        <f t="shared" si="16"/>
        <v>-407.57</v>
      </c>
      <c r="M24" s="2"/>
      <c r="N24" s="7">
        <f t="shared" si="17"/>
        <v>-1</v>
      </c>
      <c r="O24" s="11"/>
      <c r="P24" s="6">
        <v>159.12</v>
      </c>
      <c r="Q24" s="2"/>
      <c r="R24" s="7">
        <f t="shared" si="18"/>
        <v>0</v>
      </c>
      <c r="S24" s="2"/>
      <c r="T24" s="6">
        <v>4318.45</v>
      </c>
      <c r="U24" s="2"/>
      <c r="V24" s="7">
        <f t="shared" si="19"/>
        <v>6.7075416473496748E-3</v>
      </c>
      <c r="W24" s="2"/>
      <c r="X24" s="6">
        <f t="shared" si="20"/>
        <v>-4159.33</v>
      </c>
      <c r="Y24" s="2"/>
      <c r="Z24" s="7">
        <f t="shared" si="21"/>
        <v>-0.96315344625965338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396.14</v>
      </c>
      <c r="I25" s="2"/>
      <c r="J25" s="7">
        <f t="shared" si="15"/>
        <v>3.5778572776890148E-3</v>
      </c>
      <c r="K25" s="2"/>
      <c r="L25" s="6">
        <f t="shared" si="16"/>
        <v>-396.14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2375.21</v>
      </c>
      <c r="U25" s="2"/>
      <c r="V25" s="7">
        <f t="shared" si="19"/>
        <v>3.689244982852973E-3</v>
      </c>
      <c r="W25" s="2"/>
      <c r="X25" s="6">
        <f t="shared" si="20"/>
        <v>-2375.21</v>
      </c>
      <c r="Y25" s="2"/>
      <c r="Z25" s="7">
        <f t="shared" si="21"/>
        <v>-1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683.68</v>
      </c>
      <c r="I26" s="2"/>
      <c r="J26" s="7">
        <f t="shared" si="15"/>
        <v>6.1748610683355016E-3</v>
      </c>
      <c r="K26" s="2"/>
      <c r="L26" s="6">
        <f t="shared" si="16"/>
        <v>-683.68</v>
      </c>
      <c r="M26" s="2"/>
      <c r="N26" s="7">
        <f t="shared" si="17"/>
        <v>-1</v>
      </c>
      <c r="O26" s="11"/>
      <c r="P26" s="6">
        <v>683.68</v>
      </c>
      <c r="Q26" s="2"/>
      <c r="R26" s="7">
        <f t="shared" si="18"/>
        <v>0</v>
      </c>
      <c r="S26" s="2"/>
      <c r="T26" s="6">
        <v>5214.2</v>
      </c>
      <c r="U26" s="2"/>
      <c r="V26" s="7">
        <f t="shared" si="19"/>
        <v>8.0988464976115681E-3</v>
      </c>
      <c r="W26" s="2"/>
      <c r="X26" s="6">
        <f t="shared" si="20"/>
        <v>-4530.5199999999995</v>
      </c>
      <c r="Y26" s="2"/>
      <c r="Z26" s="7">
        <f t="shared" si="21"/>
        <v>-0.86888113229258557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54.21</v>
      </c>
      <c r="I27" s="2"/>
      <c r="J27" s="7">
        <f t="shared" si="15"/>
        <v>4.8961388151542767E-4</v>
      </c>
      <c r="K27" s="2"/>
      <c r="L27" s="6">
        <f t="shared" si="16"/>
        <v>-54.21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370.2</v>
      </c>
      <c r="U27" s="2"/>
      <c r="V27" s="7">
        <f t="shared" si="19"/>
        <v>5.7500536485286381E-4</v>
      </c>
      <c r="W27" s="2"/>
      <c r="X27" s="6">
        <f t="shared" si="20"/>
        <v>-370.2</v>
      </c>
      <c r="Y27" s="2"/>
      <c r="Z27" s="7">
        <f t="shared" si="21"/>
        <v>-1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290.58</v>
      </c>
      <c r="I28" s="2"/>
      <c r="J28" s="7">
        <f t="shared" si="15"/>
        <v>2.6244604628436257E-3</v>
      </c>
      <c r="K28" s="2"/>
      <c r="L28" s="6">
        <f t="shared" si="16"/>
        <v>-290.58</v>
      </c>
      <c r="M28" s="2"/>
      <c r="N28" s="7">
        <f t="shared" si="17"/>
        <v>-1</v>
      </c>
      <c r="O28" s="11"/>
      <c r="P28" s="6">
        <v>321.57</v>
      </c>
      <c r="Q28" s="2"/>
      <c r="R28" s="7">
        <f t="shared" si="18"/>
        <v>0</v>
      </c>
      <c r="S28" s="2"/>
      <c r="T28" s="6">
        <v>2190.48</v>
      </c>
      <c r="U28" s="2"/>
      <c r="V28" s="7">
        <f t="shared" si="19"/>
        <v>3.4023169951455999E-3</v>
      </c>
      <c r="W28" s="2"/>
      <c r="X28" s="6">
        <f t="shared" si="20"/>
        <v>-1868.91</v>
      </c>
      <c r="Y28" s="2"/>
      <c r="Z28" s="7">
        <f t="shared" si="21"/>
        <v>-0.85319655965815711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239.72</v>
      </c>
      <c r="I29" s="2"/>
      <c r="J29" s="7">
        <f t="shared" si="15"/>
        <v>2.1651031115454402E-3</v>
      </c>
      <c r="K29" s="2"/>
      <c r="L29" s="6">
        <f t="shared" si="16"/>
        <v>-239.72</v>
      </c>
      <c r="M29" s="2"/>
      <c r="N29" s="7">
        <f t="shared" si="17"/>
        <v>-1</v>
      </c>
      <c r="O29" s="11"/>
      <c r="P29" s="6">
        <v>239.72</v>
      </c>
      <c r="Q29" s="2"/>
      <c r="R29" s="7">
        <f t="shared" si="18"/>
        <v>0</v>
      </c>
      <c r="S29" s="2"/>
      <c r="T29" s="6">
        <v>1917.76</v>
      </c>
      <c r="U29" s="2"/>
      <c r="V29" s="7">
        <f t="shared" si="19"/>
        <v>2.9787203903301677E-3</v>
      </c>
      <c r="W29" s="2"/>
      <c r="X29" s="6">
        <f t="shared" si="20"/>
        <v>-1678.04</v>
      </c>
      <c r="Y29" s="2"/>
      <c r="Z29" s="7">
        <f t="shared" si="21"/>
        <v>-0.875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191.88</v>
      </c>
      <c r="I30" s="2"/>
      <c r="J30" s="7">
        <f t="shared" si="15"/>
        <v>1.7330217964430963E-3</v>
      </c>
      <c r="K30" s="2"/>
      <c r="L30" s="6">
        <f t="shared" si="16"/>
        <v>-191.88</v>
      </c>
      <c r="M30" s="2"/>
      <c r="N30" s="7">
        <f t="shared" si="17"/>
        <v>-1</v>
      </c>
      <c r="O30" s="11"/>
      <c r="P30" s="6">
        <v>191.88</v>
      </c>
      <c r="Q30" s="2"/>
      <c r="R30" s="7">
        <f t="shared" si="18"/>
        <v>0</v>
      </c>
      <c r="S30" s="2"/>
      <c r="T30" s="6">
        <v>1535.04</v>
      </c>
      <c r="U30" s="2"/>
      <c r="V30" s="7">
        <f t="shared" si="19"/>
        <v>2.3842685987675309E-3</v>
      </c>
      <c r="W30" s="2"/>
      <c r="X30" s="6">
        <f t="shared" si="20"/>
        <v>-1343.1599999999999</v>
      </c>
      <c r="Y30" s="2"/>
      <c r="Z30" s="7">
        <f t="shared" si="21"/>
        <v>-0.87499999999999989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158.99</v>
      </c>
      <c r="I31" s="2"/>
      <c r="J31" s="7">
        <f t="shared" si="15"/>
        <v>1.435965892310235E-3</v>
      </c>
      <c r="K31" s="2"/>
      <c r="L31" s="6">
        <f t="shared" si="16"/>
        <v>-158.99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1288.6400000000001</v>
      </c>
      <c r="U31" s="2"/>
      <c r="V31" s="7">
        <f t="shared" si="19"/>
        <v>2.0015529804537939E-3</v>
      </c>
      <c r="W31" s="2"/>
      <c r="X31" s="6">
        <f t="shared" si="20"/>
        <v>-1288.6400000000001</v>
      </c>
      <c r="Y31" s="2"/>
      <c r="Z31" s="7">
        <f t="shared" si="21"/>
        <v>-1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19783.099999999999</v>
      </c>
      <c r="I32" s="1"/>
      <c r="J32" s="5">
        <f t="shared" ref="J32:J37" si="23">IF(H$12=0,0,H32/H$12)</f>
        <v>0.17867700386290086</v>
      </c>
      <c r="K32" s="1"/>
      <c r="L32" s="1">
        <f t="shared" ref="L32:L37" si="24">+D32-H32</f>
        <v>-19783.099999999999</v>
      </c>
      <c r="M32" s="1"/>
      <c r="N32" s="5">
        <f t="shared" ref="N32:N37" si="25">IF(H32=0,0,L32/H32)</f>
        <v>-1</v>
      </c>
      <c r="O32" s="13"/>
      <c r="P32" s="1">
        <f>SUM(OSRRefP22_1x_0)</f>
        <v>2080</v>
      </c>
      <c r="Q32" s="1"/>
      <c r="R32" s="5">
        <f t="shared" ref="R32:R37" si="26">IF(P$12=0,0,P32/P$12)</f>
        <v>0</v>
      </c>
      <c r="S32" s="1"/>
      <c r="T32" s="1">
        <f>SUM(OSRRefT22_1x_0)</f>
        <v>136040.48000000001</v>
      </c>
      <c r="U32" s="1"/>
      <c r="V32" s="5">
        <f t="shared" ref="V32:V37" si="27">IF(T$12=0,0,T32/T$12)</f>
        <v>0.21130201468708462</v>
      </c>
      <c r="W32" s="1"/>
      <c r="X32" s="1">
        <f t="shared" ref="X32:X37" si="28">+P32-T32</f>
        <v>-133960.48000000001</v>
      </c>
      <c r="Y32" s="1"/>
      <c r="Z32" s="5">
        <f t="shared" ref="Z32:Z37" si="29">IF(T32=0,0,X32/T32)</f>
        <v>-0.98471043324751573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4030</v>
      </c>
      <c r="I33" s="2"/>
      <c r="J33" s="7">
        <f t="shared" si="23"/>
        <v>3.6398154261338744E-2</v>
      </c>
      <c r="K33" s="2"/>
      <c r="L33" s="6">
        <f t="shared" si="24"/>
        <v>-4030</v>
      </c>
      <c r="M33" s="2"/>
      <c r="N33" s="7">
        <f t="shared" si="25"/>
        <v>-1</v>
      </c>
      <c r="O33" s="11"/>
      <c r="P33" s="6">
        <v>2080</v>
      </c>
      <c r="Q33" s="2"/>
      <c r="R33" s="7">
        <f t="shared" si="26"/>
        <v>0</v>
      </c>
      <c r="S33" s="2"/>
      <c r="T33" s="6">
        <v>30686</v>
      </c>
      <c r="U33" s="2"/>
      <c r="V33" s="7">
        <f t="shared" si="27"/>
        <v>4.7662384186588275E-2</v>
      </c>
      <c r="W33" s="2"/>
      <c r="X33" s="6">
        <f t="shared" si="28"/>
        <v>-28606</v>
      </c>
      <c r="Y33" s="2"/>
      <c r="Z33" s="7">
        <f t="shared" si="29"/>
        <v>-0.93221664602750443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2"/>
        <v>0</v>
      </c>
      <c r="G34" s="2"/>
      <c r="H34" s="6">
        <v>612.46</v>
      </c>
      <c r="I34" s="2"/>
      <c r="J34" s="7">
        <f t="shared" si="23"/>
        <v>5.5316162677170044E-3</v>
      </c>
      <c r="K34" s="2"/>
      <c r="L34" s="6">
        <f t="shared" si="24"/>
        <v>-612.46</v>
      </c>
      <c r="M34" s="2"/>
      <c r="N34" s="7">
        <f t="shared" si="25"/>
        <v>-1</v>
      </c>
      <c r="O34" s="11"/>
      <c r="P34" s="6"/>
      <c r="Q34" s="2"/>
      <c r="R34" s="7">
        <f t="shared" si="26"/>
        <v>0</v>
      </c>
      <c r="S34" s="2"/>
      <c r="T34" s="6">
        <v>9018.76</v>
      </c>
      <c r="U34" s="2"/>
      <c r="V34" s="7">
        <f t="shared" si="27"/>
        <v>1.4008199309347418E-2</v>
      </c>
      <c r="W34" s="2"/>
      <c r="X34" s="6">
        <f t="shared" si="28"/>
        <v>-9018.76</v>
      </c>
      <c r="Y34" s="2"/>
      <c r="Z34" s="7">
        <f t="shared" si="29"/>
        <v>-1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2"/>
        <v>0</v>
      </c>
      <c r="G35" s="2"/>
      <c r="H35" s="6">
        <v>493.36</v>
      </c>
      <c r="I35" s="2"/>
      <c r="J35" s="7">
        <f t="shared" si="23"/>
        <v>4.455928879993569E-3</v>
      </c>
      <c r="K35" s="2"/>
      <c r="L35" s="6">
        <f t="shared" si="24"/>
        <v>-493.36</v>
      </c>
      <c r="M35" s="2"/>
      <c r="N35" s="7">
        <f t="shared" si="25"/>
        <v>-1</v>
      </c>
      <c r="O35" s="11"/>
      <c r="P35" s="6"/>
      <c r="Q35" s="2"/>
      <c r="R35" s="7">
        <f t="shared" si="26"/>
        <v>0</v>
      </c>
      <c r="S35" s="2"/>
      <c r="T35" s="6">
        <v>493.36</v>
      </c>
      <c r="U35" s="2"/>
      <c r="V35" s="7">
        <f t="shared" si="27"/>
        <v>7.6630104485091546E-4</v>
      </c>
      <c r="W35" s="2"/>
      <c r="X35" s="6">
        <f t="shared" si="28"/>
        <v>-493.36</v>
      </c>
      <c r="Y35" s="2"/>
      <c r="Z35" s="7">
        <f t="shared" si="29"/>
        <v>-1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2"/>
        <v>0</v>
      </c>
      <c r="G36" s="2"/>
      <c r="H36" s="6">
        <v>14257.28</v>
      </c>
      <c r="I36" s="2"/>
      <c r="J36" s="7">
        <f t="shared" si="23"/>
        <v>0.12876890242856071</v>
      </c>
      <c r="K36" s="2"/>
      <c r="L36" s="6">
        <f t="shared" si="24"/>
        <v>-14257.28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93607.360000000001</v>
      </c>
      <c r="U36" s="2"/>
      <c r="V36" s="7">
        <f t="shared" si="27"/>
        <v>0.14539366339738891</v>
      </c>
      <c r="W36" s="2"/>
      <c r="X36" s="6">
        <f t="shared" si="28"/>
        <v>-93607.360000000001</v>
      </c>
      <c r="Y36" s="2"/>
      <c r="Z36" s="7">
        <f t="shared" si="29"/>
        <v>-1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2"/>
        <v>0</v>
      </c>
      <c r="G37" s="2"/>
      <c r="H37" s="6">
        <v>390</v>
      </c>
      <c r="I37" s="2"/>
      <c r="J37" s="7">
        <f t="shared" si="23"/>
        <v>3.5224020252908462E-3</v>
      </c>
      <c r="K37" s="2"/>
      <c r="L37" s="6">
        <f t="shared" si="24"/>
        <v>-390</v>
      </c>
      <c r="M37" s="2"/>
      <c r="N37" s="7">
        <f t="shared" si="25"/>
        <v>-1</v>
      </c>
      <c r="O37" s="11"/>
      <c r="P37" s="6"/>
      <c r="Q37" s="2"/>
      <c r="R37" s="7">
        <f t="shared" si="26"/>
        <v>0</v>
      </c>
      <c r="S37" s="2"/>
      <c r="T37" s="6">
        <v>2235</v>
      </c>
      <c r="U37" s="2"/>
      <c r="V37" s="7">
        <f t="shared" si="27"/>
        <v>3.4714667489091047E-3</v>
      </c>
      <c r="W37" s="2"/>
      <c r="X37" s="6">
        <f t="shared" si="28"/>
        <v>-2235</v>
      </c>
      <c r="Y37" s="2"/>
      <c r="Z37" s="7">
        <f t="shared" si="29"/>
        <v>-1</v>
      </c>
    </row>
    <row r="38" spans="1:26" s="25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52" si="30">IF(D$12=0,0,D38/D$12)</f>
        <v>0</v>
      </c>
      <c r="G38" s="1"/>
      <c r="H38" s="1">
        <f>SUM(OSRRefH22_2x_0)</f>
        <v>58.1</v>
      </c>
      <c r="I38" s="1"/>
      <c r="J38" s="5">
        <f t="shared" ref="J38:J52" si="31">IF(H$12=0,0,H38/H$12)</f>
        <v>5.2474758376768761E-4</v>
      </c>
      <c r="K38" s="1"/>
      <c r="L38" s="1">
        <f t="shared" ref="L38:L52" si="32">+D38-H38</f>
        <v>-58.1</v>
      </c>
      <c r="M38" s="1"/>
      <c r="N38" s="5">
        <f t="shared" ref="N38:N52" si="33">IF(H38=0,0,L38/H38)</f>
        <v>-1</v>
      </c>
      <c r="O38" s="13"/>
      <c r="P38" s="1">
        <f>SUM(OSRRefP22_2x_0)</f>
        <v>0</v>
      </c>
      <c r="Q38" s="1"/>
      <c r="R38" s="5">
        <f t="shared" ref="R38:R52" si="34">IF(P$12=0,0,P38/P$12)</f>
        <v>0</v>
      </c>
      <c r="S38" s="1"/>
      <c r="T38" s="1">
        <f>SUM(OSRRefT22_2x_0)</f>
        <v>253.06</v>
      </c>
      <c r="U38" s="1"/>
      <c r="V38" s="5">
        <f t="shared" ref="V38:V52" si="35">IF(T$12=0,0,T38/T$12)</f>
        <v>3.9306012325679554E-4</v>
      </c>
      <c r="W38" s="1"/>
      <c r="X38" s="1">
        <f t="shared" ref="X38:X52" si="36">+P38-T38</f>
        <v>-253.06</v>
      </c>
      <c r="Y38" s="1"/>
      <c r="Z38" s="5">
        <f t="shared" ref="Z38:Z52" si="37">IF(T38=0,0,X38/T38)</f>
        <v>-1</v>
      </c>
    </row>
    <row r="39" spans="1:26" s="24" customFormat="1" hidden="1" outlineLevel="2" x14ac:dyDescent="0.25">
      <c r="A39" s="26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30"/>
        <v>0</v>
      </c>
      <c r="G39" s="2"/>
      <c r="H39" s="6">
        <v>58.1</v>
      </c>
      <c r="I39" s="2"/>
      <c r="J39" s="7">
        <f t="shared" si="31"/>
        <v>5.2474758376768761E-4</v>
      </c>
      <c r="K39" s="2"/>
      <c r="L39" s="6">
        <f t="shared" si="32"/>
        <v>-58.1</v>
      </c>
      <c r="M39" s="2"/>
      <c r="N39" s="7">
        <f t="shared" si="33"/>
        <v>-1</v>
      </c>
      <c r="O39" s="11"/>
      <c r="P39" s="6"/>
      <c r="Q39" s="2"/>
      <c r="R39" s="7">
        <f t="shared" si="34"/>
        <v>0</v>
      </c>
      <c r="S39" s="2"/>
      <c r="T39" s="6">
        <v>253.06</v>
      </c>
      <c r="U39" s="2"/>
      <c r="V39" s="7">
        <f t="shared" si="35"/>
        <v>3.9306012325679554E-4</v>
      </c>
      <c r="W39" s="2"/>
      <c r="X39" s="6">
        <f t="shared" si="36"/>
        <v>-253.06</v>
      </c>
      <c r="Y39" s="2"/>
      <c r="Z39" s="7">
        <f t="shared" si="37"/>
        <v>-1</v>
      </c>
    </row>
    <row r="40" spans="1:26" s="25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-31.28</v>
      </c>
      <c r="I40" s="1"/>
      <c r="J40" s="5">
        <f t="shared" si="31"/>
        <v>-2.8251470602845557E-4</v>
      </c>
      <c r="K40" s="1"/>
      <c r="L40" s="1">
        <f t="shared" si="32"/>
        <v>31.28</v>
      </c>
      <c r="M40" s="1"/>
      <c r="N40" s="5">
        <f t="shared" si="33"/>
        <v>-1</v>
      </c>
      <c r="O40" s="13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-45.02</v>
      </c>
      <c r="U40" s="1"/>
      <c r="V40" s="5">
        <f t="shared" si="35"/>
        <v>-6.9926368248719422E-5</v>
      </c>
      <c r="W40" s="1"/>
      <c r="X40" s="1">
        <f t="shared" si="36"/>
        <v>45.02</v>
      </c>
      <c r="Y40" s="1"/>
      <c r="Z40" s="5">
        <f t="shared" si="37"/>
        <v>-1</v>
      </c>
    </row>
    <row r="41" spans="1:26" s="24" customFormat="1" hidden="1" outlineLevel="2" x14ac:dyDescent="0.25">
      <c r="A41" s="26"/>
      <c r="B41" s="11" t="str">
        <f>CONCATENATE("          ", "6272", " - ", "CASH (OVER/SHORT)")</f>
        <v xml:space="preserve">          6272 - CASH (OVER/SHORT)</v>
      </c>
      <c r="C41" s="11"/>
      <c r="D41" s="6"/>
      <c r="E41" s="2"/>
      <c r="F41" s="7">
        <f t="shared" si="30"/>
        <v>0</v>
      </c>
      <c r="G41" s="2"/>
      <c r="H41" s="6">
        <v>-31.28</v>
      </c>
      <c r="I41" s="2"/>
      <c r="J41" s="7">
        <f t="shared" si="31"/>
        <v>-2.8251470602845557E-4</v>
      </c>
      <c r="K41" s="2"/>
      <c r="L41" s="6">
        <f t="shared" si="32"/>
        <v>31.28</v>
      </c>
      <c r="M41" s="2"/>
      <c r="N41" s="7">
        <f t="shared" si="33"/>
        <v>-1</v>
      </c>
      <c r="O41" s="11"/>
      <c r="P41" s="6"/>
      <c r="Q41" s="2"/>
      <c r="R41" s="7">
        <f t="shared" si="34"/>
        <v>0</v>
      </c>
      <c r="S41" s="2"/>
      <c r="T41" s="6">
        <v>-45.02</v>
      </c>
      <c r="U41" s="2"/>
      <c r="V41" s="7">
        <f t="shared" si="35"/>
        <v>-6.9926368248719422E-5</v>
      </c>
      <c r="W41" s="2"/>
      <c r="X41" s="6">
        <f t="shared" si="36"/>
        <v>45.02</v>
      </c>
      <c r="Y41" s="2"/>
      <c r="Z41" s="7">
        <f t="shared" si="37"/>
        <v>-1</v>
      </c>
    </row>
    <row r="42" spans="1:26" s="25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4523.92</v>
      </c>
      <c r="I42" s="1"/>
      <c r="J42" s="5">
        <f t="shared" si="31"/>
        <v>4.0859140949368628E-2</v>
      </c>
      <c r="K42" s="1"/>
      <c r="L42" s="1">
        <f t="shared" si="32"/>
        <v>-4523.92</v>
      </c>
      <c r="M42" s="1"/>
      <c r="N42" s="5">
        <f t="shared" si="33"/>
        <v>-1</v>
      </c>
      <c r="O42" s="13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23232.26</v>
      </c>
      <c r="U42" s="1"/>
      <c r="V42" s="5">
        <f t="shared" si="35"/>
        <v>3.608501928054185E-2</v>
      </c>
      <c r="W42" s="1"/>
      <c r="X42" s="1">
        <f t="shared" si="36"/>
        <v>-23232.26</v>
      </c>
      <c r="Y42" s="1"/>
      <c r="Z42" s="5">
        <f t="shared" si="37"/>
        <v>-1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6"/>
      <c r="E43" s="2"/>
      <c r="F43" s="7">
        <f t="shared" si="30"/>
        <v>0</v>
      </c>
      <c r="G43" s="2"/>
      <c r="H43" s="6">
        <v>4523.92</v>
      </c>
      <c r="I43" s="2"/>
      <c r="J43" s="7">
        <f t="shared" si="31"/>
        <v>4.0859140949368628E-2</v>
      </c>
      <c r="K43" s="2"/>
      <c r="L43" s="6">
        <f t="shared" si="32"/>
        <v>-4523.92</v>
      </c>
      <c r="M43" s="2"/>
      <c r="N43" s="7">
        <f t="shared" si="33"/>
        <v>-1</v>
      </c>
      <c r="O43" s="11"/>
      <c r="P43" s="6"/>
      <c r="Q43" s="2"/>
      <c r="R43" s="7">
        <f t="shared" si="34"/>
        <v>0</v>
      </c>
      <c r="S43" s="2"/>
      <c r="T43" s="6">
        <v>23232.26</v>
      </c>
      <c r="U43" s="2"/>
      <c r="V43" s="7">
        <f t="shared" si="35"/>
        <v>3.608501928054185E-2</v>
      </c>
      <c r="W43" s="2"/>
      <c r="X43" s="6">
        <f t="shared" si="36"/>
        <v>-23232.26</v>
      </c>
      <c r="Y43" s="2"/>
      <c r="Z43" s="7">
        <f t="shared" si="37"/>
        <v>-1</v>
      </c>
    </row>
    <row r="44" spans="1:26" s="25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2017.34</v>
      </c>
      <c r="E44" s="1"/>
      <c r="F44" s="5">
        <f t="shared" si="30"/>
        <v>0</v>
      </c>
      <c r="G44" s="1"/>
      <c r="H44" s="1">
        <f>SUM(OSRRefH22_5x_0)</f>
        <v>1857.58</v>
      </c>
      <c r="I44" s="1"/>
      <c r="J44" s="5">
        <f t="shared" si="31"/>
        <v>1.6777291164460948E-2</v>
      </c>
      <c r="K44" s="1"/>
      <c r="L44" s="1">
        <f t="shared" si="32"/>
        <v>159.76</v>
      </c>
      <c r="M44" s="1"/>
      <c r="N44" s="5">
        <f t="shared" si="33"/>
        <v>8.6004371278760539E-2</v>
      </c>
      <c r="O44" s="13"/>
      <c r="P44" s="1">
        <f>SUM(OSRRefP22_5x_0)</f>
        <v>16138.72</v>
      </c>
      <c r="Q44" s="1"/>
      <c r="R44" s="5">
        <f t="shared" si="34"/>
        <v>0</v>
      </c>
      <c r="S44" s="1"/>
      <c r="T44" s="1">
        <f>SUM(OSRRefT22_5x_0)</f>
        <v>14860.64</v>
      </c>
      <c r="U44" s="1"/>
      <c r="V44" s="5">
        <f t="shared" si="35"/>
        <v>2.308197656711794E-2</v>
      </c>
      <c r="W44" s="1"/>
      <c r="X44" s="1">
        <f t="shared" si="36"/>
        <v>1278.08</v>
      </c>
      <c r="Y44" s="1"/>
      <c r="Z44" s="5">
        <f t="shared" si="37"/>
        <v>8.6004371278760539E-2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2017.34</v>
      </c>
      <c r="E45" s="2"/>
      <c r="F45" s="7">
        <f t="shared" si="30"/>
        <v>0</v>
      </c>
      <c r="G45" s="2"/>
      <c r="H45" s="6">
        <v>1857.58</v>
      </c>
      <c r="I45" s="2"/>
      <c r="J45" s="7">
        <f t="shared" si="31"/>
        <v>1.6777291164460948E-2</v>
      </c>
      <c r="K45" s="2"/>
      <c r="L45" s="6">
        <f t="shared" si="32"/>
        <v>159.76</v>
      </c>
      <c r="M45" s="2"/>
      <c r="N45" s="7">
        <f t="shared" si="33"/>
        <v>8.6004371278760539E-2</v>
      </c>
      <c r="O45" s="11"/>
      <c r="P45" s="6">
        <v>16138.72</v>
      </c>
      <c r="Q45" s="2"/>
      <c r="R45" s="7">
        <f t="shared" si="34"/>
        <v>0</v>
      </c>
      <c r="S45" s="2"/>
      <c r="T45" s="6">
        <v>14860.64</v>
      </c>
      <c r="U45" s="2"/>
      <c r="V45" s="7">
        <f t="shared" si="35"/>
        <v>2.308197656711794E-2</v>
      </c>
      <c r="W45" s="2"/>
      <c r="X45" s="6">
        <f t="shared" si="36"/>
        <v>1278.08</v>
      </c>
      <c r="Y45" s="2"/>
      <c r="Z45" s="7">
        <f t="shared" si="37"/>
        <v>8.6004371278760539E-2</v>
      </c>
    </row>
    <row r="46" spans="1:26" s="25" customFormat="1" outlineLevel="1" collapsed="1" x14ac:dyDescent="0.25">
      <c r="A46" s="27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13.5</v>
      </c>
      <c r="I46" s="1"/>
      <c r="J46" s="5">
        <f t="shared" si="31"/>
        <v>1.2192930087545236E-4</v>
      </c>
      <c r="K46" s="1"/>
      <c r="L46" s="1">
        <f t="shared" si="32"/>
        <v>-13.5</v>
      </c>
      <c r="M46" s="1"/>
      <c r="N46" s="5">
        <f t="shared" si="33"/>
        <v>-1</v>
      </c>
      <c r="O46" s="13"/>
      <c r="P46" s="1">
        <f>SUM(OSRRefP22_6x_0)</f>
        <v>0</v>
      </c>
      <c r="Q46" s="1"/>
      <c r="R46" s="5">
        <f t="shared" si="34"/>
        <v>0</v>
      </c>
      <c r="S46" s="1"/>
      <c r="T46" s="1">
        <f>SUM(OSRRefT22_6x_0)</f>
        <v>1231.03</v>
      </c>
      <c r="U46" s="1"/>
      <c r="V46" s="5">
        <f t="shared" si="35"/>
        <v>1.9120714594673715E-3</v>
      </c>
      <c r="W46" s="1"/>
      <c r="X46" s="1">
        <f t="shared" si="36"/>
        <v>-1231.03</v>
      </c>
      <c r="Y46" s="1"/>
      <c r="Z46" s="5">
        <f t="shared" si="37"/>
        <v>-1</v>
      </c>
    </row>
    <row r="47" spans="1:26" s="24" customFormat="1" hidden="1" outlineLevel="2" x14ac:dyDescent="0.25">
      <c r="A47" s="26"/>
      <c r="B47" s="11" t="str">
        <f>CONCATENATE("          ", "6279", " - ", "GENERAL EXPENSE")</f>
        <v xml:space="preserve">          6279 - GENERAL EXPENSE</v>
      </c>
      <c r="C47" s="11"/>
      <c r="D47" s="6"/>
      <c r="E47" s="2"/>
      <c r="F47" s="7">
        <f t="shared" si="30"/>
        <v>0</v>
      </c>
      <c r="G47" s="2"/>
      <c r="H47" s="6">
        <v>13.5</v>
      </c>
      <c r="I47" s="2"/>
      <c r="J47" s="7">
        <f t="shared" si="31"/>
        <v>1.2192930087545236E-4</v>
      </c>
      <c r="K47" s="2"/>
      <c r="L47" s="6">
        <f t="shared" si="32"/>
        <v>-13.5</v>
      </c>
      <c r="M47" s="2"/>
      <c r="N47" s="7">
        <f t="shared" si="33"/>
        <v>-1</v>
      </c>
      <c r="O47" s="11"/>
      <c r="P47" s="6"/>
      <c r="Q47" s="2"/>
      <c r="R47" s="7">
        <f t="shared" si="34"/>
        <v>0</v>
      </c>
      <c r="S47" s="2"/>
      <c r="T47" s="6">
        <v>1231.03</v>
      </c>
      <c r="U47" s="2"/>
      <c r="V47" s="7">
        <f t="shared" si="35"/>
        <v>1.9120714594673715E-3</v>
      </c>
      <c r="W47" s="2"/>
      <c r="X47" s="6">
        <f t="shared" si="36"/>
        <v>-1231.03</v>
      </c>
      <c r="Y47" s="2"/>
      <c r="Z47" s="7">
        <f t="shared" si="37"/>
        <v>-1</v>
      </c>
    </row>
    <row r="48" spans="1:26" s="25" customFormat="1" outlineLevel="1" collapsed="1" x14ac:dyDescent="0.25">
      <c r="A48" s="27"/>
      <c r="B48" s="13" t="str">
        <f>CONCATENATE("     ","Rent                                              ")</f>
        <v xml:space="preserve">     Rent                                              </v>
      </c>
      <c r="C48" s="13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1150</v>
      </c>
      <c r="I48" s="1"/>
      <c r="J48" s="5">
        <f t="shared" si="31"/>
        <v>1.0386570074575573E-2</v>
      </c>
      <c r="K48" s="1"/>
      <c r="L48" s="1">
        <f t="shared" si="32"/>
        <v>-1150</v>
      </c>
      <c r="M48" s="1"/>
      <c r="N48" s="5">
        <f t="shared" si="33"/>
        <v>-1</v>
      </c>
      <c r="O48" s="13"/>
      <c r="P48" s="1">
        <f>SUM(OSRRefP22_7x_0)</f>
        <v>0</v>
      </c>
      <c r="Q48" s="1"/>
      <c r="R48" s="5">
        <f t="shared" si="34"/>
        <v>0</v>
      </c>
      <c r="S48" s="1"/>
      <c r="T48" s="1">
        <f>SUM(OSRRefT22_7x_0)</f>
        <v>9200</v>
      </c>
      <c r="U48" s="1"/>
      <c r="V48" s="5">
        <f t="shared" si="35"/>
        <v>1.4289706527947994E-2</v>
      </c>
      <c r="W48" s="1"/>
      <c r="X48" s="1">
        <f t="shared" si="36"/>
        <v>-9200</v>
      </c>
      <c r="Y48" s="1"/>
      <c r="Z48" s="5">
        <f t="shared" si="37"/>
        <v>-1</v>
      </c>
    </row>
    <row r="49" spans="1:26" s="24" customFormat="1" hidden="1" outlineLevel="2" x14ac:dyDescent="0.25">
      <c r="A49" s="26"/>
      <c r="B49" s="11" t="str">
        <f>CONCATENATE("          ", "6273", " - ", "RENT")</f>
        <v xml:space="preserve">          6273 - RENT</v>
      </c>
      <c r="C49" s="11"/>
      <c r="D49" s="6"/>
      <c r="E49" s="2"/>
      <c r="F49" s="7">
        <f t="shared" si="30"/>
        <v>0</v>
      </c>
      <c r="G49" s="2"/>
      <c r="H49" s="6">
        <v>1150</v>
      </c>
      <c r="I49" s="2"/>
      <c r="J49" s="7">
        <f t="shared" si="31"/>
        <v>1.0386570074575573E-2</v>
      </c>
      <c r="K49" s="2"/>
      <c r="L49" s="6">
        <f t="shared" si="32"/>
        <v>-1150</v>
      </c>
      <c r="M49" s="2"/>
      <c r="N49" s="7">
        <f t="shared" si="33"/>
        <v>-1</v>
      </c>
      <c r="O49" s="11"/>
      <c r="P49" s="6"/>
      <c r="Q49" s="2"/>
      <c r="R49" s="7">
        <f t="shared" si="34"/>
        <v>0</v>
      </c>
      <c r="S49" s="2"/>
      <c r="T49" s="6">
        <v>9200</v>
      </c>
      <c r="U49" s="2"/>
      <c r="V49" s="7">
        <f t="shared" si="35"/>
        <v>1.4289706527947994E-2</v>
      </c>
      <c r="W49" s="2"/>
      <c r="X49" s="6">
        <f t="shared" si="36"/>
        <v>-9200</v>
      </c>
      <c r="Y49" s="2"/>
      <c r="Z49" s="7">
        <f t="shared" si="37"/>
        <v>-1</v>
      </c>
    </row>
    <row r="50" spans="1:26" s="25" customFormat="1" outlineLevel="1" collapsed="1" x14ac:dyDescent="0.25">
      <c r="A50" s="27"/>
      <c r="B50" s="13" t="str">
        <f>CONCATENATE("     ","Repair and Maintenance                            ")</f>
        <v xml:space="preserve">     Repair and Maintenance                            </v>
      </c>
      <c r="C50" s="13"/>
      <c r="D50" s="1">
        <f>SUM(OSRRefD22_8x_0)</f>
        <v>0</v>
      </c>
      <c r="E50" s="1"/>
      <c r="F50" s="5">
        <f t="shared" si="30"/>
        <v>0</v>
      </c>
      <c r="G50" s="1"/>
      <c r="H50" s="1">
        <f>SUM(OSRRefH22_8x_0)</f>
        <v>0</v>
      </c>
      <c r="I50" s="1"/>
      <c r="J50" s="5">
        <f t="shared" si="31"/>
        <v>0</v>
      </c>
      <c r="K50" s="1"/>
      <c r="L50" s="1">
        <f t="shared" si="32"/>
        <v>0</v>
      </c>
      <c r="M50" s="1"/>
      <c r="N50" s="5">
        <f t="shared" si="33"/>
        <v>0</v>
      </c>
      <c r="O50" s="13"/>
      <c r="P50" s="1">
        <f>SUM(OSRRefP22_8x_0)</f>
        <v>223.3</v>
      </c>
      <c r="Q50" s="1"/>
      <c r="R50" s="5">
        <f t="shared" si="34"/>
        <v>0</v>
      </c>
      <c r="S50" s="1"/>
      <c r="T50" s="1">
        <f>SUM(OSRRefT22_8x_0)</f>
        <v>5873.64</v>
      </c>
      <c r="U50" s="1"/>
      <c r="V50" s="5">
        <f t="shared" si="35"/>
        <v>9.1231078098713541E-3</v>
      </c>
      <c r="W50" s="1"/>
      <c r="X50" s="1">
        <f t="shared" si="36"/>
        <v>-5650.34</v>
      </c>
      <c r="Y50" s="1"/>
      <c r="Z50" s="5">
        <f t="shared" si="37"/>
        <v>-0.96198268875858917</v>
      </c>
    </row>
    <row r="51" spans="1:26" s="24" customFormat="1" hidden="1" outlineLevel="2" x14ac:dyDescent="0.25">
      <c r="A51" s="26"/>
      <c r="B51" s="11" t="str">
        <f>CONCATENATE("          ", "6373", " - ", "MAINTENANCE CONTRACTS")</f>
        <v xml:space="preserve">          6373 - MAINTENANCE CONTRACTS</v>
      </c>
      <c r="C51" s="11"/>
      <c r="D51" s="6"/>
      <c r="E51" s="2"/>
      <c r="F51" s="7">
        <f t="shared" si="30"/>
        <v>0</v>
      </c>
      <c r="G51" s="2"/>
      <c r="H51" s="6"/>
      <c r="I51" s="2"/>
      <c r="J51" s="7">
        <f t="shared" si="31"/>
        <v>0</v>
      </c>
      <c r="K51" s="2"/>
      <c r="L51" s="6">
        <f t="shared" si="32"/>
        <v>0</v>
      </c>
      <c r="M51" s="2"/>
      <c r="N51" s="7">
        <f t="shared" si="33"/>
        <v>0</v>
      </c>
      <c r="O51" s="11"/>
      <c r="P51" s="6">
        <v>223.3</v>
      </c>
      <c r="Q51" s="2"/>
      <c r="R51" s="7">
        <f t="shared" si="34"/>
        <v>0</v>
      </c>
      <c r="S51" s="2"/>
      <c r="T51" s="6">
        <v>139.83000000000001</v>
      </c>
      <c r="U51" s="2"/>
      <c r="V51" s="7">
        <f t="shared" si="35"/>
        <v>2.1718800693510521E-4</v>
      </c>
      <c r="W51" s="2"/>
      <c r="X51" s="6">
        <f t="shared" si="36"/>
        <v>83.47</v>
      </c>
      <c r="Y51" s="2"/>
      <c r="Z51" s="7">
        <f t="shared" si="37"/>
        <v>0.59693914038475282</v>
      </c>
    </row>
    <row r="52" spans="1:26" s="24" customFormat="1" hidden="1" outlineLevel="2" x14ac:dyDescent="0.25">
      <c r="A52" s="26"/>
      <c r="B52" s="11" t="str">
        <f>CONCATENATE("          ", "6375", " - ", "OUTSIDE REPAIRS &amp; MAINTENANCE")</f>
        <v xml:space="preserve">          6375 - OUTSIDE REPAIRS &amp; MAINTENANCE</v>
      </c>
      <c r="C52" s="11"/>
      <c r="D52" s="6"/>
      <c r="E52" s="2"/>
      <c r="F52" s="7">
        <f t="shared" si="30"/>
        <v>0</v>
      </c>
      <c r="G52" s="2"/>
      <c r="H52" s="6"/>
      <c r="I52" s="2"/>
      <c r="J52" s="7">
        <f t="shared" si="31"/>
        <v>0</v>
      </c>
      <c r="K52" s="2"/>
      <c r="L52" s="6">
        <f t="shared" si="32"/>
        <v>0</v>
      </c>
      <c r="M52" s="2"/>
      <c r="N52" s="7">
        <f t="shared" si="33"/>
        <v>0</v>
      </c>
      <c r="O52" s="11"/>
      <c r="P52" s="6"/>
      <c r="Q52" s="2"/>
      <c r="R52" s="7">
        <f t="shared" si="34"/>
        <v>0</v>
      </c>
      <c r="S52" s="2"/>
      <c r="T52" s="6">
        <v>5733.81</v>
      </c>
      <c r="U52" s="2"/>
      <c r="V52" s="7">
        <f t="shared" si="35"/>
        <v>8.9059198029362487E-3</v>
      </c>
      <c r="W52" s="2"/>
      <c r="X52" s="6">
        <f t="shared" si="36"/>
        <v>-5733.81</v>
      </c>
      <c r="Y52" s="2"/>
      <c r="Z52" s="7">
        <f t="shared" si="37"/>
        <v>-1</v>
      </c>
    </row>
    <row r="53" spans="1:26" s="25" customFormat="1" outlineLevel="1" collapsed="1" x14ac:dyDescent="0.25">
      <c r="A53" s="27"/>
      <c r="B53" s="13" t="str">
        <f>CONCATENATE("     ","Services                                          ")</f>
        <v xml:space="preserve">     Services                                          </v>
      </c>
      <c r="C53" s="13"/>
      <c r="D53" s="1">
        <f>SUM(OSRRefD22_9x_0)</f>
        <v>0</v>
      </c>
      <c r="E53" s="1"/>
      <c r="F53" s="5">
        <f t="shared" ref="F53:F56" si="38">IF(D$12=0,0,D53/D$12)</f>
        <v>0</v>
      </c>
      <c r="G53" s="1"/>
      <c r="H53" s="1">
        <f>SUM(OSRRefH22_9x_0)</f>
        <v>508.21000000000004</v>
      </c>
      <c r="I53" s="1"/>
      <c r="J53" s="5">
        <f t="shared" ref="J53:J56" si="39">IF(H$12=0,0,H53/H$12)</f>
        <v>4.5900511109565672E-3</v>
      </c>
      <c r="K53" s="1"/>
      <c r="L53" s="1">
        <f t="shared" ref="L53:L56" si="40">+D53-H53</f>
        <v>-508.21000000000004</v>
      </c>
      <c r="M53" s="1"/>
      <c r="N53" s="5">
        <f t="shared" ref="N53:N56" si="41">IF(H53=0,0,L53/H53)</f>
        <v>-1</v>
      </c>
      <c r="O53" s="13"/>
      <c r="P53" s="1">
        <f>SUM(OSRRefP22_9x_0)</f>
        <v>-1053.52</v>
      </c>
      <c r="Q53" s="1"/>
      <c r="R53" s="5">
        <f t="shared" ref="R53:R56" si="42">IF(P$12=0,0,P53/P$12)</f>
        <v>0</v>
      </c>
      <c r="S53" s="1"/>
      <c r="T53" s="1">
        <f>SUM(OSRRefT22_9x_0)</f>
        <v>4021.87</v>
      </c>
      <c r="U53" s="1"/>
      <c r="V53" s="5">
        <f t="shared" ref="V53:V56" si="43">IF(T$12=0,0,T53/T$12)</f>
        <v>6.2468849992998038E-3</v>
      </c>
      <c r="W53" s="1"/>
      <c r="X53" s="1">
        <f t="shared" ref="X53:X56" si="44">+P53-T53</f>
        <v>-5075.3899999999994</v>
      </c>
      <c r="Y53" s="1"/>
      <c r="Z53" s="5">
        <f t="shared" ref="Z53:Z56" si="45">IF(T53=0,0,X53/T53)</f>
        <v>-1.2619478004013058</v>
      </c>
    </row>
    <row r="54" spans="1:26" s="24" customFormat="1" hidden="1" outlineLevel="2" x14ac:dyDescent="0.25">
      <c r="A54" s="26"/>
      <c r="B54" s="11" t="str">
        <f>CONCATENATE("          ", "6282", " - ", "JANITORIAL/EXTERMINATOR EXPENS")</f>
        <v xml:space="preserve">          6282 - JANITORIAL/EXTERMINATOR EXPENS</v>
      </c>
      <c r="C54" s="11"/>
      <c r="D54" s="6"/>
      <c r="E54" s="2"/>
      <c r="F54" s="7">
        <f t="shared" si="38"/>
        <v>0</v>
      </c>
      <c r="G54" s="2"/>
      <c r="H54" s="6">
        <v>116.81</v>
      </c>
      <c r="I54" s="2"/>
      <c r="J54" s="7">
        <f t="shared" si="39"/>
        <v>1.0550045655749328E-3</v>
      </c>
      <c r="K54" s="2"/>
      <c r="L54" s="6">
        <f t="shared" si="40"/>
        <v>-116.81</v>
      </c>
      <c r="M54" s="2"/>
      <c r="N54" s="7">
        <f t="shared" si="41"/>
        <v>-1</v>
      </c>
      <c r="O54" s="11"/>
      <c r="P54" s="6">
        <v>-567.28</v>
      </c>
      <c r="Q54" s="2"/>
      <c r="R54" s="7">
        <f t="shared" si="42"/>
        <v>0</v>
      </c>
      <c r="S54" s="2"/>
      <c r="T54" s="6">
        <v>1051.29</v>
      </c>
      <c r="U54" s="2"/>
      <c r="V54" s="7">
        <f t="shared" si="43"/>
        <v>1.6328940843224396E-3</v>
      </c>
      <c r="W54" s="2"/>
      <c r="X54" s="6">
        <f t="shared" si="44"/>
        <v>-1618.57</v>
      </c>
      <c r="Y54" s="2"/>
      <c r="Z54" s="7">
        <f t="shared" si="45"/>
        <v>-1.5396037249474455</v>
      </c>
    </row>
    <row r="55" spans="1:26" s="24" customFormat="1" hidden="1" outlineLevel="2" x14ac:dyDescent="0.25">
      <c r="A55" s="26"/>
      <c r="B55" s="11" t="str">
        <f>CONCATENATE("          ", "6285", " - ", "JANITORIAL SERVICES")</f>
        <v xml:space="preserve">          6285 - JANITORIAL SERVICES</v>
      </c>
      <c r="C55" s="11"/>
      <c r="D55" s="6"/>
      <c r="E55" s="2"/>
      <c r="F55" s="7">
        <f t="shared" si="38"/>
        <v>0</v>
      </c>
      <c r="G55" s="2"/>
      <c r="H55" s="6">
        <v>81.040000000000006</v>
      </c>
      <c r="I55" s="2"/>
      <c r="J55" s="7">
        <f t="shared" si="39"/>
        <v>7.3193707725530827E-4</v>
      </c>
      <c r="K55" s="2"/>
      <c r="L55" s="6">
        <f t="shared" si="40"/>
        <v>-81.040000000000006</v>
      </c>
      <c r="M55" s="2"/>
      <c r="N55" s="7">
        <f t="shared" si="41"/>
        <v>-1</v>
      </c>
      <c r="O55" s="11"/>
      <c r="P55" s="6">
        <v>-486.24</v>
      </c>
      <c r="Q55" s="2"/>
      <c r="R55" s="7">
        <f t="shared" si="42"/>
        <v>0</v>
      </c>
      <c r="S55" s="2"/>
      <c r="T55" s="6">
        <v>516.16</v>
      </c>
      <c r="U55" s="2"/>
      <c r="V55" s="7">
        <f t="shared" si="43"/>
        <v>8.0171466537669951E-4</v>
      </c>
      <c r="W55" s="2"/>
      <c r="X55" s="6">
        <f t="shared" si="44"/>
        <v>-1002.4</v>
      </c>
      <c r="Y55" s="2"/>
      <c r="Z55" s="7">
        <f t="shared" si="45"/>
        <v>-1.9420334779913206</v>
      </c>
    </row>
    <row r="56" spans="1:26" s="24" customFormat="1" hidden="1" outlineLevel="2" x14ac:dyDescent="0.25">
      <c r="A56" s="26"/>
      <c r="B56" s="11" t="str">
        <f>CONCATENATE("          ", "6286", " - ", "LAUNDRY EXPENSE")</f>
        <v xml:space="preserve">          6286 - LAUNDRY EXPENSE</v>
      </c>
      <c r="C56" s="11"/>
      <c r="D56" s="6"/>
      <c r="E56" s="2"/>
      <c r="F56" s="7">
        <f t="shared" si="38"/>
        <v>0</v>
      </c>
      <c r="G56" s="2"/>
      <c r="H56" s="6">
        <v>310.36</v>
      </c>
      <c r="I56" s="2"/>
      <c r="J56" s="7">
        <f t="shared" si="39"/>
        <v>2.8031094681263257E-3</v>
      </c>
      <c r="K56" s="2"/>
      <c r="L56" s="6">
        <f t="shared" si="40"/>
        <v>-310.36</v>
      </c>
      <c r="M56" s="2"/>
      <c r="N56" s="7">
        <f t="shared" si="41"/>
        <v>-1</v>
      </c>
      <c r="O56" s="11"/>
      <c r="P56" s="6"/>
      <c r="Q56" s="2"/>
      <c r="R56" s="7">
        <f t="shared" si="42"/>
        <v>0</v>
      </c>
      <c r="S56" s="2"/>
      <c r="T56" s="6">
        <v>2454.42</v>
      </c>
      <c r="U56" s="2"/>
      <c r="V56" s="7">
        <f t="shared" si="43"/>
        <v>3.8122762496006646E-3</v>
      </c>
      <c r="W56" s="2"/>
      <c r="X56" s="6">
        <f t="shared" si="44"/>
        <v>-2454.42</v>
      </c>
      <c r="Y56" s="2"/>
      <c r="Z56" s="7">
        <f t="shared" si="45"/>
        <v>-1</v>
      </c>
    </row>
    <row r="57" spans="1:26" s="25" customFormat="1" outlineLevel="1" collapsed="1" x14ac:dyDescent="0.25">
      <c r="A57" s="27"/>
      <c r="B57" s="13" t="str">
        <f>CONCATENATE("     ","Supplies                                          ")</f>
        <v xml:space="preserve">     Supplies                                          </v>
      </c>
      <c r="C57" s="13"/>
      <c r="D57" s="1">
        <f>SUM(OSRRefD22_10x_0)</f>
        <v>0</v>
      </c>
      <c r="E57" s="1"/>
      <c r="F57" s="5">
        <f t="shared" ref="F57:F63" si="46">IF(D$12=0,0,D57/D$12)</f>
        <v>0</v>
      </c>
      <c r="G57" s="1"/>
      <c r="H57" s="1">
        <f>SUM(OSRRefH22_10x_0)</f>
        <v>1934.84</v>
      </c>
      <c r="I57" s="1"/>
      <c r="J57" s="5">
        <f t="shared" ref="J57:J63" si="47">IF(H$12=0,0,H57/H$12)</f>
        <v>1.747508803747113E-2</v>
      </c>
      <c r="K57" s="1"/>
      <c r="L57" s="1">
        <f t="shared" ref="L57:L63" si="48">+D57-H57</f>
        <v>-1934.84</v>
      </c>
      <c r="M57" s="1"/>
      <c r="N57" s="5">
        <f t="shared" ref="N57:N63" si="49">IF(H57=0,0,L57/H57)</f>
        <v>-1</v>
      </c>
      <c r="O57" s="13"/>
      <c r="P57" s="1">
        <f>SUM(OSRRefP22_10x_0)</f>
        <v>131.30000000000001</v>
      </c>
      <c r="Q57" s="1"/>
      <c r="R57" s="5">
        <f t="shared" ref="R57:R63" si="50">IF(P$12=0,0,P57/P$12)</f>
        <v>0</v>
      </c>
      <c r="S57" s="1"/>
      <c r="T57" s="1">
        <f>SUM(OSRRefT22_10x_0)</f>
        <v>14559.5</v>
      </c>
      <c r="U57" s="1"/>
      <c r="V57" s="5">
        <f t="shared" ref="V57:V63" si="51">IF(T$12=0,0,T57/T$12)</f>
        <v>2.2614237194962913E-2</v>
      </c>
      <c r="W57" s="1"/>
      <c r="X57" s="1">
        <f t="shared" ref="X57:X63" si="52">+P57-T57</f>
        <v>-14428.2</v>
      </c>
      <c r="Y57" s="1"/>
      <c r="Z57" s="5">
        <f t="shared" ref="Z57:Z63" si="53">IF(T57=0,0,X57/T57)</f>
        <v>-0.99098183316734778</v>
      </c>
    </row>
    <row r="58" spans="1:26" s="24" customFormat="1" hidden="1" outlineLevel="2" x14ac:dyDescent="0.25">
      <c r="A58" s="26"/>
      <c r="B58" s="11" t="str">
        <f>CONCATENATE("          ", "6234", " - ", "EXPENDABLE SUPPLIES &amp; EQUIPMEN")</f>
        <v xml:space="preserve">          6234 - EXPENDABLE SUPPLIES &amp; EQUIPMEN</v>
      </c>
      <c r="C58" s="11"/>
      <c r="D58" s="6"/>
      <c r="E58" s="2"/>
      <c r="F58" s="7">
        <f t="shared" si="46"/>
        <v>0</v>
      </c>
      <c r="G58" s="2"/>
      <c r="H58" s="6"/>
      <c r="I58" s="2"/>
      <c r="J58" s="7">
        <f t="shared" si="47"/>
        <v>0</v>
      </c>
      <c r="K58" s="2"/>
      <c r="L58" s="6">
        <f t="shared" si="48"/>
        <v>0</v>
      </c>
      <c r="M58" s="2"/>
      <c r="N58" s="7">
        <f t="shared" si="49"/>
        <v>0</v>
      </c>
      <c r="O58" s="11"/>
      <c r="P58" s="6"/>
      <c r="Q58" s="2"/>
      <c r="R58" s="7">
        <f t="shared" si="50"/>
        <v>0</v>
      </c>
      <c r="S58" s="2"/>
      <c r="T58" s="6">
        <v>354.71</v>
      </c>
      <c r="U58" s="2"/>
      <c r="V58" s="7">
        <f t="shared" si="51"/>
        <v>5.5094584810091659E-4</v>
      </c>
      <c r="W58" s="2"/>
      <c r="X58" s="6">
        <f t="shared" si="52"/>
        <v>-354.71</v>
      </c>
      <c r="Y58" s="2"/>
      <c r="Z58" s="7">
        <f t="shared" si="53"/>
        <v>-1</v>
      </c>
    </row>
    <row r="59" spans="1:26" s="24" customFormat="1" hidden="1" outlineLevel="2" x14ac:dyDescent="0.25">
      <c r="A59" s="26"/>
      <c r="B59" s="11" t="str">
        <f>CONCATENATE("          ", "6237", " - ", "JANITORIAL SUPPLIES")</f>
        <v xml:space="preserve">          6237 - JANITORIAL SUPPLIES</v>
      </c>
      <c r="C59" s="11"/>
      <c r="D59" s="6"/>
      <c r="E59" s="2"/>
      <c r="F59" s="7">
        <f t="shared" si="46"/>
        <v>0</v>
      </c>
      <c r="G59" s="2"/>
      <c r="H59" s="6">
        <v>432.57</v>
      </c>
      <c r="I59" s="2"/>
      <c r="J59" s="7">
        <f t="shared" si="47"/>
        <v>3.906885754051439E-3</v>
      </c>
      <c r="K59" s="2"/>
      <c r="L59" s="6">
        <f t="shared" si="48"/>
        <v>-432.57</v>
      </c>
      <c r="M59" s="2"/>
      <c r="N59" s="7">
        <f t="shared" si="49"/>
        <v>-1</v>
      </c>
      <c r="O59" s="11"/>
      <c r="P59" s="6"/>
      <c r="Q59" s="2"/>
      <c r="R59" s="7">
        <f t="shared" si="50"/>
        <v>0</v>
      </c>
      <c r="S59" s="2"/>
      <c r="T59" s="6">
        <v>1709.62</v>
      </c>
      <c r="U59" s="2"/>
      <c r="V59" s="7">
        <f t="shared" si="51"/>
        <v>2.6554313124250483E-3</v>
      </c>
      <c r="W59" s="2"/>
      <c r="X59" s="6">
        <f t="shared" si="52"/>
        <v>-1709.62</v>
      </c>
      <c r="Y59" s="2"/>
      <c r="Z59" s="7">
        <f t="shared" si="53"/>
        <v>-1</v>
      </c>
    </row>
    <row r="60" spans="1:26" s="24" customFormat="1" hidden="1" outlineLevel="2" x14ac:dyDescent="0.25">
      <c r="A60" s="26"/>
      <c r="B60" s="11" t="str">
        <f>CONCATENATE("          ", "6239", " - ", "KITCHEN SUPPLIES")</f>
        <v xml:space="preserve">          6239 - KITCHEN SUPPLIES</v>
      </c>
      <c r="C60" s="11"/>
      <c r="D60" s="6"/>
      <c r="E60" s="2"/>
      <c r="F60" s="7">
        <f t="shared" si="46"/>
        <v>0</v>
      </c>
      <c r="G60" s="2"/>
      <c r="H60" s="6">
        <v>377.28</v>
      </c>
      <c r="I60" s="2"/>
      <c r="J60" s="7">
        <f t="shared" si="47"/>
        <v>3.4075175284659755E-3</v>
      </c>
      <c r="K60" s="2"/>
      <c r="L60" s="6">
        <f t="shared" si="48"/>
        <v>-377.28</v>
      </c>
      <c r="M60" s="2"/>
      <c r="N60" s="7">
        <f t="shared" si="49"/>
        <v>-1</v>
      </c>
      <c r="O60" s="11"/>
      <c r="P60" s="6"/>
      <c r="Q60" s="2"/>
      <c r="R60" s="7">
        <f t="shared" si="50"/>
        <v>0</v>
      </c>
      <c r="S60" s="2"/>
      <c r="T60" s="6">
        <v>441.2</v>
      </c>
      <c r="U60" s="2"/>
      <c r="V60" s="7">
        <f t="shared" si="51"/>
        <v>6.8528462175333196E-4</v>
      </c>
      <c r="W60" s="2"/>
      <c r="X60" s="6">
        <f t="shared" si="52"/>
        <v>-441.2</v>
      </c>
      <c r="Y60" s="2"/>
      <c r="Z60" s="7">
        <f t="shared" si="53"/>
        <v>-1</v>
      </c>
    </row>
    <row r="61" spans="1:26" s="24" customFormat="1" hidden="1" outlineLevel="2" x14ac:dyDescent="0.25">
      <c r="A61" s="26"/>
      <c r="B61" s="11" t="str">
        <f>CONCATENATE("          ", "6241", " - ", "OFFICE EXPENSE")</f>
        <v xml:space="preserve">          6241 - OFFICE EXPENSE</v>
      </c>
      <c r="C61" s="11"/>
      <c r="D61" s="6"/>
      <c r="E61" s="2"/>
      <c r="F61" s="7">
        <f t="shared" si="46"/>
        <v>0</v>
      </c>
      <c r="G61" s="2"/>
      <c r="H61" s="6">
        <v>183.29</v>
      </c>
      <c r="I61" s="2"/>
      <c r="J61" s="7">
        <f t="shared" si="47"/>
        <v>1.6554386338860491E-3</v>
      </c>
      <c r="K61" s="2"/>
      <c r="L61" s="6">
        <f t="shared" si="48"/>
        <v>-183.29</v>
      </c>
      <c r="M61" s="2"/>
      <c r="N61" s="7">
        <f t="shared" si="49"/>
        <v>-1</v>
      </c>
      <c r="O61" s="11"/>
      <c r="P61" s="6">
        <v>131.30000000000001</v>
      </c>
      <c r="Q61" s="2"/>
      <c r="R61" s="7">
        <f t="shared" si="50"/>
        <v>0</v>
      </c>
      <c r="S61" s="2"/>
      <c r="T61" s="6">
        <v>1530.88</v>
      </c>
      <c r="U61" s="2"/>
      <c r="V61" s="7">
        <f t="shared" si="51"/>
        <v>2.3778071662505463E-3</v>
      </c>
      <c r="W61" s="2"/>
      <c r="X61" s="6">
        <f t="shared" si="52"/>
        <v>-1399.5800000000002</v>
      </c>
      <c r="Y61" s="2"/>
      <c r="Z61" s="7">
        <f t="shared" si="53"/>
        <v>-0.91423233695652173</v>
      </c>
    </row>
    <row r="62" spans="1:26" s="24" customFormat="1" hidden="1" outlineLevel="2" x14ac:dyDescent="0.25">
      <c r="A62" s="26"/>
      <c r="B62" s="11" t="str">
        <f>CONCATENATE("          ", "6243", " - ", "PAPER SUPPLIES")</f>
        <v xml:space="preserve">          6243 - PAPER SUPPLIES</v>
      </c>
      <c r="C62" s="11"/>
      <c r="D62" s="6"/>
      <c r="E62" s="2"/>
      <c r="F62" s="7">
        <f t="shared" si="46"/>
        <v>0</v>
      </c>
      <c r="G62" s="2"/>
      <c r="H62" s="6">
        <v>726.98</v>
      </c>
      <c r="I62" s="2"/>
      <c r="J62" s="7">
        <f t="shared" si="47"/>
        <v>6.5659380111434346E-3</v>
      </c>
      <c r="K62" s="2"/>
      <c r="L62" s="6">
        <f t="shared" si="48"/>
        <v>-726.98</v>
      </c>
      <c r="M62" s="2"/>
      <c r="N62" s="7">
        <f t="shared" si="49"/>
        <v>-1</v>
      </c>
      <c r="O62" s="11"/>
      <c r="P62" s="6"/>
      <c r="Q62" s="2"/>
      <c r="R62" s="7">
        <f t="shared" si="50"/>
        <v>0</v>
      </c>
      <c r="S62" s="2"/>
      <c r="T62" s="6">
        <v>2823.28</v>
      </c>
      <c r="U62" s="2"/>
      <c r="V62" s="7">
        <f t="shared" si="51"/>
        <v>4.3852002876331531E-3</v>
      </c>
      <c r="W62" s="2"/>
      <c r="X62" s="6">
        <f t="shared" si="52"/>
        <v>-2823.28</v>
      </c>
      <c r="Y62" s="2"/>
      <c r="Z62" s="7">
        <f t="shared" si="53"/>
        <v>-1</v>
      </c>
    </row>
    <row r="63" spans="1:26" s="24" customFormat="1" hidden="1" outlineLevel="2" x14ac:dyDescent="0.25">
      <c r="A63" s="26"/>
      <c r="B63" s="11" t="str">
        <f>CONCATENATE("          ", "6247", " - ", "STORE SUPPLIES")</f>
        <v xml:space="preserve">          6247 - STORE SUPPLIES</v>
      </c>
      <c r="C63" s="11"/>
      <c r="D63" s="6"/>
      <c r="E63" s="2"/>
      <c r="F63" s="7">
        <f t="shared" si="46"/>
        <v>0</v>
      </c>
      <c r="G63" s="2"/>
      <c r="H63" s="6">
        <v>214.72</v>
      </c>
      <c r="I63" s="2"/>
      <c r="J63" s="7">
        <f t="shared" si="47"/>
        <v>1.9393081099242321E-3</v>
      </c>
      <c r="K63" s="2"/>
      <c r="L63" s="6">
        <f t="shared" si="48"/>
        <v>-214.72</v>
      </c>
      <c r="M63" s="2"/>
      <c r="N63" s="7">
        <f t="shared" si="49"/>
        <v>-1</v>
      </c>
      <c r="O63" s="11"/>
      <c r="P63" s="6"/>
      <c r="Q63" s="2"/>
      <c r="R63" s="7">
        <f t="shared" si="50"/>
        <v>0</v>
      </c>
      <c r="S63" s="2"/>
      <c r="T63" s="6">
        <v>7699.81</v>
      </c>
      <c r="U63" s="2"/>
      <c r="V63" s="7">
        <f t="shared" si="51"/>
        <v>1.1959567958799917E-2</v>
      </c>
      <c r="W63" s="2"/>
      <c r="X63" s="6">
        <f t="shared" si="52"/>
        <v>-7699.81</v>
      </c>
      <c r="Y63" s="2"/>
      <c r="Z63" s="7">
        <f t="shared" si="53"/>
        <v>-1</v>
      </c>
    </row>
    <row r="64" spans="1:26" s="25" customFormat="1" outlineLevel="1" collapsed="1" x14ac:dyDescent="0.25">
      <c r="A64" s="27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SUM(OSRRefD22_11x_0)</f>
        <v>0</v>
      </c>
      <c r="E64" s="1"/>
      <c r="F64" s="5">
        <f t="shared" ref="F64:F67" si="54">IF(D$12=0,0,D64/D$12)</f>
        <v>0</v>
      </c>
      <c r="G64" s="1"/>
      <c r="H64" s="1">
        <f>SUM(OSRRefH22_11x_0)</f>
        <v>86</v>
      </c>
      <c r="I64" s="1"/>
      <c r="J64" s="5">
        <f t="shared" ref="J64:J67" si="55">IF(H$12=0,0,H64/H$12)</f>
        <v>7.7673480557695579E-4</v>
      </c>
      <c r="K64" s="1"/>
      <c r="L64" s="1">
        <f t="shared" ref="L64:L67" si="56">+D64-H64</f>
        <v>-86</v>
      </c>
      <c r="M64" s="1"/>
      <c r="N64" s="5">
        <f t="shared" ref="N64:N67" si="57">IF(H64=0,0,L64/H64)</f>
        <v>-1</v>
      </c>
      <c r="O64" s="13"/>
      <c r="P64" s="1">
        <f>SUM(OSRRefP22_11x_0)</f>
        <v>85.2</v>
      </c>
      <c r="Q64" s="1"/>
      <c r="R64" s="5">
        <f t="shared" ref="R64:R67" si="58">IF(P$12=0,0,P64/P$12)</f>
        <v>0</v>
      </c>
      <c r="S64" s="1"/>
      <c r="T64" s="1">
        <f>SUM(OSRRefT22_11x_0)</f>
        <v>403</v>
      </c>
      <c r="U64" s="1"/>
      <c r="V64" s="5">
        <f t="shared" ref="V64:V67" si="59">IF(T$12=0,0,T64/T$12)</f>
        <v>6.259512750829392E-4</v>
      </c>
      <c r="W64" s="1"/>
      <c r="X64" s="1">
        <f t="shared" ref="X64:X67" si="60">+P64-T64</f>
        <v>-317.8</v>
      </c>
      <c r="Y64" s="1"/>
      <c r="Z64" s="5">
        <f t="shared" ref="Z64:Z67" si="61">IF(T64=0,0,X64/T64)</f>
        <v>-0.78858560794044663</v>
      </c>
    </row>
    <row r="65" spans="1:26" s="24" customFormat="1" hidden="1" outlineLevel="2" x14ac:dyDescent="0.25">
      <c r="A65" s="26"/>
      <c r="B65" s="11" t="str">
        <f>CONCATENATE("          ", "6309", " - ", "TELEPHONE")</f>
        <v xml:space="preserve">          6309 - TELEPHONE</v>
      </c>
      <c r="C65" s="11"/>
      <c r="D65" s="6"/>
      <c r="E65" s="2"/>
      <c r="F65" s="7">
        <f t="shared" si="54"/>
        <v>0</v>
      </c>
      <c r="G65" s="2"/>
      <c r="H65" s="6">
        <v>86</v>
      </c>
      <c r="I65" s="2"/>
      <c r="J65" s="7">
        <f t="shared" si="55"/>
        <v>7.7673480557695579E-4</v>
      </c>
      <c r="K65" s="2"/>
      <c r="L65" s="6">
        <f t="shared" si="56"/>
        <v>-86</v>
      </c>
      <c r="M65" s="2"/>
      <c r="N65" s="7">
        <f t="shared" si="57"/>
        <v>-1</v>
      </c>
      <c r="O65" s="11"/>
      <c r="P65" s="6">
        <v>85.2</v>
      </c>
      <c r="Q65" s="2"/>
      <c r="R65" s="7">
        <f t="shared" si="58"/>
        <v>0</v>
      </c>
      <c r="S65" s="2"/>
      <c r="T65" s="6">
        <v>403</v>
      </c>
      <c r="U65" s="2"/>
      <c r="V65" s="7">
        <f t="shared" si="59"/>
        <v>6.259512750829392E-4</v>
      </c>
      <c r="W65" s="2"/>
      <c r="X65" s="6">
        <f t="shared" si="60"/>
        <v>-317.8</v>
      </c>
      <c r="Y65" s="2"/>
      <c r="Z65" s="7">
        <f t="shared" si="61"/>
        <v>-0.78858560794044663</v>
      </c>
    </row>
    <row r="66" spans="1:26" s="25" customFormat="1" outlineLevel="1" collapsed="1" x14ac:dyDescent="0.25">
      <c r="A66" s="27"/>
      <c r="B66" s="13" t="str">
        <f>CONCATENATE("     ","Utilities                                         ")</f>
        <v xml:space="preserve">     Utilities                                         </v>
      </c>
      <c r="C66" s="13"/>
      <c r="D66" s="1">
        <f>SUM(OSRRefD22_12x_0)</f>
        <v>208</v>
      </c>
      <c r="E66" s="1"/>
      <c r="F66" s="5">
        <f t="shared" si="54"/>
        <v>0</v>
      </c>
      <c r="G66" s="1"/>
      <c r="H66" s="1">
        <f>SUM(OSRRefH22_12x_0)</f>
        <v>208</v>
      </c>
      <c r="I66" s="1"/>
      <c r="J66" s="5">
        <f t="shared" si="55"/>
        <v>1.8786144134884514E-3</v>
      </c>
      <c r="K66" s="1"/>
      <c r="L66" s="1">
        <f t="shared" si="56"/>
        <v>0</v>
      </c>
      <c r="M66" s="1"/>
      <c r="N66" s="5">
        <f t="shared" si="57"/>
        <v>0</v>
      </c>
      <c r="O66" s="13"/>
      <c r="P66" s="1">
        <f>SUM(OSRRefP22_12x_0)</f>
        <v>1040</v>
      </c>
      <c r="Q66" s="1"/>
      <c r="R66" s="5">
        <f t="shared" si="58"/>
        <v>0</v>
      </c>
      <c r="S66" s="1"/>
      <c r="T66" s="1">
        <f>SUM(OSRRefT22_12x_0)</f>
        <v>1601</v>
      </c>
      <c r="U66" s="1"/>
      <c r="V66" s="5">
        <f t="shared" si="59"/>
        <v>2.4867195816570364E-3</v>
      </c>
      <c r="W66" s="1"/>
      <c r="X66" s="1">
        <f t="shared" si="60"/>
        <v>-561</v>
      </c>
      <c r="Y66" s="1"/>
      <c r="Z66" s="5">
        <f t="shared" si="61"/>
        <v>-0.35040599625234231</v>
      </c>
    </row>
    <row r="67" spans="1:26" s="24" customFormat="1" hidden="1" outlineLevel="2" x14ac:dyDescent="0.25">
      <c r="A67" s="26"/>
      <c r="B67" s="11" t="str">
        <f>CONCATENATE("          ", "6274", " - ", "UTILITIES")</f>
        <v xml:space="preserve">          6274 - UTILITIES</v>
      </c>
      <c r="C67" s="11"/>
      <c r="D67" s="6">
        <v>208</v>
      </c>
      <c r="E67" s="2"/>
      <c r="F67" s="7">
        <f t="shared" si="54"/>
        <v>0</v>
      </c>
      <c r="G67" s="2"/>
      <c r="H67" s="6">
        <v>208</v>
      </c>
      <c r="I67" s="2"/>
      <c r="J67" s="7">
        <f t="shared" si="55"/>
        <v>1.8786144134884514E-3</v>
      </c>
      <c r="K67" s="2"/>
      <c r="L67" s="6">
        <f t="shared" si="56"/>
        <v>0</v>
      </c>
      <c r="M67" s="2"/>
      <c r="N67" s="7">
        <f t="shared" si="57"/>
        <v>0</v>
      </c>
      <c r="O67" s="11"/>
      <c r="P67" s="6">
        <v>1040</v>
      </c>
      <c r="Q67" s="2"/>
      <c r="R67" s="7">
        <f t="shared" si="58"/>
        <v>0</v>
      </c>
      <c r="S67" s="2"/>
      <c r="T67" s="6">
        <v>1601</v>
      </c>
      <c r="U67" s="2"/>
      <c r="V67" s="7">
        <f t="shared" si="59"/>
        <v>2.4867195816570364E-3</v>
      </c>
      <c r="W67" s="2"/>
      <c r="X67" s="6">
        <f t="shared" si="60"/>
        <v>-561</v>
      </c>
      <c r="Y67" s="2"/>
      <c r="Z67" s="7">
        <f t="shared" si="61"/>
        <v>-0.35040599625234231</v>
      </c>
    </row>
    <row r="68" spans="1:26" s="52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8" t="s">
        <v>0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9" t="s">
        <v>3</v>
      </c>
      <c r="C71" s="29"/>
      <c r="D71" s="22">
        <f>+D20-D22+D69</f>
        <v>-2225.34</v>
      </c>
      <c r="E71" s="14"/>
      <c r="F71" s="20">
        <f>IF(D$12=0,0,D71/D$12)</f>
        <v>0</v>
      </c>
      <c r="G71" s="14"/>
      <c r="H71" s="22">
        <f>+H20-H22+H69</f>
        <v>25059.33</v>
      </c>
      <c r="I71" s="14"/>
      <c r="J71" s="20">
        <f>IF(H$12=0,0,H71/H$12)</f>
        <v>0.22633085831905556</v>
      </c>
      <c r="K71" s="16"/>
      <c r="L71" s="22">
        <f>+D71-H71</f>
        <v>-27284.670000000002</v>
      </c>
      <c r="M71" s="16"/>
      <c r="N71" s="20">
        <f>IF(H71=0,0,L71/H71)</f>
        <v>-1.0888028530690965</v>
      </c>
      <c r="O71" s="28"/>
      <c r="P71" s="22">
        <f>+P20-P22+P69</f>
        <v>-19018.64</v>
      </c>
      <c r="Q71" s="14"/>
      <c r="R71" s="20">
        <f>IF(P$12=0,0,P71/P$12)</f>
        <v>0</v>
      </c>
      <c r="S71" s="14"/>
      <c r="T71" s="22">
        <f>+T20-T22+T69</f>
        <v>90403.65</v>
      </c>
      <c r="U71" s="14"/>
      <c r="V71" s="20">
        <f>IF(T$12=0,0,T71/T$12)</f>
        <v>0.14041756821253537</v>
      </c>
      <c r="W71" s="16"/>
      <c r="X71" s="22">
        <f>+P71-T71</f>
        <v>-109422.29</v>
      </c>
      <c r="Y71" s="16"/>
      <c r="Z71" s="20">
        <f>IF(T71=0,0,X71/T71)</f>
        <v>-1.2103746917298139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1"/>
      <c r="B73" s="10" t="s">
        <v>13</v>
      </c>
      <c r="C73" s="10"/>
      <c r="D73" s="4"/>
      <c r="E73" s="4"/>
      <c r="F73" s="12">
        <f>IF(D$12=0,0,D73/D$12)</f>
        <v>0</v>
      </c>
      <c r="G73" s="4"/>
      <c r="H73" s="4">
        <v>10023.200000000001</v>
      </c>
      <c r="I73" s="4"/>
      <c r="J73" s="12">
        <f>IF(H$12=0,0,H73/H$12)</f>
        <v>9.0527538409987729E-2</v>
      </c>
      <c r="K73" s="4"/>
      <c r="L73" s="4">
        <f>+D73-H73</f>
        <v>-10023.200000000001</v>
      </c>
      <c r="M73" s="4"/>
      <c r="N73" s="12">
        <f>IF(H73=0,0,L73/H73)</f>
        <v>-1</v>
      </c>
      <c r="O73" s="10"/>
      <c r="P73" s="4"/>
      <c r="Q73" s="4"/>
      <c r="R73" s="12">
        <f>IF(P$12=0,0,P73/P$12)</f>
        <v>0</v>
      </c>
      <c r="S73" s="4"/>
      <c r="T73" s="4">
        <v>65618</v>
      </c>
      <c r="U73" s="4"/>
      <c r="V73" s="12">
        <f>IF(T$12=0,0,T73/T$12)</f>
        <v>0.10191977858161863</v>
      </c>
      <c r="W73" s="4"/>
      <c r="X73" s="4">
        <f>+P73-T73</f>
        <v>-65618</v>
      </c>
      <c r="Y73" s="4"/>
      <c r="Z73" s="12">
        <f>IF(T73=0,0,X73/T73)</f>
        <v>-1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9" t="s">
        <v>4</v>
      </c>
      <c r="C75" s="29"/>
      <c r="D75" s="35">
        <f>+D71-D73</f>
        <v>-2225.34</v>
      </c>
      <c r="E75" s="14"/>
      <c r="F75" s="36">
        <f>IF(D$12=0,0,D75/D$12)</f>
        <v>0</v>
      </c>
      <c r="G75" s="14"/>
      <c r="H75" s="35">
        <f>+H71-H73</f>
        <v>15036.130000000001</v>
      </c>
      <c r="I75" s="14"/>
      <c r="J75" s="36">
        <f>IF(H$12=0,0,H75/H$12)</f>
        <v>0.13580331990906783</v>
      </c>
      <c r="K75" s="16"/>
      <c r="L75" s="35">
        <f>D75-H75</f>
        <v>-17261.47</v>
      </c>
      <c r="M75" s="16"/>
      <c r="N75" s="36">
        <f>IF(H75=0,0,L75/H75)</f>
        <v>-1.1479995184931229</v>
      </c>
      <c r="O75" s="28"/>
      <c r="P75" s="35">
        <f>+P71-P73</f>
        <v>-19018.64</v>
      </c>
      <c r="Q75" s="14"/>
      <c r="R75" s="36">
        <f>IF(P$12=0,0,P75/P$12)</f>
        <v>0</v>
      </c>
      <c r="S75" s="14"/>
      <c r="T75" s="35">
        <f>+T71-T73</f>
        <v>24785.649999999994</v>
      </c>
      <c r="U75" s="14"/>
      <c r="V75" s="36">
        <f>IF(T$12=0,0,T75/T$12)</f>
        <v>3.8497789630916747E-2</v>
      </c>
      <c r="W75" s="16"/>
      <c r="X75" s="35">
        <f>P75-T75</f>
        <v>-43804.289999999994</v>
      </c>
      <c r="Y75" s="16"/>
      <c r="Z75" s="36">
        <f>IF(T75=0,0,X75/T75)</f>
        <v>-1.7673246414760155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9" t="s">
        <v>5</v>
      </c>
      <c r="C78" s="29"/>
      <c r="D78" s="31">
        <f>SUM(D75:D77)</f>
        <v>-2225.34</v>
      </c>
      <c r="E78" s="14"/>
      <c r="F78" s="33">
        <f>IF(D$12=0,0,D78/D$12)</f>
        <v>0</v>
      </c>
      <c r="G78" s="14"/>
      <c r="H78" s="31">
        <f>SUM(H75:H77)</f>
        <v>15036.130000000001</v>
      </c>
      <c r="I78" s="14"/>
      <c r="J78" s="33">
        <f>IF(H$12=0,0,H78/H$12)</f>
        <v>0.13580331990906783</v>
      </c>
      <c r="K78" s="16"/>
      <c r="L78" s="31">
        <f>+D78-H78</f>
        <v>-17261.47</v>
      </c>
      <c r="M78" s="16"/>
      <c r="N78" s="33">
        <f>IF(H78=0,0,L78/H78)</f>
        <v>-1.1479995184931229</v>
      </c>
      <c r="O78" s="28"/>
      <c r="P78" s="31">
        <f>SUM(P75:P77)</f>
        <v>-19018.64</v>
      </c>
      <c r="Q78" s="14"/>
      <c r="R78" s="33">
        <f>IF(P$12=0,0,P78/P$12)</f>
        <v>0</v>
      </c>
      <c r="S78" s="14"/>
      <c r="T78" s="31">
        <f>SUM(T75:T77)</f>
        <v>24785.649999999994</v>
      </c>
      <c r="U78" s="14"/>
      <c r="V78" s="33">
        <f>IF(T$12=0,0,T78/T$12)</f>
        <v>3.8497789630916747E-2</v>
      </c>
      <c r="W78" s="16"/>
      <c r="X78" s="31">
        <f>+P78-T78</f>
        <v>-43804.289999999994</v>
      </c>
      <c r="Y78" s="16"/>
      <c r="Z78" s="33">
        <f>IF(T78=0,0,X78/T78)</f>
        <v>-1.7673246414760155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6">
        <v>44267.668363275465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4" t="s">
        <v>313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8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","325", " - ", "Outpost C-Store")</f>
        <v>Department 325 - Outpost C-Store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101154.26000000001</v>
      </c>
      <c r="I12" s="4"/>
      <c r="J12" s="12"/>
      <c r="K12" s="4"/>
      <c r="L12" s="4">
        <f t="shared" ref="L12:L14" si="0">+D12-H12</f>
        <v>-101154.26000000001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553371.07000000007</v>
      </c>
      <c r="U12" s="4"/>
      <c r="V12" s="12"/>
      <c r="W12" s="4"/>
      <c r="X12" s="4">
        <f t="shared" ref="X12:X14" si="2">+P12-T12</f>
        <v>-553371.07000000007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4" si="4">0</f>
        <v>0</v>
      </c>
      <c r="E13" s="2"/>
      <c r="F13" s="19"/>
      <c r="G13" s="2"/>
      <c r="H13" s="2">
        <f>--16610.82</f>
        <v>16610.82</v>
      </c>
      <c r="I13" s="2"/>
      <c r="J13" s="19"/>
      <c r="K13" s="2"/>
      <c r="L13" s="2">
        <f t="shared" si="0"/>
        <v>-16610.82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--98081.99</f>
        <v>98081.99</v>
      </c>
      <c r="U13" s="2"/>
      <c r="V13" s="19"/>
      <c r="W13" s="2"/>
      <c r="X13" s="2">
        <f t="shared" si="2"/>
        <v>-98081.99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>--84543.44</f>
        <v>84543.44</v>
      </c>
      <c r="I14" s="2"/>
      <c r="J14" s="19"/>
      <c r="K14" s="2"/>
      <c r="L14" s="2">
        <f t="shared" si="0"/>
        <v>-84543.44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--455289.08</f>
        <v>455289.08</v>
      </c>
      <c r="U14" s="2"/>
      <c r="V14" s="19"/>
      <c r="W14" s="2"/>
      <c r="X14" s="2">
        <f t="shared" si="2"/>
        <v>-455289.08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48553.599999999999</v>
      </c>
      <c r="I16" s="4"/>
      <c r="J16" s="12">
        <f t="shared" ref="J16:J18" si="7">IF(H$12=0,0,H16/H$12)</f>
        <v>0.4799956027556328</v>
      </c>
      <c r="K16" s="4"/>
      <c r="L16" s="4">
        <f t="shared" ref="L16:L18" si="8">+D16-H16</f>
        <v>-48553.599999999999</v>
      </c>
      <c r="M16" s="4"/>
      <c r="N16" s="12">
        <f t="shared" ref="N16:N18" si="9">IF(H16=0,0,L16/H16)</f>
        <v>-1</v>
      </c>
      <c r="O16" s="10"/>
      <c r="P16" s="4">
        <f>SUM(OSRRefP16x_0)</f>
        <v>10641.24</v>
      </c>
      <c r="Q16" s="4"/>
      <c r="R16" s="12">
        <f t="shared" ref="R16:R18" si="10">IF(P$12=0,0,P16/P$12)</f>
        <v>0</v>
      </c>
      <c r="S16" s="4"/>
      <c r="T16" s="4">
        <f>SUM(OSRRefT16x_0)</f>
        <v>255883.8</v>
      </c>
      <c r="U16" s="4"/>
      <c r="V16" s="12">
        <f t="shared" ref="V16:V18" si="11">IF(T$12=0,0,T16/T$12)</f>
        <v>0.46240906666841103</v>
      </c>
      <c r="W16" s="4"/>
      <c r="X16" s="4">
        <f t="shared" ref="X16:X18" si="12">+P16-T16</f>
        <v>-245242.56</v>
      </c>
      <c r="Y16" s="4"/>
      <c r="Z16" s="12">
        <f t="shared" ref="Z16:Z18" si="13">IF(T16=0,0,X16/T16)</f>
        <v>-0.95841378000483035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48176.43</v>
      </c>
      <c r="I17" s="2"/>
      <c r="J17" s="19">
        <f t="shared" si="7"/>
        <v>0.47626694120445345</v>
      </c>
      <c r="K17" s="2"/>
      <c r="L17" s="2">
        <f t="shared" si="8"/>
        <v>-48176.43</v>
      </c>
      <c r="M17" s="2"/>
      <c r="N17" s="19">
        <f t="shared" si="9"/>
        <v>-1</v>
      </c>
      <c r="O17" s="11"/>
      <c r="P17" s="2">
        <v>-987.76</v>
      </c>
      <c r="Q17" s="2"/>
      <c r="R17" s="19">
        <f t="shared" si="10"/>
        <v>0</v>
      </c>
      <c r="S17" s="2"/>
      <c r="T17" s="2">
        <v>261865.06</v>
      </c>
      <c r="U17" s="2"/>
      <c r="V17" s="19">
        <f t="shared" si="11"/>
        <v>0.47321783554749253</v>
      </c>
      <c r="W17" s="2"/>
      <c r="X17" s="2">
        <f t="shared" si="12"/>
        <v>-262852.82</v>
      </c>
      <c r="Y17" s="2"/>
      <c r="Z17" s="19">
        <f t="shared" si="13"/>
        <v>-1.0037720190696691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377.17</v>
      </c>
      <c r="I18" s="2"/>
      <c r="J18" s="19">
        <f t="shared" si="7"/>
        <v>3.7286615511793568E-3</v>
      </c>
      <c r="K18" s="2"/>
      <c r="L18" s="2">
        <f t="shared" si="8"/>
        <v>-377.17</v>
      </c>
      <c r="M18" s="2"/>
      <c r="N18" s="19">
        <f t="shared" si="9"/>
        <v>-1</v>
      </c>
      <c r="O18" s="11"/>
      <c r="P18" s="2">
        <v>11629</v>
      </c>
      <c r="Q18" s="2"/>
      <c r="R18" s="19">
        <f t="shared" si="10"/>
        <v>0</v>
      </c>
      <c r="S18" s="2"/>
      <c r="T18" s="2">
        <v>-5981.26</v>
      </c>
      <c r="U18" s="2"/>
      <c r="V18" s="19">
        <f t="shared" si="11"/>
        <v>-1.0808768879081445E-2</v>
      </c>
      <c r="W18" s="2"/>
      <c r="X18" s="2">
        <f t="shared" si="12"/>
        <v>17610.260000000002</v>
      </c>
      <c r="Y18" s="2"/>
      <c r="Z18" s="19">
        <f t="shared" si="13"/>
        <v>-2.9442391736858124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2">
        <f>D12-D16</f>
        <v>0</v>
      </c>
      <c r="E20" s="14"/>
      <c r="F20" s="20">
        <f>IF(D$12=0,0,D20/D$12)</f>
        <v>0</v>
      </c>
      <c r="G20" s="14"/>
      <c r="H20" s="22">
        <f>H12-H16</f>
        <v>52600.660000000011</v>
      </c>
      <c r="I20" s="14"/>
      <c r="J20" s="20">
        <f>IF(H$12=0,0,H20/H$12)</f>
        <v>0.5200043972443672</v>
      </c>
      <c r="K20" s="16"/>
      <c r="L20" s="22">
        <f>+D20-H20</f>
        <v>-52600.660000000011</v>
      </c>
      <c r="M20" s="16"/>
      <c r="N20" s="20">
        <f>IF(H20=0,0,L20/H20)</f>
        <v>-1</v>
      </c>
      <c r="O20" s="28"/>
      <c r="P20" s="22">
        <f>P12-P16</f>
        <v>-10641.24</v>
      </c>
      <c r="Q20" s="14"/>
      <c r="R20" s="20">
        <f>IF(P$12=0,0,P20/P$12)</f>
        <v>0</v>
      </c>
      <c r="S20" s="14"/>
      <c r="T20" s="22">
        <f>T12-T16</f>
        <v>297487.27000000008</v>
      </c>
      <c r="U20" s="14"/>
      <c r="V20" s="20">
        <f>IF(T$12=0,0,T20/T$12)</f>
        <v>0.53759093333158892</v>
      </c>
      <c r="W20" s="16"/>
      <c r="X20" s="22">
        <f>+P20-T20</f>
        <v>-308128.51000000007</v>
      </c>
      <c r="Y20" s="16"/>
      <c r="Z20" s="20">
        <f>IF(T20=0,0,X20/T20)</f>
        <v>-1.0357704045621852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1">
        <f>SUM(OSRRefD22x_0)</f>
        <v>11082.15</v>
      </c>
      <c r="E22" s="21"/>
      <c r="F22" s="32">
        <f t="shared" ref="F22:F31" si="14">IF(D$12=0,0,D22/D$12)</f>
        <v>0</v>
      </c>
      <c r="G22" s="21"/>
      <c r="H22" s="21">
        <f>SUM(OSRRefH22x_0)</f>
        <v>35076.119999999995</v>
      </c>
      <c r="I22" s="21"/>
      <c r="J22" s="32">
        <f t="shared" ref="J22:J31" si="15">IF(H$12=0,0,H22/H$12)</f>
        <v>0.34675870299481198</v>
      </c>
      <c r="K22" s="4"/>
      <c r="L22" s="21">
        <f t="shared" ref="L22:L31" si="16">+D22-H22</f>
        <v>-23993.969999999994</v>
      </c>
      <c r="M22" s="4"/>
      <c r="N22" s="32">
        <f t="shared" ref="N22:N31" si="17">IF(H22=0,0,L22/H22)</f>
        <v>-0.68405427966377119</v>
      </c>
      <c r="O22" s="10"/>
      <c r="P22" s="21">
        <f>SUM(OSRRefP22x_0)</f>
        <v>91515.72</v>
      </c>
      <c r="Q22" s="21"/>
      <c r="R22" s="32">
        <f t="shared" ref="R22:R31" si="18">IF(P$12=0,0,P22/P$12)</f>
        <v>0</v>
      </c>
      <c r="S22" s="21"/>
      <c r="T22" s="21">
        <f>SUM(OSRRefT22x_0)</f>
        <v>245939.97000000003</v>
      </c>
      <c r="U22" s="21"/>
      <c r="V22" s="32">
        <f t="shared" ref="V22:V31" si="19">IF(T$12=0,0,T22/T$12)</f>
        <v>0.44443951506174689</v>
      </c>
      <c r="W22" s="4"/>
      <c r="X22" s="21">
        <f t="shared" ref="X22:X31" si="20">+P22-T22</f>
        <v>-154424.25000000003</v>
      </c>
      <c r="Y22" s="4"/>
      <c r="Z22" s="32">
        <f t="shared" ref="Z22:Z31" si="21">IF(T22=0,0,X22/T22)</f>
        <v>-0.62789407512735729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3916.85</v>
      </c>
      <c r="I23" s="1"/>
      <c r="J23" s="5">
        <f t="shared" si="15"/>
        <v>3.8721552606879824E-2</v>
      </c>
      <c r="K23" s="1"/>
      <c r="L23" s="1">
        <f t="shared" si="16"/>
        <v>-3916.85</v>
      </c>
      <c r="M23" s="1"/>
      <c r="N23" s="5">
        <f t="shared" si="17"/>
        <v>-1</v>
      </c>
      <c r="O23" s="13"/>
      <c r="P23" s="1">
        <f>SUM(OSRRefP22_0x_0)</f>
        <v>2889.72</v>
      </c>
      <c r="Q23" s="1"/>
      <c r="R23" s="5">
        <f t="shared" si="18"/>
        <v>0</v>
      </c>
      <c r="S23" s="1"/>
      <c r="T23" s="1">
        <f>SUM(OSRRefT22_0x_0)</f>
        <v>30536.29</v>
      </c>
      <c r="U23" s="1"/>
      <c r="V23" s="5">
        <f t="shared" si="19"/>
        <v>5.5182302898487259E-2</v>
      </c>
      <c r="W23" s="1"/>
      <c r="X23" s="1">
        <f t="shared" si="20"/>
        <v>-27646.57</v>
      </c>
      <c r="Y23" s="1"/>
      <c r="Z23" s="5">
        <f t="shared" si="21"/>
        <v>-0.90536767891580805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582.29999999999995</v>
      </c>
      <c r="I24" s="2"/>
      <c r="J24" s="7">
        <f t="shared" si="15"/>
        <v>5.7565543952375299E-3</v>
      </c>
      <c r="K24" s="2"/>
      <c r="L24" s="6">
        <f t="shared" si="16"/>
        <v>-582.29999999999995</v>
      </c>
      <c r="M24" s="2"/>
      <c r="N24" s="7">
        <f t="shared" si="17"/>
        <v>-1</v>
      </c>
      <c r="O24" s="11"/>
      <c r="P24" s="6">
        <v>159.12</v>
      </c>
      <c r="Q24" s="2"/>
      <c r="R24" s="7">
        <f t="shared" si="18"/>
        <v>0</v>
      </c>
      <c r="S24" s="2"/>
      <c r="T24" s="6">
        <v>4614.93</v>
      </c>
      <c r="U24" s="2"/>
      <c r="V24" s="7">
        <f t="shared" si="19"/>
        <v>8.3396661845730382E-3</v>
      </c>
      <c r="W24" s="2"/>
      <c r="X24" s="6">
        <f t="shared" si="20"/>
        <v>-4455.8100000000004</v>
      </c>
      <c r="Y24" s="2"/>
      <c r="Z24" s="7">
        <f t="shared" si="21"/>
        <v>-0.96552060377947235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286.29000000000002</v>
      </c>
      <c r="I25" s="2"/>
      <c r="J25" s="7">
        <f t="shared" si="15"/>
        <v>2.830231766808437E-3</v>
      </c>
      <c r="K25" s="2"/>
      <c r="L25" s="6">
        <f t="shared" si="16"/>
        <v>-286.29000000000002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1529.61</v>
      </c>
      <c r="U25" s="2"/>
      <c r="V25" s="7">
        <f t="shared" si="19"/>
        <v>2.7641669088338855E-3</v>
      </c>
      <c r="W25" s="2"/>
      <c r="X25" s="6">
        <f t="shared" si="20"/>
        <v>-1529.61</v>
      </c>
      <c r="Y25" s="2"/>
      <c r="Z25" s="7">
        <f t="shared" si="21"/>
        <v>-1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1915.63</v>
      </c>
      <c r="I26" s="2"/>
      <c r="J26" s="7">
        <f t="shared" si="15"/>
        <v>1.8937709593248964E-2</v>
      </c>
      <c r="K26" s="2"/>
      <c r="L26" s="6">
        <f t="shared" si="16"/>
        <v>-1915.63</v>
      </c>
      <c r="M26" s="2"/>
      <c r="N26" s="7">
        <f t="shared" si="17"/>
        <v>-1</v>
      </c>
      <c r="O26" s="11"/>
      <c r="P26" s="6">
        <v>1915.63</v>
      </c>
      <c r="Q26" s="2"/>
      <c r="R26" s="7">
        <f t="shared" si="18"/>
        <v>0</v>
      </c>
      <c r="S26" s="2"/>
      <c r="T26" s="6">
        <v>15193.830000000002</v>
      </c>
      <c r="U26" s="2"/>
      <c r="V26" s="7">
        <f t="shared" si="19"/>
        <v>2.7456856391137326E-2</v>
      </c>
      <c r="W26" s="2"/>
      <c r="X26" s="6">
        <f t="shared" si="20"/>
        <v>-13278.2</v>
      </c>
      <c r="Y26" s="2"/>
      <c r="Z26" s="7">
        <f t="shared" si="21"/>
        <v>-0.8739205322160376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39.18</v>
      </c>
      <c r="I27" s="2"/>
      <c r="J27" s="7">
        <f t="shared" si="15"/>
        <v>3.8732921381660044E-4</v>
      </c>
      <c r="K27" s="2"/>
      <c r="L27" s="6">
        <f t="shared" si="16"/>
        <v>-39.18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245.58</v>
      </c>
      <c r="U27" s="2"/>
      <c r="V27" s="7">
        <f t="shared" si="19"/>
        <v>4.4378901123255318E-4</v>
      </c>
      <c r="W27" s="2"/>
      <c r="X27" s="6">
        <f t="shared" si="20"/>
        <v>-245.58</v>
      </c>
      <c r="Y27" s="2"/>
      <c r="Z27" s="7">
        <f t="shared" si="21"/>
        <v>-1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425.19</v>
      </c>
      <c r="I28" s="2"/>
      <c r="J28" s="7">
        <f t="shared" si="15"/>
        <v>4.2033820424369666E-3</v>
      </c>
      <c r="K28" s="2"/>
      <c r="L28" s="6">
        <f t="shared" si="16"/>
        <v>-425.19</v>
      </c>
      <c r="M28" s="2"/>
      <c r="N28" s="7">
        <f t="shared" si="17"/>
        <v>-1</v>
      </c>
      <c r="O28" s="11"/>
      <c r="P28" s="6">
        <v>458.89</v>
      </c>
      <c r="Q28" s="2"/>
      <c r="R28" s="7">
        <f t="shared" si="18"/>
        <v>0</v>
      </c>
      <c r="S28" s="2"/>
      <c r="T28" s="6">
        <v>3682.19</v>
      </c>
      <c r="U28" s="2"/>
      <c r="V28" s="7">
        <f t="shared" si="19"/>
        <v>6.6541064389217157E-3</v>
      </c>
      <c r="W28" s="2"/>
      <c r="X28" s="6">
        <f t="shared" si="20"/>
        <v>-3223.3</v>
      </c>
      <c r="Y28" s="2"/>
      <c r="Z28" s="7">
        <f t="shared" si="21"/>
        <v>-0.87537579538263921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304.2</v>
      </c>
      <c r="I29" s="2"/>
      <c r="J29" s="7">
        <f t="shared" si="15"/>
        <v>3.0072880766464998E-3</v>
      </c>
      <c r="K29" s="2"/>
      <c r="L29" s="6">
        <f t="shared" si="16"/>
        <v>-304.2</v>
      </c>
      <c r="M29" s="2"/>
      <c r="N29" s="7">
        <f t="shared" si="17"/>
        <v>-1</v>
      </c>
      <c r="O29" s="11"/>
      <c r="P29" s="6">
        <v>152.1</v>
      </c>
      <c r="Q29" s="2"/>
      <c r="R29" s="7">
        <f t="shared" si="18"/>
        <v>0</v>
      </c>
      <c r="S29" s="2"/>
      <c r="T29" s="6">
        <v>2433.6</v>
      </c>
      <c r="U29" s="2"/>
      <c r="V29" s="7">
        <f t="shared" si="19"/>
        <v>4.3977723663797593E-3</v>
      </c>
      <c r="W29" s="2"/>
      <c r="X29" s="6">
        <f t="shared" si="20"/>
        <v>-2281.5</v>
      </c>
      <c r="Y29" s="2"/>
      <c r="Z29" s="7">
        <f t="shared" si="21"/>
        <v>-0.9375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191.88</v>
      </c>
      <c r="I30" s="2"/>
      <c r="J30" s="7">
        <f t="shared" si="15"/>
        <v>1.8969047868077921E-3</v>
      </c>
      <c r="K30" s="2"/>
      <c r="L30" s="6">
        <f t="shared" si="16"/>
        <v>-191.88</v>
      </c>
      <c r="M30" s="2"/>
      <c r="N30" s="7">
        <f t="shared" si="17"/>
        <v>-1</v>
      </c>
      <c r="O30" s="11"/>
      <c r="P30" s="6">
        <v>203.98</v>
      </c>
      <c r="Q30" s="2"/>
      <c r="R30" s="7">
        <f t="shared" si="18"/>
        <v>0</v>
      </c>
      <c r="S30" s="2"/>
      <c r="T30" s="6">
        <v>1535.04</v>
      </c>
      <c r="U30" s="2"/>
      <c r="V30" s="7">
        <f t="shared" si="19"/>
        <v>2.7739794926395409E-3</v>
      </c>
      <c r="W30" s="2"/>
      <c r="X30" s="6">
        <f t="shared" si="20"/>
        <v>-1331.06</v>
      </c>
      <c r="Y30" s="2"/>
      <c r="Z30" s="7">
        <f t="shared" si="21"/>
        <v>-0.86711746925161559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172.18</v>
      </c>
      <c r="I31" s="2"/>
      <c r="J31" s="7">
        <f t="shared" si="15"/>
        <v>1.7021527318770359E-3</v>
      </c>
      <c r="K31" s="2"/>
      <c r="L31" s="6">
        <f t="shared" si="16"/>
        <v>-172.18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1301.51</v>
      </c>
      <c r="U31" s="2"/>
      <c r="V31" s="7">
        <f t="shared" si="19"/>
        <v>2.3519661047694449E-3</v>
      </c>
      <c r="W31" s="2"/>
      <c r="X31" s="6">
        <f t="shared" si="20"/>
        <v>-1301.51</v>
      </c>
      <c r="Y31" s="2"/>
      <c r="Z31" s="7">
        <f t="shared" si="21"/>
        <v>-1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13757.169999999998</v>
      </c>
      <c r="I32" s="1"/>
      <c r="J32" s="5">
        <f t="shared" ref="J32:J37" si="23">IF(H$12=0,0,H32/H$12)</f>
        <v>0.1360018846462818</v>
      </c>
      <c r="K32" s="1"/>
      <c r="L32" s="1">
        <f t="shared" ref="L32:L37" si="24">+D32-H32</f>
        <v>-13757.169999999998</v>
      </c>
      <c r="M32" s="1"/>
      <c r="N32" s="5">
        <f t="shared" ref="N32:N37" si="25">IF(H32=0,0,L32/H32)</f>
        <v>-1</v>
      </c>
      <c r="O32" s="13"/>
      <c r="P32" s="1">
        <f>SUM(OSRRefP22_1x_0)</f>
        <v>884</v>
      </c>
      <c r="Q32" s="1"/>
      <c r="R32" s="5">
        <f t="shared" ref="R32:R37" si="26">IF(P$12=0,0,P32/P$12)</f>
        <v>0</v>
      </c>
      <c r="S32" s="1"/>
      <c r="T32" s="1">
        <f>SUM(OSRRefT22_1x_0)</f>
        <v>87808.37000000001</v>
      </c>
      <c r="U32" s="1"/>
      <c r="V32" s="5">
        <f t="shared" ref="V32:V37" si="27">IF(T$12=0,0,T32/T$12)</f>
        <v>0.15867900358433989</v>
      </c>
      <c r="W32" s="1"/>
      <c r="X32" s="1">
        <f t="shared" ref="X32:X37" si="28">+P32-T32</f>
        <v>-86924.37000000001</v>
      </c>
      <c r="Y32" s="1"/>
      <c r="Z32" s="5">
        <f t="shared" ref="Z32:Z37" si="29">IF(T32=0,0,X32/T32)</f>
        <v>-0.98993262259622861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3952</v>
      </c>
      <c r="I33" s="2"/>
      <c r="J33" s="7">
        <f t="shared" si="23"/>
        <v>3.9069041679510086E-2</v>
      </c>
      <c r="K33" s="2"/>
      <c r="L33" s="6">
        <f t="shared" si="24"/>
        <v>-3952</v>
      </c>
      <c r="M33" s="2"/>
      <c r="N33" s="7">
        <f t="shared" si="25"/>
        <v>-1</v>
      </c>
      <c r="O33" s="11"/>
      <c r="P33" s="6">
        <v>884</v>
      </c>
      <c r="Q33" s="2"/>
      <c r="R33" s="7">
        <f t="shared" si="26"/>
        <v>0</v>
      </c>
      <c r="S33" s="2"/>
      <c r="T33" s="6">
        <v>30608</v>
      </c>
      <c r="U33" s="2"/>
      <c r="V33" s="7">
        <f t="shared" si="27"/>
        <v>5.5311890446314793E-2</v>
      </c>
      <c r="W33" s="2"/>
      <c r="X33" s="6">
        <f t="shared" si="28"/>
        <v>-29724</v>
      </c>
      <c r="Y33" s="2"/>
      <c r="Z33" s="7">
        <f t="shared" si="29"/>
        <v>-0.97111866178776796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2"/>
        <v>0</v>
      </c>
      <c r="G34" s="2"/>
      <c r="H34" s="6"/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/>
      <c r="Q34" s="2"/>
      <c r="R34" s="7">
        <f t="shared" si="26"/>
        <v>0</v>
      </c>
      <c r="S34" s="2"/>
      <c r="T34" s="6">
        <v>254.64</v>
      </c>
      <c r="U34" s="2"/>
      <c r="V34" s="7">
        <f t="shared" si="27"/>
        <v>4.6016138863204386E-4</v>
      </c>
      <c r="W34" s="2"/>
      <c r="X34" s="6">
        <f t="shared" si="28"/>
        <v>-254.64</v>
      </c>
      <c r="Y34" s="2"/>
      <c r="Z34" s="7">
        <f t="shared" si="29"/>
        <v>-1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2"/>
        <v>0</v>
      </c>
      <c r="G35" s="2"/>
      <c r="H35" s="6">
        <v>3451.87</v>
      </c>
      <c r="I35" s="2"/>
      <c r="J35" s="7">
        <f t="shared" si="23"/>
        <v>3.4124810957047183E-2</v>
      </c>
      <c r="K35" s="2"/>
      <c r="L35" s="6">
        <f t="shared" si="24"/>
        <v>-3451.87</v>
      </c>
      <c r="M35" s="2"/>
      <c r="N35" s="7">
        <f t="shared" si="25"/>
        <v>-1</v>
      </c>
      <c r="O35" s="11"/>
      <c r="P35" s="6"/>
      <c r="Q35" s="2"/>
      <c r="R35" s="7">
        <f t="shared" si="26"/>
        <v>0</v>
      </c>
      <c r="S35" s="2"/>
      <c r="T35" s="6">
        <v>19937.91</v>
      </c>
      <c r="U35" s="2"/>
      <c r="V35" s="7">
        <f t="shared" si="27"/>
        <v>3.6029910273408398E-2</v>
      </c>
      <c r="W35" s="2"/>
      <c r="X35" s="6">
        <f t="shared" si="28"/>
        <v>-19937.91</v>
      </c>
      <c r="Y35" s="2"/>
      <c r="Z35" s="7">
        <f t="shared" si="29"/>
        <v>-1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2"/>
        <v>0</v>
      </c>
      <c r="G36" s="2"/>
      <c r="H36" s="6">
        <v>5897.91</v>
      </c>
      <c r="I36" s="2"/>
      <c r="J36" s="7">
        <f t="shared" si="23"/>
        <v>5.830609605566784E-2</v>
      </c>
      <c r="K36" s="2"/>
      <c r="L36" s="6">
        <f t="shared" si="24"/>
        <v>-5897.91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34080.68</v>
      </c>
      <c r="U36" s="2"/>
      <c r="V36" s="7">
        <f t="shared" si="27"/>
        <v>6.1587390175637476E-2</v>
      </c>
      <c r="W36" s="2"/>
      <c r="X36" s="6">
        <f t="shared" si="28"/>
        <v>-34080.68</v>
      </c>
      <c r="Y36" s="2"/>
      <c r="Z36" s="7">
        <f t="shared" si="29"/>
        <v>-1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2"/>
        <v>0</v>
      </c>
      <c r="G37" s="2"/>
      <c r="H37" s="6">
        <v>455.39</v>
      </c>
      <c r="I37" s="2"/>
      <c r="J37" s="7">
        <f t="shared" si="23"/>
        <v>4.5019359540567046E-3</v>
      </c>
      <c r="K37" s="2"/>
      <c r="L37" s="6">
        <f t="shared" si="24"/>
        <v>-455.39</v>
      </c>
      <c r="M37" s="2"/>
      <c r="N37" s="7">
        <f t="shared" si="25"/>
        <v>-1</v>
      </c>
      <c r="O37" s="11"/>
      <c r="P37" s="6"/>
      <c r="Q37" s="2"/>
      <c r="R37" s="7">
        <f t="shared" si="26"/>
        <v>0</v>
      </c>
      <c r="S37" s="2"/>
      <c r="T37" s="6">
        <v>2927.14</v>
      </c>
      <c r="U37" s="2"/>
      <c r="V37" s="7">
        <f t="shared" si="27"/>
        <v>5.2896513003471606E-3</v>
      </c>
      <c r="W37" s="2"/>
      <c r="X37" s="6">
        <f t="shared" si="28"/>
        <v>-2927.14</v>
      </c>
      <c r="Y37" s="2"/>
      <c r="Z37" s="7">
        <f t="shared" si="29"/>
        <v>-1</v>
      </c>
    </row>
    <row r="38" spans="1:26" s="25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46" si="30">IF(D$12=0,0,D38/D$12)</f>
        <v>0</v>
      </c>
      <c r="G38" s="1"/>
      <c r="H38" s="1">
        <f>SUM(OSRRefH22_2x_0)</f>
        <v>239.15</v>
      </c>
      <c r="I38" s="1"/>
      <c r="J38" s="5">
        <f t="shared" ref="J38:J46" si="31">IF(H$12=0,0,H38/H$12)</f>
        <v>2.364210859730475E-3</v>
      </c>
      <c r="K38" s="1"/>
      <c r="L38" s="1">
        <f t="shared" ref="L38:L46" si="32">+D38-H38</f>
        <v>-239.15</v>
      </c>
      <c r="M38" s="1"/>
      <c r="N38" s="5">
        <f t="shared" ref="N38:N46" si="33">IF(H38=0,0,L38/H38)</f>
        <v>-1</v>
      </c>
      <c r="O38" s="13"/>
      <c r="P38" s="1">
        <f>SUM(OSRRefP22_2x_0)</f>
        <v>0</v>
      </c>
      <c r="Q38" s="1"/>
      <c r="R38" s="5">
        <f t="shared" ref="R38:R46" si="34">IF(P$12=0,0,P38/P$12)</f>
        <v>0</v>
      </c>
      <c r="S38" s="1"/>
      <c r="T38" s="1">
        <f>SUM(OSRRefT22_2x_0)</f>
        <v>968.17</v>
      </c>
      <c r="U38" s="1"/>
      <c r="V38" s="5">
        <f t="shared" ref="V38:V46" si="35">IF(T$12=0,0,T38/T$12)</f>
        <v>1.7495854996539661E-3</v>
      </c>
      <c r="W38" s="1"/>
      <c r="X38" s="1">
        <f t="shared" ref="X38:X46" si="36">+P38-T38</f>
        <v>-968.17</v>
      </c>
      <c r="Y38" s="1"/>
      <c r="Z38" s="5">
        <f t="shared" ref="Z38:Z46" si="37">IF(T38=0,0,X38/T38)</f>
        <v>-1</v>
      </c>
    </row>
    <row r="39" spans="1:26" s="24" customFormat="1" hidden="1" outlineLevel="2" x14ac:dyDescent="0.25">
      <c r="A39" s="26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30"/>
        <v>0</v>
      </c>
      <c r="G39" s="2"/>
      <c r="H39" s="6">
        <v>239.15</v>
      </c>
      <c r="I39" s="2"/>
      <c r="J39" s="7">
        <f t="shared" si="31"/>
        <v>2.364210859730475E-3</v>
      </c>
      <c r="K39" s="2"/>
      <c r="L39" s="6">
        <f t="shared" si="32"/>
        <v>-239.15</v>
      </c>
      <c r="M39" s="2"/>
      <c r="N39" s="7">
        <f t="shared" si="33"/>
        <v>-1</v>
      </c>
      <c r="O39" s="11"/>
      <c r="P39" s="6"/>
      <c r="Q39" s="2"/>
      <c r="R39" s="7">
        <f t="shared" si="34"/>
        <v>0</v>
      </c>
      <c r="S39" s="2"/>
      <c r="T39" s="6">
        <v>968.17</v>
      </c>
      <c r="U39" s="2"/>
      <c r="V39" s="7">
        <f t="shared" si="35"/>
        <v>1.7495854996539661E-3</v>
      </c>
      <c r="W39" s="2"/>
      <c r="X39" s="6">
        <f t="shared" si="36"/>
        <v>-968.17</v>
      </c>
      <c r="Y39" s="2"/>
      <c r="Z39" s="7">
        <f t="shared" si="37"/>
        <v>-1</v>
      </c>
    </row>
    <row r="40" spans="1:26" s="25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-6.52</v>
      </c>
      <c r="I40" s="1"/>
      <c r="J40" s="5">
        <f t="shared" si="31"/>
        <v>-6.4456010058301042E-5</v>
      </c>
      <c r="K40" s="1"/>
      <c r="L40" s="1">
        <f t="shared" si="32"/>
        <v>6.52</v>
      </c>
      <c r="M40" s="1"/>
      <c r="N40" s="5">
        <f t="shared" si="33"/>
        <v>-1</v>
      </c>
      <c r="O40" s="13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-65.23</v>
      </c>
      <c r="U40" s="1"/>
      <c r="V40" s="5">
        <f t="shared" si="35"/>
        <v>-1.1787750306498675E-4</v>
      </c>
      <c r="W40" s="1"/>
      <c r="X40" s="1">
        <f t="shared" si="36"/>
        <v>65.23</v>
      </c>
      <c r="Y40" s="1"/>
      <c r="Z40" s="5">
        <f t="shared" si="37"/>
        <v>-1</v>
      </c>
    </row>
    <row r="41" spans="1:26" s="24" customFormat="1" hidden="1" outlineLevel="2" x14ac:dyDescent="0.25">
      <c r="A41" s="26"/>
      <c r="B41" s="11" t="str">
        <f>CONCATENATE("          ", "6272", " - ", "CASH (OVER/SHORT)")</f>
        <v xml:space="preserve">          6272 - CASH (OVER/SHORT)</v>
      </c>
      <c r="C41" s="11"/>
      <c r="D41" s="6"/>
      <c r="E41" s="2"/>
      <c r="F41" s="7">
        <f t="shared" si="30"/>
        <v>0</v>
      </c>
      <c r="G41" s="2"/>
      <c r="H41" s="6">
        <v>-6.52</v>
      </c>
      <c r="I41" s="2"/>
      <c r="J41" s="7">
        <f t="shared" si="31"/>
        <v>-6.4456010058301042E-5</v>
      </c>
      <c r="K41" s="2"/>
      <c r="L41" s="6">
        <f t="shared" si="32"/>
        <v>6.52</v>
      </c>
      <c r="M41" s="2"/>
      <c r="N41" s="7">
        <f t="shared" si="33"/>
        <v>-1</v>
      </c>
      <c r="O41" s="11"/>
      <c r="P41" s="6"/>
      <c r="Q41" s="2"/>
      <c r="R41" s="7">
        <f t="shared" si="34"/>
        <v>0</v>
      </c>
      <c r="S41" s="2"/>
      <c r="T41" s="6">
        <v>-65.23</v>
      </c>
      <c r="U41" s="2"/>
      <c r="V41" s="7">
        <f t="shared" si="35"/>
        <v>-1.1787750306498675E-4</v>
      </c>
      <c r="W41" s="2"/>
      <c r="X41" s="6">
        <f t="shared" si="36"/>
        <v>65.23</v>
      </c>
      <c r="Y41" s="2"/>
      <c r="Z41" s="7">
        <f t="shared" si="37"/>
        <v>-1</v>
      </c>
    </row>
    <row r="42" spans="1:26" s="25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4250.1099999999997</v>
      </c>
      <c r="I42" s="1"/>
      <c r="J42" s="5">
        <f t="shared" si="31"/>
        <v>4.201612467927697E-2</v>
      </c>
      <c r="K42" s="1"/>
      <c r="L42" s="1">
        <f t="shared" si="32"/>
        <v>-4250.1099999999997</v>
      </c>
      <c r="M42" s="1"/>
      <c r="N42" s="5">
        <f t="shared" si="33"/>
        <v>-1</v>
      </c>
      <c r="O42" s="13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20632.099999999999</v>
      </c>
      <c r="U42" s="1"/>
      <c r="V42" s="5">
        <f t="shared" si="35"/>
        <v>3.7284384960709994E-2</v>
      </c>
      <c r="W42" s="1"/>
      <c r="X42" s="1">
        <f t="shared" si="36"/>
        <v>-20632.099999999999</v>
      </c>
      <c r="Y42" s="1"/>
      <c r="Z42" s="5">
        <f t="shared" si="37"/>
        <v>-1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6"/>
      <c r="E43" s="2"/>
      <c r="F43" s="7">
        <f t="shared" si="30"/>
        <v>0</v>
      </c>
      <c r="G43" s="2"/>
      <c r="H43" s="6">
        <v>4250.1099999999997</v>
      </c>
      <c r="I43" s="2"/>
      <c r="J43" s="7">
        <f t="shared" si="31"/>
        <v>4.201612467927697E-2</v>
      </c>
      <c r="K43" s="2"/>
      <c r="L43" s="6">
        <f t="shared" si="32"/>
        <v>-4250.1099999999997</v>
      </c>
      <c r="M43" s="2"/>
      <c r="N43" s="7">
        <f t="shared" si="33"/>
        <v>-1</v>
      </c>
      <c r="O43" s="11"/>
      <c r="P43" s="6"/>
      <c r="Q43" s="2"/>
      <c r="R43" s="7">
        <f t="shared" si="34"/>
        <v>0</v>
      </c>
      <c r="S43" s="2"/>
      <c r="T43" s="6">
        <v>20632.099999999999</v>
      </c>
      <c r="U43" s="2"/>
      <c r="V43" s="7">
        <f t="shared" si="35"/>
        <v>3.7284384960709994E-2</v>
      </c>
      <c r="W43" s="2"/>
      <c r="X43" s="6">
        <f t="shared" si="36"/>
        <v>-20632.099999999999</v>
      </c>
      <c r="Y43" s="2"/>
      <c r="Z43" s="7">
        <f t="shared" si="37"/>
        <v>-1</v>
      </c>
    </row>
    <row r="44" spans="1:26" s="25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5471.21</v>
      </c>
      <c r="E44" s="1"/>
      <c r="F44" s="5">
        <f t="shared" si="30"/>
        <v>0</v>
      </c>
      <c r="G44" s="1"/>
      <c r="H44" s="1">
        <f>SUM(OSRRefH22_5x_0)</f>
        <v>5564.79</v>
      </c>
      <c r="I44" s="1"/>
      <c r="J44" s="5">
        <f t="shared" si="31"/>
        <v>5.5012908008026544E-2</v>
      </c>
      <c r="K44" s="1"/>
      <c r="L44" s="1">
        <f t="shared" si="32"/>
        <v>-93.579999999999927</v>
      </c>
      <c r="M44" s="1"/>
      <c r="N44" s="5">
        <f t="shared" si="33"/>
        <v>-1.6816447700631995E-2</v>
      </c>
      <c r="O44" s="13"/>
      <c r="P44" s="1">
        <f>SUM(OSRRefP22_5x_0)</f>
        <v>44215.18</v>
      </c>
      <c r="Q44" s="1"/>
      <c r="R44" s="5">
        <f t="shared" si="34"/>
        <v>0</v>
      </c>
      <c r="S44" s="1"/>
      <c r="T44" s="1">
        <f>SUM(OSRRefT22_5x_0)</f>
        <v>43801.22</v>
      </c>
      <c r="U44" s="1"/>
      <c r="V44" s="5">
        <f t="shared" si="35"/>
        <v>7.915343315652551E-2</v>
      </c>
      <c r="W44" s="1"/>
      <c r="X44" s="1">
        <f t="shared" si="36"/>
        <v>413.95999999999913</v>
      </c>
      <c r="Y44" s="1"/>
      <c r="Z44" s="5">
        <f t="shared" si="37"/>
        <v>9.4508783088690027E-3</v>
      </c>
    </row>
    <row r="45" spans="1:26" s="24" customFormat="1" hidden="1" outlineLevel="2" x14ac:dyDescent="0.25">
      <c r="A45" s="26"/>
      <c r="B45" s="11" t="str">
        <f>CONCATENATE("          ", "6321", " - ", "BUILDING DEPRECIATION")</f>
        <v xml:space="preserve">          6321 - BUILDING DEPRECIATION</v>
      </c>
      <c r="C45" s="11"/>
      <c r="D45" s="6">
        <v>5080.51</v>
      </c>
      <c r="E45" s="2"/>
      <c r="F45" s="7">
        <f t="shared" si="30"/>
        <v>0</v>
      </c>
      <c r="G45" s="2"/>
      <c r="H45" s="6">
        <v>5080.51</v>
      </c>
      <c r="I45" s="2"/>
      <c r="J45" s="7">
        <f t="shared" si="31"/>
        <v>5.0225368659708447E-2</v>
      </c>
      <c r="K45" s="2"/>
      <c r="L45" s="6">
        <f t="shared" si="32"/>
        <v>0</v>
      </c>
      <c r="M45" s="2"/>
      <c r="N45" s="7">
        <f t="shared" si="33"/>
        <v>0</v>
      </c>
      <c r="O45" s="11"/>
      <c r="P45" s="6">
        <v>40644.080000000002</v>
      </c>
      <c r="Q45" s="2"/>
      <c r="R45" s="7">
        <f t="shared" si="34"/>
        <v>0</v>
      </c>
      <c r="S45" s="2"/>
      <c r="T45" s="6">
        <v>40644.080000000002</v>
      </c>
      <c r="U45" s="2"/>
      <c r="V45" s="7">
        <f t="shared" si="35"/>
        <v>7.3448147551334761E-2</v>
      </c>
      <c r="W45" s="2"/>
      <c r="X45" s="6">
        <f t="shared" si="36"/>
        <v>0</v>
      </c>
      <c r="Y45" s="2"/>
      <c r="Z45" s="7">
        <f t="shared" si="37"/>
        <v>0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390.7</v>
      </c>
      <c r="E46" s="2"/>
      <c r="F46" s="7">
        <f t="shared" si="30"/>
        <v>0</v>
      </c>
      <c r="G46" s="2"/>
      <c r="H46" s="6">
        <v>484.28</v>
      </c>
      <c r="I46" s="2"/>
      <c r="J46" s="7">
        <f t="shared" si="31"/>
        <v>4.787539348318103E-3</v>
      </c>
      <c r="K46" s="2"/>
      <c r="L46" s="6">
        <f t="shared" si="32"/>
        <v>-93.579999999999984</v>
      </c>
      <c r="M46" s="2"/>
      <c r="N46" s="7">
        <f t="shared" si="33"/>
        <v>-0.19323531841083669</v>
      </c>
      <c r="O46" s="11"/>
      <c r="P46" s="6">
        <v>3571.1</v>
      </c>
      <c r="Q46" s="2"/>
      <c r="R46" s="7">
        <f t="shared" si="34"/>
        <v>0</v>
      </c>
      <c r="S46" s="2"/>
      <c r="T46" s="6">
        <v>3157.14</v>
      </c>
      <c r="U46" s="2"/>
      <c r="V46" s="7">
        <f t="shared" si="35"/>
        <v>5.7052856051907439E-3</v>
      </c>
      <c r="W46" s="2"/>
      <c r="X46" s="6">
        <f t="shared" si="36"/>
        <v>413.96000000000004</v>
      </c>
      <c r="Y46" s="2"/>
      <c r="Z46" s="7">
        <f t="shared" si="37"/>
        <v>0.1311186706956296</v>
      </c>
    </row>
    <row r="47" spans="1:26" s="25" customFormat="1" outlineLevel="1" collapsed="1" x14ac:dyDescent="0.25">
      <c r="A47" s="27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0</v>
      </c>
      <c r="E47" s="1"/>
      <c r="F47" s="5">
        <f t="shared" ref="F47:F60" si="38">IF(D$12=0,0,D47/D$12)</f>
        <v>0</v>
      </c>
      <c r="G47" s="1"/>
      <c r="H47" s="1">
        <f>SUM(OSRRefH22_6x_0)</f>
        <v>0</v>
      </c>
      <c r="I47" s="1"/>
      <c r="J47" s="5">
        <f t="shared" ref="J47:J60" si="39">IF(H$12=0,0,H47/H$12)</f>
        <v>0</v>
      </c>
      <c r="K47" s="1"/>
      <c r="L47" s="1">
        <f t="shared" ref="L47:L60" si="40">+D47-H47</f>
        <v>0</v>
      </c>
      <c r="M47" s="1"/>
      <c r="N47" s="5">
        <f t="shared" ref="N47:N60" si="41">IF(H47=0,0,L47/H47)</f>
        <v>0</v>
      </c>
      <c r="O47" s="13"/>
      <c r="P47" s="1">
        <f>SUM(OSRRefP22_6x_0)</f>
        <v>0</v>
      </c>
      <c r="Q47" s="1"/>
      <c r="R47" s="5">
        <f t="shared" ref="R47:R60" si="42">IF(P$12=0,0,P47/P$12)</f>
        <v>0</v>
      </c>
      <c r="S47" s="1"/>
      <c r="T47" s="1">
        <f>SUM(OSRRefT22_6x_0)</f>
        <v>74.569999999999993</v>
      </c>
      <c r="U47" s="1"/>
      <c r="V47" s="5">
        <f t="shared" ref="V47:V60" si="43">IF(T$12=0,0,T47/T$12)</f>
        <v>1.347558700529827E-4</v>
      </c>
      <c r="W47" s="1"/>
      <c r="X47" s="1">
        <f t="shared" ref="X47:X60" si="44">+P47-T47</f>
        <v>-74.569999999999993</v>
      </c>
      <c r="Y47" s="1"/>
      <c r="Z47" s="5">
        <f t="shared" ref="Z47:Z60" si="45">IF(T47=0,0,X47/T47)</f>
        <v>-1</v>
      </c>
    </row>
    <row r="48" spans="1:26" s="24" customFormat="1" hidden="1" outlineLevel="2" x14ac:dyDescent="0.25">
      <c r="A48" s="26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38"/>
        <v>0</v>
      </c>
      <c r="G48" s="2"/>
      <c r="H48" s="6"/>
      <c r="I48" s="2"/>
      <c r="J48" s="7">
        <f t="shared" si="39"/>
        <v>0</v>
      </c>
      <c r="K48" s="2"/>
      <c r="L48" s="6">
        <f t="shared" si="40"/>
        <v>0</v>
      </c>
      <c r="M48" s="2"/>
      <c r="N48" s="7">
        <f t="shared" si="41"/>
        <v>0</v>
      </c>
      <c r="O48" s="11"/>
      <c r="P48" s="6"/>
      <c r="Q48" s="2"/>
      <c r="R48" s="7">
        <f t="shared" si="42"/>
        <v>0</v>
      </c>
      <c r="S48" s="2"/>
      <c r="T48" s="6">
        <v>74.569999999999993</v>
      </c>
      <c r="U48" s="2"/>
      <c r="V48" s="7">
        <f t="shared" si="43"/>
        <v>1.347558700529827E-4</v>
      </c>
      <c r="W48" s="2"/>
      <c r="X48" s="6">
        <f t="shared" si="44"/>
        <v>-74.569999999999993</v>
      </c>
      <c r="Y48" s="2"/>
      <c r="Z48" s="7">
        <f t="shared" si="45"/>
        <v>-1</v>
      </c>
    </row>
    <row r="49" spans="1:26" s="25" customFormat="1" outlineLevel="1" collapsed="1" x14ac:dyDescent="0.25">
      <c r="A49" s="27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SUM(OSRRefD22_7x_0)</f>
        <v>176.4</v>
      </c>
      <c r="E49" s="1"/>
      <c r="F49" s="5">
        <f t="shared" si="38"/>
        <v>0</v>
      </c>
      <c r="G49" s="1"/>
      <c r="H49" s="1">
        <f>SUM(OSRRefH22_7x_0)</f>
        <v>103.34</v>
      </c>
      <c r="I49" s="1"/>
      <c r="J49" s="5">
        <f t="shared" si="39"/>
        <v>1.0216079876418452E-3</v>
      </c>
      <c r="K49" s="1"/>
      <c r="L49" s="1">
        <f t="shared" si="40"/>
        <v>73.06</v>
      </c>
      <c r="M49" s="1"/>
      <c r="N49" s="5">
        <f t="shared" si="41"/>
        <v>0.70698664602283723</v>
      </c>
      <c r="O49" s="13"/>
      <c r="P49" s="1">
        <f>SUM(OSRRefP22_7x_0)</f>
        <v>428.95</v>
      </c>
      <c r="Q49" s="1"/>
      <c r="R49" s="5">
        <f t="shared" si="42"/>
        <v>0</v>
      </c>
      <c r="S49" s="1"/>
      <c r="T49" s="1">
        <f>SUM(OSRRefT22_7x_0)</f>
        <v>865.31</v>
      </c>
      <c r="U49" s="1"/>
      <c r="V49" s="5">
        <f t="shared" si="43"/>
        <v>1.5637066101052226E-3</v>
      </c>
      <c r="W49" s="1"/>
      <c r="X49" s="1">
        <f t="shared" si="44"/>
        <v>-436.35999999999996</v>
      </c>
      <c r="Y49" s="1"/>
      <c r="Z49" s="5">
        <f t="shared" si="45"/>
        <v>-0.50428170251123872</v>
      </c>
    </row>
    <row r="50" spans="1:26" s="24" customFormat="1" hidden="1" outlineLevel="2" x14ac:dyDescent="0.25">
      <c r="A50" s="26"/>
      <c r="B50" s="11" t="str">
        <f>CONCATENATE("          ", "6351", " - ", "EQUIPMENT RENTAL")</f>
        <v xml:space="preserve">          6351 - EQUIPMENT RENTAL</v>
      </c>
      <c r="C50" s="11"/>
      <c r="D50" s="6">
        <v>176.4</v>
      </c>
      <c r="E50" s="2"/>
      <c r="F50" s="7">
        <f t="shared" si="38"/>
        <v>0</v>
      </c>
      <c r="G50" s="2"/>
      <c r="H50" s="6">
        <v>103.34</v>
      </c>
      <c r="I50" s="2"/>
      <c r="J50" s="7">
        <f t="shared" si="39"/>
        <v>1.0216079876418452E-3</v>
      </c>
      <c r="K50" s="2"/>
      <c r="L50" s="6">
        <f t="shared" si="40"/>
        <v>73.06</v>
      </c>
      <c r="M50" s="2"/>
      <c r="N50" s="7">
        <f t="shared" si="41"/>
        <v>0.70698664602283723</v>
      </c>
      <c r="O50" s="11"/>
      <c r="P50" s="6">
        <v>428.95</v>
      </c>
      <c r="Q50" s="2"/>
      <c r="R50" s="7">
        <f t="shared" si="42"/>
        <v>0</v>
      </c>
      <c r="S50" s="2"/>
      <c r="T50" s="6">
        <v>865.31</v>
      </c>
      <c r="U50" s="2"/>
      <c r="V50" s="7">
        <f t="shared" si="43"/>
        <v>1.5637066101052226E-3</v>
      </c>
      <c r="W50" s="2"/>
      <c r="X50" s="6">
        <f t="shared" si="44"/>
        <v>-436.35999999999996</v>
      </c>
      <c r="Y50" s="2"/>
      <c r="Z50" s="7">
        <f t="shared" si="45"/>
        <v>-0.50428170251123872</v>
      </c>
    </row>
    <row r="51" spans="1:26" s="25" customFormat="1" outlineLevel="1" collapsed="1" x14ac:dyDescent="0.25">
      <c r="A51" s="27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SUM(OSRRefD22_8x_0)</f>
        <v>0</v>
      </c>
      <c r="E51" s="1"/>
      <c r="F51" s="5">
        <f t="shared" si="38"/>
        <v>0</v>
      </c>
      <c r="G51" s="1"/>
      <c r="H51" s="1">
        <f>SUM(OSRRefH22_8x_0)</f>
        <v>40.5</v>
      </c>
      <c r="I51" s="1"/>
      <c r="J51" s="5">
        <f t="shared" si="39"/>
        <v>4.0037859008607246E-4</v>
      </c>
      <c r="K51" s="1"/>
      <c r="L51" s="1">
        <f t="shared" si="40"/>
        <v>-40.5</v>
      </c>
      <c r="M51" s="1"/>
      <c r="N51" s="5">
        <f t="shared" si="41"/>
        <v>-1</v>
      </c>
      <c r="O51" s="13"/>
      <c r="P51" s="1">
        <f>SUM(OSRRefP22_8x_0)</f>
        <v>914.55</v>
      </c>
      <c r="Q51" s="1"/>
      <c r="R51" s="5">
        <f t="shared" si="42"/>
        <v>0</v>
      </c>
      <c r="S51" s="1"/>
      <c r="T51" s="1">
        <f>SUM(OSRRefT22_8x_0)</f>
        <v>1308.73</v>
      </c>
      <c r="U51" s="1"/>
      <c r="V51" s="5">
        <f t="shared" si="43"/>
        <v>2.3650134077301869E-3</v>
      </c>
      <c r="W51" s="1"/>
      <c r="X51" s="1">
        <f t="shared" si="44"/>
        <v>-394.18000000000006</v>
      </c>
      <c r="Y51" s="1"/>
      <c r="Z51" s="5">
        <f t="shared" si="45"/>
        <v>-0.30119275939269374</v>
      </c>
    </row>
    <row r="52" spans="1:26" s="24" customFormat="1" hidden="1" outlineLevel="2" x14ac:dyDescent="0.25">
      <c r="A52" s="26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38"/>
        <v>0</v>
      </c>
      <c r="G52" s="2"/>
      <c r="H52" s="6">
        <v>40.5</v>
      </c>
      <c r="I52" s="2"/>
      <c r="J52" s="7">
        <f t="shared" si="39"/>
        <v>4.0037859008607246E-4</v>
      </c>
      <c r="K52" s="2"/>
      <c r="L52" s="6">
        <f t="shared" si="40"/>
        <v>-40.5</v>
      </c>
      <c r="M52" s="2"/>
      <c r="N52" s="7">
        <f t="shared" si="41"/>
        <v>-1</v>
      </c>
      <c r="O52" s="11"/>
      <c r="P52" s="6">
        <v>914.55</v>
      </c>
      <c r="Q52" s="2"/>
      <c r="R52" s="7">
        <f t="shared" si="42"/>
        <v>0</v>
      </c>
      <c r="S52" s="2"/>
      <c r="T52" s="6">
        <v>1308.73</v>
      </c>
      <c r="U52" s="2"/>
      <c r="V52" s="7">
        <f t="shared" si="43"/>
        <v>2.3650134077301869E-3</v>
      </c>
      <c r="W52" s="2"/>
      <c r="X52" s="6">
        <f t="shared" si="44"/>
        <v>-394.18000000000006</v>
      </c>
      <c r="Y52" s="2"/>
      <c r="Z52" s="7">
        <f t="shared" si="45"/>
        <v>-0.30119275939269374</v>
      </c>
    </row>
    <row r="53" spans="1:26" s="25" customFormat="1" outlineLevel="1" collapsed="1" x14ac:dyDescent="0.25">
      <c r="A53" s="27"/>
      <c r="B53" s="13" t="str">
        <f>CONCATENATE("     ","Insurance                                         ")</f>
        <v xml:space="preserve">     Insurance                                         </v>
      </c>
      <c r="C53" s="13"/>
      <c r="D53" s="1">
        <f>SUM(OSRRefD22_9x_0)</f>
        <v>243.54</v>
      </c>
      <c r="E53" s="1"/>
      <c r="F53" s="5">
        <f t="shared" si="38"/>
        <v>0</v>
      </c>
      <c r="G53" s="1"/>
      <c r="H53" s="1">
        <f>SUM(OSRRefH22_9x_0)</f>
        <v>243.54</v>
      </c>
      <c r="I53" s="1"/>
      <c r="J53" s="5">
        <f t="shared" si="39"/>
        <v>2.4076099217175823E-3</v>
      </c>
      <c r="K53" s="1"/>
      <c r="L53" s="1">
        <f t="shared" si="40"/>
        <v>0</v>
      </c>
      <c r="M53" s="1"/>
      <c r="N53" s="5">
        <f t="shared" si="41"/>
        <v>0</v>
      </c>
      <c r="O53" s="13"/>
      <c r="P53" s="1">
        <f>SUM(OSRRefP22_9x_0)</f>
        <v>1948.32</v>
      </c>
      <c r="Q53" s="1"/>
      <c r="R53" s="5">
        <f t="shared" si="42"/>
        <v>0</v>
      </c>
      <c r="S53" s="1"/>
      <c r="T53" s="1">
        <f>SUM(OSRRefT22_9x_0)</f>
        <v>1948.32</v>
      </c>
      <c r="U53" s="1"/>
      <c r="V53" s="5">
        <f t="shared" si="43"/>
        <v>3.5208201252732631E-3</v>
      </c>
      <c r="W53" s="1"/>
      <c r="X53" s="1">
        <f t="shared" si="44"/>
        <v>0</v>
      </c>
      <c r="Y53" s="1"/>
      <c r="Z53" s="5">
        <f t="shared" si="45"/>
        <v>0</v>
      </c>
    </row>
    <row r="54" spans="1:26" s="24" customFormat="1" hidden="1" outlineLevel="2" x14ac:dyDescent="0.25">
      <c r="A54" s="26"/>
      <c r="B54" s="11" t="str">
        <f>CONCATENATE("          ", "6314", " - ", "LIABILITY INSURANCE")</f>
        <v xml:space="preserve">          6314 - LIABILITY INSURANCE</v>
      </c>
      <c r="C54" s="11"/>
      <c r="D54" s="6">
        <v>243.54</v>
      </c>
      <c r="E54" s="2"/>
      <c r="F54" s="7">
        <f t="shared" si="38"/>
        <v>0</v>
      </c>
      <c r="G54" s="2"/>
      <c r="H54" s="6">
        <v>243.54</v>
      </c>
      <c r="I54" s="2"/>
      <c r="J54" s="7">
        <f t="shared" si="39"/>
        <v>2.4076099217175823E-3</v>
      </c>
      <c r="K54" s="2"/>
      <c r="L54" s="6">
        <f t="shared" si="40"/>
        <v>0</v>
      </c>
      <c r="M54" s="2"/>
      <c r="N54" s="7">
        <f t="shared" si="41"/>
        <v>0</v>
      </c>
      <c r="O54" s="11"/>
      <c r="P54" s="6">
        <v>1948.32</v>
      </c>
      <c r="Q54" s="2"/>
      <c r="R54" s="7">
        <f t="shared" si="42"/>
        <v>0</v>
      </c>
      <c r="S54" s="2"/>
      <c r="T54" s="6">
        <v>1948.32</v>
      </c>
      <c r="U54" s="2"/>
      <c r="V54" s="7">
        <f t="shared" si="43"/>
        <v>3.5208201252732631E-3</v>
      </c>
      <c r="W54" s="2"/>
      <c r="X54" s="6">
        <f t="shared" si="44"/>
        <v>0</v>
      </c>
      <c r="Y54" s="2"/>
      <c r="Z54" s="7">
        <f t="shared" si="45"/>
        <v>0</v>
      </c>
    </row>
    <row r="55" spans="1:26" s="25" customFormat="1" outlineLevel="1" collapsed="1" x14ac:dyDescent="0.25">
      <c r="A55" s="27"/>
      <c r="B55" s="13" t="str">
        <f>CONCATENATE("     ","Interest                                          ")</f>
        <v xml:space="preserve">     Interest                                          </v>
      </c>
      <c r="C55" s="13"/>
      <c r="D55" s="1">
        <f>SUM(OSRRefD22_10x_0)</f>
        <v>4044</v>
      </c>
      <c r="E55" s="1"/>
      <c r="F55" s="5">
        <f t="shared" si="38"/>
        <v>0</v>
      </c>
      <c r="G55" s="1"/>
      <c r="H55" s="1">
        <f>SUM(OSRRefH22_10x_0)</f>
        <v>4175</v>
      </c>
      <c r="I55" s="1"/>
      <c r="J55" s="5">
        <f t="shared" si="39"/>
        <v>4.1273595397761792E-2</v>
      </c>
      <c r="K55" s="1"/>
      <c r="L55" s="1">
        <f t="shared" si="40"/>
        <v>-131</v>
      </c>
      <c r="M55" s="1"/>
      <c r="N55" s="5">
        <f t="shared" si="41"/>
        <v>-3.1377245508982035E-2</v>
      </c>
      <c r="O55" s="13"/>
      <c r="P55" s="1">
        <f>SUM(OSRRefP22_10x_0)</f>
        <v>32089.85</v>
      </c>
      <c r="Q55" s="1"/>
      <c r="R55" s="5">
        <f t="shared" si="42"/>
        <v>0</v>
      </c>
      <c r="S55" s="1"/>
      <c r="T55" s="1">
        <f>SUM(OSRRefT22_10x_0)</f>
        <v>33193.950000000004</v>
      </c>
      <c r="U55" s="1"/>
      <c r="V55" s="5">
        <f t="shared" si="43"/>
        <v>5.9984975362011604E-2</v>
      </c>
      <c r="W55" s="1"/>
      <c r="X55" s="1">
        <f t="shared" si="44"/>
        <v>-1104.1000000000058</v>
      </c>
      <c r="Y55" s="1"/>
      <c r="Z55" s="5">
        <f t="shared" si="45"/>
        <v>-3.326208541014268E-2</v>
      </c>
    </row>
    <row r="56" spans="1:26" s="24" customFormat="1" hidden="1" outlineLevel="2" x14ac:dyDescent="0.25">
      <c r="A56" s="26"/>
      <c r="B56" s="11" t="str">
        <f>CONCATENATE("          ", "6401", " - ", "INTEREST EXPENSE")</f>
        <v xml:space="preserve">          6401 - INTEREST EXPENSE</v>
      </c>
      <c r="C56" s="11"/>
      <c r="D56" s="6">
        <v>4044</v>
      </c>
      <c r="E56" s="2"/>
      <c r="F56" s="7">
        <f t="shared" si="38"/>
        <v>0</v>
      </c>
      <c r="G56" s="2"/>
      <c r="H56" s="6">
        <v>4175</v>
      </c>
      <c r="I56" s="2"/>
      <c r="J56" s="7">
        <f t="shared" si="39"/>
        <v>4.1273595397761792E-2</v>
      </c>
      <c r="K56" s="2"/>
      <c r="L56" s="6">
        <f t="shared" si="40"/>
        <v>-131</v>
      </c>
      <c r="M56" s="2"/>
      <c r="N56" s="7">
        <f t="shared" si="41"/>
        <v>-3.1377245508982035E-2</v>
      </c>
      <c r="O56" s="11"/>
      <c r="P56" s="6">
        <v>32089.85</v>
      </c>
      <c r="Q56" s="2"/>
      <c r="R56" s="7">
        <f t="shared" si="42"/>
        <v>0</v>
      </c>
      <c r="S56" s="2"/>
      <c r="T56" s="6">
        <v>33193.950000000004</v>
      </c>
      <c r="U56" s="2"/>
      <c r="V56" s="7">
        <f t="shared" si="43"/>
        <v>5.9984975362011604E-2</v>
      </c>
      <c r="W56" s="2"/>
      <c r="X56" s="6">
        <f t="shared" si="44"/>
        <v>-1104.1000000000058</v>
      </c>
      <c r="Y56" s="2"/>
      <c r="Z56" s="7">
        <f t="shared" si="45"/>
        <v>-3.326208541014268E-2</v>
      </c>
    </row>
    <row r="57" spans="1:26" s="25" customFormat="1" outlineLevel="1" collapsed="1" x14ac:dyDescent="0.25">
      <c r="A57" s="27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SUM(OSRRefD22_11x_0)</f>
        <v>108</v>
      </c>
      <c r="E57" s="1"/>
      <c r="F57" s="5">
        <f t="shared" si="38"/>
        <v>0</v>
      </c>
      <c r="G57" s="1"/>
      <c r="H57" s="1">
        <f>SUM(OSRRefH22_11x_0)</f>
        <v>0</v>
      </c>
      <c r="I57" s="1"/>
      <c r="J57" s="5">
        <f t="shared" si="39"/>
        <v>0</v>
      </c>
      <c r="K57" s="1"/>
      <c r="L57" s="1">
        <f t="shared" si="40"/>
        <v>108</v>
      </c>
      <c r="M57" s="1"/>
      <c r="N57" s="5">
        <f t="shared" si="41"/>
        <v>0</v>
      </c>
      <c r="O57" s="13"/>
      <c r="P57" s="1">
        <f>SUM(OSRRefP22_11x_0)</f>
        <v>403.64</v>
      </c>
      <c r="Q57" s="1"/>
      <c r="R57" s="5">
        <f t="shared" si="42"/>
        <v>0</v>
      </c>
      <c r="S57" s="1"/>
      <c r="T57" s="1">
        <f>SUM(OSRRefT22_11x_0)</f>
        <v>937.67</v>
      </c>
      <c r="U57" s="1"/>
      <c r="V57" s="5">
        <f t="shared" si="43"/>
        <v>1.6944687766203604E-3</v>
      </c>
      <c r="W57" s="1"/>
      <c r="X57" s="1">
        <f t="shared" si="44"/>
        <v>-534.03</v>
      </c>
      <c r="Y57" s="1"/>
      <c r="Z57" s="5">
        <f t="shared" si="45"/>
        <v>-0.56952872545778366</v>
      </c>
    </row>
    <row r="58" spans="1:26" s="24" customFormat="1" hidden="1" outlineLevel="2" x14ac:dyDescent="0.25">
      <c r="A58" s="26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38"/>
        <v>0</v>
      </c>
      <c r="G58" s="2"/>
      <c r="H58" s="6"/>
      <c r="I58" s="2"/>
      <c r="J58" s="7">
        <f t="shared" si="39"/>
        <v>0</v>
      </c>
      <c r="K58" s="2"/>
      <c r="L58" s="6">
        <f t="shared" si="40"/>
        <v>0</v>
      </c>
      <c r="M58" s="2"/>
      <c r="N58" s="7">
        <f t="shared" si="41"/>
        <v>0</v>
      </c>
      <c r="O58" s="11"/>
      <c r="P58" s="6"/>
      <c r="Q58" s="2"/>
      <c r="R58" s="7">
        <f t="shared" si="42"/>
        <v>0</v>
      </c>
      <c r="S58" s="2"/>
      <c r="T58" s="6">
        <v>437.31</v>
      </c>
      <c r="U58" s="2"/>
      <c r="V58" s="7">
        <f t="shared" si="43"/>
        <v>7.9026538196151088E-4</v>
      </c>
      <c r="W58" s="2"/>
      <c r="X58" s="6">
        <f t="shared" si="44"/>
        <v>-437.31</v>
      </c>
      <c r="Y58" s="2"/>
      <c r="Z58" s="7">
        <f t="shared" si="45"/>
        <v>-1</v>
      </c>
    </row>
    <row r="59" spans="1:26" s="24" customFormat="1" hidden="1" outlineLevel="2" x14ac:dyDescent="0.25">
      <c r="A59" s="26"/>
      <c r="B59" s="11" t="str">
        <f>CONCATENATE("          ", "6373", " - ", "MAINTENANCE CONTRACTS")</f>
        <v xml:space="preserve">          6373 - MAINTENANCE CONTRACTS</v>
      </c>
      <c r="C59" s="11"/>
      <c r="D59" s="6"/>
      <c r="E59" s="2"/>
      <c r="F59" s="7">
        <f t="shared" si="38"/>
        <v>0</v>
      </c>
      <c r="G59" s="2"/>
      <c r="H59" s="6"/>
      <c r="I59" s="2"/>
      <c r="J59" s="7">
        <f t="shared" si="39"/>
        <v>0</v>
      </c>
      <c r="K59" s="2"/>
      <c r="L59" s="6">
        <f t="shared" si="40"/>
        <v>0</v>
      </c>
      <c r="M59" s="2"/>
      <c r="N59" s="7">
        <f t="shared" si="41"/>
        <v>0</v>
      </c>
      <c r="O59" s="11"/>
      <c r="P59" s="6">
        <v>295.64</v>
      </c>
      <c r="Q59" s="2"/>
      <c r="R59" s="7">
        <f t="shared" si="42"/>
        <v>0</v>
      </c>
      <c r="S59" s="2"/>
      <c r="T59" s="6">
        <v>209.74</v>
      </c>
      <c r="U59" s="2"/>
      <c r="V59" s="7">
        <f t="shared" si="43"/>
        <v>3.7902234390388347E-4</v>
      </c>
      <c r="W59" s="2"/>
      <c r="X59" s="6">
        <f t="shared" si="44"/>
        <v>85.899999999999977</v>
      </c>
      <c r="Y59" s="2"/>
      <c r="Z59" s="7">
        <f t="shared" si="45"/>
        <v>0.40955468675502993</v>
      </c>
    </row>
    <row r="60" spans="1:26" s="24" customFormat="1" hidden="1" outlineLevel="2" x14ac:dyDescent="0.25">
      <c r="A60" s="26"/>
      <c r="B60" s="11" t="str">
        <f>CONCATENATE("          ", "6375", " - ", "OUTSIDE REPAIRS &amp; MAINTENANCE")</f>
        <v xml:space="preserve">          6375 - OUTSIDE REPAIRS &amp; MAINTENANCE</v>
      </c>
      <c r="C60" s="11"/>
      <c r="D60" s="6">
        <v>108</v>
      </c>
      <c r="E60" s="2"/>
      <c r="F60" s="7">
        <f t="shared" si="38"/>
        <v>0</v>
      </c>
      <c r="G60" s="2"/>
      <c r="H60" s="6"/>
      <c r="I60" s="2"/>
      <c r="J60" s="7">
        <f t="shared" si="39"/>
        <v>0</v>
      </c>
      <c r="K60" s="2"/>
      <c r="L60" s="6">
        <f t="shared" si="40"/>
        <v>108</v>
      </c>
      <c r="M60" s="2"/>
      <c r="N60" s="7">
        <f t="shared" si="41"/>
        <v>0</v>
      </c>
      <c r="O60" s="11"/>
      <c r="P60" s="6">
        <v>108</v>
      </c>
      <c r="Q60" s="2"/>
      <c r="R60" s="7">
        <f t="shared" si="42"/>
        <v>0</v>
      </c>
      <c r="S60" s="2"/>
      <c r="T60" s="6">
        <v>290.62</v>
      </c>
      <c r="U60" s="2"/>
      <c r="V60" s="7">
        <f t="shared" si="43"/>
        <v>5.251810507549662E-4</v>
      </c>
      <c r="W60" s="2"/>
      <c r="X60" s="6">
        <f t="shared" si="44"/>
        <v>-182.62</v>
      </c>
      <c r="Y60" s="2"/>
      <c r="Z60" s="7">
        <f t="shared" si="45"/>
        <v>-0.62838070332392815</v>
      </c>
    </row>
    <row r="61" spans="1:26" s="25" customFormat="1" outlineLevel="1" collapsed="1" x14ac:dyDescent="0.25">
      <c r="A61" s="27"/>
      <c r="B61" s="13" t="str">
        <f>CONCATENATE("     ","Services                                          ")</f>
        <v xml:space="preserve">     Services                                          </v>
      </c>
      <c r="C61" s="13"/>
      <c r="D61" s="1">
        <f>SUM(OSRRefD22_12x_0)</f>
        <v>289</v>
      </c>
      <c r="E61" s="1"/>
      <c r="F61" s="5">
        <f t="shared" ref="F61:F64" si="46">IF(D$12=0,0,D61/D$12)</f>
        <v>0</v>
      </c>
      <c r="G61" s="1"/>
      <c r="H61" s="1">
        <f>SUM(OSRRefH22_12x_0)</f>
        <v>707.58</v>
      </c>
      <c r="I61" s="1"/>
      <c r="J61" s="5">
        <f t="shared" ref="J61:J64" si="47">IF(H$12=0,0,H61/H$12)</f>
        <v>6.9950588339037821E-3</v>
      </c>
      <c r="K61" s="1"/>
      <c r="L61" s="1">
        <f t="shared" ref="L61:L64" si="48">+D61-H61</f>
        <v>-418.58000000000004</v>
      </c>
      <c r="M61" s="1"/>
      <c r="N61" s="5">
        <f t="shared" ref="N61:N64" si="49">IF(H61=0,0,L61/H61)</f>
        <v>-0.59156561802199048</v>
      </c>
      <c r="O61" s="13"/>
      <c r="P61" s="1">
        <f>SUM(OSRRefP22_12x_0)</f>
        <v>1785.4</v>
      </c>
      <c r="Q61" s="1"/>
      <c r="R61" s="5">
        <f t="shared" ref="R61:R64" si="50">IF(P$12=0,0,P61/P$12)</f>
        <v>0</v>
      </c>
      <c r="S61" s="1"/>
      <c r="T61" s="1">
        <f>SUM(OSRRefT22_12x_0)</f>
        <v>4551.8900000000003</v>
      </c>
      <c r="U61" s="1"/>
      <c r="V61" s="5">
        <f t="shared" ref="V61:V64" si="51">IF(T$12=0,0,T61/T$12)</f>
        <v>8.2257462429324319E-3</v>
      </c>
      <c r="W61" s="1"/>
      <c r="X61" s="1">
        <f t="shared" ref="X61:X64" si="52">+P61-T61</f>
        <v>-2766.4900000000002</v>
      </c>
      <c r="Y61" s="1"/>
      <c r="Z61" s="5">
        <f t="shared" ref="Z61:Z64" si="53">IF(T61=0,0,X61/T61)</f>
        <v>-0.60776732302406256</v>
      </c>
    </row>
    <row r="62" spans="1:26" s="24" customFormat="1" hidden="1" outlineLevel="2" x14ac:dyDescent="0.25">
      <c r="A62" s="26"/>
      <c r="B62" s="11" t="str">
        <f>CONCATENATE("          ", "6282", " - ", "JANITORIAL/EXTERMINATOR EXPENS")</f>
        <v xml:space="preserve">          6282 - JANITORIAL/EXTERMINATOR EXPENS</v>
      </c>
      <c r="C62" s="11"/>
      <c r="D62" s="6"/>
      <c r="E62" s="2"/>
      <c r="F62" s="7">
        <f t="shared" si="46"/>
        <v>0</v>
      </c>
      <c r="G62" s="2"/>
      <c r="H62" s="6">
        <v>314.7</v>
      </c>
      <c r="I62" s="2"/>
      <c r="J62" s="7">
        <f t="shared" si="47"/>
        <v>3.1110899333354814E-3</v>
      </c>
      <c r="K62" s="2"/>
      <c r="L62" s="6">
        <f t="shared" si="48"/>
        <v>-314.7</v>
      </c>
      <c r="M62" s="2"/>
      <c r="N62" s="7">
        <f t="shared" si="49"/>
        <v>-1</v>
      </c>
      <c r="O62" s="11"/>
      <c r="P62" s="6">
        <v>629.4</v>
      </c>
      <c r="Q62" s="2"/>
      <c r="R62" s="7">
        <f t="shared" si="50"/>
        <v>0</v>
      </c>
      <c r="S62" s="2"/>
      <c r="T62" s="6">
        <v>1416.15</v>
      </c>
      <c r="U62" s="2"/>
      <c r="V62" s="7">
        <f t="shared" si="51"/>
        <v>2.5591326991488729E-3</v>
      </c>
      <c r="W62" s="2"/>
      <c r="X62" s="6">
        <f t="shared" si="52"/>
        <v>-786.75000000000011</v>
      </c>
      <c r="Y62" s="2"/>
      <c r="Z62" s="7">
        <f t="shared" si="53"/>
        <v>-0.55555555555555558</v>
      </c>
    </row>
    <row r="63" spans="1:26" s="24" customFormat="1" hidden="1" outlineLevel="2" x14ac:dyDescent="0.25">
      <c r="A63" s="26"/>
      <c r="B63" s="11" t="str">
        <f>CONCATENATE("          ", "6284", " - ", "TRASH REMOVAL EXPENSE")</f>
        <v xml:space="preserve">          6284 - TRASH REMOVAL EXPENSE</v>
      </c>
      <c r="C63" s="11"/>
      <c r="D63" s="6">
        <v>289</v>
      </c>
      <c r="E63" s="2"/>
      <c r="F63" s="7">
        <f t="shared" si="46"/>
        <v>0</v>
      </c>
      <c r="G63" s="2"/>
      <c r="H63" s="6">
        <v>289</v>
      </c>
      <c r="I63" s="2"/>
      <c r="J63" s="7">
        <f t="shared" si="47"/>
        <v>2.8570225317253073E-3</v>
      </c>
      <c r="K63" s="2"/>
      <c r="L63" s="6">
        <f t="shared" si="48"/>
        <v>0</v>
      </c>
      <c r="M63" s="2"/>
      <c r="N63" s="7">
        <f t="shared" si="49"/>
        <v>0</v>
      </c>
      <c r="O63" s="11"/>
      <c r="P63" s="6">
        <v>1156</v>
      </c>
      <c r="Q63" s="2"/>
      <c r="R63" s="7">
        <f t="shared" si="50"/>
        <v>0</v>
      </c>
      <c r="S63" s="2"/>
      <c r="T63" s="6">
        <v>2311</v>
      </c>
      <c r="U63" s="2"/>
      <c r="V63" s="7">
        <f t="shared" si="51"/>
        <v>4.1762212108413972E-3</v>
      </c>
      <c r="W63" s="2"/>
      <c r="X63" s="6">
        <f t="shared" si="52"/>
        <v>-1155</v>
      </c>
      <c r="Y63" s="2"/>
      <c r="Z63" s="7">
        <f t="shared" si="53"/>
        <v>-0.49978364344439635</v>
      </c>
    </row>
    <row r="64" spans="1:26" s="24" customFormat="1" hidden="1" outlineLevel="2" x14ac:dyDescent="0.25">
      <c r="A64" s="26"/>
      <c r="B64" s="11" t="str">
        <f>CONCATENATE("          ", "6286", " - ", "LAUNDRY EXPENSE")</f>
        <v xml:space="preserve">          6286 - LAUNDRY EXPENSE</v>
      </c>
      <c r="C64" s="11"/>
      <c r="D64" s="6"/>
      <c r="E64" s="2"/>
      <c r="F64" s="7">
        <f t="shared" si="46"/>
        <v>0</v>
      </c>
      <c r="G64" s="2"/>
      <c r="H64" s="6">
        <v>103.88</v>
      </c>
      <c r="I64" s="2"/>
      <c r="J64" s="7">
        <f t="shared" si="47"/>
        <v>1.0269463688429928E-3</v>
      </c>
      <c r="K64" s="2"/>
      <c r="L64" s="6">
        <f t="shared" si="48"/>
        <v>-103.88</v>
      </c>
      <c r="M64" s="2"/>
      <c r="N64" s="7">
        <f t="shared" si="49"/>
        <v>-1</v>
      </c>
      <c r="O64" s="11"/>
      <c r="P64" s="6"/>
      <c r="Q64" s="2"/>
      <c r="R64" s="7">
        <f t="shared" si="50"/>
        <v>0</v>
      </c>
      <c r="S64" s="2"/>
      <c r="T64" s="6">
        <v>824.74</v>
      </c>
      <c r="U64" s="2"/>
      <c r="V64" s="7">
        <f t="shared" si="51"/>
        <v>1.4903923329421611E-3</v>
      </c>
      <c r="W64" s="2"/>
      <c r="X64" s="6">
        <f t="shared" si="52"/>
        <v>-824.74</v>
      </c>
      <c r="Y64" s="2"/>
      <c r="Z64" s="7">
        <f t="shared" si="53"/>
        <v>-1</v>
      </c>
    </row>
    <row r="65" spans="1:26" s="25" customFormat="1" outlineLevel="1" collapsed="1" x14ac:dyDescent="0.25">
      <c r="A65" s="27"/>
      <c r="B65" s="13" t="str">
        <f>CONCATENATE("     ","Subscriptions &amp; Dues                              ")</f>
        <v xml:space="preserve">     Subscriptions &amp; Dues                              </v>
      </c>
      <c r="C65" s="13"/>
      <c r="D65" s="1">
        <f>SUM(OSRRefD22_13x_0)</f>
        <v>0</v>
      </c>
      <c r="E65" s="1"/>
      <c r="F65" s="5">
        <f t="shared" ref="F65:F72" si="54">IF(D$12=0,0,D65/D$12)</f>
        <v>0</v>
      </c>
      <c r="G65" s="1"/>
      <c r="H65" s="1">
        <f>SUM(OSRRefH22_13x_0)</f>
        <v>176.4</v>
      </c>
      <c r="I65" s="1"/>
      <c r="J65" s="5">
        <f t="shared" ref="J65:J72" si="55">IF(H$12=0,0,H65/H$12)</f>
        <v>1.7438711923748935E-3</v>
      </c>
      <c r="K65" s="1"/>
      <c r="L65" s="1">
        <f t="shared" ref="L65:L72" si="56">+D65-H65</f>
        <v>-176.4</v>
      </c>
      <c r="M65" s="1"/>
      <c r="N65" s="5">
        <f t="shared" ref="N65:N72" si="57">IF(H65=0,0,L65/H65)</f>
        <v>-1</v>
      </c>
      <c r="O65" s="13"/>
      <c r="P65" s="1">
        <f>SUM(OSRRefP22_13x_0)</f>
        <v>0</v>
      </c>
      <c r="Q65" s="1"/>
      <c r="R65" s="5">
        <f t="shared" ref="R65:R72" si="58">IF(P$12=0,0,P65/P$12)</f>
        <v>0</v>
      </c>
      <c r="S65" s="1"/>
      <c r="T65" s="1">
        <f>SUM(OSRRefT22_13x_0)</f>
        <v>1411.2</v>
      </c>
      <c r="U65" s="1"/>
      <c r="V65" s="5">
        <f t="shared" ref="V65:V72" si="59">IF(T$12=0,0,T65/T$12)</f>
        <v>2.5501875260663695E-3</v>
      </c>
      <c r="W65" s="1"/>
      <c r="X65" s="1">
        <f t="shared" ref="X65:X72" si="60">+P65-T65</f>
        <v>-1411.2</v>
      </c>
      <c r="Y65" s="1"/>
      <c r="Z65" s="5">
        <f t="shared" ref="Z65:Z72" si="61">IF(T65=0,0,X65/T65)</f>
        <v>-1</v>
      </c>
    </row>
    <row r="66" spans="1:26" s="24" customFormat="1" hidden="1" outlineLevel="2" x14ac:dyDescent="0.25">
      <c r="A66" s="26"/>
      <c r="B66" s="11" t="str">
        <f>CONCATENATE("          ", "6275", " - ", "SUBSCRIPTIONS")</f>
        <v xml:space="preserve">          6275 - SUBSCRIPTIONS</v>
      </c>
      <c r="C66" s="11"/>
      <c r="D66" s="6"/>
      <c r="E66" s="2"/>
      <c r="F66" s="7">
        <f t="shared" si="54"/>
        <v>0</v>
      </c>
      <c r="G66" s="2"/>
      <c r="H66" s="6">
        <v>176.4</v>
      </c>
      <c r="I66" s="2"/>
      <c r="J66" s="7">
        <f t="shared" si="55"/>
        <v>1.7438711923748935E-3</v>
      </c>
      <c r="K66" s="2"/>
      <c r="L66" s="6">
        <f t="shared" si="56"/>
        <v>-176.4</v>
      </c>
      <c r="M66" s="2"/>
      <c r="N66" s="7">
        <f t="shared" si="57"/>
        <v>-1</v>
      </c>
      <c r="O66" s="11"/>
      <c r="P66" s="6"/>
      <c r="Q66" s="2"/>
      <c r="R66" s="7">
        <f t="shared" si="58"/>
        <v>0</v>
      </c>
      <c r="S66" s="2"/>
      <c r="T66" s="6">
        <v>1411.2</v>
      </c>
      <c r="U66" s="2"/>
      <c r="V66" s="7">
        <f t="shared" si="59"/>
        <v>2.5501875260663695E-3</v>
      </c>
      <c r="W66" s="2"/>
      <c r="X66" s="6">
        <f t="shared" si="60"/>
        <v>-1411.2</v>
      </c>
      <c r="Y66" s="2"/>
      <c r="Z66" s="7">
        <f t="shared" si="61"/>
        <v>-1</v>
      </c>
    </row>
    <row r="67" spans="1:26" s="25" customFormat="1" outlineLevel="1" collapsed="1" x14ac:dyDescent="0.25">
      <c r="A67" s="27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SUM(OSRRefD22_14x_0)</f>
        <v>0</v>
      </c>
      <c r="E67" s="1"/>
      <c r="F67" s="5">
        <f t="shared" si="54"/>
        <v>0</v>
      </c>
      <c r="G67" s="1"/>
      <c r="H67" s="1">
        <f>SUM(OSRRefH22_14x_0)</f>
        <v>927.76</v>
      </c>
      <c r="I67" s="1"/>
      <c r="J67" s="5">
        <f t="shared" si="55"/>
        <v>9.1717343392161629E-3</v>
      </c>
      <c r="K67" s="1"/>
      <c r="L67" s="1">
        <f t="shared" si="56"/>
        <v>-927.76</v>
      </c>
      <c r="M67" s="1"/>
      <c r="N67" s="5">
        <f t="shared" si="57"/>
        <v>-1</v>
      </c>
      <c r="O67" s="13"/>
      <c r="P67" s="1">
        <f>SUM(OSRRefP22_14x_0)</f>
        <v>634.24</v>
      </c>
      <c r="Q67" s="1"/>
      <c r="R67" s="5">
        <f t="shared" si="58"/>
        <v>0</v>
      </c>
      <c r="S67" s="1"/>
      <c r="T67" s="1">
        <f>SUM(OSRRefT22_14x_0)</f>
        <v>10770.71</v>
      </c>
      <c r="U67" s="1"/>
      <c r="V67" s="5">
        <f t="shared" si="59"/>
        <v>1.9463811145747099E-2</v>
      </c>
      <c r="W67" s="1"/>
      <c r="X67" s="1">
        <f t="shared" si="60"/>
        <v>-10136.469999999999</v>
      </c>
      <c r="Y67" s="1"/>
      <c r="Z67" s="5">
        <f t="shared" si="61"/>
        <v>-0.94111437407561804</v>
      </c>
    </row>
    <row r="68" spans="1:26" s="24" customFormat="1" hidden="1" outlineLevel="2" x14ac:dyDescent="0.25">
      <c r="A68" s="26"/>
      <c r="B68" s="11" t="str">
        <f>CONCATENATE("          ", "6234", " - ", "EXPENDABLE SUPPLIES &amp; EQUIPMEN")</f>
        <v xml:space="preserve">          6234 - EXPENDABLE SUPPLIES &amp; EQUIPMEN</v>
      </c>
      <c r="C68" s="11"/>
      <c r="D68" s="6"/>
      <c r="E68" s="2"/>
      <c r="F68" s="7">
        <f t="shared" si="54"/>
        <v>0</v>
      </c>
      <c r="G68" s="2"/>
      <c r="H68" s="6"/>
      <c r="I68" s="2"/>
      <c r="J68" s="7">
        <f t="shared" si="55"/>
        <v>0</v>
      </c>
      <c r="K68" s="2"/>
      <c r="L68" s="6">
        <f t="shared" si="56"/>
        <v>0</v>
      </c>
      <c r="M68" s="2"/>
      <c r="N68" s="7">
        <f t="shared" si="57"/>
        <v>0</v>
      </c>
      <c r="O68" s="11"/>
      <c r="P68" s="6">
        <v>316.67</v>
      </c>
      <c r="Q68" s="2"/>
      <c r="R68" s="7">
        <f t="shared" si="58"/>
        <v>0</v>
      </c>
      <c r="S68" s="2"/>
      <c r="T68" s="6">
        <v>28.22</v>
      </c>
      <c r="U68" s="2"/>
      <c r="V68" s="7">
        <f t="shared" si="59"/>
        <v>5.0996522098634458E-5</v>
      </c>
      <c r="W68" s="2"/>
      <c r="X68" s="6">
        <f t="shared" si="60"/>
        <v>288.45000000000005</v>
      </c>
      <c r="Y68" s="2"/>
      <c r="Z68" s="7">
        <f t="shared" si="61"/>
        <v>10.221474131821406</v>
      </c>
    </row>
    <row r="69" spans="1:26" s="24" customFormat="1" hidden="1" outlineLevel="2" x14ac:dyDescent="0.25">
      <c r="A69" s="26"/>
      <c r="B69" s="11" t="str">
        <f>CONCATENATE("          ", "6237", " - ", "JANITORIAL SUPPLIES")</f>
        <v xml:space="preserve">          6237 - JANITORIAL SUPPLIES</v>
      </c>
      <c r="C69" s="11"/>
      <c r="D69" s="6"/>
      <c r="E69" s="2"/>
      <c r="F69" s="7">
        <f t="shared" si="54"/>
        <v>0</v>
      </c>
      <c r="G69" s="2"/>
      <c r="H69" s="6">
        <v>501.6</v>
      </c>
      <c r="I69" s="2"/>
      <c r="J69" s="7">
        <f t="shared" si="55"/>
        <v>4.9587629823993565E-3</v>
      </c>
      <c r="K69" s="2"/>
      <c r="L69" s="6">
        <f t="shared" si="56"/>
        <v>-501.6</v>
      </c>
      <c r="M69" s="2"/>
      <c r="N69" s="7">
        <f t="shared" si="57"/>
        <v>-1</v>
      </c>
      <c r="O69" s="11"/>
      <c r="P69" s="6">
        <v>317.57</v>
      </c>
      <c r="Q69" s="2"/>
      <c r="R69" s="7">
        <f t="shared" si="58"/>
        <v>0</v>
      </c>
      <c r="S69" s="2"/>
      <c r="T69" s="6">
        <v>1422.57</v>
      </c>
      <c r="U69" s="2"/>
      <c r="V69" s="7">
        <f t="shared" si="59"/>
        <v>2.5707343175710284E-3</v>
      </c>
      <c r="W69" s="2"/>
      <c r="X69" s="6">
        <f t="shared" si="60"/>
        <v>-1105</v>
      </c>
      <c r="Y69" s="2"/>
      <c r="Z69" s="7">
        <f t="shared" si="61"/>
        <v>-0.77676318212812023</v>
      </c>
    </row>
    <row r="70" spans="1:26" s="24" customFormat="1" hidden="1" outlineLevel="2" x14ac:dyDescent="0.25">
      <c r="A70" s="26"/>
      <c r="B70" s="11" t="str">
        <f>CONCATENATE("          ", "6241", " - ", "OFFICE EXPENSE")</f>
        <v xml:space="preserve">          6241 - OFFICE EXPENSE</v>
      </c>
      <c r="C70" s="11"/>
      <c r="D70" s="6"/>
      <c r="E70" s="2"/>
      <c r="F70" s="7">
        <f t="shared" si="54"/>
        <v>0</v>
      </c>
      <c r="G70" s="2"/>
      <c r="H70" s="6"/>
      <c r="I70" s="2"/>
      <c r="J70" s="7">
        <f t="shared" si="55"/>
        <v>0</v>
      </c>
      <c r="K70" s="2"/>
      <c r="L70" s="6">
        <f t="shared" si="56"/>
        <v>0</v>
      </c>
      <c r="M70" s="2"/>
      <c r="N70" s="7">
        <f t="shared" si="57"/>
        <v>0</v>
      </c>
      <c r="O70" s="11"/>
      <c r="P70" s="6"/>
      <c r="Q70" s="2"/>
      <c r="R70" s="7">
        <f t="shared" si="58"/>
        <v>0</v>
      </c>
      <c r="S70" s="2"/>
      <c r="T70" s="6">
        <v>484.03</v>
      </c>
      <c r="U70" s="2"/>
      <c r="V70" s="7">
        <f t="shared" si="59"/>
        <v>8.746933590149552E-4</v>
      </c>
      <c r="W70" s="2"/>
      <c r="X70" s="6">
        <f t="shared" si="60"/>
        <v>-484.03</v>
      </c>
      <c r="Y70" s="2"/>
      <c r="Z70" s="7">
        <f t="shared" si="61"/>
        <v>-1</v>
      </c>
    </row>
    <row r="71" spans="1:26" s="24" customFormat="1" hidden="1" outlineLevel="2" x14ac:dyDescent="0.25">
      <c r="A71" s="26"/>
      <c r="B71" s="11" t="str">
        <f>CONCATENATE("          ", "6243", " - ", "PAPER SUPPLIES")</f>
        <v xml:space="preserve">          6243 - PAPER SUPPLIES</v>
      </c>
      <c r="C71" s="11"/>
      <c r="D71" s="6"/>
      <c r="E71" s="2"/>
      <c r="F71" s="7">
        <f t="shared" si="54"/>
        <v>0</v>
      </c>
      <c r="G71" s="2"/>
      <c r="H71" s="6">
        <v>142.21</v>
      </c>
      <c r="I71" s="2"/>
      <c r="J71" s="7">
        <f t="shared" si="55"/>
        <v>1.4058725752133425E-3</v>
      </c>
      <c r="K71" s="2"/>
      <c r="L71" s="6">
        <f t="shared" si="56"/>
        <v>-142.21</v>
      </c>
      <c r="M71" s="2"/>
      <c r="N71" s="7">
        <f t="shared" si="57"/>
        <v>-1</v>
      </c>
      <c r="O71" s="11"/>
      <c r="P71" s="6"/>
      <c r="Q71" s="2"/>
      <c r="R71" s="7">
        <f t="shared" si="58"/>
        <v>0</v>
      </c>
      <c r="S71" s="2"/>
      <c r="T71" s="6">
        <v>1272.29</v>
      </c>
      <c r="U71" s="2"/>
      <c r="V71" s="7">
        <f t="shared" si="59"/>
        <v>2.2991624769975773E-3</v>
      </c>
      <c r="W71" s="2"/>
      <c r="X71" s="6">
        <f t="shared" si="60"/>
        <v>-1272.29</v>
      </c>
      <c r="Y71" s="2"/>
      <c r="Z71" s="7">
        <f t="shared" si="61"/>
        <v>-1</v>
      </c>
    </row>
    <row r="72" spans="1:26" s="24" customFormat="1" hidden="1" outlineLevel="2" x14ac:dyDescent="0.25">
      <c r="A72" s="26"/>
      <c r="B72" s="11" t="str">
        <f>CONCATENATE("          ", "6247", " - ", "STORE SUPPLIES")</f>
        <v xml:space="preserve">          6247 - STORE SUPPLIES</v>
      </c>
      <c r="C72" s="11"/>
      <c r="D72" s="6"/>
      <c r="E72" s="2"/>
      <c r="F72" s="7">
        <f t="shared" si="54"/>
        <v>0</v>
      </c>
      <c r="G72" s="2"/>
      <c r="H72" s="6">
        <v>283.95</v>
      </c>
      <c r="I72" s="2"/>
      <c r="J72" s="7">
        <f t="shared" si="55"/>
        <v>2.8070987816034634E-3</v>
      </c>
      <c r="K72" s="2"/>
      <c r="L72" s="6">
        <f t="shared" si="56"/>
        <v>-283.95</v>
      </c>
      <c r="M72" s="2"/>
      <c r="N72" s="7">
        <f t="shared" si="57"/>
        <v>-1</v>
      </c>
      <c r="O72" s="11"/>
      <c r="P72" s="6"/>
      <c r="Q72" s="2"/>
      <c r="R72" s="7">
        <f t="shared" si="58"/>
        <v>0</v>
      </c>
      <c r="S72" s="2"/>
      <c r="T72" s="6">
        <v>7563.6</v>
      </c>
      <c r="U72" s="2"/>
      <c r="V72" s="7">
        <f t="shared" si="59"/>
        <v>1.3668224470064905E-2</v>
      </c>
      <c r="W72" s="2"/>
      <c r="X72" s="6">
        <f t="shared" si="60"/>
        <v>-7563.6</v>
      </c>
      <c r="Y72" s="2"/>
      <c r="Z72" s="7">
        <f t="shared" si="61"/>
        <v>-1</v>
      </c>
    </row>
    <row r="73" spans="1:26" s="25" customFormat="1" outlineLevel="1" collapsed="1" x14ac:dyDescent="0.25">
      <c r="A73" s="27"/>
      <c r="B73" s="13" t="str">
        <f>CONCATENATE("     ","Telephone/Data Lines                              ")</f>
        <v xml:space="preserve">     Telephone/Data Lines                              </v>
      </c>
      <c r="C73" s="13"/>
      <c r="D73" s="1">
        <f>SUM(OSRRefD22_15x_0)</f>
        <v>-128</v>
      </c>
      <c r="E73" s="1"/>
      <c r="F73" s="5">
        <f t="shared" ref="F73:F78" si="62">IF(D$12=0,0,D73/D$12)</f>
        <v>0</v>
      </c>
      <c r="G73" s="1"/>
      <c r="H73" s="1">
        <f>SUM(OSRRefH22_15x_0)</f>
        <v>88.45</v>
      </c>
      <c r="I73" s="1"/>
      <c r="J73" s="5">
        <f t="shared" ref="J73:J78" si="63">IF(H$12=0,0,H73/H$12)</f>
        <v>8.7440706896575585E-4</v>
      </c>
      <c r="K73" s="1"/>
      <c r="L73" s="1">
        <f t="shared" ref="L73:L78" si="64">+D73-H73</f>
        <v>-216.45</v>
      </c>
      <c r="M73" s="1"/>
      <c r="N73" s="5">
        <f t="shared" ref="N73:N78" si="65">IF(H73=0,0,L73/H73)</f>
        <v>-2.4471452798191065</v>
      </c>
      <c r="O73" s="13"/>
      <c r="P73" s="1">
        <f>SUM(OSRRefP22_15x_0)</f>
        <v>931.87</v>
      </c>
      <c r="Q73" s="1"/>
      <c r="R73" s="5">
        <f t="shared" ref="R73:R78" si="66">IF(P$12=0,0,P73/P$12)</f>
        <v>0</v>
      </c>
      <c r="S73" s="1"/>
      <c r="T73" s="1">
        <f>SUM(OSRRefT22_15x_0)</f>
        <v>410.7</v>
      </c>
      <c r="U73" s="1"/>
      <c r="V73" s="5">
        <f t="shared" ref="V73:V78" si="67">IF(T$12=0,0,T73/T$12)</f>
        <v>7.4217829999678145E-4</v>
      </c>
      <c r="W73" s="1"/>
      <c r="X73" s="1">
        <f t="shared" ref="X73:X78" si="68">+P73-T73</f>
        <v>521.17000000000007</v>
      </c>
      <c r="Y73" s="1"/>
      <c r="Z73" s="5">
        <f t="shared" ref="Z73:Z78" si="69">IF(T73=0,0,X73/T73)</f>
        <v>1.2689797906014124</v>
      </c>
    </row>
    <row r="74" spans="1:26" s="24" customFormat="1" hidden="1" outlineLevel="2" x14ac:dyDescent="0.25">
      <c r="A74" s="26"/>
      <c r="B74" s="11" t="str">
        <f>CONCATENATE("          ", "6309", " - ", "TELEPHONE")</f>
        <v xml:space="preserve">          6309 - TELEPHONE</v>
      </c>
      <c r="C74" s="11"/>
      <c r="D74" s="6">
        <v>-128</v>
      </c>
      <c r="E74" s="2"/>
      <c r="F74" s="7">
        <f t="shared" si="62"/>
        <v>0</v>
      </c>
      <c r="G74" s="2"/>
      <c r="H74" s="6">
        <v>88.45</v>
      </c>
      <c r="I74" s="2"/>
      <c r="J74" s="7">
        <f t="shared" si="63"/>
        <v>8.7440706896575585E-4</v>
      </c>
      <c r="K74" s="2"/>
      <c r="L74" s="6">
        <f t="shared" si="64"/>
        <v>-216.45</v>
      </c>
      <c r="M74" s="2"/>
      <c r="N74" s="7">
        <f t="shared" si="65"/>
        <v>-2.4471452798191065</v>
      </c>
      <c r="O74" s="11"/>
      <c r="P74" s="6">
        <v>931.87</v>
      </c>
      <c r="Q74" s="2"/>
      <c r="R74" s="7">
        <f t="shared" si="66"/>
        <v>0</v>
      </c>
      <c r="S74" s="2"/>
      <c r="T74" s="6">
        <v>410.7</v>
      </c>
      <c r="U74" s="2"/>
      <c r="V74" s="7">
        <f t="shared" si="67"/>
        <v>7.4217829999678145E-4</v>
      </c>
      <c r="W74" s="2"/>
      <c r="X74" s="6">
        <f t="shared" si="68"/>
        <v>521.17000000000007</v>
      </c>
      <c r="Y74" s="2"/>
      <c r="Z74" s="7">
        <f t="shared" si="69"/>
        <v>1.2689797906014124</v>
      </c>
    </row>
    <row r="75" spans="1:26" s="25" customFormat="1" outlineLevel="1" collapsed="1" x14ac:dyDescent="0.25">
      <c r="A75" s="27"/>
      <c r="B75" s="13" t="str">
        <f>CONCATENATE("     ","Training                                          ")</f>
        <v xml:space="preserve">     Training                                          </v>
      </c>
      <c r="C75" s="13"/>
      <c r="D75" s="1">
        <f>SUM(OSRRefD22_16x_0)</f>
        <v>0</v>
      </c>
      <c r="E75" s="1"/>
      <c r="F75" s="5">
        <f t="shared" si="62"/>
        <v>0</v>
      </c>
      <c r="G75" s="1"/>
      <c r="H75" s="1">
        <f>SUM(OSRRefH22_16x_0)</f>
        <v>14</v>
      </c>
      <c r="I75" s="1"/>
      <c r="J75" s="5">
        <f t="shared" si="63"/>
        <v>1.3840247558530899E-4</v>
      </c>
      <c r="K75" s="1"/>
      <c r="L75" s="1">
        <f t="shared" si="64"/>
        <v>-14</v>
      </c>
      <c r="M75" s="1"/>
      <c r="N75" s="5">
        <f t="shared" si="65"/>
        <v>-1</v>
      </c>
      <c r="O75" s="13"/>
      <c r="P75" s="1">
        <f>SUM(OSRRefP22_16x_0)</f>
        <v>0</v>
      </c>
      <c r="Q75" s="1"/>
      <c r="R75" s="5">
        <f t="shared" si="66"/>
        <v>0</v>
      </c>
      <c r="S75" s="1"/>
      <c r="T75" s="1">
        <f>SUM(OSRRefT22_16x_0)</f>
        <v>14</v>
      </c>
      <c r="U75" s="1"/>
      <c r="V75" s="5">
        <f t="shared" si="67"/>
        <v>2.5299479425261602E-5</v>
      </c>
      <c r="W75" s="1"/>
      <c r="X75" s="1">
        <f t="shared" si="68"/>
        <v>-14</v>
      </c>
      <c r="Y75" s="1"/>
      <c r="Z75" s="5">
        <f t="shared" si="69"/>
        <v>-1</v>
      </c>
    </row>
    <row r="76" spans="1:26" s="24" customFormat="1" hidden="1" outlineLevel="2" x14ac:dyDescent="0.25">
      <c r="A76" s="26"/>
      <c r="B76" s="11" t="str">
        <f>CONCATENATE("          ", "6376", " - ", "TRAINING")</f>
        <v xml:space="preserve">          6376 - TRAINING</v>
      </c>
      <c r="C76" s="11"/>
      <c r="D76" s="6"/>
      <c r="E76" s="2"/>
      <c r="F76" s="7">
        <f t="shared" si="62"/>
        <v>0</v>
      </c>
      <c r="G76" s="2"/>
      <c r="H76" s="6">
        <v>14</v>
      </c>
      <c r="I76" s="2"/>
      <c r="J76" s="7">
        <f t="shared" si="63"/>
        <v>1.3840247558530899E-4</v>
      </c>
      <c r="K76" s="2"/>
      <c r="L76" s="6">
        <f t="shared" si="64"/>
        <v>-14</v>
      </c>
      <c r="M76" s="2"/>
      <c r="N76" s="7">
        <f t="shared" si="65"/>
        <v>-1</v>
      </c>
      <c r="O76" s="11"/>
      <c r="P76" s="6"/>
      <c r="Q76" s="2"/>
      <c r="R76" s="7">
        <f t="shared" si="66"/>
        <v>0</v>
      </c>
      <c r="S76" s="2"/>
      <c r="T76" s="6">
        <v>14</v>
      </c>
      <c r="U76" s="2"/>
      <c r="V76" s="7">
        <f t="shared" si="67"/>
        <v>2.5299479425261602E-5</v>
      </c>
      <c r="W76" s="2"/>
      <c r="X76" s="6">
        <f t="shared" si="68"/>
        <v>-14</v>
      </c>
      <c r="Y76" s="2"/>
      <c r="Z76" s="7">
        <f t="shared" si="69"/>
        <v>-1</v>
      </c>
    </row>
    <row r="77" spans="1:26" s="25" customFormat="1" outlineLevel="1" collapsed="1" x14ac:dyDescent="0.25">
      <c r="A77" s="27"/>
      <c r="B77" s="13" t="str">
        <f>CONCATENATE("     ","Utilities                                         ")</f>
        <v xml:space="preserve">     Utilities                                         </v>
      </c>
      <c r="C77" s="13"/>
      <c r="D77" s="1">
        <f>SUM(OSRRefD22_17x_0)</f>
        <v>878</v>
      </c>
      <c r="E77" s="1"/>
      <c r="F77" s="5">
        <f t="shared" si="62"/>
        <v>0</v>
      </c>
      <c r="G77" s="1"/>
      <c r="H77" s="1">
        <f>SUM(OSRRefH22_17x_0)</f>
        <v>878</v>
      </c>
      <c r="I77" s="1"/>
      <c r="J77" s="5">
        <f t="shared" si="63"/>
        <v>8.6798123974215213E-3</v>
      </c>
      <c r="K77" s="1"/>
      <c r="L77" s="1">
        <f t="shared" si="64"/>
        <v>0</v>
      </c>
      <c r="M77" s="1"/>
      <c r="N77" s="5">
        <f t="shared" si="65"/>
        <v>0</v>
      </c>
      <c r="O77" s="13"/>
      <c r="P77" s="1">
        <f>SUM(OSRRefP22_17x_0)</f>
        <v>4390</v>
      </c>
      <c r="Q77" s="1"/>
      <c r="R77" s="5">
        <f t="shared" si="66"/>
        <v>0</v>
      </c>
      <c r="S77" s="1"/>
      <c r="T77" s="1">
        <f>SUM(OSRRefT22_17x_0)</f>
        <v>6772</v>
      </c>
      <c r="U77" s="1"/>
      <c r="V77" s="5">
        <f t="shared" si="67"/>
        <v>1.2237719619133685E-2</v>
      </c>
      <c r="W77" s="1"/>
      <c r="X77" s="1">
        <f t="shared" si="68"/>
        <v>-2382</v>
      </c>
      <c r="Y77" s="1"/>
      <c r="Z77" s="5">
        <f t="shared" si="69"/>
        <v>-0.35174246898995865</v>
      </c>
    </row>
    <row r="78" spans="1:26" s="24" customFormat="1" hidden="1" outlineLevel="2" x14ac:dyDescent="0.25">
      <c r="A78" s="26"/>
      <c r="B78" s="11" t="str">
        <f>CONCATENATE("          ", "6274", " - ", "UTILITIES")</f>
        <v xml:space="preserve">          6274 - UTILITIES</v>
      </c>
      <c r="C78" s="11"/>
      <c r="D78" s="6">
        <v>878</v>
      </c>
      <c r="E78" s="2"/>
      <c r="F78" s="7">
        <f t="shared" si="62"/>
        <v>0</v>
      </c>
      <c r="G78" s="2"/>
      <c r="H78" s="6">
        <v>878</v>
      </c>
      <c r="I78" s="2"/>
      <c r="J78" s="7">
        <f t="shared" si="63"/>
        <v>8.6798123974215213E-3</v>
      </c>
      <c r="K78" s="2"/>
      <c r="L78" s="6">
        <f t="shared" si="64"/>
        <v>0</v>
      </c>
      <c r="M78" s="2"/>
      <c r="N78" s="7">
        <f t="shared" si="65"/>
        <v>0</v>
      </c>
      <c r="O78" s="11"/>
      <c r="P78" s="6">
        <v>4390</v>
      </c>
      <c r="Q78" s="2"/>
      <c r="R78" s="7">
        <f t="shared" si="66"/>
        <v>0</v>
      </c>
      <c r="S78" s="2"/>
      <c r="T78" s="6">
        <v>6772</v>
      </c>
      <c r="U78" s="2"/>
      <c r="V78" s="7">
        <f t="shared" si="67"/>
        <v>1.2237719619133685E-2</v>
      </c>
      <c r="W78" s="2"/>
      <c r="X78" s="6">
        <f t="shared" si="68"/>
        <v>-2382</v>
      </c>
      <c r="Y78" s="2"/>
      <c r="Z78" s="7">
        <f t="shared" si="69"/>
        <v>-0.35174246898995865</v>
      </c>
    </row>
    <row r="79" spans="1:26" s="52" customFormat="1" x14ac:dyDescent="0.25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8" t="s">
        <v>0</v>
      </c>
      <c r="C80" s="10"/>
      <c r="D80" s="4">
        <f>SUM(0)</f>
        <v>0</v>
      </c>
      <c r="E80" s="4"/>
      <c r="F80" s="12">
        <f>IF(D$12=0,0,D80/D$12)</f>
        <v>0</v>
      </c>
      <c r="G80" s="4"/>
      <c r="H80" s="4">
        <f>SUM(0)</f>
        <v>0</v>
      </c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>
        <f>SUM(0)</f>
        <v>0</v>
      </c>
      <c r="Q80" s="4"/>
      <c r="R80" s="12">
        <f>IF(P$12=0,0,P80/P$12)</f>
        <v>0</v>
      </c>
      <c r="S80" s="4"/>
      <c r="T80" s="4">
        <f>SUM(0)</f>
        <v>0</v>
      </c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9" t="s">
        <v>3</v>
      </c>
      <c r="C82" s="29"/>
      <c r="D82" s="22">
        <f>+D20-D22+D80</f>
        <v>-11082.15</v>
      </c>
      <c r="E82" s="14"/>
      <c r="F82" s="20">
        <f>IF(D$12=0,0,D82/D$12)</f>
        <v>0</v>
      </c>
      <c r="G82" s="14"/>
      <c r="H82" s="22">
        <f>+H20-H22+H80</f>
        <v>17524.540000000015</v>
      </c>
      <c r="I82" s="14"/>
      <c r="J82" s="20">
        <f>IF(H$12=0,0,H82/H$12)</f>
        <v>0.17324569424955522</v>
      </c>
      <c r="K82" s="16"/>
      <c r="L82" s="22">
        <f>+D82-H82</f>
        <v>-28606.690000000017</v>
      </c>
      <c r="M82" s="16"/>
      <c r="N82" s="20">
        <f>IF(H82=0,0,L82/H82)</f>
        <v>-1.6323789383344722</v>
      </c>
      <c r="O82" s="28"/>
      <c r="P82" s="22">
        <f>+P20-P22+P80</f>
        <v>-102156.96</v>
      </c>
      <c r="Q82" s="14"/>
      <c r="R82" s="20">
        <f>IF(P$12=0,0,P82/P$12)</f>
        <v>0</v>
      </c>
      <c r="S82" s="14"/>
      <c r="T82" s="22">
        <f>+T20-T22+T80</f>
        <v>51547.300000000047</v>
      </c>
      <c r="U82" s="14"/>
      <c r="V82" s="20">
        <f>IF(T$12=0,0,T82/T$12)</f>
        <v>9.3151418269842037E-2</v>
      </c>
      <c r="W82" s="16"/>
      <c r="X82" s="22">
        <f>+P82-T82</f>
        <v>-153704.26000000007</v>
      </c>
      <c r="Y82" s="16"/>
      <c r="Z82" s="20">
        <f>IF(T82=0,0,X82/T82)</f>
        <v>-2.9818101045059571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1"/>
      <c r="B84" s="10" t="s">
        <v>13</v>
      </c>
      <c r="C84" s="10"/>
      <c r="D84" s="4"/>
      <c r="E84" s="4"/>
      <c r="F84" s="12">
        <f>IF(D$12=0,0,D84/D$12)</f>
        <v>0</v>
      </c>
      <c r="G84" s="4"/>
      <c r="H84" s="4">
        <v>9239.64</v>
      </c>
      <c r="I84" s="4"/>
      <c r="J84" s="12">
        <f>IF(H$12=0,0,H84/H$12)</f>
        <v>9.1342074965503173E-2</v>
      </c>
      <c r="K84" s="4"/>
      <c r="L84" s="4">
        <f>+D84-H84</f>
        <v>-9239.64</v>
      </c>
      <c r="M84" s="4"/>
      <c r="N84" s="12">
        <f>IF(H84=0,0,L84/H84)</f>
        <v>-1</v>
      </c>
      <c r="O84" s="10"/>
      <c r="P84" s="4"/>
      <c r="Q84" s="4"/>
      <c r="R84" s="12">
        <f>IF(P$12=0,0,P84/P$12)</f>
        <v>0</v>
      </c>
      <c r="S84" s="4"/>
      <c r="T84" s="4">
        <v>56399.45</v>
      </c>
      <c r="U84" s="4"/>
      <c r="V84" s="12">
        <f>IF(T$12=0,0,T84/T$12)</f>
        <v>0.10191976606221932</v>
      </c>
      <c r="W84" s="4"/>
      <c r="X84" s="4">
        <f>+P84-T84</f>
        <v>-56399.45</v>
      </c>
      <c r="Y84" s="4"/>
      <c r="Z84" s="12">
        <f>IF(T84=0,0,X84/T84)</f>
        <v>-1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9" t="s">
        <v>4</v>
      </c>
      <c r="C86" s="29"/>
      <c r="D86" s="35">
        <f>+D82-D84</f>
        <v>-11082.15</v>
      </c>
      <c r="E86" s="14"/>
      <c r="F86" s="36">
        <f>IF(D$12=0,0,D86/D$12)</f>
        <v>0</v>
      </c>
      <c r="G86" s="14"/>
      <c r="H86" s="35">
        <f>+H82-H84</f>
        <v>8284.900000000016</v>
      </c>
      <c r="I86" s="14"/>
      <c r="J86" s="36">
        <f>IF(H$12=0,0,H86/H$12)</f>
        <v>8.1903619284052057E-2</v>
      </c>
      <c r="K86" s="16"/>
      <c r="L86" s="35">
        <f>D86-H86</f>
        <v>-19367.050000000017</v>
      </c>
      <c r="M86" s="16"/>
      <c r="N86" s="36">
        <f>IF(H86=0,0,L86/H86)</f>
        <v>-2.337632319038248</v>
      </c>
      <c r="O86" s="28"/>
      <c r="P86" s="35">
        <f>+P82-P84</f>
        <v>-102156.96</v>
      </c>
      <c r="Q86" s="14"/>
      <c r="R86" s="36">
        <f>IF(P$12=0,0,P86/P$12)</f>
        <v>0</v>
      </c>
      <c r="S86" s="14"/>
      <c r="T86" s="35">
        <f>+T82-T84</f>
        <v>-4852.1499999999505</v>
      </c>
      <c r="U86" s="14"/>
      <c r="V86" s="36">
        <f>IF(T$12=0,0,T86/T$12)</f>
        <v>-8.7683477923772742E-3</v>
      </c>
      <c r="W86" s="16"/>
      <c r="X86" s="35">
        <f>P86-T86</f>
        <v>-97304.810000000056</v>
      </c>
      <c r="Y86" s="16"/>
      <c r="Z86" s="36">
        <f>IF(T86=0,0,X86/T86)</f>
        <v>20.05395752398443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5</v>
      </c>
      <c r="C89" s="29"/>
      <c r="D89" s="31">
        <f>SUM(D86:D88)</f>
        <v>-11082.15</v>
      </c>
      <c r="E89" s="14"/>
      <c r="F89" s="33">
        <f>IF(D$12=0,0,D89/D$12)</f>
        <v>0</v>
      </c>
      <c r="G89" s="14"/>
      <c r="H89" s="31">
        <f>SUM(H86:H88)</f>
        <v>8284.900000000016</v>
      </c>
      <c r="I89" s="14"/>
      <c r="J89" s="33">
        <f>IF(H$12=0,0,H89/H$12)</f>
        <v>8.1903619284052057E-2</v>
      </c>
      <c r="K89" s="16"/>
      <c r="L89" s="31">
        <f>+D89-H89</f>
        <v>-19367.050000000017</v>
      </c>
      <c r="M89" s="16"/>
      <c r="N89" s="33">
        <f>IF(H89=0,0,L89/H89)</f>
        <v>-2.337632319038248</v>
      </c>
      <c r="O89" s="28"/>
      <c r="P89" s="31">
        <f>SUM(P86:P88)</f>
        <v>-102156.96</v>
      </c>
      <c r="Q89" s="14"/>
      <c r="R89" s="33">
        <f>IF(P$12=0,0,P89/P$12)</f>
        <v>0</v>
      </c>
      <c r="S89" s="14"/>
      <c r="T89" s="31">
        <f>SUM(T86:T88)</f>
        <v>-4852.1499999999505</v>
      </c>
      <c r="U89" s="14"/>
      <c r="V89" s="33">
        <f>IF(T$12=0,0,T89/T$12)</f>
        <v>-8.7683477923772742E-3</v>
      </c>
      <c r="W89" s="16"/>
      <c r="X89" s="31">
        <f>+P89-T89</f>
        <v>-97304.810000000056</v>
      </c>
      <c r="Y89" s="16"/>
      <c r="Z89" s="33">
        <f>IF(T89=0,0,X89/T89)</f>
        <v>20.05395752398443</v>
      </c>
    </row>
    <row r="90" spans="1:26" ht="15.75" thickTop="1" x14ac:dyDescent="0.25">
      <c r="A90" s="9"/>
      <c r="C90" s="9"/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6">
        <v>44267.668400613424</v>
      </c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54" t="s">
        <v>313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8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","327", " - ", "C-Store Vending Machine(s)")</f>
        <v>Department 327 - C-Store Vending Machine(s)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134</v>
      </c>
      <c r="E12" s="4"/>
      <c r="F12" s="12"/>
      <c r="G12" s="4"/>
      <c r="H12" s="4">
        <f>SUM(OSRRefH13x_0)</f>
        <v>2537.5</v>
      </c>
      <c r="I12" s="4"/>
      <c r="J12" s="12"/>
      <c r="K12" s="4"/>
      <c r="L12" s="4">
        <f t="shared" ref="L12:L13" si="0">+D12-H12</f>
        <v>-2403.5</v>
      </c>
      <c r="M12" s="4"/>
      <c r="N12" s="12">
        <f t="shared" ref="N12:N13" si="1">IF(H12=0,0,L12/H12)</f>
        <v>-0.94719211822660099</v>
      </c>
      <c r="O12" s="10"/>
      <c r="P12" s="4">
        <f>SUM(OSRRefP13x_0)</f>
        <v>244</v>
      </c>
      <c r="Q12" s="4"/>
      <c r="R12" s="12"/>
      <c r="S12" s="4"/>
      <c r="T12" s="4">
        <f>SUM(OSRRefT13x_0)</f>
        <v>12812.5</v>
      </c>
      <c r="U12" s="4"/>
      <c r="V12" s="12"/>
      <c r="W12" s="4"/>
      <c r="X12" s="4">
        <f t="shared" ref="X12:X13" si="2">+P12-T12</f>
        <v>-12568.5</v>
      </c>
      <c r="Y12" s="4"/>
      <c r="Z12" s="12">
        <f t="shared" ref="Z12:Z13" si="3">IF(T12=0,0,X12/T12)</f>
        <v>-0.98095609756097557</v>
      </c>
    </row>
    <row r="13" spans="1:26" s="24" customFormat="1" hidden="1" outlineLevel="1" x14ac:dyDescent="0.25">
      <c r="A13" s="44"/>
      <c r="B13" s="11" t="str">
        <f>CONCATENATE("          ", "4153", " - ", "NON-TAXABLE SALES-FOOD")</f>
        <v xml:space="preserve">          4153 - NON-TAXABLE SALES-FOOD</v>
      </c>
      <c r="C13" s="11"/>
      <c r="D13" s="2">
        <f>--134</f>
        <v>134</v>
      </c>
      <c r="E13" s="2"/>
      <c r="F13" s="19"/>
      <c r="G13" s="2"/>
      <c r="H13" s="2">
        <f>--2537.5</f>
        <v>2537.5</v>
      </c>
      <c r="I13" s="2"/>
      <c r="J13" s="19"/>
      <c r="K13" s="2"/>
      <c r="L13" s="2">
        <f t="shared" si="0"/>
        <v>-2403.5</v>
      </c>
      <c r="M13" s="2"/>
      <c r="N13" s="19">
        <f t="shared" si="1"/>
        <v>-0.94719211822660099</v>
      </c>
      <c r="O13" s="11"/>
      <c r="P13" s="2">
        <f>--244</f>
        <v>244</v>
      </c>
      <c r="Q13" s="2"/>
      <c r="R13" s="19"/>
      <c r="S13" s="2"/>
      <c r="T13" s="2">
        <f>--12812.5</f>
        <v>12812.5</v>
      </c>
      <c r="U13" s="2"/>
      <c r="V13" s="19"/>
      <c r="W13" s="2"/>
      <c r="X13" s="2">
        <f t="shared" si="2"/>
        <v>-12568.5</v>
      </c>
      <c r="Y13" s="2"/>
      <c r="Z13" s="19">
        <f t="shared" si="3"/>
        <v>-0.98095609756097557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>
        <f>SUM(OSRRefD16x_0)</f>
        <v>-430</v>
      </c>
      <c r="E15" s="4"/>
      <c r="F15" s="12">
        <f t="shared" ref="F15:F16" si="4">IF(D$12=0,0,D15/D$12)</f>
        <v>-3.2089552238805972</v>
      </c>
      <c r="G15" s="4"/>
      <c r="H15" s="4">
        <f>SUM(OSRRefH16x_0)</f>
        <v>1268</v>
      </c>
      <c r="I15" s="4"/>
      <c r="J15" s="12">
        <f t="shared" ref="J15:J16" si="5">IF(H$12=0,0,H15/H$12)</f>
        <v>0.49970443349753696</v>
      </c>
      <c r="K15" s="4"/>
      <c r="L15" s="4">
        <f t="shared" ref="L15:L16" si="6">+D15-H15</f>
        <v>-1698</v>
      </c>
      <c r="M15" s="4"/>
      <c r="N15" s="12">
        <f t="shared" ref="N15:N16" si="7">IF(H15=0,0,L15/H15)</f>
        <v>-1.3391167192429021</v>
      </c>
      <c r="O15" s="10"/>
      <c r="P15" s="4">
        <f>SUM(OSRRefP16x_0)</f>
        <v>-361.09</v>
      </c>
      <c r="Q15" s="4"/>
      <c r="R15" s="12">
        <f t="shared" ref="R15:R16" si="8">IF(P$12=0,0,P15/P$12)</f>
        <v>-1.4798770491803277</v>
      </c>
      <c r="S15" s="4"/>
      <c r="T15" s="4">
        <f>SUM(OSRRefT16x_0)</f>
        <v>3256.12</v>
      </c>
      <c r="U15" s="4"/>
      <c r="V15" s="12">
        <f t="shared" ref="V15:V16" si="9">IF(T$12=0,0,T15/T$12)</f>
        <v>0.25413619512195124</v>
      </c>
      <c r="W15" s="4"/>
      <c r="X15" s="4">
        <f t="shared" ref="X15:X16" si="10">+P15-T15</f>
        <v>-3617.21</v>
      </c>
      <c r="Y15" s="4"/>
      <c r="Z15" s="12">
        <f t="shared" ref="Z15:Z16" si="11">IF(T15=0,0,X15/T15)</f>
        <v>-1.1108957900814467</v>
      </c>
    </row>
    <row r="16" spans="1:26" s="24" customFormat="1" hidden="1" outlineLevel="1" x14ac:dyDescent="0.25">
      <c r="A16" s="44"/>
      <c r="B16" s="11" t="str">
        <f>CONCATENATE("          ", "5059", " - ", "PURCHASES @ COST-FOOD")</f>
        <v xml:space="preserve">          5059 - PURCHASES @ COST-FOOD</v>
      </c>
      <c r="C16" s="11"/>
      <c r="D16" s="2">
        <v>-430</v>
      </c>
      <c r="E16" s="2"/>
      <c r="F16" s="19">
        <f t="shared" si="4"/>
        <v>-3.2089552238805972</v>
      </c>
      <c r="G16" s="2"/>
      <c r="H16" s="2">
        <v>1268</v>
      </c>
      <c r="I16" s="2"/>
      <c r="J16" s="19">
        <f t="shared" si="5"/>
        <v>0.49970443349753696</v>
      </c>
      <c r="K16" s="2"/>
      <c r="L16" s="2">
        <f t="shared" si="6"/>
        <v>-1698</v>
      </c>
      <c r="M16" s="2"/>
      <c r="N16" s="19">
        <f t="shared" si="7"/>
        <v>-1.3391167192429021</v>
      </c>
      <c r="O16" s="11"/>
      <c r="P16" s="2">
        <v>-361.09</v>
      </c>
      <c r="Q16" s="2"/>
      <c r="R16" s="19">
        <f t="shared" si="8"/>
        <v>-1.4798770491803277</v>
      </c>
      <c r="S16" s="2"/>
      <c r="T16" s="2">
        <v>3256.12</v>
      </c>
      <c r="U16" s="2"/>
      <c r="V16" s="19">
        <f t="shared" si="9"/>
        <v>0.25413619512195124</v>
      </c>
      <c r="W16" s="2"/>
      <c r="X16" s="2">
        <f t="shared" si="10"/>
        <v>-3617.21</v>
      </c>
      <c r="Y16" s="2"/>
      <c r="Z16" s="19">
        <f t="shared" si="11"/>
        <v>-1.1108957900814467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>
        <f>D12-D15</f>
        <v>564</v>
      </c>
      <c r="E18" s="14"/>
      <c r="F18" s="20">
        <f>IF(D$12=0,0,D18/D$12)</f>
        <v>4.2089552238805972</v>
      </c>
      <c r="G18" s="14"/>
      <c r="H18" s="22">
        <f>H12-H15</f>
        <v>1269.5</v>
      </c>
      <c r="I18" s="14"/>
      <c r="J18" s="20">
        <f>IF(H$12=0,0,H18/H$12)</f>
        <v>0.5002955665024631</v>
      </c>
      <c r="K18" s="16"/>
      <c r="L18" s="22">
        <f>+D18-H18</f>
        <v>-705.5</v>
      </c>
      <c r="M18" s="16"/>
      <c r="N18" s="20">
        <f>IF(H18=0,0,L18/H18)</f>
        <v>-0.55573060259944862</v>
      </c>
      <c r="O18" s="28"/>
      <c r="P18" s="22">
        <f>P12-P15</f>
        <v>605.08999999999992</v>
      </c>
      <c r="Q18" s="14"/>
      <c r="R18" s="20">
        <f>IF(P$12=0,0,P18/P$12)</f>
        <v>2.4798770491803275</v>
      </c>
      <c r="S18" s="14"/>
      <c r="T18" s="22">
        <f>T12-T15</f>
        <v>9556.380000000001</v>
      </c>
      <c r="U18" s="14"/>
      <c r="V18" s="20">
        <f>IF(T$12=0,0,T18/T$12)</f>
        <v>0.74586380487804882</v>
      </c>
      <c r="W18" s="16"/>
      <c r="X18" s="22">
        <f>+P18-T18</f>
        <v>-8951.2900000000009</v>
      </c>
      <c r="Y18" s="16"/>
      <c r="Z18" s="20">
        <f>IF(T18=0,0,X18/T18)</f>
        <v>-0.93668209091727206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>
        <f>SUM(OSRRefD22x_0)</f>
        <v>0</v>
      </c>
      <c r="E20" s="21"/>
      <c r="F20" s="32">
        <f t="shared" ref="F20:F26" si="12">IF(D$12=0,0,D20/D$12)</f>
        <v>0</v>
      </c>
      <c r="G20" s="21"/>
      <c r="H20" s="21">
        <f>SUM(OSRRefH22x_0)</f>
        <v>161.26</v>
      </c>
      <c r="I20" s="21"/>
      <c r="J20" s="32">
        <f t="shared" ref="J20:J26" si="13">IF(H$12=0,0,H20/H$12)</f>
        <v>6.355073891625615E-2</v>
      </c>
      <c r="K20" s="4"/>
      <c r="L20" s="21">
        <f t="shared" ref="L20:L26" si="14">+D20-H20</f>
        <v>-161.26</v>
      </c>
      <c r="M20" s="4"/>
      <c r="N20" s="32">
        <f t="shared" ref="N20:N26" si="15">IF(H20=0,0,L20/H20)</f>
        <v>-1</v>
      </c>
      <c r="O20" s="10"/>
      <c r="P20" s="21">
        <f>SUM(OSRRefP22x_0)</f>
        <v>0</v>
      </c>
      <c r="Q20" s="21"/>
      <c r="R20" s="32">
        <f t="shared" ref="R20:R26" si="16">IF(P$12=0,0,P20/P$12)</f>
        <v>0</v>
      </c>
      <c r="S20" s="21"/>
      <c r="T20" s="21">
        <f>SUM(OSRRefT22x_0)</f>
        <v>1408.63</v>
      </c>
      <c r="U20" s="21"/>
      <c r="V20" s="32">
        <f t="shared" ref="V20:V26" si="17">IF(T$12=0,0,T20/T$12)</f>
        <v>0.10994185365853659</v>
      </c>
      <c r="W20" s="4"/>
      <c r="X20" s="21">
        <f t="shared" ref="X20:X26" si="18">+P20-T20</f>
        <v>-1408.63</v>
      </c>
      <c r="Y20" s="4"/>
      <c r="Z20" s="32">
        <f t="shared" ref="Z20:Z26" si="19">IF(T20=0,0,X20/T20)</f>
        <v>-1</v>
      </c>
    </row>
    <row r="21" spans="1:26" s="25" customFormat="1" outlineLevel="1" collapsed="1" x14ac:dyDescent="0.25">
      <c r="A21" s="27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161.26</v>
      </c>
      <c r="I21" s="1"/>
      <c r="J21" s="5">
        <f t="shared" si="13"/>
        <v>6.355073891625615E-2</v>
      </c>
      <c r="K21" s="1"/>
      <c r="L21" s="1">
        <f t="shared" si="14"/>
        <v>-161.26</v>
      </c>
      <c r="M21" s="1"/>
      <c r="N21" s="5">
        <f t="shared" si="15"/>
        <v>-1</v>
      </c>
      <c r="O21" s="13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1088.18</v>
      </c>
      <c r="U21" s="1"/>
      <c r="V21" s="5">
        <f t="shared" si="17"/>
        <v>8.4931121951219518E-2</v>
      </c>
      <c r="W21" s="1"/>
      <c r="X21" s="1">
        <f t="shared" si="18"/>
        <v>-1088.18</v>
      </c>
      <c r="Y21" s="1"/>
      <c r="Z21" s="5">
        <f t="shared" si="19"/>
        <v>-1</v>
      </c>
    </row>
    <row r="22" spans="1:26" s="24" customFormat="1" hidden="1" outlineLevel="2" x14ac:dyDescent="0.25">
      <c r="A22" s="26"/>
      <c r="B22" s="11" t="str">
        <f>CONCATENATE("          ", "6381", " - ", "BANK/CREDIT CARD FEES")</f>
        <v xml:space="preserve">          6381 - BANK/CREDIT CARD FEES</v>
      </c>
      <c r="C22" s="11"/>
      <c r="D22" s="6"/>
      <c r="E22" s="2"/>
      <c r="F22" s="7">
        <f t="shared" si="12"/>
        <v>0</v>
      </c>
      <c r="G22" s="2"/>
      <c r="H22" s="6">
        <v>161.26</v>
      </c>
      <c r="I22" s="2"/>
      <c r="J22" s="7">
        <f t="shared" si="13"/>
        <v>6.355073891625615E-2</v>
      </c>
      <c r="K22" s="2"/>
      <c r="L22" s="6">
        <f t="shared" si="14"/>
        <v>-161.26</v>
      </c>
      <c r="M22" s="2"/>
      <c r="N22" s="7">
        <f t="shared" si="15"/>
        <v>-1</v>
      </c>
      <c r="O22" s="11"/>
      <c r="P22" s="6"/>
      <c r="Q22" s="2"/>
      <c r="R22" s="7">
        <f t="shared" si="16"/>
        <v>0</v>
      </c>
      <c r="S22" s="2"/>
      <c r="T22" s="6">
        <v>1088.18</v>
      </c>
      <c r="U22" s="2"/>
      <c r="V22" s="7">
        <f t="shared" si="17"/>
        <v>8.4931121951219518E-2</v>
      </c>
      <c r="W22" s="2"/>
      <c r="X22" s="6">
        <f t="shared" si="18"/>
        <v>-1088.18</v>
      </c>
      <c r="Y22" s="2"/>
      <c r="Z22" s="7">
        <f t="shared" si="19"/>
        <v>-1</v>
      </c>
    </row>
    <row r="23" spans="1:26" s="25" customFormat="1" outlineLevel="1" collapsed="1" x14ac:dyDescent="0.25">
      <c r="A23" s="27"/>
      <c r="B23" s="13" t="str">
        <f>CONCATENATE("     ","General                                           ")</f>
        <v xml:space="preserve">     General                                           </v>
      </c>
      <c r="C23" s="13"/>
      <c r="D23" s="1">
        <f>SUM(OSRRefD22_1x_0)</f>
        <v>0</v>
      </c>
      <c r="E23" s="1"/>
      <c r="F23" s="5">
        <f t="shared" si="12"/>
        <v>0</v>
      </c>
      <c r="G23" s="1"/>
      <c r="H23" s="1">
        <f>SUM(OSRRefH22_1x_0)</f>
        <v>0</v>
      </c>
      <c r="I23" s="1"/>
      <c r="J23" s="5">
        <f t="shared" si="13"/>
        <v>0</v>
      </c>
      <c r="K23" s="1"/>
      <c r="L23" s="1">
        <f t="shared" si="14"/>
        <v>0</v>
      </c>
      <c r="M23" s="1"/>
      <c r="N23" s="5">
        <f t="shared" si="15"/>
        <v>0</v>
      </c>
      <c r="O23" s="13"/>
      <c r="P23" s="1">
        <f>SUM(OSRRefP22_1x_0)</f>
        <v>0</v>
      </c>
      <c r="Q23" s="1"/>
      <c r="R23" s="5">
        <f t="shared" si="16"/>
        <v>0</v>
      </c>
      <c r="S23" s="1"/>
      <c r="T23" s="1">
        <f>SUM(OSRRefT22_1x_0)</f>
        <v>23.45</v>
      </c>
      <c r="U23" s="1"/>
      <c r="V23" s="5">
        <f t="shared" si="17"/>
        <v>1.8302439024390244E-3</v>
      </c>
      <c r="W23" s="1"/>
      <c r="X23" s="1">
        <f t="shared" si="18"/>
        <v>-23.45</v>
      </c>
      <c r="Y23" s="1"/>
      <c r="Z23" s="5">
        <f t="shared" si="19"/>
        <v>-1</v>
      </c>
    </row>
    <row r="24" spans="1:26" s="24" customFormat="1" hidden="1" outlineLevel="2" x14ac:dyDescent="0.25">
      <c r="A24" s="26"/>
      <c r="B24" s="11" t="str">
        <f>CONCATENATE("          ", "6279", " - ", "GENERAL EXPENSE")</f>
        <v xml:space="preserve">          6279 - GENERAL EXPENSE</v>
      </c>
      <c r="C24" s="11"/>
      <c r="D24" s="6"/>
      <c r="E24" s="2"/>
      <c r="F24" s="7">
        <f t="shared" si="12"/>
        <v>0</v>
      </c>
      <c r="G24" s="2"/>
      <c r="H24" s="6"/>
      <c r="I24" s="2"/>
      <c r="J24" s="7">
        <f t="shared" si="13"/>
        <v>0</v>
      </c>
      <c r="K24" s="2"/>
      <c r="L24" s="6">
        <f t="shared" si="14"/>
        <v>0</v>
      </c>
      <c r="M24" s="2"/>
      <c r="N24" s="7">
        <f t="shared" si="15"/>
        <v>0</v>
      </c>
      <c r="O24" s="11"/>
      <c r="P24" s="6"/>
      <c r="Q24" s="2"/>
      <c r="R24" s="7">
        <f t="shared" si="16"/>
        <v>0</v>
      </c>
      <c r="S24" s="2"/>
      <c r="T24" s="6">
        <v>23.45</v>
      </c>
      <c r="U24" s="2"/>
      <c r="V24" s="7">
        <f t="shared" si="17"/>
        <v>1.8302439024390244E-3</v>
      </c>
      <c r="W24" s="2"/>
      <c r="X24" s="6">
        <f t="shared" si="18"/>
        <v>-23.45</v>
      </c>
      <c r="Y24" s="2"/>
      <c r="Z24" s="7">
        <f t="shared" si="19"/>
        <v>-1</v>
      </c>
    </row>
    <row r="25" spans="1:26" s="25" customFormat="1" outlineLevel="1" collapsed="1" x14ac:dyDescent="0.25">
      <c r="A25" s="27"/>
      <c r="B25" s="13" t="str">
        <f>CONCATENATE("     ","Supplies                                          ")</f>
        <v xml:space="preserve">     Supplies                                          </v>
      </c>
      <c r="C25" s="13"/>
      <c r="D25" s="1">
        <f>SUM(OSRRefD22_2x_0)</f>
        <v>0</v>
      </c>
      <c r="E25" s="1"/>
      <c r="F25" s="5">
        <f t="shared" si="12"/>
        <v>0</v>
      </c>
      <c r="G25" s="1"/>
      <c r="H25" s="1">
        <f>SUM(OSRRefH22_2x_0)</f>
        <v>0</v>
      </c>
      <c r="I25" s="1"/>
      <c r="J25" s="5">
        <f t="shared" si="13"/>
        <v>0</v>
      </c>
      <c r="K25" s="1"/>
      <c r="L25" s="1">
        <f t="shared" si="14"/>
        <v>0</v>
      </c>
      <c r="M25" s="1"/>
      <c r="N25" s="5">
        <f t="shared" si="15"/>
        <v>0</v>
      </c>
      <c r="O25" s="13"/>
      <c r="P25" s="1">
        <f>SUM(OSRRefP22_2x_0)</f>
        <v>0</v>
      </c>
      <c r="Q25" s="1"/>
      <c r="R25" s="5">
        <f t="shared" si="16"/>
        <v>0</v>
      </c>
      <c r="S25" s="1"/>
      <c r="T25" s="1">
        <f>SUM(OSRRefT22_2x_0)</f>
        <v>297</v>
      </c>
      <c r="U25" s="1"/>
      <c r="V25" s="5">
        <f t="shared" si="17"/>
        <v>2.3180487804878049E-2</v>
      </c>
      <c r="W25" s="1"/>
      <c r="X25" s="1">
        <f t="shared" si="18"/>
        <v>-297</v>
      </c>
      <c r="Y25" s="1"/>
      <c r="Z25" s="5">
        <f t="shared" si="19"/>
        <v>-1</v>
      </c>
    </row>
    <row r="26" spans="1:26" s="24" customFormat="1" hidden="1" outlineLevel="2" x14ac:dyDescent="0.25">
      <c r="A26" s="26"/>
      <c r="B26" s="11" t="str">
        <f>CONCATENATE("          ", "6247", " - ", "STORE SUPPLIES")</f>
        <v xml:space="preserve">          6247 - STORE SUPPLIES</v>
      </c>
      <c r="C26" s="11"/>
      <c r="D26" s="6"/>
      <c r="E26" s="2"/>
      <c r="F26" s="7">
        <f t="shared" si="12"/>
        <v>0</v>
      </c>
      <c r="G26" s="2"/>
      <c r="H26" s="6"/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1"/>
      <c r="P26" s="6"/>
      <c r="Q26" s="2"/>
      <c r="R26" s="7">
        <f t="shared" si="16"/>
        <v>0</v>
      </c>
      <c r="S26" s="2"/>
      <c r="T26" s="6">
        <v>297</v>
      </c>
      <c r="U26" s="2"/>
      <c r="V26" s="7">
        <f t="shared" si="17"/>
        <v>2.3180487804878049E-2</v>
      </c>
      <c r="W26" s="2"/>
      <c r="X26" s="6">
        <f t="shared" si="18"/>
        <v>-297</v>
      </c>
      <c r="Y26" s="2"/>
      <c r="Z26" s="7">
        <f t="shared" si="19"/>
        <v>-1</v>
      </c>
    </row>
    <row r="27" spans="1:26" s="52" customFormat="1" x14ac:dyDescent="0.25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8" t="s">
        <v>0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9" t="s">
        <v>3</v>
      </c>
      <c r="C30" s="29"/>
      <c r="D30" s="22">
        <f>+D18-D20+D28</f>
        <v>564</v>
      </c>
      <c r="E30" s="14"/>
      <c r="F30" s="20">
        <f>IF(D$12=0,0,D30/D$12)</f>
        <v>4.2089552238805972</v>
      </c>
      <c r="G30" s="14"/>
      <c r="H30" s="22">
        <f>+H18-H20+H28</f>
        <v>1108.24</v>
      </c>
      <c r="I30" s="14"/>
      <c r="J30" s="20">
        <f>IF(H$12=0,0,H30/H$12)</f>
        <v>0.43674482758620692</v>
      </c>
      <c r="K30" s="16"/>
      <c r="L30" s="22">
        <f>+D30-H30</f>
        <v>-544.24</v>
      </c>
      <c r="M30" s="16"/>
      <c r="N30" s="20">
        <f>IF(H30=0,0,L30/H30)</f>
        <v>-0.49108496354580233</v>
      </c>
      <c r="O30" s="28"/>
      <c r="P30" s="22">
        <f>+P18-P20+P28</f>
        <v>605.08999999999992</v>
      </c>
      <c r="Q30" s="14"/>
      <c r="R30" s="20">
        <f>IF(P$12=0,0,P30/P$12)</f>
        <v>2.4798770491803275</v>
      </c>
      <c r="S30" s="14"/>
      <c r="T30" s="22">
        <f>+T18-T20+T28</f>
        <v>8147.7500000000009</v>
      </c>
      <c r="U30" s="14"/>
      <c r="V30" s="20">
        <f>IF(T$12=0,0,T30/T$12)</f>
        <v>0.63592195121951223</v>
      </c>
      <c r="W30" s="16"/>
      <c r="X30" s="22">
        <f>+P30-T30</f>
        <v>-7542.6600000000008</v>
      </c>
      <c r="Y30" s="16"/>
      <c r="Z30" s="20">
        <f>IF(T30=0,0,X30/T30)</f>
        <v>-0.92573532570341499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1"/>
      <c r="B32" s="10" t="s">
        <v>13</v>
      </c>
      <c r="C32" s="10"/>
      <c r="D32" s="4">
        <v>28.35</v>
      </c>
      <c r="E32" s="4"/>
      <c r="F32" s="12">
        <f>IF(D$12=0,0,D32/D$12)</f>
        <v>0.21156716417910448</v>
      </c>
      <c r="G32" s="4"/>
      <c r="H32" s="4">
        <v>234.31</v>
      </c>
      <c r="I32" s="4"/>
      <c r="J32" s="12">
        <f>IF(H$12=0,0,H32/H$12)</f>
        <v>9.233891625615763E-2</v>
      </c>
      <c r="K32" s="4"/>
      <c r="L32" s="4">
        <f>+D32-H32</f>
        <v>-205.96</v>
      </c>
      <c r="M32" s="4"/>
      <c r="N32" s="12">
        <f>IF(H32=0,0,L32/H32)</f>
        <v>-0.87900644445392861</v>
      </c>
      <c r="O32" s="10"/>
      <c r="P32" s="4">
        <v>48.32</v>
      </c>
      <c r="Q32" s="4"/>
      <c r="R32" s="12">
        <f>IF(P$12=0,0,P32/P$12)</f>
        <v>0.19803278688524589</v>
      </c>
      <c r="S32" s="4"/>
      <c r="T32" s="4">
        <v>1305.8499999999999</v>
      </c>
      <c r="U32" s="4"/>
      <c r="V32" s="12">
        <f>IF(T$12=0,0,T32/T$12)</f>
        <v>0.10192</v>
      </c>
      <c r="W32" s="4"/>
      <c r="X32" s="4">
        <f>+P32-T32</f>
        <v>-1257.53</v>
      </c>
      <c r="Y32" s="4"/>
      <c r="Z32" s="12">
        <f>IF(T32=0,0,X32/T32)</f>
        <v>-0.96299728146418051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9" t="s">
        <v>4</v>
      </c>
      <c r="C34" s="29"/>
      <c r="D34" s="35">
        <f>+D30-D32</f>
        <v>535.65</v>
      </c>
      <c r="E34" s="14"/>
      <c r="F34" s="36">
        <f>IF(D$12=0,0,D34/D$12)</f>
        <v>3.9973880597014926</v>
      </c>
      <c r="G34" s="14"/>
      <c r="H34" s="35">
        <f>+H30-H32</f>
        <v>873.93000000000006</v>
      </c>
      <c r="I34" s="14"/>
      <c r="J34" s="36">
        <f>IF(H$12=0,0,H34/H$12)</f>
        <v>0.34440591133004927</v>
      </c>
      <c r="K34" s="16"/>
      <c r="L34" s="35">
        <f>D34-H34</f>
        <v>-338.28000000000009</v>
      </c>
      <c r="M34" s="16"/>
      <c r="N34" s="36">
        <f>IF(H34=0,0,L34/H34)</f>
        <v>-0.38707905667501979</v>
      </c>
      <c r="O34" s="28"/>
      <c r="P34" s="35">
        <f>+P30-P32</f>
        <v>556.76999999999987</v>
      </c>
      <c r="Q34" s="14"/>
      <c r="R34" s="36">
        <f>IF(P$12=0,0,P34/P$12)</f>
        <v>2.2818442622950816</v>
      </c>
      <c r="S34" s="14"/>
      <c r="T34" s="35">
        <f>+T30-T32</f>
        <v>6841.9000000000015</v>
      </c>
      <c r="U34" s="14"/>
      <c r="V34" s="36">
        <f>IF(T$12=0,0,T34/T$12)</f>
        <v>0.53400195121951233</v>
      </c>
      <c r="W34" s="16"/>
      <c r="X34" s="35">
        <f>P34-T34</f>
        <v>-6285.1300000000019</v>
      </c>
      <c r="Y34" s="16"/>
      <c r="Z34" s="36">
        <f>IF(T34=0,0,X34/T34)</f>
        <v>-0.91862348178137665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9" t="s">
        <v>5</v>
      </c>
      <c r="C37" s="29"/>
      <c r="D37" s="31">
        <f>SUM(D34:D36)</f>
        <v>535.65</v>
      </c>
      <c r="E37" s="14"/>
      <c r="F37" s="33">
        <f>IF(D$12=0,0,D37/D$12)</f>
        <v>3.9973880597014926</v>
      </c>
      <c r="G37" s="14"/>
      <c r="H37" s="31">
        <f>SUM(H34:H36)</f>
        <v>873.93000000000006</v>
      </c>
      <c r="I37" s="14"/>
      <c r="J37" s="33">
        <f>IF(H$12=0,0,H37/H$12)</f>
        <v>0.34440591133004927</v>
      </c>
      <c r="K37" s="16"/>
      <c r="L37" s="31">
        <f>+D37-H37</f>
        <v>-338.28000000000009</v>
      </c>
      <c r="M37" s="16"/>
      <c r="N37" s="33">
        <f>IF(H37=0,0,L37/H37)</f>
        <v>-0.38707905667501979</v>
      </c>
      <c r="O37" s="28"/>
      <c r="P37" s="31">
        <f>SUM(P34:P36)</f>
        <v>556.76999999999987</v>
      </c>
      <c r="Q37" s="14"/>
      <c r="R37" s="33">
        <f>IF(P$12=0,0,P37/P$12)</f>
        <v>2.2818442622950816</v>
      </c>
      <c r="S37" s="14"/>
      <c r="T37" s="31">
        <f>SUM(T34:T36)</f>
        <v>6841.9000000000015</v>
      </c>
      <c r="U37" s="14"/>
      <c r="V37" s="33">
        <f>IF(T$12=0,0,T37/T$12)</f>
        <v>0.53400195121951233</v>
      </c>
      <c r="W37" s="16"/>
      <c r="X37" s="31">
        <f>+P37-T37</f>
        <v>-6285.1300000000019</v>
      </c>
      <c r="Y37" s="16"/>
      <c r="Z37" s="33">
        <f>IF(T37=0,0,X37/T37)</f>
        <v>-0.91862348178137665</v>
      </c>
    </row>
    <row r="38" spans="1:26" ht="15.75" thickTop="1" x14ac:dyDescent="0.25">
      <c r="A38" s="9"/>
      <c r="C38" s="9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>
        <v>44267.668427928242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 t="s">
        <v>313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58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3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309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134623.31</v>
      </c>
      <c r="E12" s="4"/>
      <c r="F12" s="12"/>
      <c r="G12" s="4"/>
      <c r="H12" s="4">
        <f>SUM(OSRRefH13x_0)</f>
        <v>2124939.9699999997</v>
      </c>
      <c r="I12" s="4"/>
      <c r="J12" s="12"/>
      <c r="K12" s="4"/>
      <c r="L12" s="4">
        <f t="shared" ref="L12:L22" si="0">+D12-H12</f>
        <v>-1990316.6599999997</v>
      </c>
      <c r="M12" s="4"/>
      <c r="N12" s="12">
        <f t="shared" ref="N12:N22" si="1">IF(H12=0,0,L12/H12)</f>
        <v>-0.93664606440623355</v>
      </c>
      <c r="O12" s="10"/>
      <c r="P12" s="4">
        <f>SUM(OSRRefP13x_0)</f>
        <v>1085661.78</v>
      </c>
      <c r="Q12" s="4"/>
      <c r="R12" s="12"/>
      <c r="S12" s="4"/>
      <c r="T12" s="4">
        <f>SUM(OSRRefT13x_0)</f>
        <v>12369888.810000001</v>
      </c>
      <c r="U12" s="4"/>
      <c r="V12" s="12"/>
      <c r="W12" s="4"/>
      <c r="X12" s="4">
        <f t="shared" ref="X12:X22" si="2">+P12-T12</f>
        <v>-11284227.030000001</v>
      </c>
      <c r="Y12" s="4"/>
      <c r="Z12" s="12">
        <f t="shared" ref="Z12:Z22" si="3">IF(T12=0,0,X12/T12)</f>
        <v>-0.91223350535517067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0</f>
        <v>0</v>
      </c>
      <c r="E13" s="2"/>
      <c r="F13" s="19"/>
      <c r="G13" s="2"/>
      <c r="H13" s="2">
        <f>--68008.29</f>
        <v>68008.289999999994</v>
      </c>
      <c r="I13" s="2"/>
      <c r="J13" s="19"/>
      <c r="K13" s="2"/>
      <c r="L13" s="2">
        <f t="shared" si="0"/>
        <v>-68008.289999999994</v>
      </c>
      <c r="M13" s="2"/>
      <c r="N13" s="19">
        <f t="shared" si="1"/>
        <v>-1</v>
      </c>
      <c r="O13" s="11"/>
      <c r="P13" s="2">
        <f>--22964.48</f>
        <v>22964.48</v>
      </c>
      <c r="Q13" s="2"/>
      <c r="R13" s="19"/>
      <c r="S13" s="2"/>
      <c r="T13" s="2">
        <f>--426270.45</f>
        <v>426270.45</v>
      </c>
      <c r="U13" s="2"/>
      <c r="V13" s="19"/>
      <c r="W13" s="2"/>
      <c r="X13" s="2">
        <f t="shared" si="2"/>
        <v>-403305.97000000003</v>
      </c>
      <c r="Y13" s="2"/>
      <c r="Z13" s="19">
        <f t="shared" si="3"/>
        <v>-0.94612697173824745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--49980.95</f>
        <v>49980.95</v>
      </c>
      <c r="E14" s="2"/>
      <c r="F14" s="19"/>
      <c r="G14" s="2"/>
      <c r="H14" s="2">
        <f>--131149.86</f>
        <v>131149.85999999999</v>
      </c>
      <c r="I14" s="2"/>
      <c r="J14" s="19"/>
      <c r="K14" s="2"/>
      <c r="L14" s="2">
        <f t="shared" si="0"/>
        <v>-81168.909999999989</v>
      </c>
      <c r="M14" s="2"/>
      <c r="N14" s="19">
        <f t="shared" si="1"/>
        <v>-0.61890199501547316</v>
      </c>
      <c r="O14" s="11"/>
      <c r="P14" s="2">
        <f>--280157.8</f>
        <v>280157.8</v>
      </c>
      <c r="Q14" s="2"/>
      <c r="R14" s="19"/>
      <c r="S14" s="2"/>
      <c r="T14" s="2">
        <f>--788152.3</f>
        <v>788152.3</v>
      </c>
      <c r="U14" s="2"/>
      <c r="V14" s="19"/>
      <c r="W14" s="2"/>
      <c r="X14" s="2">
        <f t="shared" si="2"/>
        <v>-507994.50000000006</v>
      </c>
      <c r="Y14" s="2"/>
      <c r="Z14" s="19">
        <f t="shared" si="3"/>
        <v>-0.64453849846025957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--180.69</f>
        <v>180.69</v>
      </c>
      <c r="E15" s="2"/>
      <c r="F15" s="19"/>
      <c r="G15" s="2"/>
      <c r="H15" s="2">
        <f>--128356.95</f>
        <v>128356.95</v>
      </c>
      <c r="I15" s="2"/>
      <c r="J15" s="19"/>
      <c r="K15" s="2"/>
      <c r="L15" s="2">
        <f t="shared" si="0"/>
        <v>-128176.26</v>
      </c>
      <c r="M15" s="2"/>
      <c r="N15" s="19">
        <f t="shared" si="1"/>
        <v>-0.99859228503014441</v>
      </c>
      <c r="O15" s="11"/>
      <c r="P15" s="2">
        <f>--760.21</f>
        <v>760.21</v>
      </c>
      <c r="Q15" s="2"/>
      <c r="R15" s="19"/>
      <c r="S15" s="2"/>
      <c r="T15" s="2">
        <f>--244955.87</f>
        <v>244955.87</v>
      </c>
      <c r="U15" s="2"/>
      <c r="V15" s="19"/>
      <c r="W15" s="2"/>
      <c r="X15" s="2">
        <f t="shared" si="2"/>
        <v>-244195.66</v>
      </c>
      <c r="Y15" s="2"/>
      <c r="Z15" s="19">
        <f t="shared" si="3"/>
        <v>-0.99689654303854813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 t="shared" ref="D16:D17" si="4">0</f>
        <v>0</v>
      </c>
      <c r="E16" s="2"/>
      <c r="F16" s="19"/>
      <c r="G16" s="2"/>
      <c r="H16" s="2">
        <f>--54029.26</f>
        <v>54029.26</v>
      </c>
      <c r="I16" s="2"/>
      <c r="J16" s="19"/>
      <c r="K16" s="2"/>
      <c r="L16" s="2">
        <f t="shared" si="0"/>
        <v>-54029.26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f>--358216.7</f>
        <v>358216.7</v>
      </c>
      <c r="U16" s="2"/>
      <c r="V16" s="19"/>
      <c r="W16" s="2"/>
      <c r="X16" s="2">
        <f t="shared" si="2"/>
        <v>-358216.7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"4058", " - ", "TAXABLE SALES-FOOD")</f>
        <v xml:space="preserve">          4058 - TAXABLE SALES-FOOD</v>
      </c>
      <c r="C17" s="11"/>
      <c r="D17" s="2">
        <f t="shared" si="4"/>
        <v>0</v>
      </c>
      <c r="E17" s="2"/>
      <c r="F17" s="19"/>
      <c r="G17" s="2"/>
      <c r="H17" s="2">
        <f>--15335.14</f>
        <v>15335.14</v>
      </c>
      <c r="I17" s="2"/>
      <c r="J17" s="19"/>
      <c r="K17" s="2"/>
      <c r="L17" s="2">
        <f t="shared" si="0"/>
        <v>-15335.14</v>
      </c>
      <c r="M17" s="2"/>
      <c r="N17" s="19">
        <f t="shared" si="1"/>
        <v>-1</v>
      </c>
      <c r="O17" s="11"/>
      <c r="P17" s="2">
        <f>--974.91</f>
        <v>974.91</v>
      </c>
      <c r="Q17" s="2"/>
      <c r="R17" s="19"/>
      <c r="S17" s="2"/>
      <c r="T17" s="2">
        <f>--110971.24</f>
        <v>110971.24</v>
      </c>
      <c r="U17" s="2"/>
      <c r="V17" s="19"/>
      <c r="W17" s="2"/>
      <c r="X17" s="2">
        <f t="shared" si="2"/>
        <v>-109996.33</v>
      </c>
      <c r="Y17" s="2"/>
      <c r="Z17" s="19">
        <f t="shared" si="3"/>
        <v>-0.99121475077686794</v>
      </c>
    </row>
    <row r="18" spans="1:26" s="24" customFormat="1" hidden="1" outlineLevel="1" x14ac:dyDescent="0.25">
      <c r="A18" s="44"/>
      <c r="B18" s="11" t="str">
        <f>CONCATENATE("          ", "4151", " - ", "NON-TAXABLE SALES-FOOD")</f>
        <v xml:space="preserve">          4151 - NON-TAXABLE SALES-FOOD</v>
      </c>
      <c r="C18" s="11"/>
      <c r="D18" s="2">
        <f>--78596.26</f>
        <v>78596.259999999995</v>
      </c>
      <c r="E18" s="2"/>
      <c r="F18" s="19"/>
      <c r="G18" s="2"/>
      <c r="H18" s="2">
        <f>--1518712.1</f>
        <v>1518712.1</v>
      </c>
      <c r="I18" s="2"/>
      <c r="J18" s="19"/>
      <c r="K18" s="2"/>
      <c r="L18" s="2">
        <f t="shared" si="0"/>
        <v>-1440115.84</v>
      </c>
      <c r="M18" s="2"/>
      <c r="N18" s="19">
        <f t="shared" si="1"/>
        <v>-0.94824808467648347</v>
      </c>
      <c r="O18" s="11"/>
      <c r="P18" s="2">
        <f>--742969.81</f>
        <v>742969.81</v>
      </c>
      <c r="Q18" s="2"/>
      <c r="R18" s="19"/>
      <c r="S18" s="2"/>
      <c r="T18" s="2">
        <f>--9015848.48</f>
        <v>9015848.4800000004</v>
      </c>
      <c r="U18" s="2"/>
      <c r="V18" s="19"/>
      <c r="W18" s="2"/>
      <c r="X18" s="2">
        <f t="shared" si="2"/>
        <v>-8272878.6699999999</v>
      </c>
      <c r="Y18" s="2"/>
      <c r="Z18" s="19">
        <f t="shared" si="3"/>
        <v>-0.91759291300778378</v>
      </c>
    </row>
    <row r="19" spans="1:26" s="24" customFormat="1" hidden="1" outlineLevel="1" x14ac:dyDescent="0.25">
      <c r="A19" s="44"/>
      <c r="B19" s="11" t="str">
        <f>CONCATENATE("          ", "4152", " - ", "NON-TAXABLE SALES-FOOD")</f>
        <v xml:space="preserve">          4152 - NON-TAXABLE SALES-FOOD</v>
      </c>
      <c r="C19" s="11"/>
      <c r="D19" s="2">
        <f>0</f>
        <v>0</v>
      </c>
      <c r="E19" s="2"/>
      <c r="F19" s="19"/>
      <c r="G19" s="2"/>
      <c r="H19" s="2">
        <f>--8298.17</f>
        <v>8298.17</v>
      </c>
      <c r="I19" s="2"/>
      <c r="J19" s="19"/>
      <c r="K19" s="2"/>
      <c r="L19" s="2">
        <f t="shared" si="0"/>
        <v>-8298.17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f>--47727.07</f>
        <v>47727.07</v>
      </c>
      <c r="U19" s="2"/>
      <c r="V19" s="19"/>
      <c r="W19" s="2"/>
      <c r="X19" s="2">
        <f t="shared" si="2"/>
        <v>-47727.07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"4153", " - ", "NON-TAXABLE SALES-FOOD")</f>
        <v xml:space="preserve">          4153 - NON-TAXABLE SALES-FOOD</v>
      </c>
      <c r="C20" s="11"/>
      <c r="D20" s="2">
        <f>--5865.41</f>
        <v>5865.41</v>
      </c>
      <c r="E20" s="2"/>
      <c r="F20" s="19"/>
      <c r="G20" s="2"/>
      <c r="H20" s="2">
        <f>--22502.64</f>
        <v>22502.639999999999</v>
      </c>
      <c r="I20" s="2"/>
      <c r="J20" s="19"/>
      <c r="K20" s="2"/>
      <c r="L20" s="2">
        <f t="shared" si="0"/>
        <v>-16637.23</v>
      </c>
      <c r="M20" s="2"/>
      <c r="N20" s="19">
        <f t="shared" si="1"/>
        <v>-0.73934569454961729</v>
      </c>
      <c r="O20" s="11"/>
      <c r="P20" s="2">
        <f>--37834.57</f>
        <v>37834.57</v>
      </c>
      <c r="Q20" s="2"/>
      <c r="R20" s="19"/>
      <c r="S20" s="2"/>
      <c r="T20" s="2">
        <f>--289167.43</f>
        <v>289167.43</v>
      </c>
      <c r="U20" s="2"/>
      <c r="V20" s="19"/>
      <c r="W20" s="2"/>
      <c r="X20" s="2">
        <f t="shared" si="2"/>
        <v>-251332.86</v>
      </c>
      <c r="Y20" s="2"/>
      <c r="Z20" s="19">
        <f t="shared" si="3"/>
        <v>-0.86916033385917635</v>
      </c>
    </row>
    <row r="21" spans="1:26" s="24" customFormat="1" hidden="1" outlineLevel="1" x14ac:dyDescent="0.25">
      <c r="A21" s="44"/>
      <c r="B21" s="11" t="str">
        <f>CONCATENATE("          ", "4155", " - ", "NON-TAXABLE SALES-FOOD")</f>
        <v xml:space="preserve">          4155 - NON-TAXABLE SALES-FOOD</v>
      </c>
      <c r="C21" s="11"/>
      <c r="D21" s="2">
        <f t="shared" ref="D21:D22" si="5">0</f>
        <v>0</v>
      </c>
      <c r="E21" s="2"/>
      <c r="F21" s="19"/>
      <c r="G21" s="2"/>
      <c r="H21" s="2">
        <f>--100290.43</f>
        <v>100290.43</v>
      </c>
      <c r="I21" s="2"/>
      <c r="J21" s="19"/>
      <c r="K21" s="2"/>
      <c r="L21" s="2">
        <f t="shared" si="0"/>
        <v>-100290.43</v>
      </c>
      <c r="M21" s="2"/>
      <c r="N21" s="19">
        <f t="shared" si="1"/>
        <v>-1</v>
      </c>
      <c r="O21" s="11"/>
      <c r="P21" s="2">
        <f t="shared" ref="P21:P22" si="6">0</f>
        <v>0</v>
      </c>
      <c r="Q21" s="2"/>
      <c r="R21" s="19"/>
      <c r="S21" s="2"/>
      <c r="T21" s="2">
        <f>--647185.49</f>
        <v>647185.49</v>
      </c>
      <c r="U21" s="2"/>
      <c r="V21" s="19"/>
      <c r="W21" s="2"/>
      <c r="X21" s="2">
        <f t="shared" si="2"/>
        <v>-647185.49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"4158", " - ", "NON-TAXABLE SALES-FOOD")</f>
        <v xml:space="preserve">          4158 - NON-TAXABLE SALES-FOOD</v>
      </c>
      <c r="C22" s="11"/>
      <c r="D22" s="2">
        <f t="shared" si="5"/>
        <v>0</v>
      </c>
      <c r="E22" s="2"/>
      <c r="F22" s="19"/>
      <c r="G22" s="2"/>
      <c r="H22" s="2">
        <f>--78257.13</f>
        <v>78257.13</v>
      </c>
      <c r="I22" s="2"/>
      <c r="J22" s="19"/>
      <c r="K22" s="2"/>
      <c r="L22" s="2">
        <f t="shared" si="0"/>
        <v>-78257.13</v>
      </c>
      <c r="M22" s="2"/>
      <c r="N22" s="19">
        <f t="shared" si="1"/>
        <v>-1</v>
      </c>
      <c r="O22" s="11"/>
      <c r="P22" s="2">
        <f t="shared" si="6"/>
        <v>0</v>
      </c>
      <c r="Q22" s="2"/>
      <c r="R22" s="19"/>
      <c r="S22" s="2"/>
      <c r="T22" s="2">
        <f>--441393.78</f>
        <v>441393.78</v>
      </c>
      <c r="U22" s="2"/>
      <c r="V22" s="19"/>
      <c r="W22" s="2"/>
      <c r="X22" s="2">
        <f t="shared" si="2"/>
        <v>-441393.78</v>
      </c>
      <c r="Y22" s="2"/>
      <c r="Z22" s="19">
        <f t="shared" si="3"/>
        <v>-1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collapsed="1" x14ac:dyDescent="0.25">
      <c r="A24" s="10"/>
      <c r="B24" s="28" t="s">
        <v>8</v>
      </c>
      <c r="C24" s="10"/>
      <c r="D24" s="4">
        <f>SUM(OSRRefD16x_0)</f>
        <v>37922.839999999997</v>
      </c>
      <c r="E24" s="4"/>
      <c r="F24" s="12">
        <f t="shared" ref="F24:F26" si="7">IF(D$12=0,0,D24/D$12)</f>
        <v>0.28169594106696677</v>
      </c>
      <c r="G24" s="4"/>
      <c r="H24" s="4">
        <f>SUM(OSRRefH16x_0)</f>
        <v>585424.21</v>
      </c>
      <c r="I24" s="4"/>
      <c r="J24" s="12">
        <f t="shared" ref="J24:J26" si="8">IF(H$12=0,0,H24/H$12)</f>
        <v>0.27550152863847727</v>
      </c>
      <c r="K24" s="4"/>
      <c r="L24" s="4">
        <f t="shared" ref="L24:L26" si="9">+D24-H24</f>
        <v>-547501.37</v>
      </c>
      <c r="M24" s="4"/>
      <c r="N24" s="12">
        <f t="shared" ref="N24:N26" si="10">IF(H24=0,0,L24/H24)</f>
        <v>-0.93522160622636363</v>
      </c>
      <c r="O24" s="10"/>
      <c r="P24" s="4">
        <f>SUM(OSRRefP16x_0)</f>
        <v>340943.57</v>
      </c>
      <c r="Q24" s="4"/>
      <c r="R24" s="12">
        <f t="shared" ref="R24:R26" si="11">IF(P$12=0,0,P24/P$12)</f>
        <v>0.31404215961254528</v>
      </c>
      <c r="S24" s="4"/>
      <c r="T24" s="4">
        <f>SUM(OSRRefT16x_0)</f>
        <v>3380285.42</v>
      </c>
      <c r="U24" s="4"/>
      <c r="V24" s="12">
        <f t="shared" ref="V24:V26" si="12">IF(T$12=0,0,T24/T$12)</f>
        <v>0.27326724370127947</v>
      </c>
      <c r="W24" s="4"/>
      <c r="X24" s="4">
        <f t="shared" ref="X24:X26" si="13">+P24-T24</f>
        <v>-3039341.85</v>
      </c>
      <c r="Y24" s="4"/>
      <c r="Z24" s="12">
        <f t="shared" ref="Z24:Z26" si="14">IF(T24=0,0,X24/T24)</f>
        <v>-0.89913763850154405</v>
      </c>
    </row>
    <row r="25" spans="1:26" s="24" customFormat="1" hidden="1" outlineLevel="1" x14ac:dyDescent="0.25">
      <c r="A25" s="44"/>
      <c r="B25" s="11" t="str">
        <f>CONCATENATE("          ", "5053", " - ", "PURCHASES @ COST-FOOD")</f>
        <v xml:space="preserve">          5053 - PURCHASES @ COST-FOOD</v>
      </c>
      <c r="C25" s="11"/>
      <c r="D25" s="2">
        <v>44580.84</v>
      </c>
      <c r="E25" s="2"/>
      <c r="F25" s="19">
        <f t="shared" si="7"/>
        <v>0.33115245792129161</v>
      </c>
      <c r="G25" s="2"/>
      <c r="H25" s="2">
        <v>581014.23</v>
      </c>
      <c r="I25" s="2"/>
      <c r="J25" s="19">
        <f t="shared" si="8"/>
        <v>0.27342618530536655</v>
      </c>
      <c r="K25" s="2"/>
      <c r="L25" s="2">
        <f t="shared" si="9"/>
        <v>-536433.39</v>
      </c>
      <c r="M25" s="2"/>
      <c r="N25" s="19">
        <f t="shared" si="10"/>
        <v>-0.92327065724362734</v>
      </c>
      <c r="O25" s="11"/>
      <c r="P25" s="2">
        <v>345104.19</v>
      </c>
      <c r="Q25" s="2"/>
      <c r="R25" s="19">
        <f t="shared" si="11"/>
        <v>0.31787449494629899</v>
      </c>
      <c r="S25" s="2"/>
      <c r="T25" s="2">
        <v>3446856.69</v>
      </c>
      <c r="U25" s="2"/>
      <c r="V25" s="19">
        <f t="shared" si="12"/>
        <v>0.27864896305401793</v>
      </c>
      <c r="W25" s="2"/>
      <c r="X25" s="2">
        <f t="shared" si="13"/>
        <v>-3101752.5</v>
      </c>
      <c r="Y25" s="2"/>
      <c r="Z25" s="19">
        <f t="shared" si="14"/>
        <v>-0.89987857893795986</v>
      </c>
    </row>
    <row r="26" spans="1:26" s="24" customFormat="1" hidden="1" outlineLevel="1" x14ac:dyDescent="0.25">
      <c r="A26" s="44"/>
      <c r="B26" s="11" t="str">
        <f>CONCATENATE("          ", "5059", " - ", "PURCHASES @ COST-FOOD")</f>
        <v xml:space="preserve">          5059 - PURCHASES @ COST-FOOD</v>
      </c>
      <c r="C26" s="11"/>
      <c r="D26" s="2">
        <v>-6658</v>
      </c>
      <c r="E26" s="2"/>
      <c r="F26" s="19">
        <f t="shared" si="7"/>
        <v>-4.945651685432486E-2</v>
      </c>
      <c r="G26" s="2"/>
      <c r="H26" s="2">
        <v>4409.9799999999996</v>
      </c>
      <c r="I26" s="2"/>
      <c r="J26" s="19">
        <f t="shared" si="8"/>
        <v>2.0753433331107234E-3</v>
      </c>
      <c r="K26" s="2"/>
      <c r="L26" s="2">
        <f t="shared" si="9"/>
        <v>-11067.98</v>
      </c>
      <c r="M26" s="2"/>
      <c r="N26" s="19">
        <f t="shared" si="10"/>
        <v>-2.5097574138658225</v>
      </c>
      <c r="O26" s="11"/>
      <c r="P26" s="2">
        <v>-4160.62</v>
      </c>
      <c r="Q26" s="2"/>
      <c r="R26" s="19">
        <f t="shared" si="11"/>
        <v>-3.8323353337537587E-3</v>
      </c>
      <c r="S26" s="2"/>
      <c r="T26" s="2">
        <v>-66571.27</v>
      </c>
      <c r="U26" s="2"/>
      <c r="V26" s="19">
        <f t="shared" si="12"/>
        <v>-5.381719352738467E-3</v>
      </c>
      <c r="W26" s="2"/>
      <c r="X26" s="2">
        <f t="shared" si="13"/>
        <v>62410.65</v>
      </c>
      <c r="Y26" s="2"/>
      <c r="Z26" s="19">
        <f t="shared" si="14"/>
        <v>-0.93750126743864126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9" t="s">
        <v>6</v>
      </c>
      <c r="C28" s="29"/>
      <c r="D28" s="22">
        <f>D12-D24</f>
        <v>96700.47</v>
      </c>
      <c r="E28" s="14"/>
      <c r="F28" s="20">
        <f>IF(D$12=0,0,D28/D$12)</f>
        <v>0.71830405893303328</v>
      </c>
      <c r="G28" s="14"/>
      <c r="H28" s="22">
        <f>H12-H24</f>
        <v>1539515.7599999998</v>
      </c>
      <c r="I28" s="14"/>
      <c r="J28" s="20">
        <f>IF(H$12=0,0,H28/H$12)</f>
        <v>0.72449847136152268</v>
      </c>
      <c r="K28" s="16"/>
      <c r="L28" s="22">
        <f>+D28-H28</f>
        <v>-1442815.2899999998</v>
      </c>
      <c r="M28" s="16"/>
      <c r="N28" s="20">
        <f>IF(H28=0,0,L28/H28)</f>
        <v>-0.93718773622687701</v>
      </c>
      <c r="O28" s="28"/>
      <c r="P28" s="22">
        <f>P12-P24</f>
        <v>744718.21</v>
      </c>
      <c r="Q28" s="14"/>
      <c r="R28" s="20">
        <f>IF(P$12=0,0,P28/P$12)</f>
        <v>0.68595784038745466</v>
      </c>
      <c r="S28" s="14"/>
      <c r="T28" s="22">
        <f>T12-T24</f>
        <v>8989603.3900000006</v>
      </c>
      <c r="U28" s="14"/>
      <c r="V28" s="20">
        <f>IF(T$12=0,0,T28/T$12)</f>
        <v>0.72673275629872058</v>
      </c>
      <c r="W28" s="16"/>
      <c r="X28" s="22">
        <f>+P28-T28</f>
        <v>-8244885.1800000006</v>
      </c>
      <c r="Y28" s="16"/>
      <c r="Z28" s="20">
        <f>IF(T28=0,0,X28/T28)</f>
        <v>-0.91715783470175982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8" t="s">
        <v>9</v>
      </c>
      <c r="C30" s="10"/>
      <c r="D30" s="21">
        <f>SUM(OSRRefD22x_0)</f>
        <v>319426.62999999989</v>
      </c>
      <c r="E30" s="21"/>
      <c r="F30" s="32">
        <f t="shared" ref="F30:F40" si="15">IF(D$12=0,0,D30/D$12)</f>
        <v>2.3727438435438848</v>
      </c>
      <c r="G30" s="21"/>
      <c r="H30" s="21">
        <f>SUM(OSRRefH22x_0)</f>
        <v>1151669.9700000002</v>
      </c>
      <c r="I30" s="21"/>
      <c r="J30" s="32">
        <f t="shared" ref="J30:J40" si="16">IF(H$12=0,0,H30/H$12)</f>
        <v>0.54197764937331394</v>
      </c>
      <c r="K30" s="4"/>
      <c r="L30" s="21">
        <f t="shared" ref="L30:L40" si="17">+D30-H30</f>
        <v>-832243.34000000032</v>
      </c>
      <c r="M30" s="4"/>
      <c r="N30" s="32">
        <f t="shared" ref="N30:N40" si="18">IF(H30=0,0,L30/H30)</f>
        <v>-0.72264048006739301</v>
      </c>
      <c r="O30" s="10"/>
      <c r="P30" s="21">
        <f>SUM(OSRRefP22x_0)</f>
        <v>2691625.8400000003</v>
      </c>
      <c r="Q30" s="21"/>
      <c r="R30" s="32">
        <f t="shared" ref="R30:R40" si="19">IF(P$12=0,0,P30/P$12)</f>
        <v>2.4792489609425141</v>
      </c>
      <c r="S30" s="21"/>
      <c r="T30" s="21">
        <f>SUM(OSRRefT22x_0)</f>
        <v>7877850.4300000006</v>
      </c>
      <c r="U30" s="21"/>
      <c r="V30" s="32">
        <f t="shared" ref="V30:V40" si="20">IF(T$12=0,0,T30/T$12)</f>
        <v>0.63685701229839919</v>
      </c>
      <c r="W30" s="4"/>
      <c r="X30" s="21">
        <f t="shared" ref="X30:X40" si="21">+P30-T30</f>
        <v>-5186224.59</v>
      </c>
      <c r="Y30" s="4"/>
      <c r="Z30" s="32">
        <f t="shared" ref="Z30:Z40" si="22">IF(T30=0,0,X30/T30)</f>
        <v>-0.65832991322735734</v>
      </c>
    </row>
    <row r="31" spans="1:26" s="25" customFormat="1" outlineLevel="1" collapsed="1" x14ac:dyDescent="0.25">
      <c r="A31" s="27"/>
      <c r="B31" s="13" t="str">
        <f>CONCATENATE("     ","*Benefits                                         ")</f>
        <v xml:space="preserve">     *Benefits                                         </v>
      </c>
      <c r="C31" s="13"/>
      <c r="D31" s="1">
        <f>SUM(OSRRefD22_0x_0)</f>
        <v>93584.98</v>
      </c>
      <c r="E31" s="1"/>
      <c r="F31" s="5">
        <f t="shared" si="15"/>
        <v>0.69516178141809171</v>
      </c>
      <c r="G31" s="1"/>
      <c r="H31" s="1">
        <f>SUM(OSRRefH22_0x_0)</f>
        <v>170339.59000000003</v>
      </c>
      <c r="I31" s="1"/>
      <c r="J31" s="5">
        <f t="shared" si="16"/>
        <v>8.0162071590191813E-2</v>
      </c>
      <c r="K31" s="1"/>
      <c r="L31" s="1">
        <f t="shared" si="17"/>
        <v>-76754.61000000003</v>
      </c>
      <c r="M31" s="1"/>
      <c r="N31" s="5">
        <f t="shared" si="18"/>
        <v>-0.4505975974228893</v>
      </c>
      <c r="O31" s="13"/>
      <c r="P31" s="1">
        <f>SUM(OSRRefP22_0x_0)</f>
        <v>783348.02</v>
      </c>
      <c r="Q31" s="1"/>
      <c r="R31" s="5">
        <f t="shared" si="19"/>
        <v>0.72153964930035575</v>
      </c>
      <c r="S31" s="1"/>
      <c r="T31" s="1">
        <f>SUM(OSRRefT22_0x_0)</f>
        <v>1310419.73</v>
      </c>
      <c r="U31" s="1"/>
      <c r="V31" s="5">
        <f t="shared" si="20"/>
        <v>0.10593625780537634</v>
      </c>
      <c r="W31" s="1"/>
      <c r="X31" s="1">
        <f t="shared" si="21"/>
        <v>-527071.71</v>
      </c>
      <c r="Y31" s="1"/>
      <c r="Z31" s="5">
        <f t="shared" si="22"/>
        <v>-0.40221594496291657</v>
      </c>
    </row>
    <row r="32" spans="1:26" s="24" customFormat="1" hidden="1" outlineLevel="2" x14ac:dyDescent="0.25">
      <c r="A32" s="26"/>
      <c r="B32" s="11" t="str">
        <f>CONCATENATE("          ", "6111", " - ", "F.I.C.A.")</f>
        <v xml:space="preserve">          6111 - F.I.C.A.</v>
      </c>
      <c r="C32" s="11"/>
      <c r="D32" s="6">
        <v>9406.1299999999992</v>
      </c>
      <c r="E32" s="2"/>
      <c r="F32" s="7">
        <f t="shared" si="15"/>
        <v>6.9869995025378592E-2</v>
      </c>
      <c r="G32" s="2"/>
      <c r="H32" s="6">
        <v>25954.99</v>
      </c>
      <c r="I32" s="2"/>
      <c r="J32" s="7">
        <f t="shared" si="16"/>
        <v>1.2214457992429784E-2</v>
      </c>
      <c r="K32" s="2"/>
      <c r="L32" s="6">
        <f t="shared" si="17"/>
        <v>-16548.86</v>
      </c>
      <c r="M32" s="2"/>
      <c r="N32" s="7">
        <f t="shared" si="18"/>
        <v>-0.63759839630067283</v>
      </c>
      <c r="O32" s="11"/>
      <c r="P32" s="6">
        <v>83461.400000000009</v>
      </c>
      <c r="Q32" s="2"/>
      <c r="R32" s="7">
        <f t="shared" si="19"/>
        <v>7.6876059871979652E-2</v>
      </c>
      <c r="S32" s="2"/>
      <c r="T32" s="6">
        <v>212911.2</v>
      </c>
      <c r="U32" s="2"/>
      <c r="V32" s="7">
        <f t="shared" si="20"/>
        <v>1.7212054471167068E-2</v>
      </c>
      <c r="W32" s="2"/>
      <c r="X32" s="6">
        <f t="shared" si="21"/>
        <v>-129449.8</v>
      </c>
      <c r="Y32" s="2"/>
      <c r="Z32" s="7">
        <f t="shared" si="22"/>
        <v>-0.60799901555202351</v>
      </c>
    </row>
    <row r="33" spans="1:26" s="24" customFormat="1" hidden="1" outlineLevel="2" x14ac:dyDescent="0.25">
      <c r="A33" s="26"/>
      <c r="B33" s="11" t="str">
        <f>CONCATENATE("          ", "6112", " - ", "COMPENSATION INSURANCE")</f>
        <v xml:space="preserve">          6112 - COMPENSATION INSURANCE</v>
      </c>
      <c r="C33" s="11"/>
      <c r="D33" s="6">
        <v>5336.1</v>
      </c>
      <c r="E33" s="2"/>
      <c r="F33" s="7">
        <f t="shared" si="15"/>
        <v>3.9637266384253966E-2</v>
      </c>
      <c r="G33" s="2"/>
      <c r="H33" s="6">
        <v>21575.390000000003</v>
      </c>
      <c r="I33" s="2"/>
      <c r="J33" s="7">
        <f t="shared" si="16"/>
        <v>1.015341153378559E-2</v>
      </c>
      <c r="K33" s="2"/>
      <c r="L33" s="6">
        <f t="shared" si="17"/>
        <v>-16239.290000000003</v>
      </c>
      <c r="M33" s="2"/>
      <c r="N33" s="7">
        <f t="shared" si="18"/>
        <v>-0.75267654489675506</v>
      </c>
      <c r="O33" s="11"/>
      <c r="P33" s="6">
        <v>45487.100000000006</v>
      </c>
      <c r="Q33" s="2"/>
      <c r="R33" s="7">
        <f t="shared" si="19"/>
        <v>4.1898039369130231E-2</v>
      </c>
      <c r="S33" s="2"/>
      <c r="T33" s="6">
        <v>120740.67000000001</v>
      </c>
      <c r="U33" s="2"/>
      <c r="V33" s="7">
        <f t="shared" si="20"/>
        <v>9.7608532990524112E-3</v>
      </c>
      <c r="W33" s="2"/>
      <c r="X33" s="6">
        <f t="shared" si="21"/>
        <v>-75253.570000000007</v>
      </c>
      <c r="Y33" s="2"/>
      <c r="Z33" s="7">
        <f t="shared" si="22"/>
        <v>-0.62326612896880562</v>
      </c>
    </row>
    <row r="34" spans="1:26" s="24" customFormat="1" hidden="1" outlineLevel="2" x14ac:dyDescent="0.25">
      <c r="A34" s="26"/>
      <c r="B34" s="11" t="str">
        <f>CONCATENATE("          ", "6113", " - ", "GROUP INSURANCE")</f>
        <v xml:space="preserve">          6113 - GROUP INSURANCE</v>
      </c>
      <c r="C34" s="11"/>
      <c r="D34" s="6">
        <v>53968.57</v>
      </c>
      <c r="E34" s="2"/>
      <c r="F34" s="7">
        <f t="shared" si="15"/>
        <v>0.40088577527918456</v>
      </c>
      <c r="G34" s="2"/>
      <c r="H34" s="6">
        <v>76392.960000000006</v>
      </c>
      <c r="I34" s="2"/>
      <c r="J34" s="7">
        <f t="shared" si="16"/>
        <v>3.59506438198346E-2</v>
      </c>
      <c r="K34" s="2"/>
      <c r="L34" s="6">
        <f t="shared" si="17"/>
        <v>-22424.390000000007</v>
      </c>
      <c r="M34" s="2"/>
      <c r="N34" s="7">
        <f t="shared" si="18"/>
        <v>-0.29354000682785436</v>
      </c>
      <c r="O34" s="11"/>
      <c r="P34" s="6">
        <v>436460.94</v>
      </c>
      <c r="Q34" s="2"/>
      <c r="R34" s="7">
        <f t="shared" si="19"/>
        <v>0.4020229394093619</v>
      </c>
      <c r="S34" s="2"/>
      <c r="T34" s="6">
        <v>560398.14</v>
      </c>
      <c r="U34" s="2"/>
      <c r="V34" s="7">
        <f t="shared" si="20"/>
        <v>4.5303409643178513E-2</v>
      </c>
      <c r="W34" s="2"/>
      <c r="X34" s="6">
        <f t="shared" si="21"/>
        <v>-123937.20000000001</v>
      </c>
      <c r="Y34" s="2"/>
      <c r="Z34" s="7">
        <f t="shared" si="22"/>
        <v>-0.22115919228425707</v>
      </c>
    </row>
    <row r="35" spans="1:26" s="24" customFormat="1" hidden="1" outlineLevel="2" x14ac:dyDescent="0.25">
      <c r="A35" s="26"/>
      <c r="B35" s="11" t="str">
        <f>CONCATENATE("          ", "6114", " - ", "STATE UNEMPLOYMENT INSURANCE")</f>
        <v xml:space="preserve">          6114 - STATE UNEMPLOYMENT INSURANCE</v>
      </c>
      <c r="C35" s="11"/>
      <c r="D35" s="6">
        <v>369.62</v>
      </c>
      <c r="E35" s="2"/>
      <c r="F35" s="7">
        <f t="shared" si="15"/>
        <v>2.7455869269593803E-3</v>
      </c>
      <c r="G35" s="2"/>
      <c r="H35" s="6">
        <v>1495.01</v>
      </c>
      <c r="I35" s="2"/>
      <c r="J35" s="7">
        <f t="shared" si="16"/>
        <v>7.0355399263349546E-4</v>
      </c>
      <c r="K35" s="2"/>
      <c r="L35" s="6">
        <f t="shared" si="17"/>
        <v>-1125.3899999999999</v>
      </c>
      <c r="M35" s="2"/>
      <c r="N35" s="7">
        <f t="shared" si="18"/>
        <v>-0.75276419555722029</v>
      </c>
      <c r="O35" s="11"/>
      <c r="P35" s="6">
        <v>3244.12</v>
      </c>
      <c r="Q35" s="2"/>
      <c r="R35" s="7">
        <f t="shared" si="19"/>
        <v>2.9881497716535621E-3</v>
      </c>
      <c r="S35" s="2"/>
      <c r="T35" s="6">
        <v>10308.18</v>
      </c>
      <c r="U35" s="2"/>
      <c r="V35" s="7">
        <f t="shared" si="20"/>
        <v>8.3332842827711726E-4</v>
      </c>
      <c r="W35" s="2"/>
      <c r="X35" s="6">
        <f t="shared" si="21"/>
        <v>-7064.06</v>
      </c>
      <c r="Y35" s="2"/>
      <c r="Z35" s="7">
        <f t="shared" si="22"/>
        <v>-0.68528683045891714</v>
      </c>
    </row>
    <row r="36" spans="1:26" s="24" customFormat="1" hidden="1" outlineLevel="2" x14ac:dyDescent="0.25">
      <c r="A36" s="26"/>
      <c r="B36" s="11" t="str">
        <f>CONCATENATE("          ", "6115", " - ", "P.E.R.S.")</f>
        <v xml:space="preserve">          6115 - P.E.R.S.</v>
      </c>
      <c r="C36" s="11"/>
      <c r="D36" s="6">
        <v>6297.64</v>
      </c>
      <c r="E36" s="2"/>
      <c r="F36" s="7">
        <f t="shared" si="15"/>
        <v>4.6779714449154464E-2</v>
      </c>
      <c r="G36" s="2"/>
      <c r="H36" s="6">
        <v>10828.35</v>
      </c>
      <c r="I36" s="2"/>
      <c r="J36" s="7">
        <f t="shared" si="16"/>
        <v>5.095838072075044E-3</v>
      </c>
      <c r="K36" s="2"/>
      <c r="L36" s="6">
        <f t="shared" si="17"/>
        <v>-4530.71</v>
      </c>
      <c r="M36" s="2"/>
      <c r="N36" s="7">
        <f t="shared" si="18"/>
        <v>-0.41841185406825598</v>
      </c>
      <c r="O36" s="11"/>
      <c r="P36" s="6">
        <v>59476.530000000006</v>
      </c>
      <c r="Q36" s="2"/>
      <c r="R36" s="7">
        <f t="shared" si="19"/>
        <v>5.4783663840501047E-2</v>
      </c>
      <c r="S36" s="2"/>
      <c r="T36" s="6">
        <v>95366.41</v>
      </c>
      <c r="U36" s="2"/>
      <c r="V36" s="7">
        <f t="shared" si="20"/>
        <v>7.7095608105146743E-3</v>
      </c>
      <c r="W36" s="2"/>
      <c r="X36" s="6">
        <f t="shared" si="21"/>
        <v>-35889.879999999997</v>
      </c>
      <c r="Y36" s="2"/>
      <c r="Z36" s="7">
        <f t="shared" si="22"/>
        <v>-0.37633669968283379</v>
      </c>
    </row>
    <row r="37" spans="1:26" s="24" customFormat="1" hidden="1" outlineLevel="2" x14ac:dyDescent="0.25">
      <c r="A37" s="26"/>
      <c r="B37" s="11" t="str">
        <f>CONCATENATE("          ", "6117", " - ", "RETIREMENT STAFF HOURLY")</f>
        <v xml:space="preserve">          6117 - RETIREMENT STAFF HOURLY</v>
      </c>
      <c r="C37" s="11"/>
      <c r="D37" s="6">
        <v>1429.17</v>
      </c>
      <c r="E37" s="2"/>
      <c r="F37" s="7">
        <f t="shared" si="15"/>
        <v>1.0616066415244136E-2</v>
      </c>
      <c r="G37" s="2"/>
      <c r="H37" s="6">
        <v>1040.95</v>
      </c>
      <c r="I37" s="2"/>
      <c r="J37" s="7">
        <f t="shared" si="16"/>
        <v>4.8987266214395699E-4</v>
      </c>
      <c r="K37" s="2"/>
      <c r="L37" s="6">
        <f t="shared" si="17"/>
        <v>388.22</v>
      </c>
      <c r="M37" s="2"/>
      <c r="N37" s="7">
        <f t="shared" si="18"/>
        <v>0.37294778807819778</v>
      </c>
      <c r="O37" s="11"/>
      <c r="P37" s="6">
        <v>11902.4</v>
      </c>
      <c r="Q37" s="2"/>
      <c r="R37" s="7">
        <f t="shared" si="19"/>
        <v>1.0963267031469045E-2</v>
      </c>
      <c r="S37" s="2"/>
      <c r="T37" s="6">
        <v>14331.24</v>
      </c>
      <c r="U37" s="2"/>
      <c r="V37" s="7">
        <f t="shared" si="20"/>
        <v>1.1585585141569272E-3</v>
      </c>
      <c r="W37" s="2"/>
      <c r="X37" s="6">
        <f t="shared" si="21"/>
        <v>-2428.84</v>
      </c>
      <c r="Y37" s="2"/>
      <c r="Z37" s="7">
        <f t="shared" si="22"/>
        <v>-0.16947870526207084</v>
      </c>
    </row>
    <row r="38" spans="1:26" s="24" customFormat="1" hidden="1" outlineLevel="2" x14ac:dyDescent="0.25">
      <c r="A38" s="26"/>
      <c r="B38" s="11" t="str">
        <f>CONCATENATE("          ", "6118", " - ", "VACATION")</f>
        <v xml:space="preserve">          6118 - VACATION</v>
      </c>
      <c r="C38" s="11"/>
      <c r="D38" s="6">
        <v>8303.74</v>
      </c>
      <c r="E38" s="2"/>
      <c r="F38" s="7">
        <f t="shared" si="15"/>
        <v>6.1681294272143507E-2</v>
      </c>
      <c r="G38" s="2"/>
      <c r="H38" s="6">
        <v>14318.23</v>
      </c>
      <c r="I38" s="2"/>
      <c r="J38" s="7">
        <f t="shared" si="16"/>
        <v>6.7381809378831538E-3</v>
      </c>
      <c r="K38" s="2"/>
      <c r="L38" s="6">
        <f t="shared" si="17"/>
        <v>-6014.49</v>
      </c>
      <c r="M38" s="2"/>
      <c r="N38" s="7">
        <f t="shared" si="18"/>
        <v>-0.42005820551841955</v>
      </c>
      <c r="O38" s="11"/>
      <c r="P38" s="6">
        <v>73426.61</v>
      </c>
      <c r="Q38" s="2"/>
      <c r="R38" s="7">
        <f t="shared" si="19"/>
        <v>6.7633043137983545E-2</v>
      </c>
      <c r="S38" s="2"/>
      <c r="T38" s="6">
        <v>127479.96</v>
      </c>
      <c r="U38" s="2"/>
      <c r="V38" s="7">
        <f t="shared" si="20"/>
        <v>1.0305667412058168E-2</v>
      </c>
      <c r="W38" s="2"/>
      <c r="X38" s="6">
        <f t="shared" si="21"/>
        <v>-54053.350000000006</v>
      </c>
      <c r="Y38" s="2"/>
      <c r="Z38" s="7">
        <f t="shared" si="22"/>
        <v>-0.42401448823799442</v>
      </c>
    </row>
    <row r="39" spans="1:26" s="24" customFormat="1" hidden="1" outlineLevel="2" x14ac:dyDescent="0.25">
      <c r="A39" s="26"/>
      <c r="B39" s="11" t="str">
        <f>CONCATENATE("          ", "6119", " - ", "SICK LEAVE")</f>
        <v xml:space="preserve">          6119 - SICK LEAVE</v>
      </c>
      <c r="C39" s="11"/>
      <c r="D39" s="6">
        <v>5531.73</v>
      </c>
      <c r="E39" s="2"/>
      <c r="F39" s="7">
        <f t="shared" si="15"/>
        <v>4.1090432258722505E-2</v>
      </c>
      <c r="G39" s="2"/>
      <c r="H39" s="6">
        <v>10322.969999999999</v>
      </c>
      <c r="I39" s="2"/>
      <c r="J39" s="7">
        <f t="shared" si="16"/>
        <v>4.8580054710910259E-3</v>
      </c>
      <c r="K39" s="2"/>
      <c r="L39" s="6">
        <f t="shared" si="17"/>
        <v>-4791.24</v>
      </c>
      <c r="M39" s="2"/>
      <c r="N39" s="7">
        <f t="shared" si="18"/>
        <v>-0.46413386845064941</v>
      </c>
      <c r="O39" s="11"/>
      <c r="P39" s="6">
        <v>47149.98</v>
      </c>
      <c r="Q39" s="2"/>
      <c r="R39" s="7">
        <f t="shared" si="19"/>
        <v>4.3429713441694523E-2</v>
      </c>
      <c r="S39" s="2"/>
      <c r="T39" s="6">
        <v>114765.54999999999</v>
      </c>
      <c r="U39" s="2"/>
      <c r="V39" s="7">
        <f t="shared" si="20"/>
        <v>9.2778158124769746E-3</v>
      </c>
      <c r="W39" s="2"/>
      <c r="X39" s="6">
        <f t="shared" si="21"/>
        <v>-67615.569999999978</v>
      </c>
      <c r="Y39" s="2"/>
      <c r="Z39" s="7">
        <f t="shared" si="22"/>
        <v>-0.58916260149496069</v>
      </c>
    </row>
    <row r="40" spans="1:26" s="24" customFormat="1" hidden="1" outlineLevel="2" x14ac:dyDescent="0.25">
      <c r="A40" s="26"/>
      <c r="B40" s="11" t="str">
        <f>CONCATENATE("          ", "6156", " - ", "EMPLOYEE MEALS")</f>
        <v xml:space="preserve">          6156 - EMPLOYEE MEALS</v>
      </c>
      <c r="C40" s="11"/>
      <c r="D40" s="6">
        <v>2942.28</v>
      </c>
      <c r="E40" s="2"/>
      <c r="F40" s="7">
        <f t="shared" si="15"/>
        <v>2.1855650407050609E-2</v>
      </c>
      <c r="G40" s="2"/>
      <c r="H40" s="6">
        <v>8410.74</v>
      </c>
      <c r="I40" s="2"/>
      <c r="J40" s="7">
        <f t="shared" si="16"/>
        <v>3.9581071083151587E-3</v>
      </c>
      <c r="K40" s="2"/>
      <c r="L40" s="6">
        <f t="shared" si="17"/>
        <v>-5468.4599999999991</v>
      </c>
      <c r="M40" s="2"/>
      <c r="N40" s="7">
        <f t="shared" si="18"/>
        <v>-0.6501758465961377</v>
      </c>
      <c r="O40" s="11"/>
      <c r="P40" s="6">
        <v>22738.94</v>
      </c>
      <c r="Q40" s="2"/>
      <c r="R40" s="7">
        <f t="shared" si="19"/>
        <v>2.0944773426582262E-2</v>
      </c>
      <c r="S40" s="2"/>
      <c r="T40" s="6">
        <v>54118.380000000005</v>
      </c>
      <c r="U40" s="2"/>
      <c r="V40" s="7">
        <f t="shared" si="20"/>
        <v>4.3750094144944865E-3</v>
      </c>
      <c r="W40" s="2"/>
      <c r="X40" s="6">
        <f t="shared" si="21"/>
        <v>-31379.440000000006</v>
      </c>
      <c r="Y40" s="2"/>
      <c r="Z40" s="7">
        <f t="shared" si="22"/>
        <v>-0.57982962535094362</v>
      </c>
    </row>
    <row r="41" spans="1:26" s="25" customFormat="1" outlineLevel="1" collapsed="1" x14ac:dyDescent="0.25">
      <c r="A41" s="27"/>
      <c r="B41" s="13" t="str">
        <f>CONCATENATE("     ","*Payroll                                          ")</f>
        <v xml:space="preserve">     *Payroll                                          </v>
      </c>
      <c r="C41" s="13"/>
      <c r="D41" s="1">
        <f>SUM(OSRRefD22_1x_0)</f>
        <v>122628.34999999999</v>
      </c>
      <c r="E41" s="1"/>
      <c r="F41" s="5">
        <f t="shared" ref="F41:F48" si="23">IF(D$12=0,0,D41/D$12)</f>
        <v>0.91089982856609297</v>
      </c>
      <c r="G41" s="1"/>
      <c r="H41" s="1">
        <f>SUM(OSRRefH22_1x_0)</f>
        <v>551880.83000000007</v>
      </c>
      <c r="I41" s="1"/>
      <c r="J41" s="5">
        <f t="shared" ref="J41:J48" si="24">IF(H$12=0,0,H41/H$12)</f>
        <v>0.25971596270552533</v>
      </c>
      <c r="K41" s="1"/>
      <c r="L41" s="1">
        <f t="shared" ref="L41:L48" si="25">+D41-H41</f>
        <v>-429252.4800000001</v>
      </c>
      <c r="M41" s="1"/>
      <c r="N41" s="5">
        <f t="shared" ref="N41:N48" si="26">IF(H41=0,0,L41/H41)</f>
        <v>-0.77779922161818893</v>
      </c>
      <c r="O41" s="13"/>
      <c r="P41" s="1">
        <f>SUM(OSRRefP22_1x_0)</f>
        <v>1078821.5399999998</v>
      </c>
      <c r="Q41" s="1"/>
      <c r="R41" s="5">
        <f t="shared" ref="R41:R48" si="27">IF(P$12=0,0,P41/P$12)</f>
        <v>0.99369947425062688</v>
      </c>
      <c r="S41" s="1"/>
      <c r="T41" s="1">
        <f>SUM(OSRRefT22_1x_0)</f>
        <v>3814774.64</v>
      </c>
      <c r="U41" s="1"/>
      <c r="V41" s="5">
        <f t="shared" ref="V41:V48" si="28">IF(T$12=0,0,T41/T$12)</f>
        <v>0.30839199111604626</v>
      </c>
      <c r="W41" s="1"/>
      <c r="X41" s="1">
        <f t="shared" ref="X41:X48" si="29">+P41-T41</f>
        <v>-2735953.1000000006</v>
      </c>
      <c r="Y41" s="1"/>
      <c r="Z41" s="5">
        <f t="shared" ref="Z41:Z48" si="30">IF(T41=0,0,X41/T41)</f>
        <v>-0.71719914233255999</v>
      </c>
    </row>
    <row r="42" spans="1:26" s="24" customFormat="1" hidden="1" outlineLevel="2" x14ac:dyDescent="0.25">
      <c r="A42" s="26"/>
      <c r="B42" s="11" t="str">
        <f>CONCATENATE("          ", "6001", " - ", "ADMINISTRATIVE SALARIES")</f>
        <v xml:space="preserve">          6001 - ADMINISTRATIVE SALARIES</v>
      </c>
      <c r="C42" s="11"/>
      <c r="D42" s="6">
        <v>19625.36</v>
      </c>
      <c r="E42" s="2"/>
      <c r="F42" s="7">
        <f t="shared" si="23"/>
        <v>0.14577980588948528</v>
      </c>
      <c r="G42" s="2"/>
      <c r="H42" s="6">
        <v>26595.510000000002</v>
      </c>
      <c r="I42" s="2"/>
      <c r="J42" s="7">
        <f t="shared" si="24"/>
        <v>1.251588768411185E-2</v>
      </c>
      <c r="K42" s="2"/>
      <c r="L42" s="6">
        <f t="shared" si="25"/>
        <v>-6970.1500000000015</v>
      </c>
      <c r="M42" s="2"/>
      <c r="N42" s="7">
        <f t="shared" si="26"/>
        <v>-0.2620799525935017</v>
      </c>
      <c r="O42" s="11"/>
      <c r="P42" s="6">
        <v>160352.26</v>
      </c>
      <c r="Q42" s="2"/>
      <c r="R42" s="7">
        <f t="shared" si="27"/>
        <v>0.14770001390304077</v>
      </c>
      <c r="S42" s="2"/>
      <c r="T42" s="6">
        <v>205758.53</v>
      </c>
      <c r="U42" s="2"/>
      <c r="V42" s="7">
        <f t="shared" si="28"/>
        <v>1.6633822111130195E-2</v>
      </c>
      <c r="W42" s="2"/>
      <c r="X42" s="6">
        <f t="shared" si="29"/>
        <v>-45406.26999999999</v>
      </c>
      <c r="Y42" s="2"/>
      <c r="Z42" s="7">
        <f t="shared" si="30"/>
        <v>-0.22067746109966857</v>
      </c>
    </row>
    <row r="43" spans="1:26" s="24" customFormat="1" hidden="1" outlineLevel="2" x14ac:dyDescent="0.25">
      <c r="A43" s="26"/>
      <c r="B43" s="11" t="str">
        <f>CONCATENATE("          ", "6002", " - ", "STAFF SALARIES")</f>
        <v xml:space="preserve">          6002 - STAFF SALARIES</v>
      </c>
      <c r="C43" s="11"/>
      <c r="D43" s="6">
        <v>42770.74</v>
      </c>
      <c r="E43" s="2"/>
      <c r="F43" s="7">
        <f t="shared" si="23"/>
        <v>0.31770679238238902</v>
      </c>
      <c r="G43" s="2"/>
      <c r="H43" s="6">
        <v>95782.89</v>
      </c>
      <c r="I43" s="2"/>
      <c r="J43" s="7">
        <f t="shared" si="24"/>
        <v>4.5075574534936165E-2</v>
      </c>
      <c r="K43" s="2"/>
      <c r="L43" s="6">
        <f t="shared" si="25"/>
        <v>-53012.15</v>
      </c>
      <c r="M43" s="2"/>
      <c r="N43" s="7">
        <f t="shared" si="26"/>
        <v>-0.55346158379643795</v>
      </c>
      <c r="O43" s="11"/>
      <c r="P43" s="6">
        <v>352277.26999999996</v>
      </c>
      <c r="Q43" s="2"/>
      <c r="R43" s="7">
        <f t="shared" si="27"/>
        <v>0.32448159867983928</v>
      </c>
      <c r="S43" s="2"/>
      <c r="T43" s="6">
        <v>815041.89</v>
      </c>
      <c r="U43" s="2"/>
      <c r="V43" s="7">
        <f t="shared" si="28"/>
        <v>6.5889184819600655E-2</v>
      </c>
      <c r="W43" s="2"/>
      <c r="X43" s="6">
        <f t="shared" si="29"/>
        <v>-462764.62000000005</v>
      </c>
      <c r="Y43" s="2"/>
      <c r="Z43" s="7">
        <f t="shared" si="30"/>
        <v>-0.56778016648935681</v>
      </c>
    </row>
    <row r="44" spans="1:26" s="24" customFormat="1" hidden="1" outlineLevel="2" x14ac:dyDescent="0.25">
      <c r="A44" s="26"/>
      <c r="B44" s="11" t="str">
        <f>CONCATENATE("          ", "6004", " - ", "STAFF HOURLY")</f>
        <v xml:space="preserve">          6004 - STAFF HOURLY</v>
      </c>
      <c r="C44" s="11"/>
      <c r="D44" s="6">
        <v>39445.699999999997</v>
      </c>
      <c r="E44" s="2"/>
      <c r="F44" s="7">
        <f t="shared" si="23"/>
        <v>0.29300794936627245</v>
      </c>
      <c r="G44" s="2"/>
      <c r="H44" s="6">
        <v>92046</v>
      </c>
      <c r="I44" s="2"/>
      <c r="J44" s="7">
        <f t="shared" si="24"/>
        <v>4.3316988385323663E-2</v>
      </c>
      <c r="K44" s="2"/>
      <c r="L44" s="6">
        <f t="shared" si="25"/>
        <v>-52600.3</v>
      </c>
      <c r="M44" s="2"/>
      <c r="N44" s="7">
        <f t="shared" si="26"/>
        <v>-0.57145666297286146</v>
      </c>
      <c r="O44" s="11"/>
      <c r="P44" s="6">
        <v>373828.47000000003</v>
      </c>
      <c r="Q44" s="2"/>
      <c r="R44" s="7">
        <f t="shared" si="27"/>
        <v>0.34433234814621549</v>
      </c>
      <c r="S44" s="2"/>
      <c r="T44" s="6">
        <v>649965.66</v>
      </c>
      <c r="U44" s="2"/>
      <c r="V44" s="7">
        <f t="shared" si="28"/>
        <v>5.2544179659445134E-2</v>
      </c>
      <c r="W44" s="2"/>
      <c r="X44" s="6">
        <f t="shared" si="29"/>
        <v>-276137.19</v>
      </c>
      <c r="Y44" s="2"/>
      <c r="Z44" s="7">
        <f t="shared" si="30"/>
        <v>-0.42484889124757758</v>
      </c>
    </row>
    <row r="45" spans="1:26" s="24" customFormat="1" hidden="1" outlineLevel="2" x14ac:dyDescent="0.25">
      <c r="A45" s="26"/>
      <c r="B45" s="11" t="str">
        <f>CONCATENATE("          ", "6005", " - ", "TEMPORARY WAGES-HOURLY")</f>
        <v xml:space="preserve">          6005 - TEMPORARY WAGES-HOURLY</v>
      </c>
      <c r="C45" s="11"/>
      <c r="D45" s="6">
        <v>9662.36</v>
      </c>
      <c r="E45" s="2"/>
      <c r="F45" s="7">
        <f t="shared" si="23"/>
        <v>7.1773305826457551E-2</v>
      </c>
      <c r="G45" s="2"/>
      <c r="H45" s="6">
        <v>105568.24</v>
      </c>
      <c r="I45" s="2"/>
      <c r="J45" s="7">
        <f t="shared" si="24"/>
        <v>4.9680575211731755E-2</v>
      </c>
      <c r="K45" s="2"/>
      <c r="L45" s="6">
        <f t="shared" si="25"/>
        <v>-95905.88</v>
      </c>
      <c r="M45" s="2"/>
      <c r="N45" s="7">
        <f t="shared" si="26"/>
        <v>-0.90847285130452116</v>
      </c>
      <c r="O45" s="11"/>
      <c r="P45" s="6">
        <v>83142.75</v>
      </c>
      <c r="Q45" s="2"/>
      <c r="R45" s="7">
        <f t="shared" si="27"/>
        <v>7.6582552256744263E-2</v>
      </c>
      <c r="S45" s="2"/>
      <c r="T45" s="6">
        <v>703863.35</v>
      </c>
      <c r="U45" s="2"/>
      <c r="V45" s="7">
        <f t="shared" si="28"/>
        <v>5.6901348169838557E-2</v>
      </c>
      <c r="W45" s="2"/>
      <c r="X45" s="6">
        <f t="shared" si="29"/>
        <v>-620720.6</v>
      </c>
      <c r="Y45" s="2"/>
      <c r="Z45" s="7">
        <f t="shared" si="30"/>
        <v>-0.88187657447997536</v>
      </c>
    </row>
    <row r="46" spans="1:26" s="24" customFormat="1" hidden="1" outlineLevel="2" x14ac:dyDescent="0.25">
      <c r="A46" s="26"/>
      <c r="B46" s="11" t="str">
        <f>CONCATENATE("          ", "6006", " - ", "TEMPORARY PART TIME")</f>
        <v xml:space="preserve">          6006 - TEMPORARY PART TIME</v>
      </c>
      <c r="C46" s="11"/>
      <c r="D46" s="6">
        <v>609</v>
      </c>
      <c r="E46" s="2"/>
      <c r="F46" s="7">
        <f t="shared" si="23"/>
        <v>4.5237336684115104E-3</v>
      </c>
      <c r="G46" s="2"/>
      <c r="H46" s="6">
        <v>2656.42</v>
      </c>
      <c r="I46" s="2"/>
      <c r="J46" s="7">
        <f t="shared" si="24"/>
        <v>1.2501153150222875E-3</v>
      </c>
      <c r="K46" s="2"/>
      <c r="L46" s="6">
        <f t="shared" si="25"/>
        <v>-2047.42</v>
      </c>
      <c r="M46" s="2"/>
      <c r="N46" s="7">
        <f t="shared" si="26"/>
        <v>-0.77074408414332074</v>
      </c>
      <c r="O46" s="11"/>
      <c r="P46" s="6">
        <v>609</v>
      </c>
      <c r="Q46" s="2"/>
      <c r="R46" s="7">
        <f t="shared" si="27"/>
        <v>5.6094818038081805E-4</v>
      </c>
      <c r="S46" s="2"/>
      <c r="T46" s="6">
        <v>43237.919999999998</v>
      </c>
      <c r="U46" s="2"/>
      <c r="V46" s="7">
        <f t="shared" si="28"/>
        <v>3.495417029540785E-3</v>
      </c>
      <c r="W46" s="2"/>
      <c r="X46" s="6">
        <f t="shared" si="29"/>
        <v>-42628.92</v>
      </c>
      <c r="Y46" s="2"/>
      <c r="Z46" s="7">
        <f t="shared" si="30"/>
        <v>-0.98591514115387602</v>
      </c>
    </row>
    <row r="47" spans="1:26" s="24" customFormat="1" hidden="1" outlineLevel="2" x14ac:dyDescent="0.25">
      <c r="A47" s="26"/>
      <c r="B47" s="11" t="str">
        <f>CONCATENATE("          ", "6007", " - ", "STUDENT HOURLY")</f>
        <v xml:space="preserve">          6007 - STUDENT HOURLY</v>
      </c>
      <c r="C47" s="11"/>
      <c r="D47" s="6">
        <v>10515.19</v>
      </c>
      <c r="E47" s="2"/>
      <c r="F47" s="7">
        <f t="shared" si="23"/>
        <v>7.8108241433077236E-2</v>
      </c>
      <c r="G47" s="2"/>
      <c r="H47" s="6">
        <v>198944.59</v>
      </c>
      <c r="I47" s="2"/>
      <c r="J47" s="7">
        <f t="shared" si="24"/>
        <v>9.362362834183971E-2</v>
      </c>
      <c r="K47" s="2"/>
      <c r="L47" s="6">
        <f t="shared" si="25"/>
        <v>-188429.4</v>
      </c>
      <c r="M47" s="2"/>
      <c r="N47" s="7">
        <f t="shared" si="26"/>
        <v>-0.94714513221998142</v>
      </c>
      <c r="O47" s="11"/>
      <c r="P47" s="6">
        <v>97980.909999999989</v>
      </c>
      <c r="Q47" s="2"/>
      <c r="R47" s="7">
        <f t="shared" si="27"/>
        <v>9.0249939534575843E-2</v>
      </c>
      <c r="S47" s="2"/>
      <c r="T47" s="6">
        <v>1224371.69</v>
      </c>
      <c r="U47" s="2"/>
      <c r="V47" s="7">
        <f t="shared" si="28"/>
        <v>9.8980007727328942E-2</v>
      </c>
      <c r="W47" s="2"/>
      <c r="X47" s="6">
        <f t="shared" si="29"/>
        <v>-1126390.78</v>
      </c>
      <c r="Y47" s="2"/>
      <c r="Z47" s="7">
        <f t="shared" si="30"/>
        <v>-0.91997453812412155</v>
      </c>
    </row>
    <row r="48" spans="1:26" s="24" customFormat="1" hidden="1" outlineLevel="2" x14ac:dyDescent="0.25">
      <c r="A48" s="26"/>
      <c r="B48" s="11" t="str">
        <f>CONCATENATE("          ", "6008", " - ", "STUDENT HOURLY-FICA EXEMPT")</f>
        <v xml:space="preserve">          6008 - STUDENT HOURLY-FICA EXEMPT</v>
      </c>
      <c r="C48" s="11"/>
      <c r="D48" s="6"/>
      <c r="E48" s="2"/>
      <c r="F48" s="7">
        <f t="shared" si="23"/>
        <v>0</v>
      </c>
      <c r="G48" s="2"/>
      <c r="H48" s="6">
        <v>30287.180000000004</v>
      </c>
      <c r="I48" s="2"/>
      <c r="J48" s="7">
        <f t="shared" si="24"/>
        <v>1.4253193232559887E-2</v>
      </c>
      <c r="K48" s="2"/>
      <c r="L48" s="6">
        <f t="shared" si="25"/>
        <v>-30287.180000000004</v>
      </c>
      <c r="M48" s="2"/>
      <c r="N48" s="7">
        <f t="shared" si="26"/>
        <v>-1</v>
      </c>
      <c r="O48" s="11"/>
      <c r="P48" s="6">
        <v>10630.88</v>
      </c>
      <c r="Q48" s="2"/>
      <c r="R48" s="7">
        <f t="shared" si="27"/>
        <v>9.7920735498305909E-3</v>
      </c>
      <c r="S48" s="2"/>
      <c r="T48" s="6">
        <v>172535.6</v>
      </c>
      <c r="U48" s="2"/>
      <c r="V48" s="7">
        <f t="shared" si="28"/>
        <v>1.3948031599161964E-2</v>
      </c>
      <c r="W48" s="2"/>
      <c r="X48" s="6">
        <f t="shared" si="29"/>
        <v>-161904.72</v>
      </c>
      <c r="Y48" s="2"/>
      <c r="Z48" s="7">
        <f t="shared" si="30"/>
        <v>-0.93838442617059892</v>
      </c>
    </row>
    <row r="49" spans="1:26" s="25" customFormat="1" outlineLevel="1" collapsed="1" x14ac:dyDescent="0.25">
      <c r="A49" s="27"/>
      <c r="B49" s="13" t="str">
        <f>CONCATENATE("     ","Advertising/Promo                                 ")</f>
        <v xml:space="preserve">     Advertising/Promo                                 </v>
      </c>
      <c r="C49" s="13"/>
      <c r="D49" s="1">
        <f>SUM(OSRRefD22_2x_0)</f>
        <v>78.48</v>
      </c>
      <c r="E49" s="1"/>
      <c r="F49" s="5">
        <f t="shared" ref="F49:F58" si="31">IF(D$12=0,0,D49/D$12)</f>
        <v>5.8295996436278383E-4</v>
      </c>
      <c r="G49" s="1"/>
      <c r="H49" s="1">
        <f>SUM(OSRRefH22_2x_0)</f>
        <v>2488.48</v>
      </c>
      <c r="I49" s="1"/>
      <c r="J49" s="5">
        <f t="shared" ref="J49:J58" si="32">IF(H$12=0,0,H49/H$12)</f>
        <v>1.1710824941562939E-3</v>
      </c>
      <c r="K49" s="1"/>
      <c r="L49" s="1">
        <f t="shared" ref="L49:L58" si="33">+D49-H49</f>
        <v>-2410</v>
      </c>
      <c r="M49" s="1"/>
      <c r="N49" s="5">
        <f t="shared" ref="N49:N58" si="34">IF(H49=0,0,L49/H49)</f>
        <v>-0.96846267601105895</v>
      </c>
      <c r="O49" s="13"/>
      <c r="P49" s="1">
        <f>SUM(OSRRefP22_2x_0)</f>
        <v>1663</v>
      </c>
      <c r="Q49" s="1"/>
      <c r="R49" s="5">
        <f t="shared" ref="R49:R58" si="35">IF(P$12=0,0,P49/P$12)</f>
        <v>1.5317846042254522E-3</v>
      </c>
      <c r="S49" s="1"/>
      <c r="T49" s="1">
        <f>SUM(OSRRefT22_2x_0)</f>
        <v>34517.79</v>
      </c>
      <c r="U49" s="1"/>
      <c r="V49" s="5">
        <f t="shared" ref="V49:V58" si="36">IF(T$12=0,0,T49/T$12)</f>
        <v>2.7904688983214879E-3</v>
      </c>
      <c r="W49" s="1"/>
      <c r="X49" s="1">
        <f t="shared" ref="X49:X58" si="37">+P49-T49</f>
        <v>-32854.79</v>
      </c>
      <c r="Y49" s="1"/>
      <c r="Z49" s="5">
        <f t="shared" ref="Z49:Z58" si="38">IF(T49=0,0,X49/T49)</f>
        <v>-0.95182194456829361</v>
      </c>
    </row>
    <row r="50" spans="1:26" s="24" customFormat="1" hidden="1" outlineLevel="2" x14ac:dyDescent="0.25">
      <c r="A50" s="26"/>
      <c r="B50" s="11" t="str">
        <f>CONCATENATE("          ", "6362", " - ", "ADVERTISING EXPENSE")</f>
        <v xml:space="preserve">          6362 - ADVERTISING EXPENSE</v>
      </c>
      <c r="C50" s="11"/>
      <c r="D50" s="6">
        <v>78.48</v>
      </c>
      <c r="E50" s="2"/>
      <c r="F50" s="7">
        <f t="shared" si="31"/>
        <v>5.8295996436278383E-4</v>
      </c>
      <c r="G50" s="2"/>
      <c r="H50" s="6">
        <v>2488.48</v>
      </c>
      <c r="I50" s="2"/>
      <c r="J50" s="7">
        <f t="shared" si="32"/>
        <v>1.1710824941562939E-3</v>
      </c>
      <c r="K50" s="2"/>
      <c r="L50" s="6">
        <f t="shared" si="33"/>
        <v>-2410</v>
      </c>
      <c r="M50" s="2"/>
      <c r="N50" s="7">
        <f t="shared" si="34"/>
        <v>-0.96846267601105895</v>
      </c>
      <c r="O50" s="11"/>
      <c r="P50" s="6">
        <v>1663</v>
      </c>
      <c r="Q50" s="2"/>
      <c r="R50" s="7">
        <f t="shared" si="35"/>
        <v>1.5317846042254522E-3</v>
      </c>
      <c r="S50" s="2"/>
      <c r="T50" s="6">
        <v>34517.79</v>
      </c>
      <c r="U50" s="2"/>
      <c r="V50" s="7">
        <f t="shared" si="36"/>
        <v>2.7904688983214879E-3</v>
      </c>
      <c r="W50" s="2"/>
      <c r="X50" s="6">
        <f t="shared" si="37"/>
        <v>-32854.79</v>
      </c>
      <c r="Y50" s="2"/>
      <c r="Z50" s="7">
        <f t="shared" si="38"/>
        <v>-0.95182194456829361</v>
      </c>
    </row>
    <row r="51" spans="1:26" s="25" customFormat="1" outlineLevel="1" collapsed="1" x14ac:dyDescent="0.25">
      <c r="A51" s="27"/>
      <c r="B51" s="13" t="str">
        <f>CONCATENATE("     ","Bad Debts/Over/Short                              ")</f>
        <v xml:space="preserve">     Bad Debts/Over/Short                              </v>
      </c>
      <c r="C51" s="13"/>
      <c r="D51" s="1">
        <f>SUM(OSRRefD22_3x_0)</f>
        <v>-16.2</v>
      </c>
      <c r="E51" s="1"/>
      <c r="F51" s="5">
        <f t="shared" si="31"/>
        <v>-1.2033577246020766E-4</v>
      </c>
      <c r="G51" s="1"/>
      <c r="H51" s="1">
        <f>SUM(OSRRefH22_3x_0)</f>
        <v>235.35</v>
      </c>
      <c r="I51" s="1"/>
      <c r="J51" s="5">
        <f t="shared" si="32"/>
        <v>1.1075606997029663E-4</v>
      </c>
      <c r="K51" s="1"/>
      <c r="L51" s="1">
        <f t="shared" si="33"/>
        <v>-251.54999999999998</v>
      </c>
      <c r="M51" s="1"/>
      <c r="N51" s="5">
        <f t="shared" si="34"/>
        <v>-1.0688336520076482</v>
      </c>
      <c r="O51" s="13"/>
      <c r="P51" s="1">
        <f>SUM(OSRRefP22_3x_0)</f>
        <v>62.33</v>
      </c>
      <c r="Q51" s="1"/>
      <c r="R51" s="5">
        <f t="shared" si="35"/>
        <v>5.7411987000223952E-5</v>
      </c>
      <c r="S51" s="1"/>
      <c r="T51" s="1">
        <f>SUM(OSRRefT22_3x_0)</f>
        <v>-240.07</v>
      </c>
      <c r="U51" s="1"/>
      <c r="V51" s="5">
        <f t="shared" si="36"/>
        <v>-1.940761179728017E-5</v>
      </c>
      <c r="W51" s="1"/>
      <c r="X51" s="1">
        <f t="shared" si="37"/>
        <v>302.39999999999998</v>
      </c>
      <c r="Y51" s="1"/>
      <c r="Z51" s="5">
        <f t="shared" si="38"/>
        <v>-1.259632607156246</v>
      </c>
    </row>
    <row r="52" spans="1:26" s="24" customFormat="1" hidden="1" outlineLevel="2" x14ac:dyDescent="0.25">
      <c r="A52" s="26"/>
      <c r="B52" s="11" t="str">
        <f>CONCATENATE("          ", "6272", " - ", "CASH (OVER/SHORT)")</f>
        <v xml:space="preserve">          6272 - CASH (OVER/SHORT)</v>
      </c>
      <c r="C52" s="11"/>
      <c r="D52" s="6">
        <v>-16.2</v>
      </c>
      <c r="E52" s="2"/>
      <c r="F52" s="7">
        <f t="shared" si="31"/>
        <v>-1.2033577246020766E-4</v>
      </c>
      <c r="G52" s="2"/>
      <c r="H52" s="6">
        <v>235.35</v>
      </c>
      <c r="I52" s="2"/>
      <c r="J52" s="7">
        <f t="shared" si="32"/>
        <v>1.1075606997029663E-4</v>
      </c>
      <c r="K52" s="2"/>
      <c r="L52" s="6">
        <f t="shared" si="33"/>
        <v>-251.54999999999998</v>
      </c>
      <c r="M52" s="2"/>
      <c r="N52" s="7">
        <f t="shared" si="34"/>
        <v>-1.0688336520076482</v>
      </c>
      <c r="O52" s="11"/>
      <c r="P52" s="6">
        <v>62.33</v>
      </c>
      <c r="Q52" s="2"/>
      <c r="R52" s="7">
        <f t="shared" si="35"/>
        <v>5.7411987000223952E-5</v>
      </c>
      <c r="S52" s="2"/>
      <c r="T52" s="6">
        <v>-240.07</v>
      </c>
      <c r="U52" s="2"/>
      <c r="V52" s="7">
        <f t="shared" si="36"/>
        <v>-1.940761179728017E-5</v>
      </c>
      <c r="W52" s="2"/>
      <c r="X52" s="6">
        <f t="shared" si="37"/>
        <v>302.39999999999998</v>
      </c>
      <c r="Y52" s="2"/>
      <c r="Z52" s="7">
        <f t="shared" si="38"/>
        <v>-1.259632607156246</v>
      </c>
    </row>
    <row r="53" spans="1:26" s="25" customFormat="1" outlineLevel="1" collapsed="1" x14ac:dyDescent="0.25">
      <c r="A53" s="27"/>
      <c r="B53" s="13" t="str">
        <f>CONCATENATE("     ","Bank/card Fees                                    ")</f>
        <v xml:space="preserve">     Bank/card Fees                                    </v>
      </c>
      <c r="C53" s="13"/>
      <c r="D53" s="1">
        <f>SUM(OSRRefD22_4x_0)</f>
        <v>859.46</v>
      </c>
      <c r="E53" s="1"/>
      <c r="F53" s="5">
        <f t="shared" si="31"/>
        <v>6.3841841357191419E-3</v>
      </c>
      <c r="G53" s="1"/>
      <c r="H53" s="1">
        <f>SUM(OSRRefH22_4x_0)</f>
        <v>18705.080000000002</v>
      </c>
      <c r="I53" s="1"/>
      <c r="J53" s="5">
        <f t="shared" si="32"/>
        <v>8.8026392576163008E-3</v>
      </c>
      <c r="K53" s="1"/>
      <c r="L53" s="1">
        <f t="shared" si="33"/>
        <v>-17845.620000000003</v>
      </c>
      <c r="M53" s="1"/>
      <c r="N53" s="5">
        <f t="shared" si="34"/>
        <v>-0.95405205430824147</v>
      </c>
      <c r="O53" s="13"/>
      <c r="P53" s="1">
        <f>SUM(OSRRefP22_4x_0)</f>
        <v>4897.3100000000004</v>
      </c>
      <c r="Q53" s="1"/>
      <c r="R53" s="5">
        <f t="shared" si="35"/>
        <v>4.5108984125792843E-3</v>
      </c>
      <c r="S53" s="1"/>
      <c r="T53" s="1">
        <f>SUM(OSRRefT22_4x_0)</f>
        <v>135807.37000000002</v>
      </c>
      <c r="U53" s="1"/>
      <c r="V53" s="5">
        <f t="shared" si="36"/>
        <v>1.0978867481024675E-2</v>
      </c>
      <c r="W53" s="1"/>
      <c r="X53" s="1">
        <f t="shared" si="37"/>
        <v>-130910.06000000003</v>
      </c>
      <c r="Y53" s="1"/>
      <c r="Z53" s="5">
        <f t="shared" si="38"/>
        <v>-0.96393929136540968</v>
      </c>
    </row>
    <row r="54" spans="1:26" s="24" customFormat="1" hidden="1" outlineLevel="2" x14ac:dyDescent="0.25">
      <c r="A54" s="26"/>
      <c r="B54" s="11" t="str">
        <f>CONCATENATE("          ", "6381", " - ", "BANK/CREDIT CARD FEES")</f>
        <v xml:space="preserve">          6381 - BANK/CREDIT CARD FEES</v>
      </c>
      <c r="C54" s="11"/>
      <c r="D54" s="6">
        <v>859.46</v>
      </c>
      <c r="E54" s="2"/>
      <c r="F54" s="7">
        <f t="shared" si="31"/>
        <v>6.3841841357191419E-3</v>
      </c>
      <c r="G54" s="2"/>
      <c r="H54" s="6">
        <v>18705.080000000002</v>
      </c>
      <c r="I54" s="2"/>
      <c r="J54" s="7">
        <f t="shared" si="32"/>
        <v>8.8026392576163008E-3</v>
      </c>
      <c r="K54" s="2"/>
      <c r="L54" s="6">
        <f t="shared" si="33"/>
        <v>-17845.620000000003</v>
      </c>
      <c r="M54" s="2"/>
      <c r="N54" s="7">
        <f t="shared" si="34"/>
        <v>-0.95405205430824147</v>
      </c>
      <c r="O54" s="11"/>
      <c r="P54" s="6">
        <v>4897.3100000000004</v>
      </c>
      <c r="Q54" s="2"/>
      <c r="R54" s="7">
        <f t="shared" si="35"/>
        <v>4.5108984125792843E-3</v>
      </c>
      <c r="S54" s="2"/>
      <c r="T54" s="6">
        <v>135807.37000000002</v>
      </c>
      <c r="U54" s="2"/>
      <c r="V54" s="7">
        <f t="shared" si="36"/>
        <v>1.0978867481024675E-2</v>
      </c>
      <c r="W54" s="2"/>
      <c r="X54" s="6">
        <f t="shared" si="37"/>
        <v>-130910.06000000003</v>
      </c>
      <c r="Y54" s="2"/>
      <c r="Z54" s="7">
        <f t="shared" si="38"/>
        <v>-0.96393929136540968</v>
      </c>
    </row>
    <row r="55" spans="1:26" s="25" customFormat="1" outlineLevel="1" collapsed="1" x14ac:dyDescent="0.25">
      <c r="A55" s="27"/>
      <c r="B55" s="13" t="str">
        <f>CONCATENATE("     ","Depreciation                                      ")</f>
        <v xml:space="preserve">     Depreciation                                      </v>
      </c>
      <c r="C55" s="13"/>
      <c r="D55" s="1">
        <f>SUM(OSRRefD22_5x_0)</f>
        <v>37479.259999999995</v>
      </c>
      <c r="E55" s="1"/>
      <c r="F55" s="5">
        <f t="shared" si="31"/>
        <v>0.27840096934178782</v>
      </c>
      <c r="G55" s="1"/>
      <c r="H55" s="1">
        <f>SUM(OSRRefH22_5x_0)</f>
        <v>40983.520000000004</v>
      </c>
      <c r="I55" s="1"/>
      <c r="J55" s="5">
        <f t="shared" si="32"/>
        <v>1.9286907196724247E-2</v>
      </c>
      <c r="K55" s="1"/>
      <c r="L55" s="1">
        <f t="shared" si="33"/>
        <v>-3504.2600000000093</v>
      </c>
      <c r="M55" s="1"/>
      <c r="N55" s="5">
        <f t="shared" si="34"/>
        <v>-8.5504124584711336E-2</v>
      </c>
      <c r="O55" s="13"/>
      <c r="P55" s="1">
        <f>SUM(OSRRefP22_5x_0)</f>
        <v>302129.15999999997</v>
      </c>
      <c r="Q55" s="1"/>
      <c r="R55" s="5">
        <f t="shared" si="35"/>
        <v>0.27829031616089495</v>
      </c>
      <c r="S55" s="1"/>
      <c r="T55" s="1">
        <f>SUM(OSRRefT22_5x_0)</f>
        <v>320330.01</v>
      </c>
      <c r="U55" s="1"/>
      <c r="V55" s="5">
        <f t="shared" si="36"/>
        <v>2.5895949019447976E-2</v>
      </c>
      <c r="W55" s="1"/>
      <c r="X55" s="1">
        <f t="shared" si="37"/>
        <v>-18200.850000000035</v>
      </c>
      <c r="Y55" s="1"/>
      <c r="Z55" s="5">
        <f t="shared" si="38"/>
        <v>-5.6819059818966178E-2</v>
      </c>
    </row>
    <row r="56" spans="1:26" s="24" customFormat="1" hidden="1" outlineLevel="2" x14ac:dyDescent="0.25">
      <c r="A56" s="26"/>
      <c r="B56" s="11" t="str">
        <f>CONCATENATE("          ", "6321", " - ", "BUILDING DEPRECIATION")</f>
        <v xml:space="preserve">          6321 - BUILDING DEPRECIATION</v>
      </c>
      <c r="C56" s="11"/>
      <c r="D56" s="6">
        <v>23583.489999999998</v>
      </c>
      <c r="E56" s="2"/>
      <c r="F56" s="7">
        <f t="shared" si="31"/>
        <v>0.17518132632454214</v>
      </c>
      <c r="G56" s="2"/>
      <c r="H56" s="6">
        <v>24042.959999999999</v>
      </c>
      <c r="I56" s="2"/>
      <c r="J56" s="7">
        <f t="shared" si="32"/>
        <v>1.1314653749959817E-2</v>
      </c>
      <c r="K56" s="2"/>
      <c r="L56" s="6">
        <f t="shared" si="33"/>
        <v>-459.47000000000116</v>
      </c>
      <c r="M56" s="2"/>
      <c r="N56" s="7">
        <f t="shared" si="34"/>
        <v>-1.9110375760721689E-2</v>
      </c>
      <c r="O56" s="11"/>
      <c r="P56" s="6">
        <v>189452.11</v>
      </c>
      <c r="Q56" s="2"/>
      <c r="R56" s="7">
        <f t="shared" si="35"/>
        <v>0.17450380356946893</v>
      </c>
      <c r="S56" s="2"/>
      <c r="T56" s="6">
        <v>192343.67999999999</v>
      </c>
      <c r="U56" s="2"/>
      <c r="V56" s="7">
        <f t="shared" si="36"/>
        <v>1.5549345912026835E-2</v>
      </c>
      <c r="W56" s="2"/>
      <c r="X56" s="6">
        <f t="shared" si="37"/>
        <v>-2891.570000000007</v>
      </c>
      <c r="Y56" s="2"/>
      <c r="Z56" s="7">
        <f t="shared" si="38"/>
        <v>-1.5033350718879908E-2</v>
      </c>
    </row>
    <row r="57" spans="1:26" s="24" customFormat="1" hidden="1" outlineLevel="2" x14ac:dyDescent="0.25">
      <c r="A57" s="26"/>
      <c r="B57" s="11" t="str">
        <f>CONCATENATE("          ", "6322", " - ", "EQUIPMENT DEPRECIATION EXPENSE")</f>
        <v xml:space="preserve">          6322 - EQUIPMENT DEPRECIATION EXPENSE</v>
      </c>
      <c r="C57" s="11"/>
      <c r="D57" s="6">
        <v>13895.77</v>
      </c>
      <c r="E57" s="2"/>
      <c r="F57" s="7">
        <f t="shared" si="31"/>
        <v>0.10321964301724568</v>
      </c>
      <c r="G57" s="2"/>
      <c r="H57" s="6">
        <v>16516.310000000001</v>
      </c>
      <c r="I57" s="2"/>
      <c r="J57" s="7">
        <f t="shared" si="32"/>
        <v>7.7726007478695989E-3</v>
      </c>
      <c r="K57" s="2"/>
      <c r="L57" s="6">
        <f t="shared" si="33"/>
        <v>-2620.5400000000009</v>
      </c>
      <c r="M57" s="2"/>
      <c r="N57" s="7">
        <f t="shared" si="34"/>
        <v>-0.15866376932862125</v>
      </c>
      <c r="O57" s="11"/>
      <c r="P57" s="6">
        <v>112677.05</v>
      </c>
      <c r="Q57" s="2"/>
      <c r="R57" s="7">
        <f t="shared" si="35"/>
        <v>0.10378651259142603</v>
      </c>
      <c r="S57" s="2"/>
      <c r="T57" s="6">
        <v>124592.33000000002</v>
      </c>
      <c r="U57" s="2"/>
      <c r="V57" s="7">
        <f t="shared" si="36"/>
        <v>1.0072227156906838E-2</v>
      </c>
      <c r="W57" s="2"/>
      <c r="X57" s="6">
        <f t="shared" si="37"/>
        <v>-11915.280000000013</v>
      </c>
      <c r="Y57" s="2"/>
      <c r="Z57" s="7">
        <f t="shared" si="38"/>
        <v>-9.5634137350188511E-2</v>
      </c>
    </row>
    <row r="58" spans="1:26" s="24" customFormat="1" hidden="1" outlineLevel="2" x14ac:dyDescent="0.25">
      <c r="A58" s="26"/>
      <c r="B58" s="11" t="str">
        <f>CONCATENATE("          ", "6326", " - ", "VEHICLES DEPRECIATION EXPENSE")</f>
        <v xml:space="preserve">          6326 - VEHICLES DEPRECIATION EXPENSE</v>
      </c>
      <c r="C58" s="11"/>
      <c r="D58" s="6"/>
      <c r="E58" s="2"/>
      <c r="F58" s="7">
        <f t="shared" si="31"/>
        <v>0</v>
      </c>
      <c r="G58" s="2"/>
      <c r="H58" s="6">
        <v>424.25</v>
      </c>
      <c r="I58" s="2"/>
      <c r="J58" s="7">
        <f t="shared" si="32"/>
        <v>1.9965269889483044E-4</v>
      </c>
      <c r="K58" s="2"/>
      <c r="L58" s="6">
        <f t="shared" si="33"/>
        <v>-424.25</v>
      </c>
      <c r="M58" s="2"/>
      <c r="N58" s="7">
        <f t="shared" si="34"/>
        <v>-1</v>
      </c>
      <c r="O58" s="11"/>
      <c r="P58" s="6"/>
      <c r="Q58" s="2"/>
      <c r="R58" s="7">
        <f t="shared" si="35"/>
        <v>0</v>
      </c>
      <c r="S58" s="2"/>
      <c r="T58" s="6">
        <v>3394</v>
      </c>
      <c r="U58" s="2"/>
      <c r="V58" s="7">
        <f t="shared" si="36"/>
        <v>2.7437595051430376E-4</v>
      </c>
      <c r="W58" s="2"/>
      <c r="X58" s="6">
        <f t="shared" si="37"/>
        <v>-3394</v>
      </c>
      <c r="Y58" s="2"/>
      <c r="Z58" s="7">
        <f t="shared" si="38"/>
        <v>-1</v>
      </c>
    </row>
    <row r="59" spans="1:26" s="25" customFormat="1" outlineLevel="1" collapsed="1" x14ac:dyDescent="0.25">
      <c r="A59" s="27"/>
      <c r="B59" s="13" t="str">
        <f>CONCATENATE("     ","Discounts and Markdowns                           ")</f>
        <v xml:space="preserve">     Discounts and Markdowns                           </v>
      </c>
      <c r="C59" s="13"/>
      <c r="D59" s="1">
        <f>SUM(OSRRefD22_6x_0)</f>
        <v>0</v>
      </c>
      <c r="E59" s="1"/>
      <c r="F59" s="5">
        <f t="shared" ref="F59:F71" si="39">IF(D$12=0,0,D59/D$12)</f>
        <v>0</v>
      </c>
      <c r="G59" s="1"/>
      <c r="H59" s="1">
        <f>SUM(OSRRefH22_6x_0)</f>
        <v>0</v>
      </c>
      <c r="I59" s="1"/>
      <c r="J59" s="5">
        <f t="shared" ref="J59:J71" si="40">IF(H$12=0,0,H59/H$12)</f>
        <v>0</v>
      </c>
      <c r="K59" s="1"/>
      <c r="L59" s="1">
        <f t="shared" ref="L59:L71" si="41">+D59-H59</f>
        <v>0</v>
      </c>
      <c r="M59" s="1"/>
      <c r="N59" s="5">
        <f t="shared" ref="N59:N71" si="42">IF(H59=0,0,L59/H59)</f>
        <v>0</v>
      </c>
      <c r="O59" s="13"/>
      <c r="P59" s="1">
        <f>SUM(OSRRefP22_6x_0)</f>
        <v>0</v>
      </c>
      <c r="Q59" s="1"/>
      <c r="R59" s="5">
        <f t="shared" ref="R59:R71" si="43">IF(P$12=0,0,P59/P$12)</f>
        <v>0</v>
      </c>
      <c r="S59" s="1"/>
      <c r="T59" s="1">
        <f>SUM(OSRRefT22_6x_0)</f>
        <v>0.09</v>
      </c>
      <c r="U59" s="1"/>
      <c r="V59" s="5">
        <f t="shared" ref="V59:V71" si="44">IF(T$12=0,0,T59/T$12)</f>
        <v>7.2757323353822445E-9</v>
      </c>
      <c r="W59" s="1"/>
      <c r="X59" s="1">
        <f t="shared" ref="X59:X71" si="45">+P59-T59</f>
        <v>-0.09</v>
      </c>
      <c r="Y59" s="1"/>
      <c r="Z59" s="5">
        <f t="shared" ref="Z59:Z71" si="46">IF(T59=0,0,X59/T59)</f>
        <v>-1</v>
      </c>
    </row>
    <row r="60" spans="1:26" s="24" customFormat="1" hidden="1" outlineLevel="2" x14ac:dyDescent="0.25">
      <c r="A60" s="26"/>
      <c r="B60" s="11" t="str">
        <f>CONCATENATE("          ", "6382", " - ", "DISCOUNTS/MARK DOWNS")</f>
        <v xml:space="preserve">          6382 - DISCOUNTS/MARK DOWNS</v>
      </c>
      <c r="C60" s="11"/>
      <c r="D60" s="6"/>
      <c r="E60" s="2"/>
      <c r="F60" s="7">
        <f t="shared" si="39"/>
        <v>0</v>
      </c>
      <c r="G60" s="2"/>
      <c r="H60" s="6"/>
      <c r="I60" s="2"/>
      <c r="J60" s="7">
        <f t="shared" si="40"/>
        <v>0</v>
      </c>
      <c r="K60" s="2"/>
      <c r="L60" s="6">
        <f t="shared" si="41"/>
        <v>0</v>
      </c>
      <c r="M60" s="2"/>
      <c r="N60" s="7">
        <f t="shared" si="42"/>
        <v>0</v>
      </c>
      <c r="O60" s="11"/>
      <c r="P60" s="6"/>
      <c r="Q60" s="2"/>
      <c r="R60" s="7">
        <f t="shared" si="43"/>
        <v>0</v>
      </c>
      <c r="S60" s="2"/>
      <c r="T60" s="6">
        <v>0.09</v>
      </c>
      <c r="U60" s="2"/>
      <c r="V60" s="7">
        <f t="shared" si="44"/>
        <v>7.2757323353822445E-9</v>
      </c>
      <c r="W60" s="2"/>
      <c r="X60" s="6">
        <f t="shared" si="45"/>
        <v>-0.09</v>
      </c>
      <c r="Y60" s="2"/>
      <c r="Z60" s="7">
        <f t="shared" si="46"/>
        <v>-1</v>
      </c>
    </row>
    <row r="61" spans="1:26" s="25" customFormat="1" outlineLevel="1" collapsed="1" x14ac:dyDescent="0.25">
      <c r="A61" s="27"/>
      <c r="B61" s="13" t="str">
        <f>CONCATENATE("     ","Donations                                         ")</f>
        <v xml:space="preserve">     Donations                                         </v>
      </c>
      <c r="C61" s="13"/>
      <c r="D61" s="1">
        <f>SUM(OSRRefD22_7x_0)</f>
        <v>5361.28</v>
      </c>
      <c r="E61" s="1"/>
      <c r="F61" s="5">
        <f t="shared" si="39"/>
        <v>3.9824306800954452E-2</v>
      </c>
      <c r="G61" s="1"/>
      <c r="H61" s="1">
        <f>SUM(OSRRefH22_7x_0)</f>
        <v>18987.060000000001</v>
      </c>
      <c r="I61" s="1"/>
      <c r="J61" s="5">
        <f t="shared" si="40"/>
        <v>8.9353394769076718E-3</v>
      </c>
      <c r="K61" s="1"/>
      <c r="L61" s="1">
        <f t="shared" si="41"/>
        <v>-13625.780000000002</v>
      </c>
      <c r="M61" s="1"/>
      <c r="N61" s="5">
        <f t="shared" si="42"/>
        <v>-0.71763506303766889</v>
      </c>
      <c r="O61" s="13"/>
      <c r="P61" s="1">
        <f>SUM(OSRRefP22_7x_0)</f>
        <v>43642.43</v>
      </c>
      <c r="Q61" s="1"/>
      <c r="R61" s="5">
        <f t="shared" si="43"/>
        <v>4.0198919040882145E-2</v>
      </c>
      <c r="S61" s="1"/>
      <c r="T61" s="1">
        <f>SUM(OSRRefT22_7x_0)</f>
        <v>106142.95</v>
      </c>
      <c r="U61" s="1"/>
      <c r="V61" s="5">
        <f t="shared" si="44"/>
        <v>8.5807521498651208E-3</v>
      </c>
      <c r="W61" s="1"/>
      <c r="X61" s="1">
        <f t="shared" si="45"/>
        <v>-62500.52</v>
      </c>
      <c r="Y61" s="1"/>
      <c r="Z61" s="5">
        <f t="shared" si="46"/>
        <v>-0.58883345526009967</v>
      </c>
    </row>
    <row r="62" spans="1:26" s="24" customFormat="1" hidden="1" outlineLevel="2" x14ac:dyDescent="0.25">
      <c r="A62" s="26"/>
      <c r="B62" s="11" t="str">
        <f>CONCATENATE("          ", "6399", " - ", "DONATION-ON CAMPUS")</f>
        <v xml:space="preserve">          6399 - DONATION-ON CAMPUS</v>
      </c>
      <c r="C62" s="11"/>
      <c r="D62" s="6">
        <v>5361.28</v>
      </c>
      <c r="E62" s="2"/>
      <c r="F62" s="7">
        <f t="shared" si="39"/>
        <v>3.9824306800954452E-2</v>
      </c>
      <c r="G62" s="2"/>
      <c r="H62" s="6">
        <v>18987.060000000001</v>
      </c>
      <c r="I62" s="2"/>
      <c r="J62" s="7">
        <f t="shared" si="40"/>
        <v>8.9353394769076718E-3</v>
      </c>
      <c r="K62" s="2"/>
      <c r="L62" s="6">
        <f t="shared" si="41"/>
        <v>-13625.780000000002</v>
      </c>
      <c r="M62" s="2"/>
      <c r="N62" s="7">
        <f t="shared" si="42"/>
        <v>-0.71763506303766889</v>
      </c>
      <c r="O62" s="11"/>
      <c r="P62" s="6">
        <v>43642.43</v>
      </c>
      <c r="Q62" s="2"/>
      <c r="R62" s="7">
        <f t="shared" si="43"/>
        <v>4.0198919040882145E-2</v>
      </c>
      <c r="S62" s="2"/>
      <c r="T62" s="6">
        <v>106142.95</v>
      </c>
      <c r="U62" s="2"/>
      <c r="V62" s="7">
        <f t="shared" si="44"/>
        <v>8.5807521498651208E-3</v>
      </c>
      <c r="W62" s="2"/>
      <c r="X62" s="6">
        <f t="shared" si="45"/>
        <v>-62500.52</v>
      </c>
      <c r="Y62" s="2"/>
      <c r="Z62" s="7">
        <f t="shared" si="46"/>
        <v>-0.58883345526009967</v>
      </c>
    </row>
    <row r="63" spans="1:26" s="25" customFormat="1" outlineLevel="1" collapsed="1" x14ac:dyDescent="0.25">
      <c r="A63" s="27"/>
      <c r="B63" s="13" t="str">
        <f>CONCATENATE("     ","Employees' Appreciation                           ")</f>
        <v xml:space="preserve">     Employees' Appreciation                           </v>
      </c>
      <c r="C63" s="13"/>
      <c r="D63" s="1">
        <f>SUM(OSRRefD22_8x_0)</f>
        <v>0</v>
      </c>
      <c r="E63" s="1"/>
      <c r="F63" s="5">
        <f t="shared" si="39"/>
        <v>0</v>
      </c>
      <c r="G63" s="1"/>
      <c r="H63" s="1">
        <f>SUM(OSRRefH22_8x_0)</f>
        <v>113.93</v>
      </c>
      <c r="I63" s="1"/>
      <c r="J63" s="5">
        <f t="shared" si="40"/>
        <v>5.3615632257131491E-5</v>
      </c>
      <c r="K63" s="1"/>
      <c r="L63" s="1">
        <f t="shared" si="41"/>
        <v>-113.93</v>
      </c>
      <c r="M63" s="1"/>
      <c r="N63" s="5">
        <f t="shared" si="42"/>
        <v>-1</v>
      </c>
      <c r="O63" s="13"/>
      <c r="P63" s="1">
        <f>SUM(OSRRefP22_8x_0)</f>
        <v>10</v>
      </c>
      <c r="Q63" s="1"/>
      <c r="R63" s="5">
        <f t="shared" si="43"/>
        <v>9.2109717632318233E-6</v>
      </c>
      <c r="S63" s="1"/>
      <c r="T63" s="1">
        <f>SUM(OSRRefT22_8x_0)</f>
        <v>3285.01</v>
      </c>
      <c r="U63" s="1"/>
      <c r="V63" s="5">
        <f t="shared" si="44"/>
        <v>2.6556503865615585E-4</v>
      </c>
      <c r="W63" s="1"/>
      <c r="X63" s="1">
        <f t="shared" si="45"/>
        <v>-3275.01</v>
      </c>
      <c r="Y63" s="1"/>
      <c r="Z63" s="5">
        <f t="shared" si="46"/>
        <v>-0.99695586923631896</v>
      </c>
    </row>
    <row r="64" spans="1:26" s="24" customFormat="1" hidden="1" outlineLevel="2" x14ac:dyDescent="0.25">
      <c r="A64" s="26"/>
      <c r="B64" s="11" t="str">
        <f>CONCATENATE("          ", "6277", " - ", "EMPLOYEE APPRECIATION")</f>
        <v xml:space="preserve">          6277 - EMPLOYEE APPRECIATION</v>
      </c>
      <c r="C64" s="11"/>
      <c r="D64" s="6"/>
      <c r="E64" s="2"/>
      <c r="F64" s="7">
        <f t="shared" si="39"/>
        <v>0</v>
      </c>
      <c r="G64" s="2"/>
      <c r="H64" s="6">
        <v>113.93</v>
      </c>
      <c r="I64" s="2"/>
      <c r="J64" s="7">
        <f t="shared" si="40"/>
        <v>5.3615632257131491E-5</v>
      </c>
      <c r="K64" s="2"/>
      <c r="L64" s="6">
        <f t="shared" si="41"/>
        <v>-113.93</v>
      </c>
      <c r="M64" s="2"/>
      <c r="N64" s="7">
        <f t="shared" si="42"/>
        <v>-1</v>
      </c>
      <c r="O64" s="11"/>
      <c r="P64" s="6">
        <v>10</v>
      </c>
      <c r="Q64" s="2"/>
      <c r="R64" s="7">
        <f t="shared" si="43"/>
        <v>9.2109717632318233E-6</v>
      </c>
      <c r="S64" s="2"/>
      <c r="T64" s="6">
        <v>3285.01</v>
      </c>
      <c r="U64" s="2"/>
      <c r="V64" s="7">
        <f t="shared" si="44"/>
        <v>2.6556503865615585E-4</v>
      </c>
      <c r="W64" s="2"/>
      <c r="X64" s="6">
        <f t="shared" si="45"/>
        <v>-3275.01</v>
      </c>
      <c r="Y64" s="2"/>
      <c r="Z64" s="7">
        <f t="shared" si="46"/>
        <v>-0.99695586923631896</v>
      </c>
    </row>
    <row r="65" spans="1:26" s="25" customFormat="1" outlineLevel="1" collapsed="1" x14ac:dyDescent="0.25">
      <c r="A65" s="27"/>
      <c r="B65" s="13" t="str">
        <f>CONCATENATE("     ","Equipment Rental                                  ")</f>
        <v xml:space="preserve">     Equipment Rental                                  </v>
      </c>
      <c r="C65" s="13"/>
      <c r="D65" s="1">
        <f>SUM(OSRRefD22_9x_0)</f>
        <v>812.09</v>
      </c>
      <c r="E65" s="1"/>
      <c r="F65" s="5">
        <f t="shared" si="39"/>
        <v>6.0323134232845715E-3</v>
      </c>
      <c r="G65" s="1"/>
      <c r="H65" s="1">
        <f>SUM(OSRRefH22_9x_0)</f>
        <v>2527.4299999999998</v>
      </c>
      <c r="I65" s="1"/>
      <c r="J65" s="5">
        <f t="shared" si="40"/>
        <v>1.189412423730728E-3</v>
      </c>
      <c r="K65" s="1"/>
      <c r="L65" s="1">
        <f t="shared" si="41"/>
        <v>-1715.3399999999997</v>
      </c>
      <c r="M65" s="1"/>
      <c r="N65" s="5">
        <f t="shared" si="42"/>
        <v>-0.6786894196871921</v>
      </c>
      <c r="O65" s="13"/>
      <c r="P65" s="1">
        <f>SUM(OSRRefP22_9x_0)</f>
        <v>8557.99</v>
      </c>
      <c r="Q65" s="1"/>
      <c r="R65" s="5">
        <f t="shared" si="43"/>
        <v>7.8827404240020306E-3</v>
      </c>
      <c r="S65" s="1"/>
      <c r="T65" s="1">
        <f>SUM(OSRRefT22_9x_0)</f>
        <v>25984.62</v>
      </c>
      <c r="U65" s="1"/>
      <c r="V65" s="5">
        <f t="shared" si="44"/>
        <v>2.1006348884068907E-3</v>
      </c>
      <c r="W65" s="1"/>
      <c r="X65" s="1">
        <f t="shared" si="45"/>
        <v>-17426.629999999997</v>
      </c>
      <c r="Y65" s="1"/>
      <c r="Z65" s="5">
        <f t="shared" si="46"/>
        <v>-0.67065171628447895</v>
      </c>
    </row>
    <row r="66" spans="1:26" s="24" customFormat="1" hidden="1" outlineLevel="2" x14ac:dyDescent="0.25">
      <c r="A66" s="26"/>
      <c r="B66" s="11" t="str">
        <f>CONCATENATE("          ", "6351", " - ", "EQUIPMENT RENTAL")</f>
        <v xml:space="preserve">          6351 - EQUIPMENT RENTAL</v>
      </c>
      <c r="C66" s="11"/>
      <c r="D66" s="6">
        <v>812.09</v>
      </c>
      <c r="E66" s="2"/>
      <c r="F66" s="7">
        <f t="shared" si="39"/>
        <v>6.0323134232845715E-3</v>
      </c>
      <c r="G66" s="2"/>
      <c r="H66" s="6">
        <v>2527.4299999999998</v>
      </c>
      <c r="I66" s="2"/>
      <c r="J66" s="7">
        <f t="shared" si="40"/>
        <v>1.189412423730728E-3</v>
      </c>
      <c r="K66" s="2"/>
      <c r="L66" s="6">
        <f t="shared" si="41"/>
        <v>-1715.3399999999997</v>
      </c>
      <c r="M66" s="2"/>
      <c r="N66" s="7">
        <f t="shared" si="42"/>
        <v>-0.6786894196871921</v>
      </c>
      <c r="O66" s="11"/>
      <c r="P66" s="6">
        <v>8557.99</v>
      </c>
      <c r="Q66" s="2"/>
      <c r="R66" s="7">
        <f t="shared" si="43"/>
        <v>7.8827404240020306E-3</v>
      </c>
      <c r="S66" s="2"/>
      <c r="T66" s="6">
        <v>25984.62</v>
      </c>
      <c r="U66" s="2"/>
      <c r="V66" s="7">
        <f t="shared" si="44"/>
        <v>2.1006348884068907E-3</v>
      </c>
      <c r="W66" s="2"/>
      <c r="X66" s="6">
        <f t="shared" si="45"/>
        <v>-17426.629999999997</v>
      </c>
      <c r="Y66" s="2"/>
      <c r="Z66" s="7">
        <f t="shared" si="46"/>
        <v>-0.67065171628447895</v>
      </c>
    </row>
    <row r="67" spans="1:26" s="25" customFormat="1" outlineLevel="1" collapsed="1" x14ac:dyDescent="0.25">
      <c r="A67" s="27"/>
      <c r="B67" s="13" t="str">
        <f>CONCATENATE("     ","Freight out/Postage                               ")</f>
        <v xml:space="preserve">     Freight out/Postage                               </v>
      </c>
      <c r="C67" s="13"/>
      <c r="D67" s="1">
        <f>SUM(OSRRefD22_10x_0)</f>
        <v>0</v>
      </c>
      <c r="E67" s="1"/>
      <c r="F67" s="5">
        <f t="shared" si="39"/>
        <v>0</v>
      </c>
      <c r="G67" s="1"/>
      <c r="H67" s="1">
        <f>SUM(OSRRefH22_10x_0)</f>
        <v>0</v>
      </c>
      <c r="I67" s="1"/>
      <c r="J67" s="5">
        <f t="shared" si="40"/>
        <v>0</v>
      </c>
      <c r="K67" s="1"/>
      <c r="L67" s="1">
        <f t="shared" si="41"/>
        <v>0</v>
      </c>
      <c r="M67" s="1"/>
      <c r="N67" s="5">
        <f t="shared" si="42"/>
        <v>0</v>
      </c>
      <c r="O67" s="13"/>
      <c r="P67" s="1">
        <f>SUM(OSRRefP22_10x_0)</f>
        <v>-5.41</v>
      </c>
      <c r="Q67" s="1"/>
      <c r="R67" s="5">
        <f t="shared" si="43"/>
        <v>-4.9831357239084164E-6</v>
      </c>
      <c r="S67" s="1"/>
      <c r="T67" s="1">
        <f>SUM(OSRRefT22_10x_0)</f>
        <v>0</v>
      </c>
      <c r="U67" s="1"/>
      <c r="V67" s="5">
        <f t="shared" si="44"/>
        <v>0</v>
      </c>
      <c r="W67" s="1"/>
      <c r="X67" s="1">
        <f t="shared" si="45"/>
        <v>-5.41</v>
      </c>
      <c r="Y67" s="1"/>
      <c r="Z67" s="5">
        <f t="shared" si="46"/>
        <v>0</v>
      </c>
    </row>
    <row r="68" spans="1:26" s="24" customFormat="1" hidden="1" outlineLevel="2" x14ac:dyDescent="0.25">
      <c r="A68" s="26"/>
      <c r="B68" s="11" t="str">
        <f>CONCATENATE("          ", "6307", " - ", "POSTAGE")</f>
        <v xml:space="preserve">          6307 - POSTAGE</v>
      </c>
      <c r="C68" s="11"/>
      <c r="D68" s="6"/>
      <c r="E68" s="2"/>
      <c r="F68" s="7">
        <f t="shared" si="39"/>
        <v>0</v>
      </c>
      <c r="G68" s="2"/>
      <c r="H68" s="6"/>
      <c r="I68" s="2"/>
      <c r="J68" s="7">
        <f t="shared" si="40"/>
        <v>0</v>
      </c>
      <c r="K68" s="2"/>
      <c r="L68" s="6">
        <f t="shared" si="41"/>
        <v>0</v>
      </c>
      <c r="M68" s="2"/>
      <c r="N68" s="7">
        <f t="shared" si="42"/>
        <v>0</v>
      </c>
      <c r="O68" s="11"/>
      <c r="P68" s="6">
        <v>-5.41</v>
      </c>
      <c r="Q68" s="2"/>
      <c r="R68" s="7">
        <f t="shared" si="43"/>
        <v>-4.9831357239084164E-6</v>
      </c>
      <c r="S68" s="2"/>
      <c r="T68" s="6"/>
      <c r="U68" s="2"/>
      <c r="V68" s="7">
        <f t="shared" si="44"/>
        <v>0</v>
      </c>
      <c r="W68" s="2"/>
      <c r="X68" s="6">
        <f t="shared" si="45"/>
        <v>-5.41</v>
      </c>
      <c r="Y68" s="2"/>
      <c r="Z68" s="7">
        <f t="shared" si="46"/>
        <v>0</v>
      </c>
    </row>
    <row r="69" spans="1:26" s="25" customFormat="1" outlineLevel="1" collapsed="1" x14ac:dyDescent="0.25">
      <c r="A69" s="27"/>
      <c r="B69" s="13" t="str">
        <f>CONCATENATE("     ","General                                           ")</f>
        <v xml:space="preserve">     General                                           </v>
      </c>
      <c r="C69" s="13"/>
      <c r="D69" s="1">
        <f>SUM(OSRRefD22_11x_0)</f>
        <v>1893.03</v>
      </c>
      <c r="E69" s="1"/>
      <c r="F69" s="5">
        <f t="shared" si="39"/>
        <v>1.4061680700021416E-2</v>
      </c>
      <c r="G69" s="1"/>
      <c r="H69" s="1">
        <f>SUM(OSRRefH22_11x_0)</f>
        <v>7415.59</v>
      </c>
      <c r="I69" s="1"/>
      <c r="J69" s="5">
        <f t="shared" si="40"/>
        <v>3.4897879962227834E-3</v>
      </c>
      <c r="K69" s="1"/>
      <c r="L69" s="1">
        <f t="shared" si="41"/>
        <v>-5522.56</v>
      </c>
      <c r="M69" s="1"/>
      <c r="N69" s="5">
        <f t="shared" si="42"/>
        <v>-0.74472294180233811</v>
      </c>
      <c r="O69" s="13"/>
      <c r="P69" s="1">
        <f>SUM(OSRRefP22_11x_0)</f>
        <v>14128.91</v>
      </c>
      <c r="Q69" s="1"/>
      <c r="R69" s="5">
        <f t="shared" si="43"/>
        <v>1.3014099105524373E-2</v>
      </c>
      <c r="S69" s="1"/>
      <c r="T69" s="1">
        <f>SUM(OSRRefT22_11x_0)</f>
        <v>90773.709999999992</v>
      </c>
      <c r="U69" s="1"/>
      <c r="V69" s="5">
        <f t="shared" si="44"/>
        <v>7.3382801894401172E-3</v>
      </c>
      <c r="W69" s="1"/>
      <c r="X69" s="1">
        <f t="shared" si="45"/>
        <v>-76644.799999999988</v>
      </c>
      <c r="Y69" s="1"/>
      <c r="Z69" s="5">
        <f t="shared" si="46"/>
        <v>-0.84435019787116772</v>
      </c>
    </row>
    <row r="70" spans="1:26" s="24" customFormat="1" hidden="1" outlineLevel="2" x14ac:dyDescent="0.25">
      <c r="A70" s="26"/>
      <c r="B70" s="11" t="str">
        <f>CONCATENATE("          ", "6269", " - ", "ENTERTAINMENT")</f>
        <v xml:space="preserve">          6269 - ENTERTAINMENT</v>
      </c>
      <c r="C70" s="11"/>
      <c r="D70" s="6"/>
      <c r="E70" s="2"/>
      <c r="F70" s="7">
        <f t="shared" si="39"/>
        <v>0</v>
      </c>
      <c r="G70" s="2"/>
      <c r="H70" s="6">
        <v>2700</v>
      </c>
      <c r="I70" s="2"/>
      <c r="J70" s="7">
        <f t="shared" si="40"/>
        <v>1.2706241296783552E-3</v>
      </c>
      <c r="K70" s="2"/>
      <c r="L70" s="6">
        <f t="shared" si="41"/>
        <v>-2700</v>
      </c>
      <c r="M70" s="2"/>
      <c r="N70" s="7">
        <f t="shared" si="42"/>
        <v>-1</v>
      </c>
      <c r="O70" s="11"/>
      <c r="P70" s="6"/>
      <c r="Q70" s="2"/>
      <c r="R70" s="7">
        <f t="shared" si="43"/>
        <v>0</v>
      </c>
      <c r="S70" s="2"/>
      <c r="T70" s="6">
        <v>10050</v>
      </c>
      <c r="U70" s="2"/>
      <c r="V70" s="7">
        <f t="shared" si="44"/>
        <v>8.1245677745101733E-4</v>
      </c>
      <c r="W70" s="2"/>
      <c r="X70" s="6">
        <f t="shared" si="45"/>
        <v>-10050</v>
      </c>
      <c r="Y70" s="2"/>
      <c r="Z70" s="7">
        <f t="shared" si="46"/>
        <v>-1</v>
      </c>
    </row>
    <row r="71" spans="1:26" s="24" customFormat="1" hidden="1" outlineLevel="2" x14ac:dyDescent="0.25">
      <c r="A71" s="26"/>
      <c r="B71" s="11" t="str">
        <f>CONCATENATE("          ", "6279", " - ", "GENERAL EXPENSE")</f>
        <v xml:space="preserve">          6279 - GENERAL EXPENSE</v>
      </c>
      <c r="C71" s="11"/>
      <c r="D71" s="6">
        <v>1893.03</v>
      </c>
      <c r="E71" s="2"/>
      <c r="F71" s="7">
        <f t="shared" si="39"/>
        <v>1.4061680700021416E-2</v>
      </c>
      <c r="G71" s="2"/>
      <c r="H71" s="6">
        <v>4715.59</v>
      </c>
      <c r="I71" s="2"/>
      <c r="J71" s="7">
        <f t="shared" si="40"/>
        <v>2.2191638665444279E-3</v>
      </c>
      <c r="K71" s="2"/>
      <c r="L71" s="6">
        <f t="shared" si="41"/>
        <v>-2822.5600000000004</v>
      </c>
      <c r="M71" s="2"/>
      <c r="N71" s="7">
        <f t="shared" si="42"/>
        <v>-0.59855924709315278</v>
      </c>
      <c r="O71" s="11"/>
      <c r="P71" s="6">
        <v>14128.91</v>
      </c>
      <c r="Q71" s="2"/>
      <c r="R71" s="7">
        <f t="shared" si="43"/>
        <v>1.3014099105524373E-2</v>
      </c>
      <c r="S71" s="2"/>
      <c r="T71" s="6">
        <v>80723.709999999992</v>
      </c>
      <c r="U71" s="2"/>
      <c r="V71" s="7">
        <f t="shared" si="44"/>
        <v>6.5258234119891E-3</v>
      </c>
      <c r="W71" s="2"/>
      <c r="X71" s="6">
        <f t="shared" si="45"/>
        <v>-66594.799999999988</v>
      </c>
      <c r="Y71" s="2"/>
      <c r="Z71" s="7">
        <f t="shared" si="46"/>
        <v>-0.82497199397797738</v>
      </c>
    </row>
    <row r="72" spans="1:26" s="25" customFormat="1" outlineLevel="1" collapsed="1" x14ac:dyDescent="0.25">
      <c r="A72" s="27"/>
      <c r="B72" s="13" t="str">
        <f>CONCATENATE("     ","Insurance                                         ")</f>
        <v xml:space="preserve">     Insurance                                         </v>
      </c>
      <c r="C72" s="13"/>
      <c r="D72" s="1">
        <f>SUM(OSRRefD22_12x_0)</f>
        <v>4246.03</v>
      </c>
      <c r="E72" s="1"/>
      <c r="F72" s="5">
        <f t="shared" ref="F72:F86" si="47">IF(D$12=0,0,D72/D$12)</f>
        <v>3.1540080243161454E-2</v>
      </c>
      <c r="G72" s="1"/>
      <c r="H72" s="1">
        <f>SUM(OSRRefH22_12x_0)</f>
        <v>10007.030000000001</v>
      </c>
      <c r="I72" s="1"/>
      <c r="J72" s="5">
        <f t="shared" ref="J72:J86" si="48">IF(H$12=0,0,H72/H$12)</f>
        <v>4.7093236238574783E-3</v>
      </c>
      <c r="K72" s="1"/>
      <c r="L72" s="1">
        <f t="shared" ref="L72:L86" si="49">+D72-H72</f>
        <v>-5761.0000000000009</v>
      </c>
      <c r="M72" s="1"/>
      <c r="N72" s="5">
        <f t="shared" ref="N72:N86" si="50">IF(H72=0,0,L72/H72)</f>
        <v>-0.57569528621379173</v>
      </c>
      <c r="O72" s="13"/>
      <c r="P72" s="1">
        <f>SUM(OSRRefP22_12x_0)</f>
        <v>40080.239999999998</v>
      </c>
      <c r="Q72" s="1"/>
      <c r="R72" s="5">
        <f t="shared" ref="R72:R86" si="51">IF(P$12=0,0,P72/P$12)</f>
        <v>3.6917795890355466E-2</v>
      </c>
      <c r="S72" s="1"/>
      <c r="T72" s="1">
        <f>SUM(OSRRefT22_12x_0)</f>
        <v>39729.24</v>
      </c>
      <c r="U72" s="1"/>
      <c r="V72" s="5">
        <f t="shared" ref="V72:V86" si="52">IF(T$12=0,0,T72/T$12)</f>
        <v>3.2117701792017963E-3</v>
      </c>
      <c r="W72" s="1"/>
      <c r="X72" s="1">
        <f t="shared" ref="X72:X86" si="53">+P72-T72</f>
        <v>351</v>
      </c>
      <c r="Y72" s="1"/>
      <c r="Z72" s="5">
        <f t="shared" ref="Z72:Z86" si="54">IF(T72=0,0,X72/T72)</f>
        <v>8.8348027800179418E-3</v>
      </c>
    </row>
    <row r="73" spans="1:26" s="24" customFormat="1" hidden="1" outlineLevel="2" x14ac:dyDescent="0.25">
      <c r="A73" s="26"/>
      <c r="B73" s="11" t="str">
        <f>CONCATENATE("          ", "6314", " - ", "LIABILITY INSURANCE")</f>
        <v xml:space="preserve">          6314 - LIABILITY INSURANCE</v>
      </c>
      <c r="C73" s="11"/>
      <c r="D73" s="6">
        <v>4246.03</v>
      </c>
      <c r="E73" s="2"/>
      <c r="F73" s="7">
        <f t="shared" si="47"/>
        <v>3.1540080243161454E-2</v>
      </c>
      <c r="G73" s="2"/>
      <c r="H73" s="6">
        <v>10007.030000000001</v>
      </c>
      <c r="I73" s="2"/>
      <c r="J73" s="7">
        <f t="shared" si="48"/>
        <v>4.7093236238574783E-3</v>
      </c>
      <c r="K73" s="2"/>
      <c r="L73" s="6">
        <f t="shared" si="49"/>
        <v>-5761.0000000000009</v>
      </c>
      <c r="M73" s="2"/>
      <c r="N73" s="7">
        <f t="shared" si="50"/>
        <v>-0.57569528621379173</v>
      </c>
      <c r="O73" s="11"/>
      <c r="P73" s="6">
        <v>40080.239999999998</v>
      </c>
      <c r="Q73" s="2"/>
      <c r="R73" s="7">
        <f t="shared" si="51"/>
        <v>3.6917795890355466E-2</v>
      </c>
      <c r="S73" s="2"/>
      <c r="T73" s="6">
        <v>39729.24</v>
      </c>
      <c r="U73" s="2"/>
      <c r="V73" s="7">
        <f t="shared" si="52"/>
        <v>3.2117701792017963E-3</v>
      </c>
      <c r="W73" s="2"/>
      <c r="X73" s="6">
        <f t="shared" si="53"/>
        <v>351</v>
      </c>
      <c r="Y73" s="2"/>
      <c r="Z73" s="7">
        <f t="shared" si="54"/>
        <v>8.8348027800179418E-3</v>
      </c>
    </row>
    <row r="74" spans="1:26" s="25" customFormat="1" outlineLevel="1" collapsed="1" x14ac:dyDescent="0.25">
      <c r="A74" s="27"/>
      <c r="B74" s="13" t="str">
        <f>CONCATENATE("     ","Interest                                          ")</f>
        <v xml:space="preserve">     Interest                                          </v>
      </c>
      <c r="C74" s="13"/>
      <c r="D74" s="1">
        <f>SUM(OSRRefD22_13x_0)</f>
        <v>7510</v>
      </c>
      <c r="E74" s="1"/>
      <c r="F74" s="5">
        <f t="shared" si="47"/>
        <v>5.5785287109639481E-2</v>
      </c>
      <c r="G74" s="1"/>
      <c r="H74" s="1">
        <f>SUM(OSRRefH22_13x_0)</f>
        <v>7754</v>
      </c>
      <c r="I74" s="1"/>
      <c r="J74" s="5">
        <f t="shared" si="48"/>
        <v>3.6490442598244321E-3</v>
      </c>
      <c r="K74" s="1"/>
      <c r="L74" s="1">
        <f t="shared" si="49"/>
        <v>-244</v>
      </c>
      <c r="M74" s="1"/>
      <c r="N74" s="5">
        <f t="shared" si="50"/>
        <v>-3.1467629610523601E-2</v>
      </c>
      <c r="O74" s="13"/>
      <c r="P74" s="1">
        <f>SUM(OSRRefP22_13x_0)</f>
        <v>59593.149999999994</v>
      </c>
      <c r="Q74" s="1"/>
      <c r="R74" s="5">
        <f t="shared" si="51"/>
        <v>5.489108219320385E-2</v>
      </c>
      <c r="S74" s="1"/>
      <c r="T74" s="1">
        <f>SUM(OSRRefT22_13x_0)</f>
        <v>61639.049999999996</v>
      </c>
      <c r="U74" s="1"/>
      <c r="V74" s="5">
        <f t="shared" si="52"/>
        <v>4.9829914356360324E-3</v>
      </c>
      <c r="W74" s="1"/>
      <c r="X74" s="1">
        <f t="shared" si="53"/>
        <v>-2045.9000000000015</v>
      </c>
      <c r="Y74" s="1"/>
      <c r="Z74" s="5">
        <f t="shared" si="54"/>
        <v>-3.3191621220638567E-2</v>
      </c>
    </row>
    <row r="75" spans="1:26" s="24" customFormat="1" hidden="1" outlineLevel="2" x14ac:dyDescent="0.25">
      <c r="A75" s="26"/>
      <c r="B75" s="11" t="str">
        <f>CONCATENATE("          ", "6401", " - ", "INTEREST EXPENSE")</f>
        <v xml:space="preserve">          6401 - INTEREST EXPENSE</v>
      </c>
      <c r="C75" s="11"/>
      <c r="D75" s="6">
        <v>7510</v>
      </c>
      <c r="E75" s="2"/>
      <c r="F75" s="7">
        <f t="shared" si="47"/>
        <v>5.5785287109639481E-2</v>
      </c>
      <c r="G75" s="2"/>
      <c r="H75" s="6">
        <v>7754</v>
      </c>
      <c r="I75" s="2"/>
      <c r="J75" s="7">
        <f t="shared" si="48"/>
        <v>3.6490442598244321E-3</v>
      </c>
      <c r="K75" s="2"/>
      <c r="L75" s="6">
        <f t="shared" si="49"/>
        <v>-244</v>
      </c>
      <c r="M75" s="2"/>
      <c r="N75" s="7">
        <f t="shared" si="50"/>
        <v>-3.1467629610523601E-2</v>
      </c>
      <c r="O75" s="11"/>
      <c r="P75" s="6">
        <v>59593.149999999994</v>
      </c>
      <c r="Q75" s="2"/>
      <c r="R75" s="7">
        <f t="shared" si="51"/>
        <v>5.489108219320385E-2</v>
      </c>
      <c r="S75" s="2"/>
      <c r="T75" s="6">
        <v>61639.049999999996</v>
      </c>
      <c r="U75" s="2"/>
      <c r="V75" s="7">
        <f t="shared" si="52"/>
        <v>4.9829914356360324E-3</v>
      </c>
      <c r="W75" s="2"/>
      <c r="X75" s="6">
        <f t="shared" si="53"/>
        <v>-2045.9000000000015</v>
      </c>
      <c r="Y75" s="2"/>
      <c r="Z75" s="7">
        <f t="shared" si="54"/>
        <v>-3.3191621220638567E-2</v>
      </c>
    </row>
    <row r="76" spans="1:26" s="25" customFormat="1" outlineLevel="1" collapsed="1" x14ac:dyDescent="0.25">
      <c r="A76" s="27"/>
      <c r="B76" s="13" t="str">
        <f>CONCATENATE("     ","Professional Services                             ")</f>
        <v xml:space="preserve">     Professional Services                             </v>
      </c>
      <c r="C76" s="13"/>
      <c r="D76" s="1">
        <f>SUM(OSRRefD22_14x_0)</f>
        <v>0</v>
      </c>
      <c r="E76" s="1"/>
      <c r="F76" s="5">
        <f t="shared" si="47"/>
        <v>0</v>
      </c>
      <c r="G76" s="1"/>
      <c r="H76" s="1">
        <f>SUM(OSRRefH22_14x_0)</f>
        <v>0</v>
      </c>
      <c r="I76" s="1"/>
      <c r="J76" s="5">
        <f t="shared" si="48"/>
        <v>0</v>
      </c>
      <c r="K76" s="1"/>
      <c r="L76" s="1">
        <f t="shared" si="49"/>
        <v>0</v>
      </c>
      <c r="M76" s="1"/>
      <c r="N76" s="5">
        <f t="shared" si="50"/>
        <v>0</v>
      </c>
      <c r="O76" s="13"/>
      <c r="P76" s="1">
        <f>SUM(OSRRefP22_14x_0)</f>
        <v>0</v>
      </c>
      <c r="Q76" s="1"/>
      <c r="R76" s="5">
        <f t="shared" si="51"/>
        <v>0</v>
      </c>
      <c r="S76" s="1"/>
      <c r="T76" s="1">
        <f>SUM(OSRRefT22_14x_0)</f>
        <v>125</v>
      </c>
      <c r="U76" s="1"/>
      <c r="V76" s="5">
        <f t="shared" si="52"/>
        <v>1.0105183799142007E-5</v>
      </c>
      <c r="W76" s="1"/>
      <c r="X76" s="1">
        <f t="shared" si="53"/>
        <v>-125</v>
      </c>
      <c r="Y76" s="1"/>
      <c r="Z76" s="5">
        <f t="shared" si="54"/>
        <v>-1</v>
      </c>
    </row>
    <row r="77" spans="1:26" s="24" customFormat="1" hidden="1" outlineLevel="2" x14ac:dyDescent="0.25">
      <c r="A77" s="26"/>
      <c r="B77" s="11" t="str">
        <f>CONCATENATE("          ", "6336", " - ", "PROFESSIONAL SERVICES")</f>
        <v xml:space="preserve">          6336 - PROFESSIONAL SERVICES</v>
      </c>
      <c r="C77" s="11"/>
      <c r="D77" s="6"/>
      <c r="E77" s="2"/>
      <c r="F77" s="7">
        <f t="shared" si="47"/>
        <v>0</v>
      </c>
      <c r="G77" s="2"/>
      <c r="H77" s="6"/>
      <c r="I77" s="2"/>
      <c r="J77" s="7">
        <f t="shared" si="48"/>
        <v>0</v>
      </c>
      <c r="K77" s="2"/>
      <c r="L77" s="6">
        <f t="shared" si="49"/>
        <v>0</v>
      </c>
      <c r="M77" s="2"/>
      <c r="N77" s="7">
        <f t="shared" si="50"/>
        <v>0</v>
      </c>
      <c r="O77" s="11"/>
      <c r="P77" s="6"/>
      <c r="Q77" s="2"/>
      <c r="R77" s="7">
        <f t="shared" si="51"/>
        <v>0</v>
      </c>
      <c r="S77" s="2"/>
      <c r="T77" s="6">
        <v>125</v>
      </c>
      <c r="U77" s="2"/>
      <c r="V77" s="7">
        <f t="shared" si="52"/>
        <v>1.0105183799142007E-5</v>
      </c>
      <c r="W77" s="2"/>
      <c r="X77" s="6">
        <f t="shared" si="53"/>
        <v>-125</v>
      </c>
      <c r="Y77" s="2"/>
      <c r="Z77" s="7">
        <f t="shared" si="54"/>
        <v>-1</v>
      </c>
    </row>
    <row r="78" spans="1:26" s="25" customFormat="1" outlineLevel="1" collapsed="1" x14ac:dyDescent="0.25">
      <c r="A78" s="27"/>
      <c r="B78" s="13" t="str">
        <f>CONCATENATE("     ","R/H Commissions                                   ")</f>
        <v xml:space="preserve">     R/H Commissions                                   </v>
      </c>
      <c r="C78" s="13"/>
      <c r="D78" s="1">
        <f>SUM(OSRRefD22_15x_0)</f>
        <v>6342.49</v>
      </c>
      <c r="E78" s="1"/>
      <c r="F78" s="5">
        <f t="shared" si="47"/>
        <v>4.7112866263650771E-2</v>
      </c>
      <c r="G78" s="1"/>
      <c r="H78" s="1">
        <f>SUM(OSRRefH22_15x_0)</f>
        <v>102261.27</v>
      </c>
      <c r="I78" s="1"/>
      <c r="J78" s="5">
        <f t="shared" si="48"/>
        <v>4.812431007168641E-2</v>
      </c>
      <c r="K78" s="1"/>
      <c r="L78" s="1">
        <f t="shared" si="49"/>
        <v>-95918.78</v>
      </c>
      <c r="M78" s="1"/>
      <c r="N78" s="5">
        <f t="shared" si="50"/>
        <v>-0.93797759405882597</v>
      </c>
      <c r="O78" s="13"/>
      <c r="P78" s="1">
        <f>SUM(OSRRefP22_15x_0)</f>
        <v>52255.85</v>
      </c>
      <c r="Q78" s="1"/>
      <c r="R78" s="5">
        <f t="shared" si="51"/>
        <v>4.8132715881367763E-2</v>
      </c>
      <c r="S78" s="1"/>
      <c r="T78" s="1">
        <f>SUM(OSRRefT22_15x_0)</f>
        <v>626051.28</v>
      </c>
      <c r="U78" s="1"/>
      <c r="V78" s="5">
        <f t="shared" si="52"/>
        <v>5.0610906016704933E-2</v>
      </c>
      <c r="W78" s="1"/>
      <c r="X78" s="1">
        <f t="shared" si="53"/>
        <v>-573795.43000000005</v>
      </c>
      <c r="Y78" s="1"/>
      <c r="Z78" s="5">
        <f t="shared" si="54"/>
        <v>-0.9165310387992498</v>
      </c>
    </row>
    <row r="79" spans="1:26" s="24" customFormat="1" hidden="1" outlineLevel="2" x14ac:dyDescent="0.25">
      <c r="A79" s="26"/>
      <c r="B79" s="11" t="str">
        <f>CONCATENATE("          ", "6387", " - ", "COMMISSION DUE HOUSING")</f>
        <v xml:space="preserve">          6387 - COMMISSION DUE HOUSING</v>
      </c>
      <c r="C79" s="11"/>
      <c r="D79" s="6">
        <v>6342.49</v>
      </c>
      <c r="E79" s="2"/>
      <c r="F79" s="7">
        <f t="shared" si="47"/>
        <v>4.7112866263650771E-2</v>
      </c>
      <c r="G79" s="2"/>
      <c r="H79" s="6">
        <v>102261.27</v>
      </c>
      <c r="I79" s="2"/>
      <c r="J79" s="7">
        <f t="shared" si="48"/>
        <v>4.812431007168641E-2</v>
      </c>
      <c r="K79" s="2"/>
      <c r="L79" s="6">
        <f t="shared" si="49"/>
        <v>-95918.78</v>
      </c>
      <c r="M79" s="2"/>
      <c r="N79" s="7">
        <f t="shared" si="50"/>
        <v>-0.93797759405882597</v>
      </c>
      <c r="O79" s="11"/>
      <c r="P79" s="6">
        <v>52255.85</v>
      </c>
      <c r="Q79" s="2"/>
      <c r="R79" s="7">
        <f t="shared" si="51"/>
        <v>4.8132715881367763E-2</v>
      </c>
      <c r="S79" s="2"/>
      <c r="T79" s="6">
        <v>626051.28</v>
      </c>
      <c r="U79" s="2"/>
      <c r="V79" s="7">
        <f t="shared" si="52"/>
        <v>5.0610906016704933E-2</v>
      </c>
      <c r="W79" s="2"/>
      <c r="X79" s="6">
        <f t="shared" si="53"/>
        <v>-573795.43000000005</v>
      </c>
      <c r="Y79" s="2"/>
      <c r="Z79" s="7">
        <f t="shared" si="54"/>
        <v>-0.9165310387992498</v>
      </c>
    </row>
    <row r="80" spans="1:26" s="25" customFormat="1" outlineLevel="1" collapsed="1" x14ac:dyDescent="0.25">
      <c r="A80" s="27"/>
      <c r="B80" s="13" t="str">
        <f>CONCATENATE("     ","Rent                                              ")</f>
        <v xml:space="preserve">     Rent                                              </v>
      </c>
      <c r="C80" s="13"/>
      <c r="D80" s="1">
        <f>SUM(OSRRefD22_16x_0)</f>
        <v>0</v>
      </c>
      <c r="E80" s="1"/>
      <c r="F80" s="5">
        <f t="shared" si="47"/>
        <v>0</v>
      </c>
      <c r="G80" s="1"/>
      <c r="H80" s="1">
        <f>SUM(OSRRefH22_16x_0)</f>
        <v>1850</v>
      </c>
      <c r="I80" s="1"/>
      <c r="J80" s="5">
        <f t="shared" si="48"/>
        <v>8.7061282959442863E-4</v>
      </c>
      <c r="K80" s="1"/>
      <c r="L80" s="1">
        <f t="shared" si="49"/>
        <v>-1850</v>
      </c>
      <c r="M80" s="1"/>
      <c r="N80" s="5">
        <f t="shared" si="50"/>
        <v>-1</v>
      </c>
      <c r="O80" s="13"/>
      <c r="P80" s="1">
        <f>SUM(OSRRefP22_16x_0)</f>
        <v>11100</v>
      </c>
      <c r="Q80" s="1"/>
      <c r="R80" s="5">
        <f t="shared" si="51"/>
        <v>1.0224178657187324E-2</v>
      </c>
      <c r="S80" s="1"/>
      <c r="T80" s="1">
        <f>SUM(OSRRefT22_16x_0)</f>
        <v>14800</v>
      </c>
      <c r="U80" s="1"/>
      <c r="V80" s="5">
        <f t="shared" si="52"/>
        <v>1.1964537618184136E-3</v>
      </c>
      <c r="W80" s="1"/>
      <c r="X80" s="1">
        <f t="shared" si="53"/>
        <v>-3700</v>
      </c>
      <c r="Y80" s="1"/>
      <c r="Z80" s="5">
        <f t="shared" si="54"/>
        <v>-0.25</v>
      </c>
    </row>
    <row r="81" spans="1:26" s="24" customFormat="1" hidden="1" outlineLevel="2" x14ac:dyDescent="0.25">
      <c r="A81" s="26"/>
      <c r="B81" s="11" t="str">
        <f>CONCATENATE("          ", "6273", " - ", "RENT")</f>
        <v xml:space="preserve">          6273 - RENT</v>
      </c>
      <c r="C81" s="11"/>
      <c r="D81" s="6"/>
      <c r="E81" s="2"/>
      <c r="F81" s="7">
        <f t="shared" si="47"/>
        <v>0</v>
      </c>
      <c r="G81" s="2"/>
      <c r="H81" s="6">
        <v>1850</v>
      </c>
      <c r="I81" s="2"/>
      <c r="J81" s="7">
        <f t="shared" si="48"/>
        <v>8.7061282959442863E-4</v>
      </c>
      <c r="K81" s="2"/>
      <c r="L81" s="6">
        <f t="shared" si="49"/>
        <v>-1850</v>
      </c>
      <c r="M81" s="2"/>
      <c r="N81" s="7">
        <f t="shared" si="50"/>
        <v>-1</v>
      </c>
      <c r="O81" s="11"/>
      <c r="P81" s="6">
        <v>11100</v>
      </c>
      <c r="Q81" s="2"/>
      <c r="R81" s="7">
        <f t="shared" si="51"/>
        <v>1.0224178657187324E-2</v>
      </c>
      <c r="S81" s="2"/>
      <c r="T81" s="6">
        <v>14800</v>
      </c>
      <c r="U81" s="2"/>
      <c r="V81" s="7">
        <f t="shared" si="52"/>
        <v>1.1964537618184136E-3</v>
      </c>
      <c r="W81" s="2"/>
      <c r="X81" s="6">
        <f t="shared" si="53"/>
        <v>-3700</v>
      </c>
      <c r="Y81" s="2"/>
      <c r="Z81" s="7">
        <f t="shared" si="54"/>
        <v>-0.25</v>
      </c>
    </row>
    <row r="82" spans="1:26" s="25" customFormat="1" outlineLevel="1" collapsed="1" x14ac:dyDescent="0.25">
      <c r="A82" s="27"/>
      <c r="B82" s="13" t="str">
        <f>CONCATENATE("     ","Repair and Maintenance                            ")</f>
        <v xml:space="preserve">     Repair and Maintenance                            </v>
      </c>
      <c r="C82" s="13"/>
      <c r="D82" s="1">
        <f>SUM(OSRRefD22_17x_0)</f>
        <v>5623.8700000000008</v>
      </c>
      <c r="E82" s="1"/>
      <c r="F82" s="5">
        <f t="shared" si="47"/>
        <v>4.1774860534925198E-2</v>
      </c>
      <c r="G82" s="1"/>
      <c r="H82" s="1">
        <f>SUM(OSRRefH22_17x_0)</f>
        <v>54029.520000000004</v>
      </c>
      <c r="I82" s="1"/>
      <c r="J82" s="5">
        <f t="shared" si="48"/>
        <v>2.5426374750718257E-2</v>
      </c>
      <c r="K82" s="1"/>
      <c r="L82" s="1">
        <f t="shared" si="49"/>
        <v>-48405.65</v>
      </c>
      <c r="M82" s="1"/>
      <c r="N82" s="5">
        <f t="shared" si="50"/>
        <v>-0.89591116115782632</v>
      </c>
      <c r="O82" s="13"/>
      <c r="P82" s="1">
        <f>SUM(OSRRefP22_17x_0)</f>
        <v>40063.79</v>
      </c>
      <c r="Q82" s="1"/>
      <c r="R82" s="5">
        <f t="shared" si="51"/>
        <v>3.6902643841804951E-2</v>
      </c>
      <c r="S82" s="1"/>
      <c r="T82" s="1">
        <f>SUM(OSRRefT22_17x_0)</f>
        <v>254768.76</v>
      </c>
      <c r="U82" s="1"/>
      <c r="V82" s="5">
        <f t="shared" si="52"/>
        <v>2.0595881168635987E-2</v>
      </c>
      <c r="W82" s="1"/>
      <c r="X82" s="1">
        <f t="shared" si="53"/>
        <v>-214704.97</v>
      </c>
      <c r="Y82" s="1"/>
      <c r="Z82" s="5">
        <f t="shared" si="54"/>
        <v>-0.84274449504719495</v>
      </c>
    </row>
    <row r="83" spans="1:26" s="24" customFormat="1" hidden="1" outlineLevel="2" x14ac:dyDescent="0.25">
      <c r="A83" s="26"/>
      <c r="B83" s="11" t="str">
        <f>CONCATENATE("          ", "6371", " - ", "COMPUTER SOFTWARE MAINTENANCE")</f>
        <v xml:space="preserve">          6371 - COMPUTER SOFTWARE MAINTENANCE</v>
      </c>
      <c r="C83" s="11"/>
      <c r="D83" s="6">
        <v>4202.2700000000004</v>
      </c>
      <c r="E83" s="2"/>
      <c r="F83" s="7">
        <f t="shared" si="47"/>
        <v>3.1215025094836851E-2</v>
      </c>
      <c r="G83" s="2"/>
      <c r="H83" s="6">
        <v>40245</v>
      </c>
      <c r="I83" s="2"/>
      <c r="J83" s="7">
        <f t="shared" si="48"/>
        <v>1.8939358555150151E-2</v>
      </c>
      <c r="K83" s="2"/>
      <c r="L83" s="6">
        <f t="shared" si="49"/>
        <v>-36042.729999999996</v>
      </c>
      <c r="M83" s="2"/>
      <c r="N83" s="7">
        <f t="shared" si="50"/>
        <v>-0.89558280531743062</v>
      </c>
      <c r="O83" s="11"/>
      <c r="P83" s="6">
        <v>11202.27</v>
      </c>
      <c r="Q83" s="2"/>
      <c r="R83" s="7">
        <f t="shared" si="51"/>
        <v>1.0318379265409896E-2</v>
      </c>
      <c r="S83" s="2"/>
      <c r="T83" s="6">
        <v>73995.62</v>
      </c>
      <c r="U83" s="2"/>
      <c r="V83" s="7">
        <f t="shared" si="52"/>
        <v>5.9819147234517452E-3</v>
      </c>
      <c r="W83" s="2"/>
      <c r="X83" s="6">
        <f t="shared" si="53"/>
        <v>-62793.349999999991</v>
      </c>
      <c r="Y83" s="2"/>
      <c r="Z83" s="7">
        <f t="shared" si="54"/>
        <v>-0.84860901226315821</v>
      </c>
    </row>
    <row r="84" spans="1:26" s="24" customFormat="1" hidden="1" outlineLevel="2" x14ac:dyDescent="0.25">
      <c r="A84" s="26"/>
      <c r="B84" s="11" t="str">
        <f>CONCATENATE("          ", "6372", " - ", "COMPUTER HARDWARE MAINTENANCE")</f>
        <v xml:space="preserve">          6372 - COMPUTER HARDWARE MAINTENANCE</v>
      </c>
      <c r="C84" s="11"/>
      <c r="D84" s="6"/>
      <c r="E84" s="2"/>
      <c r="F84" s="7">
        <f t="shared" si="47"/>
        <v>0</v>
      </c>
      <c r="G84" s="2"/>
      <c r="H84" s="6"/>
      <c r="I84" s="2"/>
      <c r="J84" s="7">
        <f t="shared" si="48"/>
        <v>0</v>
      </c>
      <c r="K84" s="2"/>
      <c r="L84" s="6">
        <f t="shared" si="49"/>
        <v>0</v>
      </c>
      <c r="M84" s="2"/>
      <c r="N84" s="7">
        <f t="shared" si="50"/>
        <v>0</v>
      </c>
      <c r="O84" s="11"/>
      <c r="P84" s="6"/>
      <c r="Q84" s="2"/>
      <c r="R84" s="7">
        <f t="shared" si="51"/>
        <v>0</v>
      </c>
      <c r="S84" s="2"/>
      <c r="T84" s="6">
        <v>-0.01</v>
      </c>
      <c r="U84" s="2"/>
      <c r="V84" s="7">
        <f t="shared" si="52"/>
        <v>-8.0841470393136058E-10</v>
      </c>
      <c r="W84" s="2"/>
      <c r="X84" s="6">
        <f t="shared" si="53"/>
        <v>0.01</v>
      </c>
      <c r="Y84" s="2"/>
      <c r="Z84" s="7">
        <f t="shared" si="54"/>
        <v>-1</v>
      </c>
    </row>
    <row r="85" spans="1:26" s="24" customFormat="1" hidden="1" outlineLevel="2" x14ac:dyDescent="0.25">
      <c r="A85" s="26"/>
      <c r="B85" s="11" t="str">
        <f>CONCATENATE("          ", "6373", " - ", "MAINTENANCE CONTRACTS")</f>
        <v xml:space="preserve">          6373 - MAINTENANCE CONTRACTS</v>
      </c>
      <c r="C85" s="11"/>
      <c r="D85" s="6">
        <v>9.5399999999999991</v>
      </c>
      <c r="E85" s="2"/>
      <c r="F85" s="7">
        <f t="shared" si="47"/>
        <v>7.0864399337677852E-5</v>
      </c>
      <c r="G85" s="2"/>
      <c r="H85" s="6">
        <v>6850.08</v>
      </c>
      <c r="I85" s="2"/>
      <c r="J85" s="7">
        <f t="shared" si="48"/>
        <v>3.2236581252692992E-3</v>
      </c>
      <c r="K85" s="2"/>
      <c r="L85" s="6">
        <f t="shared" si="49"/>
        <v>-6840.54</v>
      </c>
      <c r="M85" s="2"/>
      <c r="N85" s="7">
        <f t="shared" si="50"/>
        <v>-0.99860731553500104</v>
      </c>
      <c r="O85" s="11"/>
      <c r="P85" s="6">
        <v>14006.89</v>
      </c>
      <c r="Q85" s="2"/>
      <c r="R85" s="7">
        <f t="shared" si="51"/>
        <v>1.2901706828069419E-2</v>
      </c>
      <c r="S85" s="2"/>
      <c r="T85" s="6">
        <v>72452.51999999999</v>
      </c>
      <c r="U85" s="2"/>
      <c r="V85" s="7">
        <f t="shared" si="52"/>
        <v>5.8571682504880967E-3</v>
      </c>
      <c r="W85" s="2"/>
      <c r="X85" s="6">
        <f t="shared" si="53"/>
        <v>-58445.62999999999</v>
      </c>
      <c r="Y85" s="2"/>
      <c r="Z85" s="7">
        <f t="shared" si="54"/>
        <v>-0.80667490930612207</v>
      </c>
    </row>
    <row r="86" spans="1:26" s="24" customFormat="1" hidden="1" outlineLevel="2" x14ac:dyDescent="0.25">
      <c r="A86" s="26"/>
      <c r="B86" s="11" t="str">
        <f>CONCATENATE("          ", "6375", " - ", "OUTSIDE REPAIRS &amp; MAINTENANCE")</f>
        <v xml:space="preserve">          6375 - OUTSIDE REPAIRS &amp; MAINTENANCE</v>
      </c>
      <c r="C86" s="11"/>
      <c r="D86" s="6">
        <v>1412.06</v>
      </c>
      <c r="E86" s="2"/>
      <c r="F86" s="7">
        <f t="shared" si="47"/>
        <v>1.048897104075067E-2</v>
      </c>
      <c r="G86" s="2"/>
      <c r="H86" s="6">
        <v>6934.44</v>
      </c>
      <c r="I86" s="2"/>
      <c r="J86" s="7">
        <f t="shared" si="48"/>
        <v>3.263358070298805E-3</v>
      </c>
      <c r="K86" s="2"/>
      <c r="L86" s="6">
        <f t="shared" si="49"/>
        <v>-5522.3799999999992</v>
      </c>
      <c r="M86" s="2"/>
      <c r="N86" s="7">
        <f t="shared" si="50"/>
        <v>-0.79637000248037326</v>
      </c>
      <c r="O86" s="11"/>
      <c r="P86" s="6">
        <v>14854.630000000001</v>
      </c>
      <c r="Q86" s="2"/>
      <c r="R86" s="7">
        <f t="shared" si="51"/>
        <v>1.3682557748325636E-2</v>
      </c>
      <c r="S86" s="2"/>
      <c r="T86" s="6">
        <v>108320.63</v>
      </c>
      <c r="U86" s="2"/>
      <c r="V86" s="7">
        <f t="shared" si="52"/>
        <v>8.7567990031108458E-3</v>
      </c>
      <c r="W86" s="2"/>
      <c r="X86" s="6">
        <f t="shared" si="53"/>
        <v>-93466</v>
      </c>
      <c r="Y86" s="2"/>
      <c r="Z86" s="7">
        <f t="shared" si="54"/>
        <v>-0.86286425771341979</v>
      </c>
    </row>
    <row r="87" spans="1:26" s="25" customFormat="1" outlineLevel="1" collapsed="1" x14ac:dyDescent="0.25">
      <c r="A87" s="27"/>
      <c r="B87" s="13" t="str">
        <f>CONCATENATE("     ","Royalty &amp; Commissions                             ")</f>
        <v xml:space="preserve">     Royalty &amp; Commissions                             </v>
      </c>
      <c r="C87" s="13"/>
      <c r="D87" s="1">
        <f>SUM(OSRRefD22_18x_0)</f>
        <v>0</v>
      </c>
      <c r="E87" s="1"/>
      <c r="F87" s="5">
        <f t="shared" ref="F87:F89" si="55">IF(D$12=0,0,D87/D$12)</f>
        <v>0</v>
      </c>
      <c r="G87" s="1"/>
      <c r="H87" s="1">
        <f>SUM(OSRRefH22_18x_0)</f>
        <v>57281.539999999994</v>
      </c>
      <c r="I87" s="1"/>
      <c r="J87" s="5">
        <f t="shared" ref="J87:J89" si="56">IF(H$12=0,0,H87/H$12)</f>
        <v>2.6956780336716994E-2</v>
      </c>
      <c r="K87" s="1"/>
      <c r="L87" s="1">
        <f t="shared" ref="L87:L89" si="57">+D87-H87</f>
        <v>-57281.539999999994</v>
      </c>
      <c r="M87" s="1"/>
      <c r="N87" s="5">
        <f t="shared" ref="N87:N89" si="58">IF(H87=0,0,L87/H87)</f>
        <v>-1</v>
      </c>
      <c r="O87" s="13"/>
      <c r="P87" s="1">
        <f>SUM(OSRRefP22_18x_0)</f>
        <v>0</v>
      </c>
      <c r="Q87" s="1"/>
      <c r="R87" s="5">
        <f t="shared" ref="R87:R89" si="59">IF(P$12=0,0,P87/P$12)</f>
        <v>0</v>
      </c>
      <c r="S87" s="1"/>
      <c r="T87" s="1">
        <f>SUM(OSRRefT22_18x_0)</f>
        <v>216803.65</v>
      </c>
      <c r="U87" s="1"/>
      <c r="V87" s="5">
        <f t="shared" ref="V87:V89" si="60">IF(T$12=0,0,T87/T$12)</f>
        <v>1.7526725852598832E-2</v>
      </c>
      <c r="W87" s="1"/>
      <c r="X87" s="1">
        <f t="shared" ref="X87:X89" si="61">+P87-T87</f>
        <v>-216803.65</v>
      </c>
      <c r="Y87" s="1"/>
      <c r="Z87" s="5">
        <f t="shared" ref="Z87:Z89" si="62">IF(T87=0,0,X87/T87)</f>
        <v>-1</v>
      </c>
    </row>
    <row r="88" spans="1:26" s="24" customFormat="1" hidden="1" outlineLevel="2" x14ac:dyDescent="0.25">
      <c r="A88" s="26"/>
      <c r="B88" s="11" t="str">
        <f>CONCATENATE("          ", "6254", " - ", "ROYALTY &amp; COMMISSIONS")</f>
        <v xml:space="preserve">          6254 - ROYALTY &amp; COMMISSIONS</v>
      </c>
      <c r="C88" s="11"/>
      <c r="D88" s="6"/>
      <c r="E88" s="2"/>
      <c r="F88" s="7">
        <f t="shared" si="55"/>
        <v>0</v>
      </c>
      <c r="G88" s="2"/>
      <c r="H88" s="6">
        <v>40423.06</v>
      </c>
      <c r="I88" s="2"/>
      <c r="J88" s="7">
        <f t="shared" si="56"/>
        <v>1.9023153863494791E-2</v>
      </c>
      <c r="K88" s="2"/>
      <c r="L88" s="6">
        <f t="shared" si="57"/>
        <v>-40423.06</v>
      </c>
      <c r="M88" s="2"/>
      <c r="N88" s="7">
        <f t="shared" si="58"/>
        <v>-1</v>
      </c>
      <c r="O88" s="11"/>
      <c r="P88" s="6"/>
      <c r="Q88" s="2"/>
      <c r="R88" s="7">
        <f t="shared" si="59"/>
        <v>0</v>
      </c>
      <c r="S88" s="2"/>
      <c r="T88" s="6">
        <v>119091.48999999999</v>
      </c>
      <c r="U88" s="2"/>
      <c r="V88" s="7">
        <f t="shared" si="60"/>
        <v>9.6275311629094567E-3</v>
      </c>
      <c r="W88" s="2"/>
      <c r="X88" s="6">
        <f t="shared" si="61"/>
        <v>-119091.48999999999</v>
      </c>
      <c r="Y88" s="2"/>
      <c r="Z88" s="7">
        <f t="shared" si="62"/>
        <v>-1</v>
      </c>
    </row>
    <row r="89" spans="1:26" s="24" customFormat="1" hidden="1" outlineLevel="2" x14ac:dyDescent="0.25">
      <c r="A89" s="26"/>
      <c r="B89" s="11" t="str">
        <f>CONCATENATE("          ", "6259", " - ", "ROYALTY &amp; COMMISSIONS")</f>
        <v xml:space="preserve">          6259 - ROYALTY &amp; COMMISSIONS</v>
      </c>
      <c r="C89" s="11"/>
      <c r="D89" s="6"/>
      <c r="E89" s="2"/>
      <c r="F89" s="7">
        <f t="shared" si="55"/>
        <v>0</v>
      </c>
      <c r="G89" s="2"/>
      <c r="H89" s="6">
        <v>16858.48</v>
      </c>
      <c r="I89" s="2"/>
      <c r="J89" s="7">
        <f t="shared" si="56"/>
        <v>7.9336264732222071E-3</v>
      </c>
      <c r="K89" s="2"/>
      <c r="L89" s="6">
        <f t="shared" si="57"/>
        <v>-16858.48</v>
      </c>
      <c r="M89" s="2"/>
      <c r="N89" s="7">
        <f t="shared" si="58"/>
        <v>-1</v>
      </c>
      <c r="O89" s="11"/>
      <c r="P89" s="6"/>
      <c r="Q89" s="2"/>
      <c r="R89" s="7">
        <f t="shared" si="59"/>
        <v>0</v>
      </c>
      <c r="S89" s="2"/>
      <c r="T89" s="6">
        <v>97712.16</v>
      </c>
      <c r="U89" s="2"/>
      <c r="V89" s="7">
        <f t="shared" si="60"/>
        <v>7.8991946896893733E-3</v>
      </c>
      <c r="W89" s="2"/>
      <c r="X89" s="6">
        <f t="shared" si="61"/>
        <v>-97712.16</v>
      </c>
      <c r="Y89" s="2"/>
      <c r="Z89" s="7">
        <f t="shared" si="62"/>
        <v>-1</v>
      </c>
    </row>
    <row r="90" spans="1:26" s="25" customFormat="1" outlineLevel="1" collapsed="1" x14ac:dyDescent="0.25">
      <c r="A90" s="27"/>
      <c r="B90" s="13" t="str">
        <f>CONCATENATE("     ","Services                                          ")</f>
        <v xml:space="preserve">     Services                                          </v>
      </c>
      <c r="C90" s="13"/>
      <c r="D90" s="1">
        <f>SUM(OSRRefD22_19x_0)</f>
        <v>16399.45</v>
      </c>
      <c r="E90" s="1"/>
      <c r="F90" s="5">
        <f t="shared" ref="F90:F95" si="63">IF(D$12=0,0,D90/D$12)</f>
        <v>0.1218173138069477</v>
      </c>
      <c r="G90" s="1"/>
      <c r="H90" s="1">
        <f>SUM(OSRRefH22_19x_0)</f>
        <v>44174.340000000004</v>
      </c>
      <c r="I90" s="1"/>
      <c r="J90" s="5">
        <f t="shared" ref="J90:J95" si="64">IF(H$12=0,0,H90/H$12)</f>
        <v>2.0788511969116949E-2</v>
      </c>
      <c r="K90" s="1"/>
      <c r="L90" s="1">
        <f t="shared" ref="L90:L95" si="65">+D90-H90</f>
        <v>-27774.890000000003</v>
      </c>
      <c r="M90" s="1"/>
      <c r="N90" s="5">
        <f t="shared" ref="N90:N95" si="66">IF(H90=0,0,L90/H90)</f>
        <v>-0.62875619647062075</v>
      </c>
      <c r="O90" s="13"/>
      <c r="P90" s="1">
        <f>SUM(OSRRefP22_19x_0)</f>
        <v>139205.07</v>
      </c>
      <c r="Q90" s="1"/>
      <c r="R90" s="5">
        <f t="shared" ref="R90:R95" si="67">IF(P$12=0,0,P90/P$12)</f>
        <v>0.12822139690687095</v>
      </c>
      <c r="S90" s="1"/>
      <c r="T90" s="1">
        <f>SUM(OSRRefT22_19x_0)</f>
        <v>330127.06</v>
      </c>
      <c r="U90" s="1"/>
      <c r="V90" s="5">
        <f t="shared" ref="V90:V95" si="68">IF(T$12=0,0,T90/T$12)</f>
        <v>2.6687956946963048E-2</v>
      </c>
      <c r="W90" s="1"/>
      <c r="X90" s="1">
        <f t="shared" ref="X90:X95" si="69">+P90-T90</f>
        <v>-190921.99</v>
      </c>
      <c r="Y90" s="1"/>
      <c r="Z90" s="5">
        <f t="shared" ref="Z90:Z95" si="70">IF(T90=0,0,X90/T90)</f>
        <v>-0.57832881073123787</v>
      </c>
    </row>
    <row r="91" spans="1:26" s="24" customFormat="1" hidden="1" outlineLevel="2" x14ac:dyDescent="0.25">
      <c r="A91" s="26"/>
      <c r="B91" s="11" t="str">
        <f>CONCATENATE("          ", "6282", " - ", "JANITORIAL/EXTERMINATOR EXPENS")</f>
        <v xml:space="preserve">          6282 - JANITORIAL/EXTERMINATOR EXPENS</v>
      </c>
      <c r="C91" s="11"/>
      <c r="D91" s="6">
        <v>1047.5999999999999</v>
      </c>
      <c r="E91" s="2"/>
      <c r="F91" s="7">
        <f t="shared" si="63"/>
        <v>7.7817132857600953E-3</v>
      </c>
      <c r="G91" s="2"/>
      <c r="H91" s="6">
        <v>4622.71</v>
      </c>
      <c r="I91" s="2"/>
      <c r="J91" s="7">
        <f t="shared" si="64"/>
        <v>2.1754543964834926E-3</v>
      </c>
      <c r="K91" s="2"/>
      <c r="L91" s="6">
        <f t="shared" si="65"/>
        <v>-3575.11</v>
      </c>
      <c r="M91" s="2"/>
      <c r="N91" s="7">
        <f t="shared" si="66"/>
        <v>-0.77337968421120951</v>
      </c>
      <c r="O91" s="11"/>
      <c r="P91" s="6">
        <v>16741.02</v>
      </c>
      <c r="Q91" s="2"/>
      <c r="R91" s="7">
        <f t="shared" si="67"/>
        <v>1.5420106250769922E-2</v>
      </c>
      <c r="S91" s="2"/>
      <c r="T91" s="6">
        <v>25342.83</v>
      </c>
      <c r="U91" s="2"/>
      <c r="V91" s="7">
        <f t="shared" si="68"/>
        <v>2.0487516411232805E-3</v>
      </c>
      <c r="W91" s="2"/>
      <c r="X91" s="6">
        <f t="shared" si="69"/>
        <v>-8601.8100000000013</v>
      </c>
      <c r="Y91" s="2"/>
      <c r="Z91" s="7">
        <f t="shared" si="70"/>
        <v>-0.33941789452874838</v>
      </c>
    </row>
    <row r="92" spans="1:26" s="24" customFormat="1" hidden="1" outlineLevel="2" x14ac:dyDescent="0.25">
      <c r="A92" s="26"/>
      <c r="B92" s="11" t="str">
        <f>CONCATENATE("          ", "6283", " - ", "PLANT SERVICE")</f>
        <v xml:space="preserve">          6283 - PLANT SERVICE</v>
      </c>
      <c r="C92" s="11"/>
      <c r="D92" s="6"/>
      <c r="E92" s="2"/>
      <c r="F92" s="7">
        <f t="shared" si="63"/>
        <v>0</v>
      </c>
      <c r="G92" s="2"/>
      <c r="H92" s="6">
        <v>199.78</v>
      </c>
      <c r="I92" s="2"/>
      <c r="J92" s="7">
        <f t="shared" si="64"/>
        <v>9.4016773565608084E-5</v>
      </c>
      <c r="K92" s="2"/>
      <c r="L92" s="6">
        <f t="shared" si="65"/>
        <v>-199.78</v>
      </c>
      <c r="M92" s="2"/>
      <c r="N92" s="7">
        <f t="shared" si="66"/>
        <v>-1</v>
      </c>
      <c r="O92" s="11"/>
      <c r="P92" s="6"/>
      <c r="Q92" s="2"/>
      <c r="R92" s="7">
        <f t="shared" si="67"/>
        <v>0</v>
      </c>
      <c r="S92" s="2"/>
      <c r="T92" s="6">
        <v>998.9</v>
      </c>
      <c r="U92" s="2"/>
      <c r="V92" s="7">
        <f t="shared" si="68"/>
        <v>8.0752544775703595E-5</v>
      </c>
      <c r="W92" s="2"/>
      <c r="X92" s="6">
        <f t="shared" si="69"/>
        <v>-998.9</v>
      </c>
      <c r="Y92" s="2"/>
      <c r="Z92" s="7">
        <f t="shared" si="70"/>
        <v>-1</v>
      </c>
    </row>
    <row r="93" spans="1:26" s="24" customFormat="1" hidden="1" outlineLevel="2" x14ac:dyDescent="0.25">
      <c r="A93" s="26"/>
      <c r="B93" s="11" t="str">
        <f>CONCATENATE("          ", "6284", " - ", "TRASH REMOVAL EXPENSE")</f>
        <v xml:space="preserve">          6284 - TRASH REMOVAL EXPENSE</v>
      </c>
      <c r="C93" s="11"/>
      <c r="D93" s="6">
        <v>5369</v>
      </c>
      <c r="E93" s="2"/>
      <c r="F93" s="7">
        <f t="shared" si="63"/>
        <v>3.988165199622562E-2</v>
      </c>
      <c r="G93" s="2"/>
      <c r="H93" s="6">
        <v>5130</v>
      </c>
      <c r="I93" s="2"/>
      <c r="J93" s="7">
        <f t="shared" si="64"/>
        <v>2.4141858463888749E-3</v>
      </c>
      <c r="K93" s="2"/>
      <c r="L93" s="6">
        <f t="shared" si="65"/>
        <v>239</v>
      </c>
      <c r="M93" s="2"/>
      <c r="N93" s="7">
        <f t="shared" si="66"/>
        <v>4.6588693957115013E-2</v>
      </c>
      <c r="O93" s="11"/>
      <c r="P93" s="6">
        <v>29888.75</v>
      </c>
      <c r="Q93" s="2"/>
      <c r="R93" s="7">
        <f t="shared" si="67"/>
        <v>2.7530443228829516E-2</v>
      </c>
      <c r="S93" s="2"/>
      <c r="T93" s="6">
        <v>33153</v>
      </c>
      <c r="U93" s="2"/>
      <c r="V93" s="7">
        <f t="shared" si="68"/>
        <v>2.6801372679436395E-3</v>
      </c>
      <c r="W93" s="2"/>
      <c r="X93" s="6">
        <f t="shared" si="69"/>
        <v>-3264.25</v>
      </c>
      <c r="Y93" s="2"/>
      <c r="Z93" s="7">
        <f t="shared" si="70"/>
        <v>-9.8460169517087442E-2</v>
      </c>
    </row>
    <row r="94" spans="1:26" s="24" customFormat="1" hidden="1" outlineLevel="2" x14ac:dyDescent="0.25">
      <c r="A94" s="26"/>
      <c r="B94" s="11" t="str">
        <f>CONCATENATE("          ", "6285", " - ", "JANITORIAL SERVICES")</f>
        <v xml:space="preserve">          6285 - JANITORIAL SERVICES</v>
      </c>
      <c r="C94" s="11"/>
      <c r="D94" s="6">
        <v>8897.19</v>
      </c>
      <c r="E94" s="2"/>
      <c r="F94" s="7">
        <f t="shared" si="63"/>
        <v>6.6089520455261425E-2</v>
      </c>
      <c r="G94" s="2"/>
      <c r="H94" s="6">
        <v>26386.02</v>
      </c>
      <c r="I94" s="2"/>
      <c r="J94" s="7">
        <f t="shared" si="64"/>
        <v>1.2417301369694695E-2</v>
      </c>
      <c r="K94" s="2"/>
      <c r="L94" s="6">
        <f t="shared" si="65"/>
        <v>-17488.830000000002</v>
      </c>
      <c r="M94" s="2"/>
      <c r="N94" s="7">
        <f t="shared" si="66"/>
        <v>-0.66280666807650424</v>
      </c>
      <c r="O94" s="11"/>
      <c r="P94" s="6">
        <v>79867.17</v>
      </c>
      <c r="Q94" s="2"/>
      <c r="R94" s="7">
        <f t="shared" si="67"/>
        <v>7.3565424767923576E-2</v>
      </c>
      <c r="S94" s="2"/>
      <c r="T94" s="6">
        <v>208535.82</v>
      </c>
      <c r="U94" s="2"/>
      <c r="V94" s="7">
        <f t="shared" si="68"/>
        <v>1.685834231843835E-2</v>
      </c>
      <c r="W94" s="2"/>
      <c r="X94" s="6">
        <f t="shared" si="69"/>
        <v>-128668.65000000001</v>
      </c>
      <c r="Y94" s="2"/>
      <c r="Z94" s="7">
        <f t="shared" si="70"/>
        <v>-0.61700982593781728</v>
      </c>
    </row>
    <row r="95" spans="1:26" s="24" customFormat="1" hidden="1" outlineLevel="2" x14ac:dyDescent="0.25">
      <c r="A95" s="26"/>
      <c r="B95" s="11" t="str">
        <f>CONCATENATE("          ", "6286", " - ", "LAUNDRY EXPENSE")</f>
        <v xml:space="preserve">          6286 - LAUNDRY EXPENSE</v>
      </c>
      <c r="C95" s="11"/>
      <c r="D95" s="6">
        <v>1085.6600000000001</v>
      </c>
      <c r="E95" s="2"/>
      <c r="F95" s="7">
        <f t="shared" si="63"/>
        <v>8.0644280697005598E-3</v>
      </c>
      <c r="G95" s="2"/>
      <c r="H95" s="6">
        <v>7835.83</v>
      </c>
      <c r="I95" s="2"/>
      <c r="J95" s="7">
        <f t="shared" si="64"/>
        <v>3.6875535829842764E-3</v>
      </c>
      <c r="K95" s="2"/>
      <c r="L95" s="6">
        <f t="shared" si="65"/>
        <v>-6750.17</v>
      </c>
      <c r="M95" s="2"/>
      <c r="N95" s="7">
        <f t="shared" si="66"/>
        <v>-0.86144926574466263</v>
      </c>
      <c r="O95" s="11"/>
      <c r="P95" s="6">
        <v>12708.13</v>
      </c>
      <c r="Q95" s="2"/>
      <c r="R95" s="7">
        <f t="shared" si="67"/>
        <v>1.1705422659347922E-2</v>
      </c>
      <c r="S95" s="2"/>
      <c r="T95" s="6">
        <v>62096.509999999995</v>
      </c>
      <c r="U95" s="2"/>
      <c r="V95" s="7">
        <f t="shared" si="68"/>
        <v>5.0199731746820766E-3</v>
      </c>
      <c r="W95" s="2"/>
      <c r="X95" s="6">
        <f t="shared" si="69"/>
        <v>-49388.38</v>
      </c>
      <c r="Y95" s="2"/>
      <c r="Z95" s="7">
        <f t="shared" si="70"/>
        <v>-0.79534872410703916</v>
      </c>
    </row>
    <row r="96" spans="1:26" s="25" customFormat="1" outlineLevel="1" collapsed="1" x14ac:dyDescent="0.25">
      <c r="A96" s="27"/>
      <c r="B96" s="13" t="str">
        <f>CONCATENATE("     ","Subscriptions &amp; Dues                              ")</f>
        <v xml:space="preserve">     Subscriptions &amp; Dues                              </v>
      </c>
      <c r="C96" s="13"/>
      <c r="D96" s="1">
        <f>SUM(OSRRefD22_20x_0)</f>
        <v>262.83999999999997</v>
      </c>
      <c r="E96" s="1"/>
      <c r="F96" s="5">
        <f t="shared" ref="F96:F98" si="71">IF(D$12=0,0,D96/D$12)</f>
        <v>1.952410767496357E-3</v>
      </c>
      <c r="G96" s="1"/>
      <c r="H96" s="1">
        <f>SUM(OSRRefH22_20x_0)</f>
        <v>273.73</v>
      </c>
      <c r="I96" s="1"/>
      <c r="J96" s="5">
        <f t="shared" ref="J96:J98" si="72">IF(H$12=0,0,H96/H$12)</f>
        <v>1.288177566729097E-4</v>
      </c>
      <c r="K96" s="1"/>
      <c r="L96" s="1">
        <f t="shared" ref="L96:L98" si="73">+D96-H96</f>
        <v>-10.890000000000043</v>
      </c>
      <c r="M96" s="1"/>
      <c r="N96" s="5">
        <f t="shared" ref="N96:N98" si="74">IF(H96=0,0,L96/H96)</f>
        <v>-3.9783728491579448E-2</v>
      </c>
      <c r="O96" s="13"/>
      <c r="P96" s="1">
        <f>SUM(OSRRefP22_20x_0)</f>
        <v>1592.01</v>
      </c>
      <c r="Q96" s="1"/>
      <c r="R96" s="5">
        <f t="shared" ref="R96:R98" si="75">IF(P$12=0,0,P96/P$12)</f>
        <v>1.4663959156782694E-3</v>
      </c>
      <c r="S96" s="1"/>
      <c r="T96" s="1">
        <f>SUM(OSRRefT22_20x_0)</f>
        <v>7134.3099999999995</v>
      </c>
      <c r="U96" s="1"/>
      <c r="V96" s="5">
        <f t="shared" ref="V96:V98" si="76">IF(T$12=0,0,T96/T$12)</f>
        <v>5.7674811064045445E-4</v>
      </c>
      <c r="W96" s="1"/>
      <c r="X96" s="1">
        <f t="shared" ref="X96:X98" si="77">+P96-T96</f>
        <v>-5542.2999999999993</v>
      </c>
      <c r="Y96" s="1"/>
      <c r="Z96" s="5">
        <f t="shared" ref="Z96:Z98" si="78">IF(T96=0,0,X96/T96)</f>
        <v>-0.77685158060134751</v>
      </c>
    </row>
    <row r="97" spans="1:26" s="24" customFormat="1" hidden="1" outlineLevel="2" x14ac:dyDescent="0.25">
      <c r="A97" s="26"/>
      <c r="B97" s="11" t="str">
        <f>CONCATENATE("          ", "6258", " - ", "MEMBERSHIP DUES")</f>
        <v xml:space="preserve">          6258 - MEMBERSHIP DUES</v>
      </c>
      <c r="C97" s="11"/>
      <c r="D97" s="6"/>
      <c r="E97" s="2"/>
      <c r="F97" s="7">
        <f t="shared" si="71"/>
        <v>0</v>
      </c>
      <c r="G97" s="2"/>
      <c r="H97" s="6">
        <v>-131.19999999999999</v>
      </c>
      <c r="I97" s="2"/>
      <c r="J97" s="7">
        <f t="shared" si="72"/>
        <v>-6.1742920671777849E-5</v>
      </c>
      <c r="K97" s="2"/>
      <c r="L97" s="6">
        <f t="shared" si="73"/>
        <v>131.19999999999999</v>
      </c>
      <c r="M97" s="2"/>
      <c r="N97" s="7">
        <f t="shared" si="74"/>
        <v>-1</v>
      </c>
      <c r="O97" s="11"/>
      <c r="P97" s="6">
        <v>795</v>
      </c>
      <c r="Q97" s="2"/>
      <c r="R97" s="7">
        <f t="shared" si="75"/>
        <v>7.3227225517693E-4</v>
      </c>
      <c r="S97" s="2"/>
      <c r="T97" s="6">
        <v>3730</v>
      </c>
      <c r="U97" s="2"/>
      <c r="V97" s="7">
        <f t="shared" si="76"/>
        <v>3.0153868456639745E-4</v>
      </c>
      <c r="W97" s="2"/>
      <c r="X97" s="6">
        <f t="shared" si="77"/>
        <v>-2935</v>
      </c>
      <c r="Y97" s="2"/>
      <c r="Z97" s="7">
        <f t="shared" si="78"/>
        <v>-0.78686327077747986</v>
      </c>
    </row>
    <row r="98" spans="1:26" s="24" customFormat="1" hidden="1" outlineLevel="2" x14ac:dyDescent="0.25">
      <c r="A98" s="26"/>
      <c r="B98" s="11" t="str">
        <f>CONCATENATE("          ", "6275", " - ", "SUBSCRIPTIONS")</f>
        <v xml:space="preserve">          6275 - SUBSCRIPTIONS</v>
      </c>
      <c r="C98" s="11"/>
      <c r="D98" s="6">
        <v>262.83999999999997</v>
      </c>
      <c r="E98" s="2"/>
      <c r="F98" s="7">
        <f t="shared" si="71"/>
        <v>1.952410767496357E-3</v>
      </c>
      <c r="G98" s="2"/>
      <c r="H98" s="6">
        <v>404.93</v>
      </c>
      <c r="I98" s="2"/>
      <c r="J98" s="7">
        <f t="shared" si="72"/>
        <v>1.9056067734468755E-4</v>
      </c>
      <c r="K98" s="2"/>
      <c r="L98" s="6">
        <f t="shared" si="73"/>
        <v>-142.09000000000003</v>
      </c>
      <c r="M98" s="2"/>
      <c r="N98" s="7">
        <f t="shared" si="74"/>
        <v>-0.35090015558244642</v>
      </c>
      <c r="O98" s="11"/>
      <c r="P98" s="6">
        <v>797.01</v>
      </c>
      <c r="Q98" s="2"/>
      <c r="R98" s="7">
        <f t="shared" si="75"/>
        <v>7.3412366050133954E-4</v>
      </c>
      <c r="S98" s="2"/>
      <c r="T98" s="6">
        <v>3404.31</v>
      </c>
      <c r="U98" s="2"/>
      <c r="V98" s="7">
        <f t="shared" si="76"/>
        <v>2.75209426074057E-4</v>
      </c>
      <c r="W98" s="2"/>
      <c r="X98" s="6">
        <f t="shared" si="77"/>
        <v>-2607.3000000000002</v>
      </c>
      <c r="Y98" s="2"/>
      <c r="Z98" s="7">
        <f t="shared" si="78"/>
        <v>-0.76588207301920219</v>
      </c>
    </row>
    <row r="99" spans="1:26" s="25" customFormat="1" outlineLevel="1" collapsed="1" x14ac:dyDescent="0.25">
      <c r="A99" s="27"/>
      <c r="B99" s="13" t="str">
        <f>CONCATENATE("     ","Supplies                                          ")</f>
        <v xml:space="preserve">     Supplies                                          </v>
      </c>
      <c r="C99" s="13"/>
      <c r="D99" s="1">
        <f>SUM(OSRRefD22_21x_0)</f>
        <v>12155.08</v>
      </c>
      <c r="E99" s="1"/>
      <c r="F99" s="5">
        <f t="shared" ref="F99:F109" si="79">IF(D$12=0,0,D99/D$12)</f>
        <v>9.0289564266396366E-2</v>
      </c>
      <c r="G99" s="1"/>
      <c r="H99" s="1">
        <f>SUM(OSRRefH22_21x_0)</f>
        <v>41879.740000000005</v>
      </c>
      <c r="I99" s="1"/>
      <c r="J99" s="5">
        <f t="shared" ref="J99:J109" si="80">IF(H$12=0,0,H99/H$12)</f>
        <v>1.9708669699502152E-2</v>
      </c>
      <c r="K99" s="1"/>
      <c r="L99" s="1">
        <f t="shared" ref="L99:L109" si="81">+D99-H99</f>
        <v>-29724.660000000003</v>
      </c>
      <c r="M99" s="1"/>
      <c r="N99" s="5">
        <f t="shared" ref="N99:N109" si="82">IF(H99=0,0,L99/H99)</f>
        <v>-0.70976228601228186</v>
      </c>
      <c r="O99" s="13"/>
      <c r="P99" s="1">
        <f>SUM(OSRRefP22_21x_0)</f>
        <v>91224.510000000009</v>
      </c>
      <c r="Q99" s="1"/>
      <c r="R99" s="5">
        <f t="shared" ref="R99:R109" si="83">IF(P$12=0,0,P99/P$12)</f>
        <v>8.4026638572465923E-2</v>
      </c>
      <c r="S99" s="1"/>
      <c r="T99" s="1">
        <f>SUM(OSRRefT22_21x_0)</f>
        <v>323320.15999999992</v>
      </c>
      <c r="U99" s="1"/>
      <c r="V99" s="5">
        <f t="shared" ref="V99:V109" si="84">IF(T$12=0,0,T99/T$12)</f>
        <v>2.6137677142144003E-2</v>
      </c>
      <c r="W99" s="1"/>
      <c r="X99" s="1">
        <f t="shared" ref="X99:X109" si="85">+P99-T99</f>
        <v>-232095.64999999991</v>
      </c>
      <c r="Y99" s="1"/>
      <c r="Z99" s="5">
        <f t="shared" ref="Z99:Z109" si="86">IF(T99=0,0,X99/T99)</f>
        <v>-0.71785084480967709</v>
      </c>
    </row>
    <row r="100" spans="1:26" s="24" customFormat="1" hidden="1" outlineLevel="2" x14ac:dyDescent="0.25">
      <c r="A100" s="26"/>
      <c r="B100" s="11" t="str">
        <f>CONCATENATE("          ", "6234", " - ", "EXPENDABLE SUPPLIES &amp; EQUIPMEN")</f>
        <v xml:space="preserve">          6234 - EXPENDABLE SUPPLIES &amp; EQUIPMEN</v>
      </c>
      <c r="C100" s="11"/>
      <c r="D100" s="6"/>
      <c r="E100" s="2"/>
      <c r="F100" s="7">
        <f t="shared" si="79"/>
        <v>0</v>
      </c>
      <c r="G100" s="2"/>
      <c r="H100" s="6">
        <v>378.95</v>
      </c>
      <c r="I100" s="2"/>
      <c r="J100" s="7">
        <f t="shared" si="80"/>
        <v>1.7833444960800471E-4</v>
      </c>
      <c r="K100" s="2"/>
      <c r="L100" s="6">
        <f t="shared" si="81"/>
        <v>-378.95</v>
      </c>
      <c r="M100" s="2"/>
      <c r="N100" s="7">
        <f t="shared" si="82"/>
        <v>-1</v>
      </c>
      <c r="O100" s="11"/>
      <c r="P100" s="6">
        <v>310.91000000000003</v>
      </c>
      <c r="Q100" s="2"/>
      <c r="R100" s="7">
        <f t="shared" si="83"/>
        <v>2.8637832309064061E-4</v>
      </c>
      <c r="S100" s="2"/>
      <c r="T100" s="6">
        <v>13690.46</v>
      </c>
      <c r="U100" s="2"/>
      <c r="V100" s="7">
        <f t="shared" si="84"/>
        <v>1.1067569167584133E-3</v>
      </c>
      <c r="W100" s="2"/>
      <c r="X100" s="6">
        <f t="shared" si="85"/>
        <v>-13379.55</v>
      </c>
      <c r="Y100" s="2"/>
      <c r="Z100" s="7">
        <f t="shared" si="86"/>
        <v>-0.97729002531689957</v>
      </c>
    </row>
    <row r="101" spans="1:26" s="24" customFormat="1" hidden="1" outlineLevel="2" x14ac:dyDescent="0.25">
      <c r="A101" s="26"/>
      <c r="B101" s="11" t="str">
        <f>CONCATENATE("          ", "6235", " - ", "COVID-19 EXPENSES")</f>
        <v xml:space="preserve">          6235 - COVID-19 EXPENSES</v>
      </c>
      <c r="C101" s="11"/>
      <c r="D101" s="6">
        <v>2921.2</v>
      </c>
      <c r="E101" s="2"/>
      <c r="F101" s="7">
        <f t="shared" si="79"/>
        <v>2.1699065340170284E-2</v>
      </c>
      <c r="G101" s="2"/>
      <c r="H101" s="6"/>
      <c r="I101" s="2"/>
      <c r="J101" s="7">
        <f t="shared" si="80"/>
        <v>0</v>
      </c>
      <c r="K101" s="2"/>
      <c r="L101" s="6">
        <f t="shared" si="81"/>
        <v>2921.2</v>
      </c>
      <c r="M101" s="2"/>
      <c r="N101" s="7">
        <f t="shared" si="82"/>
        <v>0</v>
      </c>
      <c r="O101" s="11"/>
      <c r="P101" s="6">
        <v>60451.41</v>
      </c>
      <c r="Q101" s="2"/>
      <c r="R101" s="7">
        <f t="shared" si="83"/>
        <v>5.568162305575499E-2</v>
      </c>
      <c r="S101" s="2"/>
      <c r="T101" s="6"/>
      <c r="U101" s="2"/>
      <c r="V101" s="7">
        <f t="shared" si="84"/>
        <v>0</v>
      </c>
      <c r="W101" s="2"/>
      <c r="X101" s="6">
        <f t="shared" si="85"/>
        <v>60451.41</v>
      </c>
      <c r="Y101" s="2"/>
      <c r="Z101" s="7">
        <f t="shared" si="86"/>
        <v>0</v>
      </c>
    </row>
    <row r="102" spans="1:26" s="24" customFormat="1" hidden="1" outlineLevel="2" x14ac:dyDescent="0.25">
      <c r="A102" s="26"/>
      <c r="B102" s="11" t="str">
        <f>CONCATENATE("          ", "6237", " - ", "JANITORIAL SUPPLIES")</f>
        <v xml:space="preserve">          6237 - JANITORIAL SUPPLIES</v>
      </c>
      <c r="C102" s="11"/>
      <c r="D102" s="6">
        <v>648.99</v>
      </c>
      <c r="E102" s="2"/>
      <c r="F102" s="7">
        <f t="shared" si="79"/>
        <v>4.8207847511697642E-3</v>
      </c>
      <c r="G102" s="2"/>
      <c r="H102" s="6">
        <v>15599.52</v>
      </c>
      <c r="I102" s="2"/>
      <c r="J102" s="7">
        <f t="shared" si="80"/>
        <v>7.3411579716296657E-3</v>
      </c>
      <c r="K102" s="2"/>
      <c r="L102" s="6">
        <f t="shared" si="81"/>
        <v>-14950.53</v>
      </c>
      <c r="M102" s="2"/>
      <c r="N102" s="7">
        <f t="shared" si="82"/>
        <v>-0.95839679682451773</v>
      </c>
      <c r="O102" s="11"/>
      <c r="P102" s="6">
        <v>18243.710000000003</v>
      </c>
      <c r="Q102" s="2"/>
      <c r="R102" s="7">
        <f t="shared" si="83"/>
        <v>1.6804229766659008E-2</v>
      </c>
      <c r="S102" s="2"/>
      <c r="T102" s="6">
        <v>107925.82</v>
      </c>
      <c r="U102" s="2"/>
      <c r="V102" s="7">
        <f t="shared" si="84"/>
        <v>8.7248819821849309E-3</v>
      </c>
      <c r="W102" s="2"/>
      <c r="X102" s="6">
        <f t="shared" si="85"/>
        <v>-89682.11</v>
      </c>
      <c r="Y102" s="2"/>
      <c r="Z102" s="7">
        <f t="shared" si="86"/>
        <v>-0.83096065427160981</v>
      </c>
    </row>
    <row r="103" spans="1:26" s="24" customFormat="1" hidden="1" outlineLevel="2" x14ac:dyDescent="0.25">
      <c r="A103" s="26"/>
      <c r="B103" s="11" t="str">
        <f>CONCATENATE("          ", "6239", " - ", "KITCHEN SUPPLIES")</f>
        <v xml:space="preserve">          6239 - KITCHEN SUPPLIES</v>
      </c>
      <c r="C103" s="11"/>
      <c r="D103" s="6">
        <v>253.3</v>
      </c>
      <c r="E103" s="2"/>
      <c r="F103" s="7">
        <f t="shared" si="79"/>
        <v>1.8815463681586793E-3</v>
      </c>
      <c r="G103" s="2"/>
      <c r="H103" s="6">
        <v>9419.32</v>
      </c>
      <c r="I103" s="2"/>
      <c r="J103" s="7">
        <f t="shared" si="80"/>
        <v>4.4327463989488614E-3</v>
      </c>
      <c r="K103" s="2"/>
      <c r="L103" s="6">
        <f t="shared" si="81"/>
        <v>-9166.02</v>
      </c>
      <c r="M103" s="2"/>
      <c r="N103" s="7">
        <f t="shared" si="82"/>
        <v>-0.97310846218198344</v>
      </c>
      <c r="O103" s="11"/>
      <c r="P103" s="6">
        <v>7067.16</v>
      </c>
      <c r="Q103" s="2"/>
      <c r="R103" s="7">
        <f t="shared" si="83"/>
        <v>6.5095411206241406E-3</v>
      </c>
      <c r="S103" s="2"/>
      <c r="T103" s="6">
        <v>70198.87</v>
      </c>
      <c r="U103" s="2"/>
      <c r="V103" s="7">
        <f t="shared" si="84"/>
        <v>5.6749798707366062E-3</v>
      </c>
      <c r="W103" s="2"/>
      <c r="X103" s="6">
        <f t="shared" si="85"/>
        <v>-63131.709999999992</v>
      </c>
      <c r="Y103" s="2"/>
      <c r="Z103" s="7">
        <f t="shared" si="86"/>
        <v>-0.89932658460171788</v>
      </c>
    </row>
    <row r="104" spans="1:26" s="24" customFormat="1" hidden="1" outlineLevel="2" x14ac:dyDescent="0.25">
      <c r="A104" s="26"/>
      <c r="B104" s="11" t="str">
        <f>CONCATENATE("          ", "6241", " - ", "OFFICE EXPENSE")</f>
        <v xml:space="preserve">          6241 - OFFICE EXPENSE</v>
      </c>
      <c r="C104" s="11"/>
      <c r="D104" s="6">
        <v>1130.8499999999999</v>
      </c>
      <c r="E104" s="2"/>
      <c r="F104" s="7">
        <f t="shared" si="79"/>
        <v>8.4001054497917175E-3</v>
      </c>
      <c r="G104" s="2"/>
      <c r="H104" s="6">
        <v>1233.98</v>
      </c>
      <c r="I104" s="2"/>
      <c r="J104" s="7">
        <f t="shared" si="80"/>
        <v>5.8071287538536917E-4</v>
      </c>
      <c r="K104" s="2"/>
      <c r="L104" s="6">
        <f t="shared" si="81"/>
        <v>-103.13000000000011</v>
      </c>
      <c r="M104" s="2"/>
      <c r="N104" s="7">
        <f t="shared" si="82"/>
        <v>-8.357509846188764E-2</v>
      </c>
      <c r="O104" s="11"/>
      <c r="P104" s="6">
        <v>-23668.25</v>
      </c>
      <c r="Q104" s="2"/>
      <c r="R104" s="7">
        <f t="shared" si="83"/>
        <v>-2.1800758243511159E-2</v>
      </c>
      <c r="S104" s="2"/>
      <c r="T104" s="6">
        <v>42888.87</v>
      </c>
      <c r="U104" s="2"/>
      <c r="V104" s="7">
        <f t="shared" si="84"/>
        <v>3.4671993143000615E-3</v>
      </c>
      <c r="W104" s="2"/>
      <c r="X104" s="6">
        <f t="shared" si="85"/>
        <v>-66557.119999999995</v>
      </c>
      <c r="Y104" s="2"/>
      <c r="Z104" s="7">
        <f t="shared" si="86"/>
        <v>-1.5518506316440603</v>
      </c>
    </row>
    <row r="105" spans="1:26" s="24" customFormat="1" hidden="1" outlineLevel="2" x14ac:dyDescent="0.25">
      <c r="A105" s="26"/>
      <c r="B105" s="11" t="str">
        <f>CONCATENATE("          ", "6243", " - ", "PAPER SUPPLIES")</f>
        <v xml:space="preserve">          6243 - PAPER SUPPLIES</v>
      </c>
      <c r="C105" s="11"/>
      <c r="D105" s="6">
        <v>7200.74</v>
      </c>
      <c r="E105" s="2"/>
      <c r="F105" s="7">
        <f t="shared" si="79"/>
        <v>5.348806235710591E-2</v>
      </c>
      <c r="G105" s="2"/>
      <c r="H105" s="6">
        <v>11619.5</v>
      </c>
      <c r="I105" s="2"/>
      <c r="J105" s="7">
        <f t="shared" si="80"/>
        <v>5.4681544721472772E-3</v>
      </c>
      <c r="K105" s="2"/>
      <c r="L105" s="6">
        <f t="shared" si="81"/>
        <v>-4418.76</v>
      </c>
      <c r="M105" s="2"/>
      <c r="N105" s="7">
        <f t="shared" si="82"/>
        <v>-0.38028830844700723</v>
      </c>
      <c r="O105" s="11"/>
      <c r="P105" s="6">
        <v>24318.98</v>
      </c>
      <c r="Q105" s="2"/>
      <c r="R105" s="7">
        <f t="shared" si="83"/>
        <v>2.2400143809059945E-2</v>
      </c>
      <c r="S105" s="2"/>
      <c r="T105" s="6">
        <v>77474.200000000012</v>
      </c>
      <c r="U105" s="2"/>
      <c r="V105" s="7">
        <f t="shared" si="84"/>
        <v>6.2631282455319019E-3</v>
      </c>
      <c r="W105" s="2"/>
      <c r="X105" s="6">
        <f t="shared" si="85"/>
        <v>-53155.220000000016</v>
      </c>
      <c r="Y105" s="2"/>
      <c r="Z105" s="7">
        <f t="shared" si="86"/>
        <v>-0.68610221209125111</v>
      </c>
    </row>
    <row r="106" spans="1:26" s="24" customFormat="1" hidden="1" outlineLevel="2" x14ac:dyDescent="0.25">
      <c r="A106" s="26"/>
      <c r="B106" s="11" t="str">
        <f>CONCATENATE("          ", "6245", " - ", "PRINTING")</f>
        <v xml:space="preserve">          6245 - PRINTING</v>
      </c>
      <c r="C106" s="11"/>
      <c r="D106" s="6"/>
      <c r="E106" s="2"/>
      <c r="F106" s="7">
        <f t="shared" si="79"/>
        <v>0</v>
      </c>
      <c r="G106" s="2"/>
      <c r="H106" s="6"/>
      <c r="I106" s="2"/>
      <c r="J106" s="7">
        <f t="shared" si="80"/>
        <v>0</v>
      </c>
      <c r="K106" s="2"/>
      <c r="L106" s="6">
        <f t="shared" si="81"/>
        <v>0</v>
      </c>
      <c r="M106" s="2"/>
      <c r="N106" s="7">
        <f t="shared" si="82"/>
        <v>0</v>
      </c>
      <c r="O106" s="11"/>
      <c r="P106" s="6"/>
      <c r="Q106" s="2"/>
      <c r="R106" s="7">
        <f t="shared" si="83"/>
        <v>0</v>
      </c>
      <c r="S106" s="2"/>
      <c r="T106" s="6">
        <v>1882.72</v>
      </c>
      <c r="U106" s="2"/>
      <c r="V106" s="7">
        <f t="shared" si="84"/>
        <v>1.5220185313856511E-4</v>
      </c>
      <c r="W106" s="2"/>
      <c r="X106" s="6">
        <f t="shared" si="85"/>
        <v>-1882.72</v>
      </c>
      <c r="Y106" s="2"/>
      <c r="Z106" s="7">
        <f t="shared" si="86"/>
        <v>-1</v>
      </c>
    </row>
    <row r="107" spans="1:26" s="24" customFormat="1" hidden="1" outlineLevel="2" x14ac:dyDescent="0.25">
      <c r="A107" s="26"/>
      <c r="B107" s="11" t="str">
        <f>CONCATENATE("          ", "6246", " - ", "REPLACEMENTS")</f>
        <v xml:space="preserve">          6246 - REPLACEMENTS</v>
      </c>
      <c r="C107" s="11"/>
      <c r="D107" s="6"/>
      <c r="E107" s="2"/>
      <c r="F107" s="7">
        <f t="shared" si="79"/>
        <v>0</v>
      </c>
      <c r="G107" s="2"/>
      <c r="H107" s="6">
        <v>25.87</v>
      </c>
      <c r="I107" s="2"/>
      <c r="J107" s="7">
        <f t="shared" si="80"/>
        <v>1.2174461568436686E-5</v>
      </c>
      <c r="K107" s="2"/>
      <c r="L107" s="6">
        <f t="shared" si="81"/>
        <v>-25.87</v>
      </c>
      <c r="M107" s="2"/>
      <c r="N107" s="7">
        <f t="shared" si="82"/>
        <v>-1</v>
      </c>
      <c r="O107" s="11"/>
      <c r="P107" s="6"/>
      <c r="Q107" s="2"/>
      <c r="R107" s="7">
        <f t="shared" si="83"/>
        <v>0</v>
      </c>
      <c r="S107" s="2"/>
      <c r="T107" s="6">
        <v>25.87</v>
      </c>
      <c r="U107" s="2"/>
      <c r="V107" s="7">
        <f t="shared" si="84"/>
        <v>2.0913688390704297E-6</v>
      </c>
      <c r="W107" s="2"/>
      <c r="X107" s="6">
        <f t="shared" si="85"/>
        <v>-25.87</v>
      </c>
      <c r="Y107" s="2"/>
      <c r="Z107" s="7">
        <f t="shared" si="86"/>
        <v>-1</v>
      </c>
    </row>
    <row r="108" spans="1:26" s="24" customFormat="1" hidden="1" outlineLevel="2" x14ac:dyDescent="0.25">
      <c r="A108" s="26"/>
      <c r="B108" s="11" t="str">
        <f>CONCATENATE("          ", "6247", " - ", "STORE SUPPLIES")</f>
        <v xml:space="preserve">          6247 - STORE SUPPLIES</v>
      </c>
      <c r="C108" s="11"/>
      <c r="D108" s="6"/>
      <c r="E108" s="2"/>
      <c r="F108" s="7">
        <f t="shared" si="79"/>
        <v>0</v>
      </c>
      <c r="G108" s="2"/>
      <c r="H108" s="6">
        <v>3144.53</v>
      </c>
      <c r="I108" s="2"/>
      <c r="J108" s="7">
        <f t="shared" si="80"/>
        <v>1.4798206275916587E-3</v>
      </c>
      <c r="K108" s="2"/>
      <c r="L108" s="6">
        <f t="shared" si="81"/>
        <v>-3144.53</v>
      </c>
      <c r="M108" s="2"/>
      <c r="N108" s="7">
        <f t="shared" si="82"/>
        <v>-1</v>
      </c>
      <c r="O108" s="11"/>
      <c r="P108" s="6"/>
      <c r="Q108" s="2"/>
      <c r="R108" s="7">
        <f t="shared" si="83"/>
        <v>0</v>
      </c>
      <c r="S108" s="2"/>
      <c r="T108" s="6">
        <v>6588.92</v>
      </c>
      <c r="U108" s="2"/>
      <c r="V108" s="7">
        <f t="shared" si="84"/>
        <v>5.3265798110274198E-4</v>
      </c>
      <c r="W108" s="2"/>
      <c r="X108" s="6">
        <f t="shared" si="85"/>
        <v>-6588.92</v>
      </c>
      <c r="Y108" s="2"/>
      <c r="Z108" s="7">
        <f t="shared" si="86"/>
        <v>-1</v>
      </c>
    </row>
    <row r="109" spans="1:26" s="24" customFormat="1" hidden="1" outlineLevel="2" x14ac:dyDescent="0.25">
      <c r="A109" s="26"/>
      <c r="B109" s="11" t="str">
        <f>CONCATENATE("          ", "6248", " - ", "UNIFORMS")</f>
        <v xml:space="preserve">          6248 - UNIFORMS</v>
      </c>
      <c r="C109" s="11"/>
      <c r="D109" s="6"/>
      <c r="E109" s="2"/>
      <c r="F109" s="7">
        <f t="shared" si="79"/>
        <v>0</v>
      </c>
      <c r="G109" s="2"/>
      <c r="H109" s="6">
        <v>458.07</v>
      </c>
      <c r="I109" s="2"/>
      <c r="J109" s="7">
        <f t="shared" si="80"/>
        <v>2.1556844262287563E-4</v>
      </c>
      <c r="K109" s="2"/>
      <c r="L109" s="6">
        <f t="shared" si="81"/>
        <v>-458.07</v>
      </c>
      <c r="M109" s="2"/>
      <c r="N109" s="7">
        <f t="shared" si="82"/>
        <v>-1</v>
      </c>
      <c r="O109" s="11"/>
      <c r="P109" s="6">
        <v>4500.59</v>
      </c>
      <c r="Q109" s="2"/>
      <c r="R109" s="7">
        <f t="shared" si="83"/>
        <v>4.1454807407883517E-3</v>
      </c>
      <c r="S109" s="2"/>
      <c r="T109" s="6">
        <v>2644.43</v>
      </c>
      <c r="U109" s="2"/>
      <c r="V109" s="7">
        <f t="shared" si="84"/>
        <v>2.1377960955172077E-4</v>
      </c>
      <c r="W109" s="2"/>
      <c r="X109" s="6">
        <f t="shared" si="85"/>
        <v>1856.1600000000003</v>
      </c>
      <c r="Y109" s="2"/>
      <c r="Z109" s="7">
        <f t="shared" si="86"/>
        <v>0.70191307767647482</v>
      </c>
    </row>
    <row r="110" spans="1:26" s="25" customFormat="1" outlineLevel="1" collapsed="1" x14ac:dyDescent="0.25">
      <c r="A110" s="27"/>
      <c r="B110" s="13" t="str">
        <f>CONCATENATE("     ","Telephone/Data Lines                              ")</f>
        <v xml:space="preserve">     Telephone/Data Lines                              </v>
      </c>
      <c r="C110" s="13"/>
      <c r="D110" s="1">
        <f>SUM(OSRRefD22_22x_0)</f>
        <v>546.14</v>
      </c>
      <c r="E110" s="1"/>
      <c r="F110" s="5">
        <f t="shared" ref="F110:F117" si="87">IF(D$12=0,0,D110/D$12)</f>
        <v>4.0568011587294945E-3</v>
      </c>
      <c r="G110" s="1"/>
      <c r="H110" s="1">
        <f>SUM(OSRRefH22_22x_0)</f>
        <v>2298.4</v>
      </c>
      <c r="I110" s="1"/>
      <c r="J110" s="5">
        <f t="shared" ref="J110:J117" si="88">IF(H$12=0,0,H110/H$12)</f>
        <v>1.0816305554269378E-3</v>
      </c>
      <c r="K110" s="1"/>
      <c r="L110" s="1">
        <f t="shared" ref="L110:L117" si="89">+D110-H110</f>
        <v>-1752.2600000000002</v>
      </c>
      <c r="M110" s="1"/>
      <c r="N110" s="5">
        <f t="shared" ref="N110:N117" si="90">IF(H110=0,0,L110/H110)</f>
        <v>-0.76238252697528719</v>
      </c>
      <c r="O110" s="13"/>
      <c r="P110" s="1">
        <f>SUM(OSRRefP22_22x_0)</f>
        <v>9476.73</v>
      </c>
      <c r="Q110" s="1"/>
      <c r="R110" s="5">
        <f t="shared" ref="R110:R117" si="91">IF(P$12=0,0,P110/P$12)</f>
        <v>8.7289892437771906E-3</v>
      </c>
      <c r="S110" s="1"/>
      <c r="T110" s="1">
        <f>SUM(OSRRefT22_22x_0)</f>
        <v>20092.73</v>
      </c>
      <c r="U110" s="1"/>
      <c r="V110" s="5">
        <f t="shared" ref="V110:V117" si="92">IF(T$12=0,0,T110/T$12)</f>
        <v>1.6243258374122765E-3</v>
      </c>
      <c r="W110" s="1"/>
      <c r="X110" s="1">
        <f t="shared" ref="X110:X117" si="93">+P110-T110</f>
        <v>-10616</v>
      </c>
      <c r="Y110" s="1"/>
      <c r="Z110" s="5">
        <f t="shared" ref="Z110:Z117" si="94">IF(T110=0,0,X110/T110)</f>
        <v>-0.5283503038163555</v>
      </c>
    </row>
    <row r="111" spans="1:26" s="24" customFormat="1" hidden="1" outlineLevel="2" x14ac:dyDescent="0.25">
      <c r="A111" s="26"/>
      <c r="B111" s="11" t="str">
        <f>CONCATENATE("          ", "6309", " - ", "TELEPHONE")</f>
        <v xml:space="preserve">          6309 - TELEPHONE</v>
      </c>
      <c r="C111" s="11"/>
      <c r="D111" s="6">
        <v>546.14</v>
      </c>
      <c r="E111" s="2"/>
      <c r="F111" s="7">
        <f t="shared" si="87"/>
        <v>4.0568011587294945E-3</v>
      </c>
      <c r="G111" s="2"/>
      <c r="H111" s="6">
        <v>2298.4</v>
      </c>
      <c r="I111" s="2"/>
      <c r="J111" s="7">
        <f t="shared" si="88"/>
        <v>1.0816305554269378E-3</v>
      </c>
      <c r="K111" s="2"/>
      <c r="L111" s="6">
        <f t="shared" si="89"/>
        <v>-1752.2600000000002</v>
      </c>
      <c r="M111" s="2"/>
      <c r="N111" s="7">
        <f t="shared" si="90"/>
        <v>-0.76238252697528719</v>
      </c>
      <c r="O111" s="11"/>
      <c r="P111" s="6">
        <v>9476.73</v>
      </c>
      <c r="Q111" s="2"/>
      <c r="R111" s="7">
        <f t="shared" si="91"/>
        <v>8.7289892437771906E-3</v>
      </c>
      <c r="S111" s="2"/>
      <c r="T111" s="6">
        <v>20092.73</v>
      </c>
      <c r="U111" s="2"/>
      <c r="V111" s="7">
        <f t="shared" si="92"/>
        <v>1.6243258374122765E-3</v>
      </c>
      <c r="W111" s="2"/>
      <c r="X111" s="6">
        <f t="shared" si="93"/>
        <v>-10616</v>
      </c>
      <c r="Y111" s="2"/>
      <c r="Z111" s="7">
        <f t="shared" si="94"/>
        <v>-0.5283503038163555</v>
      </c>
    </row>
    <row r="112" spans="1:26" s="25" customFormat="1" outlineLevel="1" collapsed="1" x14ac:dyDescent="0.25">
      <c r="A112" s="27"/>
      <c r="B112" s="13" t="str">
        <f>CONCATENATE("     ","Training                                          ")</f>
        <v xml:space="preserve">     Training                                          </v>
      </c>
      <c r="C112" s="13"/>
      <c r="D112" s="1">
        <f>SUM(OSRRefD22_23x_0)</f>
        <v>0</v>
      </c>
      <c r="E112" s="1"/>
      <c r="F112" s="5">
        <f t="shared" si="87"/>
        <v>0</v>
      </c>
      <c r="G112" s="1"/>
      <c r="H112" s="1">
        <f>SUM(OSRRefH22_23x_0)</f>
        <v>455.05</v>
      </c>
      <c r="I112" s="1"/>
      <c r="J112" s="5">
        <f t="shared" si="88"/>
        <v>2.1414722600375391E-4</v>
      </c>
      <c r="K112" s="1"/>
      <c r="L112" s="1">
        <f t="shared" si="89"/>
        <v>-455.05</v>
      </c>
      <c r="M112" s="1"/>
      <c r="N112" s="5">
        <f t="shared" si="90"/>
        <v>-1</v>
      </c>
      <c r="O112" s="13"/>
      <c r="P112" s="1">
        <f>SUM(OSRRefP22_23x_0)</f>
        <v>1135</v>
      </c>
      <c r="Q112" s="1"/>
      <c r="R112" s="5">
        <f t="shared" si="91"/>
        <v>1.045445295126812E-3</v>
      </c>
      <c r="S112" s="1"/>
      <c r="T112" s="1">
        <f>SUM(OSRRefT22_23x_0)</f>
        <v>8301.24</v>
      </c>
      <c r="U112" s="1"/>
      <c r="V112" s="5">
        <f t="shared" si="92"/>
        <v>6.7108444768631669E-4</v>
      </c>
      <c r="W112" s="1"/>
      <c r="X112" s="1">
        <f t="shared" si="93"/>
        <v>-7166.24</v>
      </c>
      <c r="Y112" s="1"/>
      <c r="Z112" s="5">
        <f t="shared" si="94"/>
        <v>-0.86327343866699435</v>
      </c>
    </row>
    <row r="113" spans="1:26" s="24" customFormat="1" hidden="1" outlineLevel="2" x14ac:dyDescent="0.25">
      <c r="A113" s="26"/>
      <c r="B113" s="11" t="str">
        <f>CONCATENATE("          ", "6376", " - ", "TRAINING")</f>
        <v xml:space="preserve">          6376 - TRAINING</v>
      </c>
      <c r="C113" s="11"/>
      <c r="D113" s="6"/>
      <c r="E113" s="2"/>
      <c r="F113" s="7">
        <f t="shared" si="87"/>
        <v>0</v>
      </c>
      <c r="G113" s="2"/>
      <c r="H113" s="6">
        <v>455.05</v>
      </c>
      <c r="I113" s="2"/>
      <c r="J113" s="7">
        <f t="shared" si="88"/>
        <v>2.1414722600375391E-4</v>
      </c>
      <c r="K113" s="2"/>
      <c r="L113" s="6">
        <f t="shared" si="89"/>
        <v>-455.05</v>
      </c>
      <c r="M113" s="2"/>
      <c r="N113" s="7">
        <f t="shared" si="90"/>
        <v>-1</v>
      </c>
      <c r="O113" s="11"/>
      <c r="P113" s="6">
        <v>1135</v>
      </c>
      <c r="Q113" s="2"/>
      <c r="R113" s="7">
        <f t="shared" si="91"/>
        <v>1.045445295126812E-3</v>
      </c>
      <c r="S113" s="2"/>
      <c r="T113" s="6">
        <v>8301.24</v>
      </c>
      <c r="U113" s="2"/>
      <c r="V113" s="7">
        <f t="shared" si="92"/>
        <v>6.7108444768631669E-4</v>
      </c>
      <c r="W113" s="2"/>
      <c r="X113" s="6">
        <f t="shared" si="93"/>
        <v>-7166.24</v>
      </c>
      <c r="Y113" s="2"/>
      <c r="Z113" s="7">
        <f t="shared" si="94"/>
        <v>-0.86327343866699435</v>
      </c>
    </row>
    <row r="114" spans="1:26" s="25" customFormat="1" outlineLevel="1" collapsed="1" x14ac:dyDescent="0.25">
      <c r="A114" s="27"/>
      <c r="B114" s="13" t="str">
        <f>CONCATENATE("     ","Travel                                            ")</f>
        <v xml:space="preserve">     Travel                                            </v>
      </c>
      <c r="C114" s="13"/>
      <c r="D114" s="1">
        <f>SUM(OSRRefD22_24x_0)</f>
        <v>0</v>
      </c>
      <c r="E114" s="1"/>
      <c r="F114" s="5">
        <f t="shared" si="87"/>
        <v>0</v>
      </c>
      <c r="G114" s="1"/>
      <c r="H114" s="1">
        <f>SUM(OSRRefH22_24x_0)</f>
        <v>145.49</v>
      </c>
      <c r="I114" s="1"/>
      <c r="J114" s="5">
        <f t="shared" si="88"/>
        <v>6.8467816528482937E-5</v>
      </c>
      <c r="K114" s="1"/>
      <c r="L114" s="1">
        <f t="shared" si="89"/>
        <v>-145.49</v>
      </c>
      <c r="M114" s="1"/>
      <c r="N114" s="5">
        <f t="shared" si="90"/>
        <v>-1</v>
      </c>
      <c r="O114" s="13"/>
      <c r="P114" s="1">
        <f>SUM(OSRRefP22_24x_0)</f>
        <v>332.21</v>
      </c>
      <c r="Q114" s="1"/>
      <c r="R114" s="5">
        <f t="shared" si="91"/>
        <v>3.0599769294632436E-4</v>
      </c>
      <c r="S114" s="1"/>
      <c r="T114" s="1">
        <f>SUM(OSRRefT22_24x_0)</f>
        <v>5109.1000000000004</v>
      </c>
      <c r="U114" s="1"/>
      <c r="V114" s="5">
        <f t="shared" si="92"/>
        <v>4.1302715638557143E-4</v>
      </c>
      <c r="W114" s="1"/>
      <c r="X114" s="1">
        <f t="shared" si="93"/>
        <v>-4776.8900000000003</v>
      </c>
      <c r="Y114" s="1"/>
      <c r="Z114" s="5">
        <f t="shared" si="94"/>
        <v>-0.93497680609109235</v>
      </c>
    </row>
    <row r="115" spans="1:26" s="24" customFormat="1" hidden="1" outlineLevel="2" x14ac:dyDescent="0.25">
      <c r="A115" s="26"/>
      <c r="B115" s="11" t="str">
        <f>CONCATENATE("          ", "6292", " - ", "TRAVEL/CONFERENCE")</f>
        <v xml:space="preserve">          6292 - TRAVEL/CONFERENCE</v>
      </c>
      <c r="C115" s="11"/>
      <c r="D115" s="6"/>
      <c r="E115" s="2"/>
      <c r="F115" s="7">
        <f t="shared" si="87"/>
        <v>0</v>
      </c>
      <c r="G115" s="2"/>
      <c r="H115" s="6">
        <v>88.83</v>
      </c>
      <c r="I115" s="2"/>
      <c r="J115" s="7">
        <f t="shared" si="88"/>
        <v>4.180353386641789E-5</v>
      </c>
      <c r="K115" s="2"/>
      <c r="L115" s="6">
        <f t="shared" si="89"/>
        <v>-88.83</v>
      </c>
      <c r="M115" s="2"/>
      <c r="N115" s="7">
        <f t="shared" si="90"/>
        <v>-1</v>
      </c>
      <c r="O115" s="11"/>
      <c r="P115" s="6"/>
      <c r="Q115" s="2"/>
      <c r="R115" s="7">
        <f t="shared" si="91"/>
        <v>0</v>
      </c>
      <c r="S115" s="2"/>
      <c r="T115" s="6">
        <v>4130.13</v>
      </c>
      <c r="U115" s="2"/>
      <c r="V115" s="7">
        <f t="shared" si="92"/>
        <v>3.3388578211480301E-4</v>
      </c>
      <c r="W115" s="2"/>
      <c r="X115" s="6">
        <f t="shared" si="93"/>
        <v>-4130.13</v>
      </c>
      <c r="Y115" s="2"/>
      <c r="Z115" s="7">
        <f t="shared" si="94"/>
        <v>-1</v>
      </c>
    </row>
    <row r="116" spans="1:26" s="24" customFormat="1" hidden="1" outlineLevel="2" x14ac:dyDescent="0.25">
      <c r="A116" s="26"/>
      <c r="B116" s="11" t="str">
        <f>CONCATENATE("          ", "6294", " - ", "TRAVEL OPERATIONAL")</f>
        <v xml:space="preserve">          6294 - TRAVEL OPERATIONAL</v>
      </c>
      <c r="C116" s="11"/>
      <c r="D116" s="6"/>
      <c r="E116" s="2"/>
      <c r="F116" s="7">
        <f t="shared" si="87"/>
        <v>0</v>
      </c>
      <c r="G116" s="2"/>
      <c r="H116" s="6"/>
      <c r="I116" s="2"/>
      <c r="J116" s="7">
        <f t="shared" si="88"/>
        <v>0</v>
      </c>
      <c r="K116" s="2"/>
      <c r="L116" s="6">
        <f t="shared" si="89"/>
        <v>0</v>
      </c>
      <c r="M116" s="2"/>
      <c r="N116" s="7">
        <f t="shared" si="90"/>
        <v>0</v>
      </c>
      <c r="O116" s="11"/>
      <c r="P116" s="6"/>
      <c r="Q116" s="2"/>
      <c r="R116" s="7">
        <f t="shared" si="91"/>
        <v>0</v>
      </c>
      <c r="S116" s="2"/>
      <c r="T116" s="6">
        <v>45.49</v>
      </c>
      <c r="U116" s="2"/>
      <c r="V116" s="7">
        <f t="shared" si="92"/>
        <v>3.6774784881837594E-6</v>
      </c>
      <c r="W116" s="2"/>
      <c r="X116" s="6">
        <f t="shared" si="93"/>
        <v>-45.49</v>
      </c>
      <c r="Y116" s="2"/>
      <c r="Z116" s="7">
        <f t="shared" si="94"/>
        <v>-1</v>
      </c>
    </row>
    <row r="117" spans="1:26" s="24" customFormat="1" hidden="1" outlineLevel="2" x14ac:dyDescent="0.25">
      <c r="A117" s="26"/>
      <c r="B117" s="11" t="str">
        <f>CONCATENATE("          ", "6298", " - ", "VEHICLE MILEAGE")</f>
        <v xml:space="preserve">          6298 - VEHICLE MILEAGE</v>
      </c>
      <c r="C117" s="11"/>
      <c r="D117" s="6"/>
      <c r="E117" s="2"/>
      <c r="F117" s="7">
        <f t="shared" si="87"/>
        <v>0</v>
      </c>
      <c r="G117" s="2"/>
      <c r="H117" s="6">
        <v>56.66</v>
      </c>
      <c r="I117" s="2"/>
      <c r="J117" s="7">
        <f t="shared" si="88"/>
        <v>2.666428266206504E-5</v>
      </c>
      <c r="K117" s="2"/>
      <c r="L117" s="6">
        <f t="shared" si="89"/>
        <v>-56.66</v>
      </c>
      <c r="M117" s="2"/>
      <c r="N117" s="7">
        <f t="shared" si="90"/>
        <v>-1</v>
      </c>
      <c r="O117" s="11"/>
      <c r="P117" s="6">
        <v>332.21</v>
      </c>
      <c r="Q117" s="2"/>
      <c r="R117" s="7">
        <f t="shared" si="91"/>
        <v>3.0599769294632436E-4</v>
      </c>
      <c r="S117" s="2"/>
      <c r="T117" s="6">
        <v>933.48</v>
      </c>
      <c r="U117" s="2"/>
      <c r="V117" s="7">
        <f t="shared" si="92"/>
        <v>7.5463895782584644E-5</v>
      </c>
      <c r="W117" s="2"/>
      <c r="X117" s="6">
        <f t="shared" si="93"/>
        <v>-601.27</v>
      </c>
      <c r="Y117" s="2"/>
      <c r="Z117" s="7">
        <f t="shared" si="94"/>
        <v>-0.64411663881390069</v>
      </c>
    </row>
    <row r="118" spans="1:26" s="25" customFormat="1" outlineLevel="1" collapsed="1" x14ac:dyDescent="0.25">
      <c r="A118" s="27"/>
      <c r="B118" s="13" t="str">
        <f>CONCATENATE("     ","Utilities                                         ")</f>
        <v xml:space="preserve">     Utilities                                         </v>
      </c>
      <c r="C118" s="13"/>
      <c r="D118" s="1">
        <f>SUM(OSRRefD22_25x_0)</f>
        <v>3660</v>
      </c>
      <c r="E118" s="1"/>
      <c r="F118" s="5">
        <f t="shared" ref="F118:F119" si="95">IF(D$12=0,0,D118/D$12)</f>
        <v>2.7186970815083956E-2</v>
      </c>
      <c r="G118" s="1"/>
      <c r="H118" s="1">
        <f>SUM(OSRRefH22_25x_0)</f>
        <v>15583</v>
      </c>
      <c r="I118" s="1"/>
      <c r="J118" s="5">
        <f t="shared" ref="J118:J119" si="96">IF(H$12=0,0,H118/H$12)</f>
        <v>7.333383634362152E-3</v>
      </c>
      <c r="K118" s="1"/>
      <c r="L118" s="1">
        <f t="shared" ref="L118:L119" si="97">+D118-H118</f>
        <v>-11923</v>
      </c>
      <c r="M118" s="1"/>
      <c r="N118" s="5">
        <f t="shared" ref="N118:N119" si="98">IF(H118=0,0,L118/H118)</f>
        <v>-0.765128665853815</v>
      </c>
      <c r="O118" s="13"/>
      <c r="P118" s="1">
        <f>SUM(OSRRefP22_25x_0)</f>
        <v>8312</v>
      </c>
      <c r="Q118" s="1"/>
      <c r="R118" s="5">
        <f t="shared" ref="R118:R119" si="99">IF(P$12=0,0,P118/P$12)</f>
        <v>7.6561597295982916E-3</v>
      </c>
      <c r="S118" s="1"/>
      <c r="T118" s="1">
        <f>SUM(OSRRefT22_25x_0)</f>
        <v>128053</v>
      </c>
      <c r="U118" s="1"/>
      <c r="V118" s="5">
        <f t="shared" ref="V118:V119" si="100">IF(T$12=0,0,T118/T$12)</f>
        <v>1.0351992808252251E-2</v>
      </c>
      <c r="W118" s="1"/>
      <c r="X118" s="1">
        <f t="shared" ref="X118:X119" si="101">+P118-T118</f>
        <v>-119741</v>
      </c>
      <c r="Y118" s="1"/>
      <c r="Z118" s="5">
        <f t="shared" ref="Z118:Z119" si="102">IF(T118=0,0,X118/T118)</f>
        <v>-0.93508937705481321</v>
      </c>
    </row>
    <row r="119" spans="1:26" s="24" customFormat="1" hidden="1" outlineLevel="2" x14ac:dyDescent="0.25">
      <c r="A119" s="26"/>
      <c r="B119" s="11" t="str">
        <f>CONCATENATE("          ", "6274", " - ", "UTILITIES")</f>
        <v xml:space="preserve">          6274 - UTILITIES</v>
      </c>
      <c r="C119" s="11"/>
      <c r="D119" s="6">
        <v>3660</v>
      </c>
      <c r="E119" s="2"/>
      <c r="F119" s="7">
        <f t="shared" si="95"/>
        <v>2.7186970815083956E-2</v>
      </c>
      <c r="G119" s="2"/>
      <c r="H119" s="6">
        <v>15583</v>
      </c>
      <c r="I119" s="2"/>
      <c r="J119" s="7">
        <f t="shared" si="96"/>
        <v>7.333383634362152E-3</v>
      </c>
      <c r="K119" s="2"/>
      <c r="L119" s="6">
        <f t="shared" si="97"/>
        <v>-11923</v>
      </c>
      <c r="M119" s="2"/>
      <c r="N119" s="7">
        <f t="shared" si="98"/>
        <v>-0.765128665853815</v>
      </c>
      <c r="O119" s="11"/>
      <c r="P119" s="6">
        <v>8312</v>
      </c>
      <c r="Q119" s="2"/>
      <c r="R119" s="7">
        <f t="shared" si="99"/>
        <v>7.6561597295982916E-3</v>
      </c>
      <c r="S119" s="2"/>
      <c r="T119" s="6">
        <v>128053</v>
      </c>
      <c r="U119" s="2"/>
      <c r="V119" s="7">
        <f t="shared" si="100"/>
        <v>1.0351992808252251E-2</v>
      </c>
      <c r="W119" s="2"/>
      <c r="X119" s="6">
        <f t="shared" si="101"/>
        <v>-119741</v>
      </c>
      <c r="Y119" s="2"/>
      <c r="Z119" s="7">
        <f t="shared" si="102"/>
        <v>-0.93508937705481321</v>
      </c>
    </row>
    <row r="120" spans="1:26" s="52" customFormat="1" x14ac:dyDescent="0.25">
      <c r="A120" s="37"/>
      <c r="B120" s="37"/>
      <c r="C120" s="37"/>
      <c r="D120" s="1"/>
      <c r="E120" s="1"/>
      <c r="F120" s="5"/>
      <c r="G120" s="1"/>
      <c r="H120" s="1"/>
      <c r="I120" s="1"/>
      <c r="J120" s="5"/>
      <c r="K120" s="1"/>
      <c r="L120" s="1"/>
      <c r="M120" s="1"/>
      <c r="N120" s="5"/>
      <c r="O120" s="37"/>
      <c r="P120" s="1"/>
      <c r="Q120" s="1"/>
      <c r="R120" s="5"/>
      <c r="S120" s="1"/>
      <c r="T120" s="1"/>
      <c r="U120" s="1"/>
      <c r="V120" s="5"/>
      <c r="W120" s="1"/>
      <c r="X120" s="1"/>
      <c r="Y120" s="1"/>
      <c r="Z120" s="5"/>
    </row>
    <row r="121" spans="1:26" s="23" customFormat="1" collapsed="1" x14ac:dyDescent="0.25">
      <c r="A121" s="10"/>
      <c r="B121" s="28" t="s">
        <v>0</v>
      </c>
      <c r="C121" s="10"/>
      <c r="D121" s="4">
        <f>SUM(OSRRefD25x_0)</f>
        <v>1400.8799999999999</v>
      </c>
      <c r="E121" s="4"/>
      <c r="F121" s="12">
        <f t="shared" ref="F121:F124" si="103">IF(D$12=0,0,D121/D$12)</f>
        <v>1.040592450148492E-2</v>
      </c>
      <c r="G121" s="4"/>
      <c r="H121" s="4">
        <f>SUM(OSRRefH25x_0)</f>
        <v>26842.02</v>
      </c>
      <c r="I121" s="4"/>
      <c r="J121" s="12">
        <f t="shared" ref="J121:J124" si="104">IF(H$12=0,0,H121/H$12)</f>
        <v>1.2631895667151484E-2</v>
      </c>
      <c r="K121" s="4"/>
      <c r="L121" s="4">
        <f t="shared" ref="L121:L124" si="105">+D121-H121</f>
        <v>-25441.14</v>
      </c>
      <c r="M121" s="4"/>
      <c r="N121" s="12">
        <f t="shared" ref="N121:N124" si="106">IF(H121=0,0,L121/H121)</f>
        <v>-0.9478101871617709</v>
      </c>
      <c r="O121" s="10"/>
      <c r="P121" s="4">
        <f>SUM(OSRRefP25x_0)</f>
        <v>17749.219999999998</v>
      </c>
      <c r="Q121" s="4"/>
      <c r="R121" s="12">
        <f t="shared" ref="R121:R124" si="107">IF(P$12=0,0,P121/P$12)</f>
        <v>1.6348756423938952E-2</v>
      </c>
      <c r="S121" s="4"/>
      <c r="T121" s="4">
        <f>SUM(OSRRefT25x_0)</f>
        <v>606786.93999999994</v>
      </c>
      <c r="U121" s="4"/>
      <c r="V121" s="12">
        <f t="shared" ref="V121:V124" si="108">IF(T$12=0,0,T121/T$12)</f>
        <v>4.905354844495162E-2</v>
      </c>
      <c r="W121" s="4"/>
      <c r="X121" s="4">
        <f t="shared" ref="X121:X124" si="109">+P121-T121</f>
        <v>-589037.72</v>
      </c>
      <c r="Y121" s="4"/>
      <c r="Z121" s="12">
        <f t="shared" ref="Z121:Z124" si="110">IF(T121=0,0,X121/T121)</f>
        <v>-0.97074884307826403</v>
      </c>
    </row>
    <row r="122" spans="1:26" s="24" customFormat="1" hidden="1" outlineLevel="1" x14ac:dyDescent="0.25">
      <c r="A122" s="44"/>
      <c r="B122" s="11" t="str">
        <f>CONCATENATE("          ", "9150", " - ", "MISC. INCOME")</f>
        <v xml:space="preserve">          9150 - MISC. INCOME</v>
      </c>
      <c r="C122" s="11"/>
      <c r="D122" s="2">
        <f>0</f>
        <v>0</v>
      </c>
      <c r="E122" s="2"/>
      <c r="F122" s="19">
        <f t="shared" si="103"/>
        <v>0</v>
      </c>
      <c r="G122" s="2"/>
      <c r="H122" s="2">
        <f>--17750.66</f>
        <v>17750.66</v>
      </c>
      <c r="I122" s="2"/>
      <c r="J122" s="19">
        <f t="shared" si="104"/>
        <v>8.3534877458208857E-3</v>
      </c>
      <c r="K122" s="2"/>
      <c r="L122" s="2">
        <f t="shared" si="105"/>
        <v>-17750.66</v>
      </c>
      <c r="M122" s="2"/>
      <c r="N122" s="19">
        <f t="shared" si="106"/>
        <v>-1</v>
      </c>
      <c r="O122" s="11"/>
      <c r="P122" s="2">
        <f>--1728.05</f>
        <v>1728.05</v>
      </c>
      <c r="Q122" s="2"/>
      <c r="R122" s="19">
        <f t="shared" si="107"/>
        <v>1.5917019755452753E-3</v>
      </c>
      <c r="S122" s="2"/>
      <c r="T122" s="2">
        <f>--247882.52</f>
        <v>247882.52</v>
      </c>
      <c r="U122" s="2"/>
      <c r="V122" s="19">
        <f t="shared" si="108"/>
        <v>2.0039187401555955E-2</v>
      </c>
      <c r="W122" s="2"/>
      <c r="X122" s="2">
        <f t="shared" si="109"/>
        <v>-246154.47</v>
      </c>
      <c r="Y122" s="2"/>
      <c r="Z122" s="19">
        <f t="shared" si="110"/>
        <v>-0.99302875410496882</v>
      </c>
    </row>
    <row r="123" spans="1:26" s="24" customFormat="1" hidden="1" outlineLevel="1" x14ac:dyDescent="0.25">
      <c r="A123" s="44"/>
      <c r="B123" s="11" t="str">
        <f>CONCATENATE("          ", "9160", " - ", "MISC. INCOME")</f>
        <v xml:space="preserve">          9160 - MISC. INCOME</v>
      </c>
      <c r="C123" s="11"/>
      <c r="D123" s="2">
        <f>--364.79</f>
        <v>364.79</v>
      </c>
      <c r="E123" s="2"/>
      <c r="F123" s="19">
        <f t="shared" si="103"/>
        <v>2.7097090392443927E-3</v>
      </c>
      <c r="G123" s="2"/>
      <c r="H123" s="2">
        <f>--7692.32</f>
        <v>7692.32</v>
      </c>
      <c r="I123" s="2"/>
      <c r="J123" s="19">
        <f t="shared" si="104"/>
        <v>3.6200175574842243E-3</v>
      </c>
      <c r="K123" s="2"/>
      <c r="L123" s="2">
        <f t="shared" si="105"/>
        <v>-7327.53</v>
      </c>
      <c r="M123" s="2"/>
      <c r="N123" s="19">
        <f t="shared" si="106"/>
        <v>-0.95257737587619862</v>
      </c>
      <c r="O123" s="11"/>
      <c r="P123" s="2">
        <f>--12882.96</f>
        <v>12882.96</v>
      </c>
      <c r="Q123" s="2"/>
      <c r="R123" s="19">
        <f t="shared" si="107"/>
        <v>1.1866458078684505E-2</v>
      </c>
      <c r="S123" s="2"/>
      <c r="T123" s="2">
        <f>--130089.32</f>
        <v>130089.32</v>
      </c>
      <c r="U123" s="2"/>
      <c r="V123" s="19">
        <f t="shared" si="108"/>
        <v>1.0516611911243203E-2</v>
      </c>
      <c r="W123" s="2"/>
      <c r="X123" s="2">
        <f t="shared" si="109"/>
        <v>-117206.36000000002</v>
      </c>
      <c r="Y123" s="2"/>
      <c r="Z123" s="19">
        <f t="shared" si="110"/>
        <v>-0.90096835005364018</v>
      </c>
    </row>
    <row r="124" spans="1:26" s="24" customFormat="1" hidden="1" outlineLevel="1" x14ac:dyDescent="0.25">
      <c r="A124" s="44"/>
      <c r="B124" s="11" t="str">
        <f>CONCATENATE("          ", "9165", " - ", "OTHER INCOME")</f>
        <v xml:space="preserve">          9165 - OTHER INCOME</v>
      </c>
      <c r="C124" s="11"/>
      <c r="D124" s="2">
        <f>--1036.09</f>
        <v>1036.0899999999999</v>
      </c>
      <c r="E124" s="2"/>
      <c r="F124" s="19">
        <f t="shared" si="103"/>
        <v>7.6962154622405281E-3</v>
      </c>
      <c r="G124" s="2"/>
      <c r="H124" s="2">
        <f>--1399.04</f>
        <v>1399.04</v>
      </c>
      <c r="I124" s="2"/>
      <c r="J124" s="19">
        <f t="shared" si="104"/>
        <v>6.5839036384637264E-4</v>
      </c>
      <c r="K124" s="2"/>
      <c r="L124" s="2">
        <f t="shared" si="105"/>
        <v>-362.95000000000005</v>
      </c>
      <c r="M124" s="2"/>
      <c r="N124" s="19">
        <f t="shared" si="106"/>
        <v>-0.25942789341262584</v>
      </c>
      <c r="O124" s="11"/>
      <c r="P124" s="2">
        <f>--3138.21</f>
        <v>3138.21</v>
      </c>
      <c r="Q124" s="2"/>
      <c r="R124" s="19">
        <f t="shared" si="107"/>
        <v>2.8905963697091739E-3</v>
      </c>
      <c r="S124" s="2"/>
      <c r="T124" s="2">
        <f>--228815.1</f>
        <v>228815.1</v>
      </c>
      <c r="U124" s="2"/>
      <c r="V124" s="19">
        <f t="shared" si="108"/>
        <v>1.8497749132152467E-2</v>
      </c>
      <c r="W124" s="2"/>
      <c r="X124" s="2">
        <f t="shared" si="109"/>
        <v>-225676.89</v>
      </c>
      <c r="Y124" s="2"/>
      <c r="Z124" s="19">
        <f t="shared" si="110"/>
        <v>-0.98628495234798752</v>
      </c>
    </row>
    <row r="125" spans="1:26" x14ac:dyDescent="0.25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25">
      <c r="A126" s="10"/>
      <c r="B126" s="29" t="s">
        <v>3</v>
      </c>
      <c r="C126" s="29"/>
      <c r="D126" s="22">
        <f>+D28-D30+D121</f>
        <v>-221325.27999999988</v>
      </c>
      <c r="E126" s="14"/>
      <c r="F126" s="20">
        <f>IF(D$12=0,0,D126/D$12)</f>
        <v>-1.6440338601093665</v>
      </c>
      <c r="G126" s="14"/>
      <c r="H126" s="22">
        <f>+H28-H30+H121</f>
        <v>414687.80999999959</v>
      </c>
      <c r="I126" s="14"/>
      <c r="J126" s="20">
        <f>IF(H$12=0,0,H126/H$12)</f>
        <v>0.19515271765536024</v>
      </c>
      <c r="K126" s="16"/>
      <c r="L126" s="22">
        <f>+D126-H126</f>
        <v>-636013.0899999995</v>
      </c>
      <c r="M126" s="16"/>
      <c r="N126" s="20">
        <f>IF(H126=0,0,L126/H126)</f>
        <v>-1.5337154231758106</v>
      </c>
      <c r="O126" s="28"/>
      <c r="P126" s="22">
        <f>+P28-P30+P121</f>
        <v>-1929158.4100000004</v>
      </c>
      <c r="Q126" s="14"/>
      <c r="R126" s="20">
        <f>IF(P$12=0,0,P126/P$12)</f>
        <v>-1.7769423641311204</v>
      </c>
      <c r="S126" s="14"/>
      <c r="T126" s="22">
        <f>+T28-T30+T121</f>
        <v>1718539.9</v>
      </c>
      <c r="U126" s="14"/>
      <c r="V126" s="20">
        <f>IF(T$12=0,0,T126/T$12)</f>
        <v>0.13892929244527299</v>
      </c>
      <c r="W126" s="16"/>
      <c r="X126" s="22">
        <f>+P126-T126</f>
        <v>-3647698.3100000005</v>
      </c>
      <c r="Y126" s="16"/>
      <c r="Z126" s="20">
        <f>IF(T126=0,0,X126/T126)</f>
        <v>-2.1225566598715577</v>
      </c>
    </row>
    <row r="127" spans="1:26" x14ac:dyDescent="0.25">
      <c r="A127" s="9"/>
      <c r="B127" s="10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x14ac:dyDescent="0.25">
      <c r="A128" s="51"/>
      <c r="B128" s="10" t="s">
        <v>13</v>
      </c>
      <c r="C128" s="10"/>
      <c r="D128" s="4">
        <v>42361.219999999994</v>
      </c>
      <c r="E128" s="4"/>
      <c r="F128" s="12">
        <f>IF(D$12=0,0,D128/D$12)</f>
        <v>0.31466482290474063</v>
      </c>
      <c r="G128" s="4"/>
      <c r="H128" s="4">
        <v>192333.19999999998</v>
      </c>
      <c r="I128" s="4"/>
      <c r="J128" s="12">
        <f>IF(H$12=0,0,H128/H$12)</f>
        <v>9.0512298095649271E-2</v>
      </c>
      <c r="K128" s="4"/>
      <c r="L128" s="4">
        <f>+D128-H128</f>
        <v>-149971.97999999998</v>
      </c>
      <c r="M128" s="4"/>
      <c r="N128" s="12">
        <f>IF(H128=0,0,L128/H128)</f>
        <v>-0.77975086984462383</v>
      </c>
      <c r="O128" s="10"/>
      <c r="P128" s="4">
        <v>214999.88</v>
      </c>
      <c r="Q128" s="4"/>
      <c r="R128" s="12">
        <f>IF(P$12=0,0,P128/P$12)</f>
        <v>0.19803578237782304</v>
      </c>
      <c r="S128" s="4"/>
      <c r="T128" s="4">
        <v>1260736.26</v>
      </c>
      <c r="U128" s="4"/>
      <c r="V128" s="12">
        <f>IF(T$12=0,0,T128/T$12)</f>
        <v>0.10191977303634307</v>
      </c>
      <c r="W128" s="4"/>
      <c r="X128" s="4">
        <f>+P128-T128</f>
        <v>-1045736.38</v>
      </c>
      <c r="Y128" s="4"/>
      <c r="Z128" s="12">
        <f>IF(T128=0,0,X128/T128)</f>
        <v>-0.8294648239910225</v>
      </c>
    </row>
    <row r="129" spans="1:26" x14ac:dyDescent="0.2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ht="15.75" thickBot="1" x14ac:dyDescent="0.3">
      <c r="A130" s="10"/>
      <c r="B130" s="29" t="s">
        <v>4</v>
      </c>
      <c r="C130" s="29"/>
      <c r="D130" s="35">
        <f>+D126-D128</f>
        <v>-263686.49999999988</v>
      </c>
      <c r="E130" s="14"/>
      <c r="F130" s="36">
        <f>IF(D$12=0,0,D130/D$12)</f>
        <v>-1.9586986830141071</v>
      </c>
      <c r="G130" s="14"/>
      <c r="H130" s="35">
        <f>+H126-H128</f>
        <v>222354.60999999961</v>
      </c>
      <c r="I130" s="14"/>
      <c r="J130" s="36">
        <f>IF(H$12=0,0,H130/H$12)</f>
        <v>0.10464041955971097</v>
      </c>
      <c r="K130" s="16"/>
      <c r="L130" s="35">
        <f>D130-H130</f>
        <v>-486041.10999999952</v>
      </c>
      <c r="M130" s="16"/>
      <c r="N130" s="36">
        <f>IF(H130=0,0,L130/H130)</f>
        <v>-2.1858827662714093</v>
      </c>
      <c r="O130" s="28"/>
      <c r="P130" s="35">
        <f>+P126-P128</f>
        <v>-2144158.2900000005</v>
      </c>
      <c r="Q130" s="14"/>
      <c r="R130" s="36">
        <f>IF(P$12=0,0,P130/P$12)</f>
        <v>-1.9749781465089435</v>
      </c>
      <c r="S130" s="14"/>
      <c r="T130" s="35">
        <f>+T126-T128</f>
        <v>457803.6399999999</v>
      </c>
      <c r="U130" s="14"/>
      <c r="V130" s="36">
        <f>IF(T$12=0,0,T130/T$12)</f>
        <v>3.7009519408929908E-2</v>
      </c>
      <c r="W130" s="16"/>
      <c r="X130" s="35">
        <f>P130-T130</f>
        <v>-2601961.9300000006</v>
      </c>
      <c r="Y130" s="16"/>
      <c r="Z130" s="36">
        <f>IF(T130=0,0,X130/T130)</f>
        <v>-5.683576325430705</v>
      </c>
    </row>
    <row r="131" spans="1:26" ht="15.75" thickTop="1" x14ac:dyDescent="0.25">
      <c r="A131" s="9"/>
      <c r="B131" s="9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ht="15.75" thickBot="1" x14ac:dyDescent="0.3">
      <c r="A133" s="10"/>
      <c r="B133" s="29" t="s">
        <v>5</v>
      </c>
      <c r="C133" s="29"/>
      <c r="D133" s="31">
        <f>SUM(D130:D132)</f>
        <v>-263686.49999999988</v>
      </c>
      <c r="E133" s="14"/>
      <c r="F133" s="33">
        <f>IF(D$12=0,0,D133/D$12)</f>
        <v>-1.9586986830141071</v>
      </c>
      <c r="G133" s="14"/>
      <c r="H133" s="31">
        <f>SUM(H130:H132)</f>
        <v>222354.60999999961</v>
      </c>
      <c r="I133" s="14"/>
      <c r="J133" s="33">
        <f>IF(H$12=0,0,H133/H$12)</f>
        <v>0.10464041955971097</v>
      </c>
      <c r="K133" s="16"/>
      <c r="L133" s="31">
        <f>+D133-H133</f>
        <v>-486041.10999999952</v>
      </c>
      <c r="M133" s="16"/>
      <c r="N133" s="33">
        <f>IF(H133=0,0,L133/H133)</f>
        <v>-2.1858827662714093</v>
      </c>
      <c r="O133" s="28"/>
      <c r="P133" s="31">
        <f>SUM(P130:P132)</f>
        <v>-2144158.2900000005</v>
      </c>
      <c r="Q133" s="14"/>
      <c r="R133" s="33">
        <f>IF(P$12=0,0,P133/P$12)</f>
        <v>-1.9749781465089435</v>
      </c>
      <c r="S133" s="14"/>
      <c r="T133" s="31">
        <f>SUM(T130:T132)</f>
        <v>457803.6399999999</v>
      </c>
      <c r="U133" s="14"/>
      <c r="V133" s="33">
        <f>IF(T$12=0,0,T133/T$12)</f>
        <v>3.7009519408929908E-2</v>
      </c>
      <c r="W133" s="16"/>
      <c r="X133" s="31">
        <f>+P133-T133</f>
        <v>-2601961.9300000006</v>
      </c>
      <c r="Y133" s="16"/>
      <c r="Z133" s="33">
        <f>IF(T133=0,0,X133/T133)</f>
        <v>-5.683576325430705</v>
      </c>
    </row>
    <row r="134" spans="1:26" ht="15.75" thickTop="1" x14ac:dyDescent="0.25">
      <c r="A134" s="9"/>
      <c r="C134" s="9"/>
      <c r="D134" s="18"/>
      <c r="E134" s="18"/>
      <c r="G134" s="18"/>
      <c r="H134" s="18"/>
      <c r="I134" s="18"/>
      <c r="J134" s="43"/>
      <c r="K134" s="18"/>
      <c r="L134" s="18"/>
      <c r="M134" s="18"/>
      <c r="P134" s="18"/>
      <c r="Q134" s="18"/>
      <c r="R134" s="43"/>
      <c r="S134" s="18"/>
      <c r="T134" s="18"/>
      <c r="U134" s="18"/>
      <c r="V134" s="43"/>
      <c r="W134" s="18"/>
      <c r="X134" s="18"/>
    </row>
    <row r="135" spans="1:26" x14ac:dyDescent="0.25">
      <c r="A135" s="9"/>
      <c r="B135" s="56">
        <v>44267.667917164355</v>
      </c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  <row r="136" spans="1:26" x14ac:dyDescent="0.25">
      <c r="A136" s="9"/>
      <c r="B136" s="54" t="s">
        <v>313</v>
      </c>
      <c r="D136" s="18"/>
      <c r="E136" s="18"/>
      <c r="G136" s="18"/>
      <c r="H136" s="18"/>
      <c r="I136" s="18"/>
      <c r="J136" s="43"/>
      <c r="K136" s="18"/>
      <c r="L136" s="18"/>
      <c r="M136" s="18"/>
      <c r="P136" s="18"/>
      <c r="Q136" s="18"/>
      <c r="R136" s="43"/>
      <c r="S136" s="18"/>
      <c r="T136" s="18"/>
      <c r="U136" s="18"/>
      <c r="V136" s="43"/>
      <c r="W136" s="18"/>
      <c r="X136" s="18"/>
    </row>
    <row r="137" spans="1:26" x14ac:dyDescent="0.25">
      <c r="A137" s="9"/>
      <c r="B137" s="58"/>
      <c r="D137" s="18"/>
      <c r="E137" s="18"/>
      <c r="G137" s="18"/>
      <c r="H137" s="18"/>
      <c r="I137" s="18"/>
      <c r="J137" s="43"/>
      <c r="K137" s="18"/>
      <c r="L137" s="18"/>
      <c r="M137" s="18"/>
      <c r="P137" s="18"/>
      <c r="Q137" s="18"/>
      <c r="R137" s="43"/>
      <c r="S137" s="18"/>
      <c r="T137" s="18"/>
      <c r="U137" s="18"/>
      <c r="V137" s="43"/>
      <c r="W137" s="18"/>
      <c r="X137" s="18"/>
    </row>
    <row r="138" spans="1:26" x14ac:dyDescent="0.25">
      <c r="D138" s="18"/>
      <c r="E138" s="18"/>
      <c r="G138" s="18"/>
      <c r="H138" s="18"/>
      <c r="I138" s="18"/>
      <c r="J138" s="43"/>
      <c r="K138" s="18"/>
      <c r="L138" s="18"/>
      <c r="M138" s="18"/>
      <c r="P138" s="18"/>
      <c r="Q138" s="18"/>
      <c r="R138" s="43"/>
      <c r="S138" s="18"/>
      <c r="T138" s="18"/>
      <c r="U138" s="18"/>
      <c r="V138" s="43"/>
      <c r="W138" s="18"/>
      <c r="X138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4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312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50114.95</v>
      </c>
      <c r="E12" s="4"/>
      <c r="F12" s="12"/>
      <c r="G12" s="4"/>
      <c r="H12" s="4">
        <f>SUM(OSRRefH13x_0)</f>
        <v>1197156.29</v>
      </c>
      <c r="I12" s="4"/>
      <c r="J12" s="12"/>
      <c r="K12" s="4"/>
      <c r="L12" s="4">
        <f t="shared" ref="L12:L28" si="0">+D12-H12</f>
        <v>-1147041.3400000001</v>
      </c>
      <c r="M12" s="4"/>
      <c r="N12" s="12">
        <f t="shared" ref="N12:N28" si="1">IF(H12=0,0,L12/H12)</f>
        <v>-0.95813833964820083</v>
      </c>
      <c r="O12" s="10"/>
      <c r="P12" s="4">
        <f>SUM(OSRRefP13x_0)</f>
        <v>328988.88</v>
      </c>
      <c r="Q12" s="4"/>
      <c r="R12" s="12"/>
      <c r="S12" s="4"/>
      <c r="T12" s="4">
        <f>SUM(OSRRefT13x_0)</f>
        <v>6512785.4600000009</v>
      </c>
      <c r="U12" s="4"/>
      <c r="V12" s="12"/>
      <c r="W12" s="4"/>
      <c r="X12" s="4">
        <f t="shared" ref="X12:X28" si="2">+P12-T12</f>
        <v>-6183796.580000001</v>
      </c>
      <c r="Y12" s="4"/>
      <c r="Z12" s="12">
        <f t="shared" ref="Z12:Z28" si="3">IF(T12=0,0,X12/T12)</f>
        <v>-0.94948568749568485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5" si="4">0</f>
        <v>0</v>
      </c>
      <c r="E13" s="2"/>
      <c r="F13" s="19"/>
      <c r="G13" s="2"/>
      <c r="H13" s="2">
        <f>--45400.09</f>
        <v>45400.09</v>
      </c>
      <c r="I13" s="2"/>
      <c r="J13" s="19"/>
      <c r="K13" s="2"/>
      <c r="L13" s="2">
        <f t="shared" si="0"/>
        <v>-45400.09</v>
      </c>
      <c r="M13" s="2"/>
      <c r="N13" s="19">
        <f t="shared" si="1"/>
        <v>-1</v>
      </c>
      <c r="O13" s="11"/>
      <c r="P13" s="2">
        <f>--444.59</f>
        <v>444.59</v>
      </c>
      <c r="Q13" s="2"/>
      <c r="R13" s="19"/>
      <c r="S13" s="2"/>
      <c r="T13" s="2">
        <f>--256806.37</f>
        <v>256806.37</v>
      </c>
      <c r="U13" s="2"/>
      <c r="V13" s="19"/>
      <c r="W13" s="2"/>
      <c r="X13" s="2">
        <f t="shared" si="2"/>
        <v>-256361.78</v>
      </c>
      <c r="Y13" s="2"/>
      <c r="Z13" s="19">
        <f t="shared" si="3"/>
        <v>-0.99826877347318144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 t="shared" si="4"/>
        <v>0</v>
      </c>
      <c r="E14" s="2"/>
      <c r="F14" s="19"/>
      <c r="G14" s="2"/>
      <c r="H14" s="2">
        <f>--456.01</f>
        <v>456.01</v>
      </c>
      <c r="I14" s="2"/>
      <c r="J14" s="19"/>
      <c r="K14" s="2"/>
      <c r="L14" s="2">
        <f t="shared" si="0"/>
        <v>-456.01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--2960.02</f>
        <v>2960.02</v>
      </c>
      <c r="U14" s="2"/>
      <c r="V14" s="19"/>
      <c r="W14" s="2"/>
      <c r="X14" s="2">
        <f t="shared" si="2"/>
        <v>-2960.02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"4051", " - ", "TAXABLE SALES-FOOD")</f>
        <v xml:space="preserve">          4051 - TAXABLE SALES-FOOD</v>
      </c>
      <c r="C15" s="11"/>
      <c r="D15" s="2">
        <f t="shared" si="4"/>
        <v>0</v>
      </c>
      <c r="E15" s="2"/>
      <c r="F15" s="19"/>
      <c r="G15" s="2"/>
      <c r="H15" s="2">
        <f>--91985.93</f>
        <v>91985.93</v>
      </c>
      <c r="I15" s="2"/>
      <c r="J15" s="19"/>
      <c r="K15" s="2"/>
      <c r="L15" s="2">
        <f t="shared" si="0"/>
        <v>-91985.93</v>
      </c>
      <c r="M15" s="2"/>
      <c r="N15" s="19">
        <f t="shared" si="1"/>
        <v>-1</v>
      </c>
      <c r="O15" s="11"/>
      <c r="P15" s="2">
        <f>--22964.48</f>
        <v>22964.48</v>
      </c>
      <c r="Q15" s="2"/>
      <c r="R15" s="19"/>
      <c r="S15" s="2"/>
      <c r="T15" s="2">
        <f>--567184.8</f>
        <v>567184.80000000005</v>
      </c>
      <c r="U15" s="2"/>
      <c r="V15" s="19"/>
      <c r="W15" s="2"/>
      <c r="X15" s="2">
        <f t="shared" si="2"/>
        <v>-544220.32000000007</v>
      </c>
      <c r="Y15" s="2"/>
      <c r="Z15" s="19">
        <f t="shared" si="3"/>
        <v>-0.95951146786726305</v>
      </c>
    </row>
    <row r="16" spans="1:26" s="24" customFormat="1" hidden="1" outlineLevel="1" x14ac:dyDescent="0.25">
      <c r="A16" s="44"/>
      <c r="B16" s="11" t="str">
        <f>CONCATENATE("          ", "4052", " - ", "TAXABLE SALES-FOOD")</f>
        <v xml:space="preserve">          4052 - TAXABLE SALES-FOOD</v>
      </c>
      <c r="C16" s="11"/>
      <c r="D16" s="2">
        <f>--49980.95</f>
        <v>49980.95</v>
      </c>
      <c r="E16" s="2"/>
      <c r="F16" s="19"/>
      <c r="G16" s="2"/>
      <c r="H16" s="2">
        <f>--131149.86</f>
        <v>131149.85999999999</v>
      </c>
      <c r="I16" s="2"/>
      <c r="J16" s="19"/>
      <c r="K16" s="2"/>
      <c r="L16" s="2">
        <f t="shared" si="0"/>
        <v>-81168.909999999989</v>
      </c>
      <c r="M16" s="2"/>
      <c r="N16" s="19">
        <f t="shared" si="1"/>
        <v>-0.61890199501547316</v>
      </c>
      <c r="O16" s="11"/>
      <c r="P16" s="2">
        <f>--280157.8</f>
        <v>280157.8</v>
      </c>
      <c r="Q16" s="2"/>
      <c r="R16" s="19"/>
      <c r="S16" s="2"/>
      <c r="T16" s="2">
        <f>--788152.3</f>
        <v>788152.3</v>
      </c>
      <c r="U16" s="2"/>
      <c r="V16" s="19"/>
      <c r="W16" s="2"/>
      <c r="X16" s="2">
        <f t="shared" si="2"/>
        <v>-507994.50000000006</v>
      </c>
      <c r="Y16" s="2"/>
      <c r="Z16" s="19">
        <f t="shared" si="3"/>
        <v>-0.64453849846025957</v>
      </c>
    </row>
    <row r="17" spans="1:26" s="24" customFormat="1" hidden="1" outlineLevel="1" x14ac:dyDescent="0.25">
      <c r="A17" s="44"/>
      <c r="B17" s="11" t="str">
        <f>CONCATENATE("          ", "4053", " - ", "TAXABLE SALES-FOOD")</f>
        <v xml:space="preserve">          4053 - TAXABLE SALES-FOOD</v>
      </c>
      <c r="C17" s="11"/>
      <c r="D17" s="2">
        <f t="shared" ref="D17:D25" si="5">0</f>
        <v>0</v>
      </c>
      <c r="E17" s="2"/>
      <c r="F17" s="19"/>
      <c r="G17" s="2"/>
      <c r="H17" s="2">
        <f>--126446.77</f>
        <v>126446.77</v>
      </c>
      <c r="I17" s="2"/>
      <c r="J17" s="19"/>
      <c r="K17" s="2"/>
      <c r="L17" s="2">
        <f t="shared" si="0"/>
        <v>-126446.77</v>
      </c>
      <c r="M17" s="2"/>
      <c r="N17" s="19">
        <f t="shared" si="1"/>
        <v>-1</v>
      </c>
      <c r="O17" s="11"/>
      <c r="P17" s="2">
        <f t="shared" ref="P17:P18" si="6">0</f>
        <v>0</v>
      </c>
      <c r="Q17" s="2"/>
      <c r="R17" s="19"/>
      <c r="S17" s="2"/>
      <c r="T17" s="2">
        <f>--222320</f>
        <v>222320</v>
      </c>
      <c r="U17" s="2"/>
      <c r="V17" s="19"/>
      <c r="W17" s="2"/>
      <c r="X17" s="2">
        <f t="shared" si="2"/>
        <v>-222320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"4055", " - ", "TAXABLE SALES-FOOD")</f>
        <v xml:space="preserve">          4055 - TAXABLE SALES-FOOD</v>
      </c>
      <c r="C18" s="11"/>
      <c r="D18" s="2">
        <f t="shared" si="5"/>
        <v>0</v>
      </c>
      <c r="E18" s="2"/>
      <c r="F18" s="19"/>
      <c r="G18" s="2"/>
      <c r="H18" s="2">
        <f>--54029.26</f>
        <v>54029.26</v>
      </c>
      <c r="I18" s="2"/>
      <c r="J18" s="19"/>
      <c r="K18" s="2"/>
      <c r="L18" s="2">
        <f t="shared" si="0"/>
        <v>-54029.26</v>
      </c>
      <c r="M18" s="2"/>
      <c r="N18" s="19">
        <f t="shared" si="1"/>
        <v>-1</v>
      </c>
      <c r="O18" s="11"/>
      <c r="P18" s="2">
        <f t="shared" si="6"/>
        <v>0</v>
      </c>
      <c r="Q18" s="2"/>
      <c r="R18" s="19"/>
      <c r="S18" s="2"/>
      <c r="T18" s="2">
        <f>--357243.21</f>
        <v>357243.21</v>
      </c>
      <c r="U18" s="2"/>
      <c r="V18" s="19"/>
      <c r="W18" s="2"/>
      <c r="X18" s="2">
        <f t="shared" si="2"/>
        <v>-357243.21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"4058", " - ", "TAXABLE SALES-FOOD")</f>
        <v xml:space="preserve">          4058 - TAXABLE SALES-FOOD</v>
      </c>
      <c r="C19" s="11"/>
      <c r="D19" s="2">
        <f t="shared" si="5"/>
        <v>0</v>
      </c>
      <c r="E19" s="2"/>
      <c r="F19" s="19"/>
      <c r="G19" s="2"/>
      <c r="H19" s="2">
        <f>--15335.14</f>
        <v>15335.14</v>
      </c>
      <c r="I19" s="2"/>
      <c r="J19" s="19"/>
      <c r="K19" s="2"/>
      <c r="L19" s="2">
        <f t="shared" si="0"/>
        <v>-15335.14</v>
      </c>
      <c r="M19" s="2"/>
      <c r="N19" s="19">
        <f t="shared" si="1"/>
        <v>-1</v>
      </c>
      <c r="O19" s="11"/>
      <c r="P19" s="2">
        <f>--974.91</f>
        <v>974.91</v>
      </c>
      <c r="Q19" s="2"/>
      <c r="R19" s="19"/>
      <c r="S19" s="2"/>
      <c r="T19" s="2">
        <f>--110971.24</f>
        <v>110971.24</v>
      </c>
      <c r="U19" s="2"/>
      <c r="V19" s="19"/>
      <c r="W19" s="2"/>
      <c r="X19" s="2">
        <f t="shared" si="2"/>
        <v>-109996.33</v>
      </c>
      <c r="Y19" s="2"/>
      <c r="Z19" s="19">
        <f t="shared" si="3"/>
        <v>-0.99121475077686794</v>
      </c>
    </row>
    <row r="20" spans="1:26" s="24" customFormat="1" hidden="1" outlineLevel="1" x14ac:dyDescent="0.25">
      <c r="A20" s="44"/>
      <c r="B20" s="11" t="str">
        <f>CONCATENATE("          ", "4132", " - ", "NON-TAXABLE SALES-JUICE")</f>
        <v xml:space="preserve">          4132 - NON-TAXABLE SALES-JUICE</v>
      </c>
      <c r="C20" s="11"/>
      <c r="D20" s="2">
        <f t="shared" si="5"/>
        <v>0</v>
      </c>
      <c r="E20" s="2"/>
      <c r="F20" s="19"/>
      <c r="G20" s="2"/>
      <c r="H20" s="2">
        <f>--185424.36</f>
        <v>185424.36</v>
      </c>
      <c r="I20" s="2"/>
      <c r="J20" s="19"/>
      <c r="K20" s="2"/>
      <c r="L20" s="2">
        <f t="shared" si="0"/>
        <v>-185424.36</v>
      </c>
      <c r="M20" s="2"/>
      <c r="N20" s="19">
        <f t="shared" si="1"/>
        <v>-1</v>
      </c>
      <c r="O20" s="11"/>
      <c r="P20" s="2">
        <f>--2031.88</f>
        <v>2031.88</v>
      </c>
      <c r="Q20" s="2"/>
      <c r="R20" s="19"/>
      <c r="S20" s="2"/>
      <c r="T20" s="2">
        <f>--1015608.66</f>
        <v>1015608.66</v>
      </c>
      <c r="U20" s="2"/>
      <c r="V20" s="19"/>
      <c r="W20" s="2"/>
      <c r="X20" s="2">
        <f t="shared" si="2"/>
        <v>-1013576.78</v>
      </c>
      <c r="Y20" s="2"/>
      <c r="Z20" s="19">
        <f t="shared" si="3"/>
        <v>-0.99799934750457919</v>
      </c>
    </row>
    <row r="21" spans="1:26" s="24" customFormat="1" hidden="1" outlineLevel="1" x14ac:dyDescent="0.25">
      <c r="A21" s="44"/>
      <c r="B21" s="11" t="str">
        <f>CONCATENATE("          ", "4133", " - ", "NON-TAXABLE SALES-CANDY")</f>
        <v xml:space="preserve">          4133 - NON-TAXABLE SALES-CANDY</v>
      </c>
      <c r="C21" s="11"/>
      <c r="D21" s="2">
        <f t="shared" si="5"/>
        <v>0</v>
      </c>
      <c r="E21" s="2"/>
      <c r="F21" s="19"/>
      <c r="G21" s="2"/>
      <c r="H21" s="2">
        <f t="shared" ref="H21:H22" si="7"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ref="P21:P23" si="8">0</f>
        <v>0</v>
      </c>
      <c r="Q21" s="2"/>
      <c r="R21" s="19"/>
      <c r="S21" s="2"/>
      <c r="T21" s="2">
        <f>--1.59</f>
        <v>1.59</v>
      </c>
      <c r="U21" s="2"/>
      <c r="V21" s="19"/>
      <c r="W21" s="2"/>
      <c r="X21" s="2">
        <f t="shared" si="2"/>
        <v>-1.59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"4134", " - ", "NON-TAXABLE SALES-SODA")</f>
        <v xml:space="preserve">          4134 - NON-TAXABLE SALES-SODA</v>
      </c>
      <c r="C22" s="11"/>
      <c r="D22" s="2">
        <f t="shared" si="5"/>
        <v>0</v>
      </c>
      <c r="E22" s="2"/>
      <c r="F22" s="19"/>
      <c r="G22" s="2"/>
      <c r="H22" s="2">
        <f t="shared" si="7"/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 t="shared" si="8"/>
        <v>0</v>
      </c>
      <c r="Q22" s="2"/>
      <c r="R22" s="19"/>
      <c r="S22" s="2"/>
      <c r="T22" s="2">
        <f>--8.41</f>
        <v>8.41</v>
      </c>
      <c r="U22" s="2"/>
      <c r="V22" s="19"/>
      <c r="W22" s="2"/>
      <c r="X22" s="2">
        <f t="shared" si="2"/>
        <v>-8.41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"4137", " - ", "NON-TAXABLE SALES-WATER")</f>
        <v xml:space="preserve">          4137 - NON-TAXABLE SALES-WATER</v>
      </c>
      <c r="C23" s="11"/>
      <c r="D23" s="2">
        <f t="shared" si="5"/>
        <v>0</v>
      </c>
      <c r="E23" s="2"/>
      <c r="F23" s="19"/>
      <c r="G23" s="2"/>
      <c r="H23" s="2">
        <f>--189.11</f>
        <v>189.11</v>
      </c>
      <c r="I23" s="2"/>
      <c r="J23" s="19"/>
      <c r="K23" s="2"/>
      <c r="L23" s="2">
        <f t="shared" si="0"/>
        <v>-189.11</v>
      </c>
      <c r="M23" s="2"/>
      <c r="N23" s="19">
        <f t="shared" si="1"/>
        <v>-1</v>
      </c>
      <c r="O23" s="11"/>
      <c r="P23" s="2">
        <f t="shared" si="8"/>
        <v>0</v>
      </c>
      <c r="Q23" s="2"/>
      <c r="R23" s="19"/>
      <c r="S23" s="2"/>
      <c r="T23" s="2">
        <f>--1471.89</f>
        <v>1471.89</v>
      </c>
      <c r="U23" s="2"/>
      <c r="V23" s="19"/>
      <c r="W23" s="2"/>
      <c r="X23" s="2">
        <f t="shared" si="2"/>
        <v>-1471.89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"4151", " - ", "NON-TAXABLE SALES-FOOD")</f>
        <v xml:space="preserve">          4151 - NON-TAXABLE SALES-FOOD</v>
      </c>
      <c r="C24" s="11"/>
      <c r="D24" s="2">
        <f t="shared" si="5"/>
        <v>0</v>
      </c>
      <c r="E24" s="2"/>
      <c r="F24" s="19"/>
      <c r="G24" s="2"/>
      <c r="H24" s="2">
        <f>--357550.82</f>
        <v>357550.82</v>
      </c>
      <c r="I24" s="2"/>
      <c r="J24" s="19"/>
      <c r="K24" s="2"/>
      <c r="L24" s="2">
        <f t="shared" si="0"/>
        <v>-357550.82</v>
      </c>
      <c r="M24" s="2"/>
      <c r="N24" s="19">
        <f t="shared" si="1"/>
        <v>-1</v>
      </c>
      <c r="O24" s="11"/>
      <c r="P24" s="2">
        <f>--22171.22</f>
        <v>22171.22</v>
      </c>
      <c r="Q24" s="2"/>
      <c r="R24" s="19"/>
      <c r="S24" s="2"/>
      <c r="T24" s="2">
        <f>--2044866.32</f>
        <v>2044866.32</v>
      </c>
      <c r="U24" s="2"/>
      <c r="V24" s="19"/>
      <c r="W24" s="2"/>
      <c r="X24" s="2">
        <f t="shared" si="2"/>
        <v>-2022695.1</v>
      </c>
      <c r="Y24" s="2"/>
      <c r="Z24" s="19">
        <f t="shared" si="3"/>
        <v>-0.98915761887065556</v>
      </c>
    </row>
    <row r="25" spans="1:26" s="24" customFormat="1" hidden="1" outlineLevel="1" x14ac:dyDescent="0.25">
      <c r="A25" s="44"/>
      <c r="B25" s="11" t="str">
        <f>CONCATENATE("          ", "4152", " - ", "NON-TAXABLE SALES-FOOD")</f>
        <v xml:space="preserve">          4152 - NON-TAXABLE SALES-FOOD</v>
      </c>
      <c r="C25" s="11"/>
      <c r="D25" s="2">
        <f t="shared" si="5"/>
        <v>0</v>
      </c>
      <c r="E25" s="2"/>
      <c r="F25" s="19"/>
      <c r="G25" s="2"/>
      <c r="H25" s="2">
        <f>--8298.17</f>
        <v>8298.17</v>
      </c>
      <c r="I25" s="2"/>
      <c r="J25" s="19"/>
      <c r="K25" s="2"/>
      <c r="L25" s="2">
        <f t="shared" si="0"/>
        <v>-8298.17</v>
      </c>
      <c r="M25" s="2"/>
      <c r="N25" s="19">
        <f t="shared" si="1"/>
        <v>-1</v>
      </c>
      <c r="O25" s="11"/>
      <c r="P25" s="2">
        <f>0</f>
        <v>0</v>
      </c>
      <c r="Q25" s="2"/>
      <c r="R25" s="19"/>
      <c r="S25" s="2"/>
      <c r="T25" s="2">
        <f>--47727.07</f>
        <v>47727.07</v>
      </c>
      <c r="U25" s="2"/>
      <c r="V25" s="19"/>
      <c r="W25" s="2"/>
      <c r="X25" s="2">
        <f t="shared" si="2"/>
        <v>-47727.07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"4153", " - ", "NON-TAXABLE SALES-FOOD")</f>
        <v xml:space="preserve">          4153 - NON-TAXABLE SALES-FOOD</v>
      </c>
      <c r="C26" s="11"/>
      <c r="D26" s="2">
        <f>--134</f>
        <v>134</v>
      </c>
      <c r="E26" s="2"/>
      <c r="F26" s="19"/>
      <c r="G26" s="2"/>
      <c r="H26" s="2">
        <f>--2343.21</f>
        <v>2343.21</v>
      </c>
      <c r="I26" s="2"/>
      <c r="J26" s="19"/>
      <c r="K26" s="2"/>
      <c r="L26" s="2">
        <f t="shared" si="0"/>
        <v>-2209.21</v>
      </c>
      <c r="M26" s="2"/>
      <c r="N26" s="19">
        <f t="shared" si="1"/>
        <v>-0.94281349089496891</v>
      </c>
      <c r="O26" s="11"/>
      <c r="P26" s="2">
        <f>--244</f>
        <v>244</v>
      </c>
      <c r="Q26" s="2"/>
      <c r="R26" s="19"/>
      <c r="S26" s="2"/>
      <c r="T26" s="2">
        <f>--12618.21</f>
        <v>12618.21</v>
      </c>
      <c r="U26" s="2"/>
      <c r="V26" s="19"/>
      <c r="W26" s="2"/>
      <c r="X26" s="2">
        <f t="shared" si="2"/>
        <v>-12374.21</v>
      </c>
      <c r="Y26" s="2"/>
      <c r="Z26" s="19">
        <f t="shared" si="3"/>
        <v>-0.98066286739561315</v>
      </c>
    </row>
    <row r="27" spans="1:26" s="24" customFormat="1" hidden="1" outlineLevel="1" x14ac:dyDescent="0.25">
      <c r="A27" s="44"/>
      <c r="B27" s="11" t="str">
        <f>CONCATENATE("          ", "4155", " - ", "NON-TAXABLE SALES-FOOD")</f>
        <v xml:space="preserve">          4155 - NON-TAXABLE SALES-FOOD</v>
      </c>
      <c r="C27" s="11"/>
      <c r="D27" s="2">
        <f t="shared" ref="D27:D28" si="9">0</f>
        <v>0</v>
      </c>
      <c r="E27" s="2"/>
      <c r="F27" s="19"/>
      <c r="G27" s="2"/>
      <c r="H27" s="2">
        <f>--100290.43</f>
        <v>100290.43</v>
      </c>
      <c r="I27" s="2"/>
      <c r="J27" s="19"/>
      <c r="K27" s="2"/>
      <c r="L27" s="2">
        <f t="shared" si="0"/>
        <v>-100290.43</v>
      </c>
      <c r="M27" s="2"/>
      <c r="N27" s="19">
        <f t="shared" si="1"/>
        <v>-1</v>
      </c>
      <c r="O27" s="11"/>
      <c r="P27" s="2">
        <f t="shared" ref="P27:P28" si="10">0</f>
        <v>0</v>
      </c>
      <c r="Q27" s="2"/>
      <c r="R27" s="19"/>
      <c r="S27" s="2"/>
      <c r="T27" s="2">
        <f>--643451.59</f>
        <v>643451.59</v>
      </c>
      <c r="U27" s="2"/>
      <c r="V27" s="19"/>
      <c r="W27" s="2"/>
      <c r="X27" s="2">
        <f t="shared" si="2"/>
        <v>-643451.59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"4158", " - ", "NON-TAXABLE SALES-FOOD")</f>
        <v xml:space="preserve">          4158 - NON-TAXABLE SALES-FOOD</v>
      </c>
      <c r="C28" s="11"/>
      <c r="D28" s="2">
        <f t="shared" si="9"/>
        <v>0</v>
      </c>
      <c r="E28" s="2"/>
      <c r="F28" s="19"/>
      <c r="G28" s="2"/>
      <c r="H28" s="2">
        <f>--78257.13</f>
        <v>78257.13</v>
      </c>
      <c r="I28" s="2"/>
      <c r="J28" s="19"/>
      <c r="K28" s="2"/>
      <c r="L28" s="2">
        <f t="shared" si="0"/>
        <v>-78257.13</v>
      </c>
      <c r="M28" s="2"/>
      <c r="N28" s="19">
        <f t="shared" si="1"/>
        <v>-1</v>
      </c>
      <c r="O28" s="11"/>
      <c r="P28" s="2">
        <f t="shared" si="10"/>
        <v>0</v>
      </c>
      <c r="Q28" s="2"/>
      <c r="R28" s="19"/>
      <c r="S28" s="2"/>
      <c r="T28" s="2">
        <f>--441393.78</f>
        <v>441393.78</v>
      </c>
      <c r="U28" s="2"/>
      <c r="V28" s="19"/>
      <c r="W28" s="2"/>
      <c r="X28" s="2">
        <f t="shared" si="2"/>
        <v>-441393.78</v>
      </c>
      <c r="Y28" s="2"/>
      <c r="Z28" s="19">
        <f t="shared" si="3"/>
        <v>-1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collapsed="1" x14ac:dyDescent="0.25">
      <c r="A30" s="10"/>
      <c r="B30" s="28" t="s">
        <v>8</v>
      </c>
      <c r="C30" s="10"/>
      <c r="D30" s="4">
        <f>SUM(OSRRefD16x_0)</f>
        <v>14829.89</v>
      </c>
      <c r="E30" s="4"/>
      <c r="F30" s="12">
        <f t="shared" ref="F30:F32" si="11">IF(D$12=0,0,D30/D$12)</f>
        <v>0.29591748570037485</v>
      </c>
      <c r="G30" s="4"/>
      <c r="H30" s="4">
        <f>SUM(OSRRefH16x_0)</f>
        <v>449086.05</v>
      </c>
      <c r="I30" s="4"/>
      <c r="J30" s="12">
        <f t="shared" ref="J30:J32" si="12">IF(H$12=0,0,H30/H$12)</f>
        <v>0.37512733613085719</v>
      </c>
      <c r="K30" s="4"/>
      <c r="L30" s="4">
        <f t="shared" ref="L30:L32" si="13">+D30-H30</f>
        <v>-434256.16</v>
      </c>
      <c r="M30" s="4"/>
      <c r="N30" s="12">
        <f t="shared" ref="N30:N32" si="14">IF(H30=0,0,L30/H30)</f>
        <v>-0.96697762043599433</v>
      </c>
      <c r="O30" s="10"/>
      <c r="P30" s="4">
        <f>SUM(OSRRefP16x_0)</f>
        <v>43878.200000000004</v>
      </c>
      <c r="Q30" s="4"/>
      <c r="R30" s="12">
        <f t="shared" ref="R30:R32" si="15">IF(P$12=0,0,P30/P$12)</f>
        <v>0.13337289698059096</v>
      </c>
      <c r="S30" s="4"/>
      <c r="T30" s="4">
        <f>SUM(OSRRefT16x_0)</f>
        <v>2487337.19</v>
      </c>
      <c r="U30" s="4"/>
      <c r="V30" s="12">
        <f t="shared" ref="V30:V32" si="16">IF(T$12=0,0,T30/T$12)</f>
        <v>0.38191603351233372</v>
      </c>
      <c r="W30" s="4"/>
      <c r="X30" s="4">
        <f t="shared" ref="X30:X32" si="17">+P30-T30</f>
        <v>-2443458.9899999998</v>
      </c>
      <c r="Y30" s="4"/>
      <c r="Z30" s="12">
        <f t="shared" ref="Z30:Z32" si="18">IF(T30=0,0,X30/T30)</f>
        <v>-0.98235936801154</v>
      </c>
    </row>
    <row r="31" spans="1:26" s="24" customFormat="1" hidden="1" outlineLevel="1" x14ac:dyDescent="0.25">
      <c r="A31" s="44"/>
      <c r="B31" s="11" t="str">
        <f>CONCATENATE("          ", "5053", " - ", "PURCHASES @ COST-FOOD")</f>
        <v xml:space="preserve">          5053 - PURCHASES @ COST-FOOD</v>
      </c>
      <c r="C31" s="11"/>
      <c r="D31" s="2">
        <v>-4739.1099999999997</v>
      </c>
      <c r="E31" s="2"/>
      <c r="F31" s="19">
        <f t="shared" si="11"/>
        <v>-9.4564795535064888E-2</v>
      </c>
      <c r="G31" s="2"/>
      <c r="H31" s="2">
        <v>442685.48</v>
      </c>
      <c r="I31" s="2"/>
      <c r="J31" s="19">
        <f t="shared" si="12"/>
        <v>0.36978085793626825</v>
      </c>
      <c r="K31" s="2"/>
      <c r="L31" s="2">
        <f t="shared" si="13"/>
        <v>-447424.58999999997</v>
      </c>
      <c r="M31" s="2"/>
      <c r="N31" s="19">
        <f t="shared" si="14"/>
        <v>-1.0107053658050857</v>
      </c>
      <c r="O31" s="11"/>
      <c r="P31" s="2">
        <v>7282.21</v>
      </c>
      <c r="Q31" s="2"/>
      <c r="R31" s="19">
        <f t="shared" si="15"/>
        <v>2.2135125053466851E-2</v>
      </c>
      <c r="S31" s="2"/>
      <c r="T31" s="2">
        <v>2550801.13</v>
      </c>
      <c r="U31" s="2"/>
      <c r="V31" s="19">
        <f t="shared" si="16"/>
        <v>0.39166054918689114</v>
      </c>
      <c r="W31" s="2"/>
      <c r="X31" s="2">
        <f t="shared" si="17"/>
        <v>-2543518.92</v>
      </c>
      <c r="Y31" s="2"/>
      <c r="Z31" s="19">
        <f t="shared" si="18"/>
        <v>-0.99714512828367774</v>
      </c>
    </row>
    <row r="32" spans="1:26" s="24" customFormat="1" hidden="1" outlineLevel="1" x14ac:dyDescent="0.25">
      <c r="A32" s="44"/>
      <c r="B32" s="11" t="str">
        <f>CONCATENATE("          ", "5059", " - ", "PURCHASES @ COST-FOOD")</f>
        <v xml:space="preserve">          5059 - PURCHASES @ COST-FOOD</v>
      </c>
      <c r="C32" s="11"/>
      <c r="D32" s="2">
        <v>19569</v>
      </c>
      <c r="E32" s="2"/>
      <c r="F32" s="19">
        <f t="shared" si="11"/>
        <v>0.39048228123543977</v>
      </c>
      <c r="G32" s="2"/>
      <c r="H32" s="2">
        <v>6400.57</v>
      </c>
      <c r="I32" s="2"/>
      <c r="J32" s="19">
        <f t="shared" si="12"/>
        <v>5.3464781945889448E-3</v>
      </c>
      <c r="K32" s="2"/>
      <c r="L32" s="2">
        <f t="shared" si="13"/>
        <v>13168.43</v>
      </c>
      <c r="M32" s="2"/>
      <c r="N32" s="19">
        <f t="shared" si="14"/>
        <v>2.057383951741798</v>
      </c>
      <c r="O32" s="11"/>
      <c r="P32" s="2">
        <v>36595.990000000005</v>
      </c>
      <c r="Q32" s="2"/>
      <c r="R32" s="19">
        <f t="shared" si="15"/>
        <v>0.11123777192712411</v>
      </c>
      <c r="S32" s="2"/>
      <c r="T32" s="2">
        <v>-63463.939999999995</v>
      </c>
      <c r="U32" s="2"/>
      <c r="V32" s="19">
        <f t="shared" si="16"/>
        <v>-9.7445156745574711E-3</v>
      </c>
      <c r="W32" s="2"/>
      <c r="X32" s="2">
        <f t="shared" si="17"/>
        <v>100059.93</v>
      </c>
      <c r="Y32" s="2"/>
      <c r="Z32" s="19">
        <f t="shared" si="18"/>
        <v>-1.5766422633073207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10"/>
      <c r="B34" s="29" t="s">
        <v>6</v>
      </c>
      <c r="C34" s="29"/>
      <c r="D34" s="22">
        <f>D12-D30</f>
        <v>35285.06</v>
      </c>
      <c r="E34" s="14"/>
      <c r="F34" s="20">
        <f>IF(D$12=0,0,D34/D$12)</f>
        <v>0.70408251429962521</v>
      </c>
      <c r="G34" s="14"/>
      <c r="H34" s="22">
        <f>H12-H30</f>
        <v>748070.24</v>
      </c>
      <c r="I34" s="14"/>
      <c r="J34" s="20">
        <f>IF(H$12=0,0,H34/H$12)</f>
        <v>0.62487266386914275</v>
      </c>
      <c r="K34" s="16"/>
      <c r="L34" s="22">
        <f>+D34-H34</f>
        <v>-712785.17999999993</v>
      </c>
      <c r="M34" s="16"/>
      <c r="N34" s="20">
        <f>IF(H34=0,0,L34/H34)</f>
        <v>-0.95283188915522155</v>
      </c>
      <c r="O34" s="28"/>
      <c r="P34" s="22">
        <f>P12-P30</f>
        <v>285110.68</v>
      </c>
      <c r="Q34" s="14"/>
      <c r="R34" s="20">
        <f>IF(P$12=0,0,P34/P$12)</f>
        <v>0.86662710301940904</v>
      </c>
      <c r="S34" s="14"/>
      <c r="T34" s="22">
        <f>T12-T30</f>
        <v>4025448.2700000009</v>
      </c>
      <c r="U34" s="14"/>
      <c r="V34" s="20">
        <f>IF(T$12=0,0,T34/T$12)</f>
        <v>0.61808396648766628</v>
      </c>
      <c r="W34" s="16"/>
      <c r="X34" s="22">
        <f>+P34-T34</f>
        <v>-3740337.5900000008</v>
      </c>
      <c r="Y34" s="16"/>
      <c r="Z34" s="20">
        <f>IF(T34=0,0,X34/T34)</f>
        <v>-0.92917293655844191</v>
      </c>
    </row>
    <row r="35" spans="1:26" x14ac:dyDescent="0.25">
      <c r="A35" s="9"/>
      <c r="B35" s="10"/>
      <c r="C35" s="9"/>
      <c r="D35" s="1"/>
      <c r="E35" s="1"/>
      <c r="F35" s="5"/>
      <c r="G35" s="1"/>
      <c r="H35" s="1"/>
      <c r="I35" s="1"/>
      <c r="J35" s="5"/>
      <c r="K35" s="1"/>
      <c r="L35" s="1"/>
      <c r="M35" s="1"/>
      <c r="N35" s="5"/>
      <c r="O35" s="37"/>
      <c r="P35" s="1"/>
      <c r="Q35" s="1"/>
      <c r="R35" s="5"/>
      <c r="S35" s="1"/>
      <c r="T35" s="1"/>
      <c r="U35" s="1"/>
      <c r="V35" s="5"/>
      <c r="W35" s="1"/>
      <c r="X35" s="1"/>
      <c r="Y35" s="1"/>
      <c r="Z35" s="5"/>
    </row>
    <row r="36" spans="1:26" s="23" customFormat="1" x14ac:dyDescent="0.25">
      <c r="A36" s="10"/>
      <c r="B36" s="28" t="s">
        <v>9</v>
      </c>
      <c r="C36" s="10"/>
      <c r="D36" s="21">
        <f>SUM(OSRRefD22x_0)</f>
        <v>123001.63</v>
      </c>
      <c r="E36" s="21"/>
      <c r="F36" s="32">
        <f t="shared" ref="F36:F46" si="19">IF(D$12=0,0,D36/D$12)</f>
        <v>2.4543899574877361</v>
      </c>
      <c r="G36" s="21"/>
      <c r="H36" s="21">
        <f>SUM(OSRRefH22x_0)</f>
        <v>674669.22999999975</v>
      </c>
      <c r="I36" s="21"/>
      <c r="J36" s="32">
        <f t="shared" ref="J36:J46" si="20">IF(H$12=0,0,H36/H$12)</f>
        <v>0.56355985900554362</v>
      </c>
      <c r="K36" s="4"/>
      <c r="L36" s="21">
        <f t="shared" ref="L36:L46" si="21">+D36-H36</f>
        <v>-551667.59999999974</v>
      </c>
      <c r="M36" s="4"/>
      <c r="N36" s="32">
        <f t="shared" ref="N36:N46" si="22">IF(H36=0,0,L36/H36)</f>
        <v>-0.8176860237126865</v>
      </c>
      <c r="O36" s="10"/>
      <c r="P36" s="21">
        <f>SUM(OSRRefP22x_0)</f>
        <v>1097714.67</v>
      </c>
      <c r="Q36" s="21"/>
      <c r="R36" s="32">
        <f t="shared" ref="R36:R46" si="23">IF(P$12=0,0,P36/P$12)</f>
        <v>3.3366315299167555</v>
      </c>
      <c r="S36" s="21"/>
      <c r="T36" s="21">
        <f>SUM(OSRRefT22x_0)</f>
        <v>4782930.1900000023</v>
      </c>
      <c r="U36" s="21"/>
      <c r="V36" s="32">
        <f t="shared" ref="V36:V46" si="24">IF(T$12=0,0,T36/T$12)</f>
        <v>0.73439087152120031</v>
      </c>
      <c r="W36" s="4"/>
      <c r="X36" s="21">
        <f t="shared" ref="X36:X46" si="25">+P36-T36</f>
        <v>-3685215.5200000023</v>
      </c>
      <c r="Y36" s="4"/>
      <c r="Z36" s="32">
        <f t="shared" ref="Z36:Z46" si="26">IF(T36=0,0,X36/T36)</f>
        <v>-0.77049326952438768</v>
      </c>
    </row>
    <row r="37" spans="1:26" s="25" customFormat="1" outlineLevel="1" collapsed="1" x14ac:dyDescent="0.25">
      <c r="A37" s="27"/>
      <c r="B37" s="13" t="str">
        <f>CONCATENATE("     ","*Benefits                                         ")</f>
        <v xml:space="preserve">     *Benefits                                         </v>
      </c>
      <c r="C37" s="13"/>
      <c r="D37" s="1">
        <f>SUM(OSRRefD22_0x_0)</f>
        <v>18076.13</v>
      </c>
      <c r="E37" s="1"/>
      <c r="F37" s="5">
        <f t="shared" si="19"/>
        <v>0.36069336595167711</v>
      </c>
      <c r="G37" s="1"/>
      <c r="H37" s="1">
        <f>SUM(OSRRefH22_0x_0)</f>
        <v>82655.070000000007</v>
      </c>
      <c r="I37" s="1"/>
      <c r="J37" s="5">
        <f t="shared" si="20"/>
        <v>6.9042839845079876E-2</v>
      </c>
      <c r="K37" s="1"/>
      <c r="L37" s="1">
        <f t="shared" si="21"/>
        <v>-64578.94</v>
      </c>
      <c r="M37" s="1"/>
      <c r="N37" s="5">
        <f t="shared" si="22"/>
        <v>-0.78130645827291656</v>
      </c>
      <c r="O37" s="13"/>
      <c r="P37" s="1">
        <f>SUM(OSRRefP22_0x_0)</f>
        <v>203095.44999999998</v>
      </c>
      <c r="Q37" s="1"/>
      <c r="R37" s="5">
        <f t="shared" si="23"/>
        <v>0.61733226363152449</v>
      </c>
      <c r="S37" s="1"/>
      <c r="T37" s="1">
        <f>SUM(OSRRefT22_0x_0)</f>
        <v>654140.08000000007</v>
      </c>
      <c r="U37" s="1"/>
      <c r="V37" s="5">
        <f t="shared" si="24"/>
        <v>0.10043937175845494</v>
      </c>
      <c r="W37" s="1"/>
      <c r="X37" s="1">
        <f t="shared" si="25"/>
        <v>-451044.63000000012</v>
      </c>
      <c r="Y37" s="1"/>
      <c r="Z37" s="5">
        <f t="shared" si="26"/>
        <v>-0.68952299941627193</v>
      </c>
    </row>
    <row r="38" spans="1:26" s="24" customFormat="1" hidden="1" outlineLevel="2" x14ac:dyDescent="0.25">
      <c r="A38" s="26"/>
      <c r="B38" s="11" t="str">
        <f>CONCATENATE("          ", "6111", " - ", "F.I.C.A.")</f>
        <v xml:space="preserve">          6111 - F.I.C.A.</v>
      </c>
      <c r="C38" s="11"/>
      <c r="D38" s="6">
        <v>2064.8200000000002</v>
      </c>
      <c r="E38" s="2"/>
      <c r="F38" s="7">
        <f t="shared" si="19"/>
        <v>4.1201677343786637E-2</v>
      </c>
      <c r="G38" s="2"/>
      <c r="H38" s="6">
        <v>15666.070000000002</v>
      </c>
      <c r="I38" s="2"/>
      <c r="J38" s="7">
        <f t="shared" si="20"/>
        <v>1.3086069154763411E-2</v>
      </c>
      <c r="K38" s="2"/>
      <c r="L38" s="6">
        <f t="shared" si="21"/>
        <v>-13601.250000000002</v>
      </c>
      <c r="M38" s="2"/>
      <c r="N38" s="7">
        <f t="shared" si="22"/>
        <v>-0.86819795902865238</v>
      </c>
      <c r="O38" s="11"/>
      <c r="P38" s="6">
        <v>23650.09</v>
      </c>
      <c r="Q38" s="2"/>
      <c r="R38" s="7">
        <f t="shared" si="23"/>
        <v>7.1887201780193907E-2</v>
      </c>
      <c r="S38" s="2"/>
      <c r="T38" s="6">
        <v>122918.29999999999</v>
      </c>
      <c r="U38" s="2"/>
      <c r="V38" s="7">
        <f t="shared" si="24"/>
        <v>1.8873383862394261E-2</v>
      </c>
      <c r="W38" s="2"/>
      <c r="X38" s="6">
        <f t="shared" si="25"/>
        <v>-99268.209999999992</v>
      </c>
      <c r="Y38" s="2"/>
      <c r="Z38" s="7">
        <f t="shared" si="26"/>
        <v>-0.80759504483872624</v>
      </c>
    </row>
    <row r="39" spans="1:26" s="24" customFormat="1" hidden="1" outlineLevel="2" x14ac:dyDescent="0.25">
      <c r="A39" s="26"/>
      <c r="B39" s="11" t="str">
        <f>CONCATENATE("          ", "6112", " - ", "COMPENSATION INSURANCE")</f>
        <v xml:space="preserve">          6112 - COMPENSATION INSURANCE</v>
      </c>
      <c r="C39" s="11"/>
      <c r="D39" s="6">
        <v>629.72</v>
      </c>
      <c r="E39" s="2"/>
      <c r="F39" s="7">
        <f t="shared" si="19"/>
        <v>1.25655118881691E-2</v>
      </c>
      <c r="G39" s="2"/>
      <c r="H39" s="6">
        <v>11029.01</v>
      </c>
      <c r="I39" s="2"/>
      <c r="J39" s="7">
        <f t="shared" si="20"/>
        <v>9.212673476409668E-3</v>
      </c>
      <c r="K39" s="2"/>
      <c r="L39" s="6">
        <f t="shared" si="21"/>
        <v>-10399.290000000001</v>
      </c>
      <c r="M39" s="2"/>
      <c r="N39" s="7">
        <f t="shared" si="22"/>
        <v>-0.94290330682445667</v>
      </c>
      <c r="O39" s="11"/>
      <c r="P39" s="6">
        <v>6622.89</v>
      </c>
      <c r="Q39" s="2"/>
      <c r="R39" s="7">
        <f t="shared" si="23"/>
        <v>2.0131045158729984E-2</v>
      </c>
      <c r="S39" s="2"/>
      <c r="T39" s="6">
        <v>61567.219999999994</v>
      </c>
      <c r="U39" s="2"/>
      <c r="V39" s="7">
        <f t="shared" si="24"/>
        <v>9.4532854457023661E-3</v>
      </c>
      <c r="W39" s="2"/>
      <c r="X39" s="6">
        <f t="shared" si="25"/>
        <v>-54944.329999999994</v>
      </c>
      <c r="Y39" s="2"/>
      <c r="Z39" s="7">
        <f t="shared" si="26"/>
        <v>-0.89242830844075793</v>
      </c>
    </row>
    <row r="40" spans="1:26" s="24" customFormat="1" hidden="1" outlineLevel="2" x14ac:dyDescent="0.25">
      <c r="A40" s="26"/>
      <c r="B40" s="11" t="str">
        <f>CONCATENATE("          ", "6113", " - ", "GROUP INSURANCE")</f>
        <v xml:space="preserve">          6113 - GROUP INSURANCE</v>
      </c>
      <c r="C40" s="11"/>
      <c r="D40" s="6">
        <v>8554.93</v>
      </c>
      <c r="E40" s="2"/>
      <c r="F40" s="7">
        <f t="shared" si="19"/>
        <v>0.17070614656903779</v>
      </c>
      <c r="G40" s="2"/>
      <c r="H40" s="6">
        <v>29377.870000000003</v>
      </c>
      <c r="I40" s="2"/>
      <c r="J40" s="7">
        <f t="shared" si="20"/>
        <v>2.4539711519203564E-2</v>
      </c>
      <c r="K40" s="2"/>
      <c r="L40" s="6">
        <f t="shared" si="21"/>
        <v>-20822.940000000002</v>
      </c>
      <c r="M40" s="2"/>
      <c r="N40" s="7">
        <f t="shared" si="22"/>
        <v>-0.70879679159857401</v>
      </c>
      <c r="O40" s="11"/>
      <c r="P40" s="6">
        <v>96109.430000000008</v>
      </c>
      <c r="Q40" s="2"/>
      <c r="R40" s="7">
        <f t="shared" si="23"/>
        <v>0.29213580106415754</v>
      </c>
      <c r="S40" s="2"/>
      <c r="T40" s="6">
        <v>225243.89</v>
      </c>
      <c r="U40" s="2"/>
      <c r="V40" s="7">
        <f t="shared" si="24"/>
        <v>3.458487791182361E-2</v>
      </c>
      <c r="W40" s="2"/>
      <c r="X40" s="6">
        <f t="shared" si="25"/>
        <v>-129134.46</v>
      </c>
      <c r="Y40" s="2"/>
      <c r="Z40" s="7">
        <f t="shared" si="26"/>
        <v>-0.57330949132515874</v>
      </c>
    </row>
    <row r="41" spans="1:26" s="24" customFormat="1" hidden="1" outlineLevel="2" x14ac:dyDescent="0.25">
      <c r="A41" s="26"/>
      <c r="B41" s="11" t="str">
        <f>CONCATENATE("          ", "6114", " - ", "STATE UNEMPLOYMENT INSURANCE")</f>
        <v xml:space="preserve">          6114 - STATE UNEMPLOYMENT INSURANCE</v>
      </c>
      <c r="C41" s="11"/>
      <c r="D41" s="6">
        <v>81.3</v>
      </c>
      <c r="E41" s="2"/>
      <c r="F41" s="7">
        <f t="shared" si="19"/>
        <v>1.6222704003495962E-3</v>
      </c>
      <c r="G41" s="2"/>
      <c r="H41" s="6">
        <v>865.88</v>
      </c>
      <c r="I41" s="2"/>
      <c r="J41" s="7">
        <f t="shared" si="20"/>
        <v>7.2328066705475852E-4</v>
      </c>
      <c r="K41" s="2"/>
      <c r="L41" s="6">
        <f t="shared" si="21"/>
        <v>-784.58</v>
      </c>
      <c r="M41" s="2"/>
      <c r="N41" s="7">
        <f t="shared" si="22"/>
        <v>-0.90610708181272237</v>
      </c>
      <c r="O41" s="11"/>
      <c r="P41" s="6">
        <v>886.67</v>
      </c>
      <c r="Q41" s="2"/>
      <c r="R41" s="7">
        <f t="shared" si="23"/>
        <v>2.6951366866867959E-3</v>
      </c>
      <c r="S41" s="2"/>
      <c r="T41" s="6">
        <v>5980.13</v>
      </c>
      <c r="U41" s="2"/>
      <c r="V41" s="7">
        <f t="shared" si="24"/>
        <v>9.1821387895065095E-4</v>
      </c>
      <c r="W41" s="2"/>
      <c r="X41" s="6">
        <f t="shared" si="25"/>
        <v>-5093.46</v>
      </c>
      <c r="Y41" s="2"/>
      <c r="Z41" s="7">
        <f t="shared" si="26"/>
        <v>-0.85173064799594655</v>
      </c>
    </row>
    <row r="42" spans="1:26" s="24" customFormat="1" hidden="1" outlineLevel="2" x14ac:dyDescent="0.25">
      <c r="A42" s="26"/>
      <c r="B42" s="11" t="str">
        <f>CONCATENATE("          ", "6115", " - ", "P.E.R.S.")</f>
        <v xml:space="preserve">          6115 - P.E.R.S.</v>
      </c>
      <c r="C42" s="11"/>
      <c r="D42" s="6">
        <v>2703.34</v>
      </c>
      <c r="E42" s="2"/>
      <c r="F42" s="7">
        <f t="shared" si="19"/>
        <v>5.3942785536052619E-2</v>
      </c>
      <c r="G42" s="2"/>
      <c r="H42" s="6">
        <v>8062.11</v>
      </c>
      <c r="I42" s="2"/>
      <c r="J42" s="7">
        <f t="shared" si="20"/>
        <v>6.7343838622774968E-3</v>
      </c>
      <c r="K42" s="2"/>
      <c r="L42" s="6">
        <f t="shared" si="21"/>
        <v>-5358.7699999999995</v>
      </c>
      <c r="M42" s="2"/>
      <c r="N42" s="7">
        <f t="shared" si="22"/>
        <v>-0.66468579565399133</v>
      </c>
      <c r="O42" s="11"/>
      <c r="P42" s="6">
        <v>32451.939999999995</v>
      </c>
      <c r="Q42" s="2"/>
      <c r="R42" s="7">
        <f t="shared" si="23"/>
        <v>9.8641449522549191E-2</v>
      </c>
      <c r="S42" s="2"/>
      <c r="T42" s="6">
        <v>72181.759999999995</v>
      </c>
      <c r="U42" s="2"/>
      <c r="V42" s="7">
        <f t="shared" si="24"/>
        <v>1.108308579229631E-2</v>
      </c>
      <c r="W42" s="2"/>
      <c r="X42" s="6">
        <f t="shared" si="25"/>
        <v>-39729.82</v>
      </c>
      <c r="Y42" s="2"/>
      <c r="Z42" s="7">
        <f t="shared" si="26"/>
        <v>-0.55041356708398359</v>
      </c>
    </row>
    <row r="43" spans="1:26" s="24" customFormat="1" hidden="1" outlineLevel="2" x14ac:dyDescent="0.25">
      <c r="A43" s="26"/>
      <c r="B43" s="11" t="str">
        <f>CONCATENATE("          ", "6117", " - ", "RETIREMENT STAFF HOURLY")</f>
        <v xml:space="preserve">          6117 - RETIREMENT STAFF HOURLY</v>
      </c>
      <c r="C43" s="11"/>
      <c r="D43" s="6"/>
      <c r="E43" s="2"/>
      <c r="F43" s="7">
        <f t="shared" si="19"/>
        <v>0</v>
      </c>
      <c r="G43" s="2"/>
      <c r="H43" s="6">
        <v>154.87</v>
      </c>
      <c r="I43" s="2"/>
      <c r="J43" s="7">
        <f t="shared" si="20"/>
        <v>1.2936489687574544E-4</v>
      </c>
      <c r="K43" s="2"/>
      <c r="L43" s="6">
        <f t="shared" si="21"/>
        <v>-154.87</v>
      </c>
      <c r="M43" s="2"/>
      <c r="N43" s="7">
        <f t="shared" si="22"/>
        <v>-1</v>
      </c>
      <c r="O43" s="11"/>
      <c r="P43" s="6"/>
      <c r="Q43" s="2"/>
      <c r="R43" s="7">
        <f t="shared" si="23"/>
        <v>0</v>
      </c>
      <c r="S43" s="2"/>
      <c r="T43" s="6">
        <v>712.85</v>
      </c>
      <c r="U43" s="2"/>
      <c r="V43" s="7">
        <f t="shared" si="24"/>
        <v>1.0945393555156352E-4</v>
      </c>
      <c r="W43" s="2"/>
      <c r="X43" s="6">
        <f t="shared" si="25"/>
        <v>-712.85</v>
      </c>
      <c r="Y43" s="2"/>
      <c r="Z43" s="7">
        <f t="shared" si="26"/>
        <v>-1</v>
      </c>
    </row>
    <row r="44" spans="1:26" s="24" customFormat="1" hidden="1" outlineLevel="2" x14ac:dyDescent="0.25">
      <c r="A44" s="26"/>
      <c r="B44" s="11" t="str">
        <f>CONCATENATE("          ", "6118", " - ", "VACATION")</f>
        <v xml:space="preserve">          6118 - VACATION</v>
      </c>
      <c r="C44" s="11"/>
      <c r="D44" s="6">
        <v>2462.92</v>
      </c>
      <c r="E44" s="2"/>
      <c r="F44" s="7">
        <f t="shared" si="19"/>
        <v>4.9145414691623958E-2</v>
      </c>
      <c r="G44" s="2"/>
      <c r="H44" s="6">
        <v>7603.32</v>
      </c>
      <c r="I44" s="2"/>
      <c r="J44" s="7">
        <f t="shared" si="20"/>
        <v>6.3511506922792841E-3</v>
      </c>
      <c r="K44" s="2"/>
      <c r="L44" s="6">
        <f t="shared" si="21"/>
        <v>-5140.3999999999996</v>
      </c>
      <c r="M44" s="2"/>
      <c r="N44" s="7">
        <f t="shared" si="22"/>
        <v>-0.67607308386336495</v>
      </c>
      <c r="O44" s="11"/>
      <c r="P44" s="6">
        <v>24358</v>
      </c>
      <c r="Q44" s="2"/>
      <c r="R44" s="7">
        <f t="shared" si="23"/>
        <v>7.4038976636535553E-2</v>
      </c>
      <c r="S44" s="2"/>
      <c r="T44" s="6">
        <v>68203.399999999994</v>
      </c>
      <c r="U44" s="2"/>
      <c r="V44" s="7">
        <f t="shared" si="24"/>
        <v>1.0472231953422888E-2</v>
      </c>
      <c r="W44" s="2"/>
      <c r="X44" s="6">
        <f t="shared" si="25"/>
        <v>-43845.399999999994</v>
      </c>
      <c r="Y44" s="2"/>
      <c r="Z44" s="7">
        <f t="shared" si="26"/>
        <v>-0.64286237929487389</v>
      </c>
    </row>
    <row r="45" spans="1:26" s="24" customFormat="1" hidden="1" outlineLevel="2" x14ac:dyDescent="0.25">
      <c r="A45" s="26"/>
      <c r="B45" s="11" t="str">
        <f>CONCATENATE("          ", "6119", " - ", "SICK LEAVE")</f>
        <v xml:space="preserve">          6119 - SICK LEAVE</v>
      </c>
      <c r="C45" s="11"/>
      <c r="D45" s="6">
        <v>1382.86</v>
      </c>
      <c r="E45" s="2"/>
      <c r="F45" s="7">
        <f t="shared" si="19"/>
        <v>2.7593761941296958E-2</v>
      </c>
      <c r="G45" s="2"/>
      <c r="H45" s="6">
        <v>5796.45</v>
      </c>
      <c r="I45" s="2"/>
      <c r="J45" s="7">
        <f t="shared" si="20"/>
        <v>4.8418490120450356E-3</v>
      </c>
      <c r="K45" s="2"/>
      <c r="L45" s="6">
        <f t="shared" si="21"/>
        <v>-4413.59</v>
      </c>
      <c r="M45" s="2"/>
      <c r="N45" s="7">
        <f t="shared" si="22"/>
        <v>-0.76142984067834629</v>
      </c>
      <c r="O45" s="11"/>
      <c r="P45" s="6">
        <v>14572.46</v>
      </c>
      <c r="Q45" s="2"/>
      <c r="R45" s="7">
        <f t="shared" si="23"/>
        <v>4.4294688622910292E-2</v>
      </c>
      <c r="S45" s="2"/>
      <c r="T45" s="6">
        <v>69662.680000000008</v>
      </c>
      <c r="U45" s="2"/>
      <c r="V45" s="7">
        <f t="shared" si="24"/>
        <v>1.0696295836528293E-2</v>
      </c>
      <c r="W45" s="2"/>
      <c r="X45" s="6">
        <f t="shared" si="25"/>
        <v>-55090.220000000008</v>
      </c>
      <c r="Y45" s="2"/>
      <c r="Z45" s="7">
        <f t="shared" si="26"/>
        <v>-0.79081396236837287</v>
      </c>
    </row>
    <row r="46" spans="1:26" s="24" customFormat="1" hidden="1" outlineLevel="2" x14ac:dyDescent="0.25">
      <c r="A46" s="26"/>
      <c r="B46" s="11" t="str">
        <f>CONCATENATE("          ", "6156", " - ", "EMPLOYEE MEALS")</f>
        <v xml:space="preserve">          6156 - EMPLOYEE MEALS</v>
      </c>
      <c r="C46" s="11"/>
      <c r="D46" s="6">
        <v>196.24</v>
      </c>
      <c r="E46" s="2"/>
      <c r="F46" s="7">
        <f t="shared" si="19"/>
        <v>3.9157975813604523E-3</v>
      </c>
      <c r="G46" s="2"/>
      <c r="H46" s="6">
        <v>4099.49</v>
      </c>
      <c r="I46" s="2"/>
      <c r="J46" s="7">
        <f t="shared" si="20"/>
        <v>3.4243565641709152E-3</v>
      </c>
      <c r="K46" s="2"/>
      <c r="L46" s="6">
        <f t="shared" si="21"/>
        <v>-3903.25</v>
      </c>
      <c r="M46" s="2"/>
      <c r="N46" s="7">
        <f t="shared" si="22"/>
        <v>-0.95213063088335381</v>
      </c>
      <c r="O46" s="11"/>
      <c r="P46" s="6">
        <v>4443.97</v>
      </c>
      <c r="Q46" s="2"/>
      <c r="R46" s="7">
        <f t="shared" si="23"/>
        <v>1.3507964159761267E-2</v>
      </c>
      <c r="S46" s="2"/>
      <c r="T46" s="6">
        <v>27669.85</v>
      </c>
      <c r="U46" s="2"/>
      <c r="V46" s="7">
        <f t="shared" si="24"/>
        <v>4.2485431417849887E-3</v>
      </c>
      <c r="W46" s="2"/>
      <c r="X46" s="6">
        <f t="shared" si="25"/>
        <v>-23225.879999999997</v>
      </c>
      <c r="Y46" s="2"/>
      <c r="Z46" s="7">
        <f t="shared" si="26"/>
        <v>-0.83939305778672446</v>
      </c>
    </row>
    <row r="47" spans="1:26" s="25" customFormat="1" outlineLevel="1" collapsed="1" x14ac:dyDescent="0.25">
      <c r="A47" s="27"/>
      <c r="B47" s="13" t="str">
        <f>CONCATENATE("     ","*Payroll                                          ")</f>
        <v xml:space="preserve">     *Payroll                                          </v>
      </c>
      <c r="C47" s="13"/>
      <c r="D47" s="1">
        <f>SUM(OSRRefD22_1x_0)</f>
        <v>25366.62</v>
      </c>
      <c r="E47" s="1"/>
      <c r="F47" s="5">
        <f t="shared" ref="F47:F54" si="27">IF(D$12=0,0,D47/D$12)</f>
        <v>0.50616871811704889</v>
      </c>
      <c r="G47" s="1"/>
      <c r="H47" s="1">
        <f>SUM(OSRRefH22_1x_0)</f>
        <v>321187.75999999995</v>
      </c>
      <c r="I47" s="1"/>
      <c r="J47" s="5">
        <f t="shared" ref="J47:J54" si="28">IF(H$12=0,0,H47/H$12)</f>
        <v>0.26829225447247157</v>
      </c>
      <c r="K47" s="1"/>
      <c r="L47" s="1">
        <f t="shared" ref="L47:L54" si="29">+D47-H47</f>
        <v>-295821.13999999996</v>
      </c>
      <c r="M47" s="1"/>
      <c r="N47" s="5">
        <f t="shared" ref="N47:N54" si="30">IF(H47=0,0,L47/H47)</f>
        <v>-0.92102245739376865</v>
      </c>
      <c r="O47" s="13"/>
      <c r="P47" s="1">
        <f>SUM(OSRRefP22_1x_0)</f>
        <v>275464.67000000004</v>
      </c>
      <c r="Q47" s="1"/>
      <c r="R47" s="5">
        <f t="shared" ref="R47:R54" si="31">IF(P$12=0,0,P47/P$12)</f>
        <v>0.83730693268416867</v>
      </c>
      <c r="S47" s="1"/>
      <c r="T47" s="1">
        <f>SUM(OSRRefT22_1x_0)</f>
        <v>2214899.6800000002</v>
      </c>
      <c r="U47" s="1"/>
      <c r="V47" s="5">
        <f t="shared" ref="V47:V54" si="32">IF(T$12=0,0,T47/T$12)</f>
        <v>0.34008485211180284</v>
      </c>
      <c r="W47" s="1"/>
      <c r="X47" s="1">
        <f t="shared" ref="X47:X54" si="33">+P47-T47</f>
        <v>-1939435.0100000002</v>
      </c>
      <c r="Y47" s="1"/>
      <c r="Z47" s="5">
        <f t="shared" ref="Z47:Z54" si="34">IF(T47=0,0,X47/T47)</f>
        <v>-0.87563108501600406</v>
      </c>
    </row>
    <row r="48" spans="1:26" s="24" customFormat="1" hidden="1" outlineLevel="2" x14ac:dyDescent="0.25">
      <c r="A48" s="26"/>
      <c r="B48" s="11" t="str">
        <f>CONCATENATE("          ", "6001", " - ", "ADMINISTRATIVE SALARIES")</f>
        <v xml:space="preserve">          6001 - ADMINISTRATIVE SALARIES</v>
      </c>
      <c r="C48" s="11"/>
      <c r="D48" s="6">
        <v>10590.82</v>
      </c>
      <c r="E48" s="2"/>
      <c r="F48" s="7">
        <f t="shared" si="27"/>
        <v>0.21133055106310591</v>
      </c>
      <c r="G48" s="2"/>
      <c r="H48" s="6">
        <v>18246.47</v>
      </c>
      <c r="I48" s="2"/>
      <c r="J48" s="7">
        <f t="shared" si="28"/>
        <v>1.5241510362861645E-2</v>
      </c>
      <c r="K48" s="2"/>
      <c r="L48" s="6">
        <f t="shared" si="29"/>
        <v>-7655.6500000000015</v>
      </c>
      <c r="M48" s="2"/>
      <c r="N48" s="7">
        <f t="shared" si="30"/>
        <v>-0.41956882618939451</v>
      </c>
      <c r="O48" s="11"/>
      <c r="P48" s="6">
        <v>87181.900000000009</v>
      </c>
      <c r="Q48" s="2"/>
      <c r="R48" s="7">
        <f t="shared" si="31"/>
        <v>0.26499953433076523</v>
      </c>
      <c r="S48" s="2"/>
      <c r="T48" s="6">
        <v>143245.21</v>
      </c>
      <c r="U48" s="2"/>
      <c r="V48" s="7">
        <f t="shared" si="32"/>
        <v>2.1994461644680059E-2</v>
      </c>
      <c r="W48" s="2"/>
      <c r="X48" s="6">
        <f t="shared" si="33"/>
        <v>-56063.309999999983</v>
      </c>
      <c r="Y48" s="2"/>
      <c r="Z48" s="7">
        <f t="shared" si="34"/>
        <v>-0.3913799979768956</v>
      </c>
    </row>
    <row r="49" spans="1:26" s="24" customFormat="1" hidden="1" outlineLevel="2" x14ac:dyDescent="0.25">
      <c r="A49" s="26"/>
      <c r="B49" s="11" t="str">
        <f>CONCATENATE("          ", "6002", " - ", "STAFF SALARIES")</f>
        <v xml:space="preserve">          6002 - STAFF SALARIES</v>
      </c>
      <c r="C49" s="11"/>
      <c r="D49" s="6">
        <v>14166.5</v>
      </c>
      <c r="E49" s="2"/>
      <c r="F49" s="7">
        <f t="shared" si="27"/>
        <v>0.28268011840778051</v>
      </c>
      <c r="G49" s="2"/>
      <c r="H49" s="6">
        <v>71505.240000000005</v>
      </c>
      <c r="I49" s="2"/>
      <c r="J49" s="7">
        <f t="shared" si="28"/>
        <v>5.9729243873412718E-2</v>
      </c>
      <c r="K49" s="2"/>
      <c r="L49" s="6">
        <f t="shared" si="29"/>
        <v>-57338.740000000005</v>
      </c>
      <c r="M49" s="2"/>
      <c r="N49" s="7">
        <f t="shared" si="30"/>
        <v>-0.8018816523096769</v>
      </c>
      <c r="O49" s="11"/>
      <c r="P49" s="6">
        <v>161089.01</v>
      </c>
      <c r="Q49" s="2"/>
      <c r="R49" s="7">
        <f t="shared" si="31"/>
        <v>0.48964879907187137</v>
      </c>
      <c r="S49" s="2"/>
      <c r="T49" s="6">
        <v>624873.85</v>
      </c>
      <c r="U49" s="2"/>
      <c r="V49" s="7">
        <f t="shared" si="32"/>
        <v>9.5945713832864363E-2</v>
      </c>
      <c r="W49" s="2"/>
      <c r="X49" s="6">
        <f t="shared" si="33"/>
        <v>-463784.83999999997</v>
      </c>
      <c r="Y49" s="2"/>
      <c r="Z49" s="7">
        <f t="shared" si="34"/>
        <v>-0.74220555076836703</v>
      </c>
    </row>
    <row r="50" spans="1:26" s="24" customFormat="1" hidden="1" outlineLevel="2" x14ac:dyDescent="0.25">
      <c r="A50" s="26"/>
      <c r="B50" s="11" t="str">
        <f>CONCATENATE("          ", "6004", " - ", "STAFF HOURLY")</f>
        <v xml:space="preserve">          6004 - STAFF HOURLY</v>
      </c>
      <c r="C50" s="11"/>
      <c r="D50" s="6">
        <v>284.3</v>
      </c>
      <c r="E50" s="2"/>
      <c r="F50" s="7">
        <f t="shared" si="27"/>
        <v>5.6729578698571986E-3</v>
      </c>
      <c r="G50" s="2"/>
      <c r="H50" s="6">
        <v>27872.69</v>
      </c>
      <c r="I50" s="2"/>
      <c r="J50" s="7">
        <f t="shared" si="28"/>
        <v>2.3282415364496808E-2</v>
      </c>
      <c r="K50" s="2"/>
      <c r="L50" s="6">
        <f t="shared" si="29"/>
        <v>-27588.39</v>
      </c>
      <c r="M50" s="2"/>
      <c r="N50" s="7">
        <f t="shared" si="30"/>
        <v>-0.98980005159171935</v>
      </c>
      <c r="O50" s="11"/>
      <c r="P50" s="6">
        <v>21769.38</v>
      </c>
      <c r="Q50" s="2"/>
      <c r="R50" s="7">
        <f t="shared" si="31"/>
        <v>6.6170564792341915E-2</v>
      </c>
      <c r="S50" s="2"/>
      <c r="T50" s="6">
        <v>173963.41</v>
      </c>
      <c r="U50" s="2"/>
      <c r="V50" s="7">
        <f t="shared" si="32"/>
        <v>2.6711061045760286E-2</v>
      </c>
      <c r="W50" s="2"/>
      <c r="X50" s="6">
        <f t="shared" si="33"/>
        <v>-152194.03</v>
      </c>
      <c r="Y50" s="2"/>
      <c r="Z50" s="7">
        <f t="shared" si="34"/>
        <v>-0.87486230581476876</v>
      </c>
    </row>
    <row r="51" spans="1:26" s="24" customFormat="1" hidden="1" outlineLevel="2" x14ac:dyDescent="0.25">
      <c r="A51" s="26"/>
      <c r="B51" s="11" t="str">
        <f>CONCATENATE("          ", "6005", " - ", "TEMPORARY WAGES-HOURLY")</f>
        <v xml:space="preserve">          6005 - TEMPORARY WAGES-HOURLY</v>
      </c>
      <c r="C51" s="11"/>
      <c r="D51" s="6"/>
      <c r="E51" s="2"/>
      <c r="F51" s="7">
        <f t="shared" si="27"/>
        <v>0</v>
      </c>
      <c r="G51" s="2"/>
      <c r="H51" s="6">
        <v>69289.149999999994</v>
      </c>
      <c r="I51" s="2"/>
      <c r="J51" s="7">
        <f t="shared" si="28"/>
        <v>5.7878115479809235E-2</v>
      </c>
      <c r="K51" s="2"/>
      <c r="L51" s="6">
        <f t="shared" si="29"/>
        <v>-69289.149999999994</v>
      </c>
      <c r="M51" s="2"/>
      <c r="N51" s="7">
        <f t="shared" si="30"/>
        <v>-1</v>
      </c>
      <c r="O51" s="11"/>
      <c r="P51" s="6">
        <v>4868.67</v>
      </c>
      <c r="Q51" s="2"/>
      <c r="R51" s="7">
        <f t="shared" si="31"/>
        <v>1.4798889251211166E-2</v>
      </c>
      <c r="S51" s="2"/>
      <c r="T51" s="6">
        <v>424180.17</v>
      </c>
      <c r="U51" s="2"/>
      <c r="V51" s="7">
        <f t="shared" si="32"/>
        <v>6.5130376642254684E-2</v>
      </c>
      <c r="W51" s="2"/>
      <c r="X51" s="6">
        <f t="shared" si="33"/>
        <v>-419311.5</v>
      </c>
      <c r="Y51" s="2"/>
      <c r="Z51" s="7">
        <f t="shared" si="34"/>
        <v>-0.98852216500361156</v>
      </c>
    </row>
    <row r="52" spans="1:26" s="24" customFormat="1" hidden="1" outlineLevel="2" x14ac:dyDescent="0.25">
      <c r="A52" s="26"/>
      <c r="B52" s="11" t="str">
        <f>CONCATENATE("          ", "6006", " - ", "TEMPORARY PART TIME")</f>
        <v xml:space="preserve">          6006 - TEMPORARY PART TIME</v>
      </c>
      <c r="C52" s="11"/>
      <c r="D52" s="6"/>
      <c r="E52" s="2"/>
      <c r="F52" s="7">
        <f t="shared" si="27"/>
        <v>0</v>
      </c>
      <c r="G52" s="2"/>
      <c r="H52" s="6">
        <v>3930.8</v>
      </c>
      <c r="I52" s="2"/>
      <c r="J52" s="7">
        <f t="shared" si="28"/>
        <v>3.2834476440832968E-3</v>
      </c>
      <c r="K52" s="2"/>
      <c r="L52" s="6">
        <f t="shared" si="29"/>
        <v>-3930.8</v>
      </c>
      <c r="M52" s="2"/>
      <c r="N52" s="7">
        <f t="shared" si="30"/>
        <v>-1</v>
      </c>
      <c r="O52" s="11"/>
      <c r="P52" s="6"/>
      <c r="Q52" s="2"/>
      <c r="R52" s="7">
        <f t="shared" si="31"/>
        <v>0</v>
      </c>
      <c r="S52" s="2"/>
      <c r="T52" s="6">
        <v>25277.69</v>
      </c>
      <c r="U52" s="2"/>
      <c r="V52" s="7">
        <f t="shared" si="32"/>
        <v>3.8812410074383127E-3</v>
      </c>
      <c r="W52" s="2"/>
      <c r="X52" s="6">
        <f t="shared" si="33"/>
        <v>-25277.69</v>
      </c>
      <c r="Y52" s="2"/>
      <c r="Z52" s="7">
        <f t="shared" si="34"/>
        <v>-1</v>
      </c>
    </row>
    <row r="53" spans="1:26" s="24" customFormat="1" hidden="1" outlineLevel="2" x14ac:dyDescent="0.25">
      <c r="A53" s="26"/>
      <c r="B53" s="11" t="str">
        <f>CONCATENATE("          ", "6007", " - ", "STUDENT HOURLY")</f>
        <v xml:space="preserve">          6007 - STUDENT HOURLY</v>
      </c>
      <c r="C53" s="11"/>
      <c r="D53" s="6">
        <v>325</v>
      </c>
      <c r="E53" s="2"/>
      <c r="F53" s="7">
        <f t="shared" si="27"/>
        <v>6.4850907763052742E-3</v>
      </c>
      <c r="G53" s="2"/>
      <c r="H53" s="6">
        <v>123288.44</v>
      </c>
      <c r="I53" s="2"/>
      <c r="J53" s="7">
        <f t="shared" si="28"/>
        <v>0.10298441484194182</v>
      </c>
      <c r="K53" s="2"/>
      <c r="L53" s="6">
        <f t="shared" si="29"/>
        <v>-122963.44</v>
      </c>
      <c r="M53" s="2"/>
      <c r="N53" s="7">
        <f t="shared" si="30"/>
        <v>-0.99736390532640362</v>
      </c>
      <c r="O53" s="11"/>
      <c r="P53" s="6">
        <v>555.71</v>
      </c>
      <c r="Q53" s="2"/>
      <c r="R53" s="7">
        <f t="shared" si="31"/>
        <v>1.6891452379788642E-3</v>
      </c>
      <c r="S53" s="2"/>
      <c r="T53" s="6">
        <v>784575.17</v>
      </c>
      <c r="U53" s="2"/>
      <c r="V53" s="7">
        <f t="shared" si="32"/>
        <v>0.12046691462795397</v>
      </c>
      <c r="W53" s="2"/>
      <c r="X53" s="6">
        <f t="shared" si="33"/>
        <v>-784019.46000000008</v>
      </c>
      <c r="Y53" s="2"/>
      <c r="Z53" s="7">
        <f t="shared" si="34"/>
        <v>-0.99929170585401017</v>
      </c>
    </row>
    <row r="54" spans="1:26" s="24" customFormat="1" hidden="1" outlineLevel="2" x14ac:dyDescent="0.25">
      <c r="A54" s="26"/>
      <c r="B54" s="11" t="str">
        <f>CONCATENATE("          ", "6008", " - ", "STUDENT HOURLY-FICA EXEMPT")</f>
        <v xml:space="preserve">          6008 - STUDENT HOURLY-FICA EXEMPT</v>
      </c>
      <c r="C54" s="11"/>
      <c r="D54" s="6"/>
      <c r="E54" s="2"/>
      <c r="F54" s="7">
        <f t="shared" si="27"/>
        <v>0</v>
      </c>
      <c r="G54" s="2"/>
      <c r="H54" s="6">
        <v>7054.97</v>
      </c>
      <c r="I54" s="2"/>
      <c r="J54" s="7">
        <f t="shared" si="28"/>
        <v>5.8931069058660674E-3</v>
      </c>
      <c r="K54" s="2"/>
      <c r="L54" s="6">
        <f t="shared" si="29"/>
        <v>-7054.97</v>
      </c>
      <c r="M54" s="2"/>
      <c r="N54" s="7">
        <f t="shared" si="30"/>
        <v>-1</v>
      </c>
      <c r="O54" s="11"/>
      <c r="P54" s="6"/>
      <c r="Q54" s="2"/>
      <c r="R54" s="7">
        <f t="shared" si="31"/>
        <v>0</v>
      </c>
      <c r="S54" s="2"/>
      <c r="T54" s="6">
        <v>38784.18</v>
      </c>
      <c r="U54" s="2"/>
      <c r="V54" s="7">
        <f t="shared" si="32"/>
        <v>5.9550833108511442E-3</v>
      </c>
      <c r="W54" s="2"/>
      <c r="X54" s="6">
        <f t="shared" si="33"/>
        <v>-38784.18</v>
      </c>
      <c r="Y54" s="2"/>
      <c r="Z54" s="7">
        <f t="shared" si="34"/>
        <v>-1</v>
      </c>
    </row>
    <row r="55" spans="1:26" s="25" customFormat="1" outlineLevel="1" collapsed="1" x14ac:dyDescent="0.25">
      <c r="A55" s="27"/>
      <c r="B55" s="13" t="str">
        <f>CONCATENATE("     ","Advertising/Promo                                 ")</f>
        <v xml:space="preserve">     Advertising/Promo                                 </v>
      </c>
      <c r="C55" s="13"/>
      <c r="D55" s="1">
        <f>SUM(OSRRefD22_2x_0)</f>
        <v>78.48</v>
      </c>
      <c r="E55" s="1"/>
      <c r="F55" s="5">
        <f t="shared" ref="F55:F64" si="35">IF(D$12=0,0,D55/D$12)</f>
        <v>1.5659997665367323E-3</v>
      </c>
      <c r="G55" s="1"/>
      <c r="H55" s="1">
        <f>SUM(OSRRefH22_2x_0)</f>
        <v>2785.9</v>
      </c>
      <c r="I55" s="1"/>
      <c r="J55" s="5">
        <f t="shared" ref="J55:J64" si="36">IF(H$12=0,0,H55/H$12)</f>
        <v>2.3270979931951908E-3</v>
      </c>
      <c r="K55" s="1"/>
      <c r="L55" s="1">
        <f t="shared" ref="L55:L64" si="37">+D55-H55</f>
        <v>-2707.42</v>
      </c>
      <c r="M55" s="1"/>
      <c r="N55" s="5">
        <f t="shared" ref="N55:N64" si="38">IF(H55=0,0,L55/H55)</f>
        <v>-0.97182957033633655</v>
      </c>
      <c r="O55" s="13"/>
      <c r="P55" s="1">
        <f>SUM(OSRRefP22_2x_0)</f>
        <v>217.83</v>
      </c>
      <c r="Q55" s="1"/>
      <c r="R55" s="5">
        <f t="shared" ref="R55:R64" si="39">IF(P$12=0,0,P55/P$12)</f>
        <v>6.6211964367914196E-4</v>
      </c>
      <c r="S55" s="1"/>
      <c r="T55" s="1">
        <f>SUM(OSRRefT22_2x_0)</f>
        <v>29610.89</v>
      </c>
      <c r="U55" s="1"/>
      <c r="V55" s="5">
        <f t="shared" ref="V55:V64" si="40">IF(T$12=0,0,T55/T$12)</f>
        <v>4.5465784466359495E-3</v>
      </c>
      <c r="W55" s="1"/>
      <c r="X55" s="1">
        <f t="shared" ref="X55:X64" si="41">+P55-T55</f>
        <v>-29393.059999999998</v>
      </c>
      <c r="Y55" s="1"/>
      <c r="Z55" s="5">
        <f t="shared" ref="Z55:Z64" si="42">IF(T55=0,0,X55/T55)</f>
        <v>-0.99264358484327886</v>
      </c>
    </row>
    <row r="56" spans="1:26" s="24" customFormat="1" hidden="1" outlineLevel="2" x14ac:dyDescent="0.25">
      <c r="A56" s="26"/>
      <c r="B56" s="11" t="str">
        <f>CONCATENATE("          ", "6362", " - ", "ADVERTISING EXPENSE")</f>
        <v xml:space="preserve">          6362 - ADVERTISING EXPENSE</v>
      </c>
      <c r="C56" s="11"/>
      <c r="D56" s="6">
        <v>78.48</v>
      </c>
      <c r="E56" s="2"/>
      <c r="F56" s="7">
        <f t="shared" si="35"/>
        <v>1.5659997665367323E-3</v>
      </c>
      <c r="G56" s="2"/>
      <c r="H56" s="6">
        <v>2785.9</v>
      </c>
      <c r="I56" s="2"/>
      <c r="J56" s="7">
        <f t="shared" si="36"/>
        <v>2.3270979931951908E-3</v>
      </c>
      <c r="K56" s="2"/>
      <c r="L56" s="6">
        <f t="shared" si="37"/>
        <v>-2707.42</v>
      </c>
      <c r="M56" s="2"/>
      <c r="N56" s="7">
        <f t="shared" si="38"/>
        <v>-0.97182957033633655</v>
      </c>
      <c r="O56" s="11"/>
      <c r="P56" s="6">
        <v>217.83</v>
      </c>
      <c r="Q56" s="2"/>
      <c r="R56" s="7">
        <f t="shared" si="39"/>
        <v>6.6211964367914196E-4</v>
      </c>
      <c r="S56" s="2"/>
      <c r="T56" s="6">
        <v>29610.89</v>
      </c>
      <c r="U56" s="2"/>
      <c r="V56" s="7">
        <f t="shared" si="40"/>
        <v>4.5465784466359495E-3</v>
      </c>
      <c r="W56" s="2"/>
      <c r="X56" s="6">
        <f t="shared" si="41"/>
        <v>-29393.059999999998</v>
      </c>
      <c r="Y56" s="2"/>
      <c r="Z56" s="7">
        <f t="shared" si="42"/>
        <v>-0.99264358484327886</v>
      </c>
    </row>
    <row r="57" spans="1:26" s="25" customFormat="1" outlineLevel="1" collapsed="1" x14ac:dyDescent="0.25">
      <c r="A57" s="27"/>
      <c r="B57" s="13" t="str">
        <f>CONCATENATE("     ","Bad Debts/Over/Short                              ")</f>
        <v xml:space="preserve">     Bad Debts/Over/Short                              </v>
      </c>
      <c r="C57" s="13"/>
      <c r="D57" s="1">
        <f>SUM(OSRRefD22_3x_0)</f>
        <v>0</v>
      </c>
      <c r="E57" s="1"/>
      <c r="F57" s="5">
        <f t="shared" si="35"/>
        <v>0</v>
      </c>
      <c r="G57" s="1"/>
      <c r="H57" s="1">
        <f>SUM(OSRRefH22_3x_0)</f>
        <v>165.5</v>
      </c>
      <c r="I57" s="1"/>
      <c r="J57" s="5">
        <f t="shared" si="36"/>
        <v>1.3824427218270724E-4</v>
      </c>
      <c r="K57" s="1"/>
      <c r="L57" s="1">
        <f t="shared" si="37"/>
        <v>-165.5</v>
      </c>
      <c r="M57" s="1"/>
      <c r="N57" s="5">
        <f t="shared" si="38"/>
        <v>-1</v>
      </c>
      <c r="O57" s="13"/>
      <c r="P57" s="1">
        <f>SUM(OSRRefP22_3x_0)</f>
        <v>12.1</v>
      </c>
      <c r="Q57" s="1"/>
      <c r="R57" s="5">
        <f t="shared" si="39"/>
        <v>3.6779358621482887E-5</v>
      </c>
      <c r="S57" s="1"/>
      <c r="T57" s="1">
        <f>SUM(OSRRefT22_3x_0)</f>
        <v>-657.2</v>
      </c>
      <c r="U57" s="1"/>
      <c r="V57" s="5">
        <f t="shared" si="40"/>
        <v>-1.0090920452337455E-4</v>
      </c>
      <c r="W57" s="1"/>
      <c r="X57" s="1">
        <f t="shared" si="41"/>
        <v>669.30000000000007</v>
      </c>
      <c r="Y57" s="1"/>
      <c r="Z57" s="5">
        <f t="shared" si="42"/>
        <v>-1.0184114424832624</v>
      </c>
    </row>
    <row r="58" spans="1:26" s="24" customFormat="1" hidden="1" outlineLevel="2" x14ac:dyDescent="0.25">
      <c r="A58" s="26"/>
      <c r="B58" s="11" t="str">
        <f>CONCATENATE("          ", "6272", " - ", "CASH (OVER/SHORT)")</f>
        <v xml:space="preserve">          6272 - CASH (OVER/SHORT)</v>
      </c>
      <c r="C58" s="11"/>
      <c r="D58" s="6"/>
      <c r="E58" s="2"/>
      <c r="F58" s="7">
        <f t="shared" si="35"/>
        <v>0</v>
      </c>
      <c r="G58" s="2"/>
      <c r="H58" s="6">
        <v>165.5</v>
      </c>
      <c r="I58" s="2"/>
      <c r="J58" s="7">
        <f t="shared" si="36"/>
        <v>1.3824427218270724E-4</v>
      </c>
      <c r="K58" s="2"/>
      <c r="L58" s="6">
        <f t="shared" si="37"/>
        <v>-165.5</v>
      </c>
      <c r="M58" s="2"/>
      <c r="N58" s="7">
        <f t="shared" si="38"/>
        <v>-1</v>
      </c>
      <c r="O58" s="11"/>
      <c r="P58" s="6">
        <v>12.1</v>
      </c>
      <c r="Q58" s="2"/>
      <c r="R58" s="7">
        <f t="shared" si="39"/>
        <v>3.6779358621482887E-5</v>
      </c>
      <c r="S58" s="2"/>
      <c r="T58" s="6">
        <v>-657.2</v>
      </c>
      <c r="U58" s="2"/>
      <c r="V58" s="7">
        <f t="shared" si="40"/>
        <v>-1.0090920452337455E-4</v>
      </c>
      <c r="W58" s="2"/>
      <c r="X58" s="6">
        <f t="shared" si="41"/>
        <v>669.30000000000007</v>
      </c>
      <c r="Y58" s="2"/>
      <c r="Z58" s="7">
        <f t="shared" si="42"/>
        <v>-1.0184114424832624</v>
      </c>
    </row>
    <row r="59" spans="1:26" s="25" customFormat="1" outlineLevel="1" collapsed="1" x14ac:dyDescent="0.25">
      <c r="A59" s="27"/>
      <c r="B59" s="13" t="str">
        <f>CONCATENATE("     ","Bank/card Fees                                    ")</f>
        <v xml:space="preserve">     Bank/card Fees                                    </v>
      </c>
      <c r="C59" s="13"/>
      <c r="D59" s="1">
        <f>SUM(OSRRefD22_4x_0)</f>
        <v>1006.81</v>
      </c>
      <c r="E59" s="1"/>
      <c r="F59" s="5">
        <f t="shared" si="35"/>
        <v>2.0090013059975119E-2</v>
      </c>
      <c r="G59" s="1"/>
      <c r="H59" s="1">
        <f>SUM(OSRRefH22_4x_0)</f>
        <v>34777.420000000006</v>
      </c>
      <c r="I59" s="1"/>
      <c r="J59" s="5">
        <f t="shared" si="36"/>
        <v>2.9050024871856962E-2</v>
      </c>
      <c r="K59" s="1"/>
      <c r="L59" s="1">
        <f t="shared" si="37"/>
        <v>-33770.610000000008</v>
      </c>
      <c r="M59" s="1"/>
      <c r="N59" s="5">
        <f t="shared" si="38"/>
        <v>-0.97104989386791785</v>
      </c>
      <c r="O59" s="13"/>
      <c r="P59" s="1">
        <f>SUM(OSRRefP22_4x_0)</f>
        <v>6071.62</v>
      </c>
      <c r="Q59" s="1"/>
      <c r="R59" s="5">
        <f t="shared" si="39"/>
        <v>1.8455395817633714E-2</v>
      </c>
      <c r="S59" s="1"/>
      <c r="T59" s="1">
        <f>SUM(OSRRefT22_4x_0)</f>
        <v>213293.95</v>
      </c>
      <c r="U59" s="1"/>
      <c r="V59" s="5">
        <f t="shared" si="40"/>
        <v>3.2750034729379832E-2</v>
      </c>
      <c r="W59" s="1"/>
      <c r="X59" s="1">
        <f t="shared" si="41"/>
        <v>-207222.33000000002</v>
      </c>
      <c r="Y59" s="1"/>
      <c r="Z59" s="5">
        <f t="shared" si="42"/>
        <v>-0.97153402616436146</v>
      </c>
    </row>
    <row r="60" spans="1:26" s="24" customFormat="1" hidden="1" outlineLevel="2" x14ac:dyDescent="0.25">
      <c r="A60" s="26"/>
      <c r="B60" s="11" t="str">
        <f>CONCATENATE("          ", "6381", " - ", "BANK/CREDIT CARD FEES")</f>
        <v xml:space="preserve">          6381 - BANK/CREDIT CARD FEES</v>
      </c>
      <c r="C60" s="11"/>
      <c r="D60" s="6">
        <v>1006.81</v>
      </c>
      <c r="E60" s="2"/>
      <c r="F60" s="7">
        <f t="shared" si="35"/>
        <v>2.0090013059975119E-2</v>
      </c>
      <c r="G60" s="2"/>
      <c r="H60" s="6">
        <v>34777.420000000006</v>
      </c>
      <c r="I60" s="2"/>
      <c r="J60" s="7">
        <f t="shared" si="36"/>
        <v>2.9050024871856962E-2</v>
      </c>
      <c r="K60" s="2"/>
      <c r="L60" s="6">
        <f t="shared" si="37"/>
        <v>-33770.610000000008</v>
      </c>
      <c r="M60" s="2"/>
      <c r="N60" s="7">
        <f t="shared" si="38"/>
        <v>-0.97104989386791785</v>
      </c>
      <c r="O60" s="11"/>
      <c r="P60" s="6">
        <v>6071.62</v>
      </c>
      <c r="Q60" s="2"/>
      <c r="R60" s="7">
        <f t="shared" si="39"/>
        <v>1.8455395817633714E-2</v>
      </c>
      <c r="S60" s="2"/>
      <c r="T60" s="6">
        <v>213293.95</v>
      </c>
      <c r="U60" s="2"/>
      <c r="V60" s="7">
        <f t="shared" si="40"/>
        <v>3.2750034729379832E-2</v>
      </c>
      <c r="W60" s="2"/>
      <c r="X60" s="6">
        <f t="shared" si="41"/>
        <v>-207222.33000000002</v>
      </c>
      <c r="Y60" s="2"/>
      <c r="Z60" s="7">
        <f t="shared" si="42"/>
        <v>-0.97153402616436146</v>
      </c>
    </row>
    <row r="61" spans="1:26" s="25" customFormat="1" outlineLevel="1" collapsed="1" x14ac:dyDescent="0.25">
      <c r="A61" s="27"/>
      <c r="B61" s="13" t="str">
        <f>CONCATENATE("     ","Depreciation                                      ")</f>
        <v xml:space="preserve">     Depreciation                                      </v>
      </c>
      <c r="C61" s="13"/>
      <c r="D61" s="1">
        <f>SUM(OSRRefD22_5x_0)</f>
        <v>45872.85</v>
      </c>
      <c r="E61" s="1"/>
      <c r="F61" s="5">
        <f t="shared" si="35"/>
        <v>0.91535260436257049</v>
      </c>
      <c r="G61" s="1"/>
      <c r="H61" s="1">
        <f>SUM(OSRRefH22_5x_0)</f>
        <v>49530.42</v>
      </c>
      <c r="I61" s="1"/>
      <c r="J61" s="5">
        <f t="shared" si="36"/>
        <v>4.1373394947455018E-2</v>
      </c>
      <c r="K61" s="1"/>
      <c r="L61" s="1">
        <f t="shared" si="37"/>
        <v>-3657.5699999999997</v>
      </c>
      <c r="M61" s="1"/>
      <c r="N61" s="5">
        <f t="shared" si="38"/>
        <v>-7.3844921969165617E-2</v>
      </c>
      <c r="O61" s="13"/>
      <c r="P61" s="1">
        <f>SUM(OSRRefP22_5x_0)</f>
        <v>369987.6</v>
      </c>
      <c r="Q61" s="1"/>
      <c r="R61" s="5">
        <f t="shared" si="39"/>
        <v>1.1246203823059306</v>
      </c>
      <c r="S61" s="1"/>
      <c r="T61" s="1">
        <f>SUM(OSRRefT22_5x_0)</f>
        <v>387988.11</v>
      </c>
      <c r="U61" s="1"/>
      <c r="V61" s="5">
        <f t="shared" si="40"/>
        <v>5.9573298150680971E-2</v>
      </c>
      <c r="W61" s="1"/>
      <c r="X61" s="1">
        <f t="shared" si="41"/>
        <v>-18000.510000000009</v>
      </c>
      <c r="Y61" s="1"/>
      <c r="Z61" s="5">
        <f t="shared" si="42"/>
        <v>-4.6394488738327598E-2</v>
      </c>
    </row>
    <row r="62" spans="1:26" s="24" customFormat="1" hidden="1" outlineLevel="2" x14ac:dyDescent="0.25">
      <c r="A62" s="26"/>
      <c r="B62" s="11" t="str">
        <f>CONCATENATE("          ", "6321", " - ", "BUILDING DEPRECIATION")</f>
        <v xml:space="preserve">          6321 - BUILDING DEPRECIATION</v>
      </c>
      <c r="C62" s="11"/>
      <c r="D62" s="6">
        <v>28664</v>
      </c>
      <c r="E62" s="2"/>
      <c r="F62" s="7">
        <f t="shared" si="35"/>
        <v>0.57196505234465966</v>
      </c>
      <c r="G62" s="2"/>
      <c r="H62" s="6">
        <v>29123.47</v>
      </c>
      <c r="I62" s="2"/>
      <c r="J62" s="7">
        <f t="shared" si="36"/>
        <v>2.4327207937068936E-2</v>
      </c>
      <c r="K62" s="2"/>
      <c r="L62" s="6">
        <f t="shared" si="37"/>
        <v>-459.47000000000116</v>
      </c>
      <c r="M62" s="2"/>
      <c r="N62" s="7">
        <f t="shared" si="38"/>
        <v>-1.5776622771943079E-2</v>
      </c>
      <c r="O62" s="11"/>
      <c r="P62" s="6">
        <v>230096.19</v>
      </c>
      <c r="Q62" s="2"/>
      <c r="R62" s="7">
        <f t="shared" si="39"/>
        <v>0.69940415615263352</v>
      </c>
      <c r="S62" s="2"/>
      <c r="T62" s="6">
        <v>232987.76</v>
      </c>
      <c r="U62" s="2"/>
      <c r="V62" s="7">
        <f t="shared" si="40"/>
        <v>3.5773903720759136E-2</v>
      </c>
      <c r="W62" s="2"/>
      <c r="X62" s="6">
        <f t="shared" si="41"/>
        <v>-2891.570000000007</v>
      </c>
      <c r="Y62" s="2"/>
      <c r="Z62" s="7">
        <f t="shared" si="42"/>
        <v>-1.2410823641550986E-2</v>
      </c>
    </row>
    <row r="63" spans="1:26" s="24" customFormat="1" hidden="1" outlineLevel="2" x14ac:dyDescent="0.25">
      <c r="A63" s="26"/>
      <c r="B63" s="11" t="str">
        <f>CONCATENATE("          ", "6322", " - ", "EQUIPMENT DEPRECIATION EXPENSE")</f>
        <v xml:space="preserve">          6322 - EQUIPMENT DEPRECIATION EXPENSE</v>
      </c>
      <c r="C63" s="11"/>
      <c r="D63" s="6">
        <v>17208.849999999999</v>
      </c>
      <c r="E63" s="2"/>
      <c r="F63" s="7">
        <f t="shared" si="35"/>
        <v>0.34338755201791082</v>
      </c>
      <c r="G63" s="2"/>
      <c r="H63" s="6">
        <v>19982.7</v>
      </c>
      <c r="I63" s="2"/>
      <c r="J63" s="7">
        <f t="shared" si="36"/>
        <v>1.6691805545289328E-2</v>
      </c>
      <c r="K63" s="2"/>
      <c r="L63" s="6">
        <f t="shared" si="37"/>
        <v>-2773.8500000000022</v>
      </c>
      <c r="M63" s="2"/>
      <c r="N63" s="7">
        <f t="shared" si="38"/>
        <v>-0.13881257287553744</v>
      </c>
      <c r="O63" s="11"/>
      <c r="P63" s="6">
        <v>139891.41</v>
      </c>
      <c r="Q63" s="2"/>
      <c r="R63" s="7">
        <f t="shared" si="39"/>
        <v>0.42521622615329735</v>
      </c>
      <c r="S63" s="2"/>
      <c r="T63" s="6">
        <v>151606.35</v>
      </c>
      <c r="U63" s="2"/>
      <c r="V63" s="7">
        <f t="shared" si="40"/>
        <v>2.3278265640889081E-2</v>
      </c>
      <c r="W63" s="2"/>
      <c r="X63" s="6">
        <f t="shared" si="41"/>
        <v>-11714.940000000002</v>
      </c>
      <c r="Y63" s="2"/>
      <c r="Z63" s="7">
        <f t="shared" si="42"/>
        <v>-7.7272093154409444E-2</v>
      </c>
    </row>
    <row r="64" spans="1:26" s="24" customFormat="1" hidden="1" outlineLevel="2" x14ac:dyDescent="0.25">
      <c r="A64" s="26"/>
      <c r="B64" s="11" t="str">
        <f>CONCATENATE("          ", "6326", " - ", "VEHICLES DEPRECIATION EXPENSE")</f>
        <v xml:space="preserve">          6326 - VEHICLES DEPRECIATION EXPENSE</v>
      </c>
      <c r="C64" s="11"/>
      <c r="D64" s="6"/>
      <c r="E64" s="2"/>
      <c r="F64" s="7">
        <f t="shared" si="35"/>
        <v>0</v>
      </c>
      <c r="G64" s="2"/>
      <c r="H64" s="6">
        <v>424.25</v>
      </c>
      <c r="I64" s="2"/>
      <c r="J64" s="7">
        <f t="shared" si="36"/>
        <v>3.543814650967586E-4</v>
      </c>
      <c r="K64" s="2"/>
      <c r="L64" s="6">
        <f t="shared" si="37"/>
        <v>-424.25</v>
      </c>
      <c r="M64" s="2"/>
      <c r="N64" s="7">
        <f t="shared" si="38"/>
        <v>-1</v>
      </c>
      <c r="O64" s="11"/>
      <c r="P64" s="6"/>
      <c r="Q64" s="2"/>
      <c r="R64" s="7">
        <f t="shared" si="39"/>
        <v>0</v>
      </c>
      <c r="S64" s="2"/>
      <c r="T64" s="6">
        <v>3394</v>
      </c>
      <c r="U64" s="2"/>
      <c r="V64" s="7">
        <f t="shared" si="40"/>
        <v>5.2112878903276506E-4</v>
      </c>
      <c r="W64" s="2"/>
      <c r="X64" s="6">
        <f t="shared" si="41"/>
        <v>-3394</v>
      </c>
      <c r="Y64" s="2"/>
      <c r="Z64" s="7">
        <f t="shared" si="42"/>
        <v>-1</v>
      </c>
    </row>
    <row r="65" spans="1:26" s="25" customFormat="1" outlineLevel="1" collapsed="1" x14ac:dyDescent="0.25">
      <c r="A65" s="27"/>
      <c r="B65" s="13" t="str">
        <f>CONCATENATE("     ","Discounts and Markdowns                           ")</f>
        <v xml:space="preserve">     Discounts and Markdowns                           </v>
      </c>
      <c r="C65" s="13"/>
      <c r="D65" s="1">
        <f>SUM(OSRRefD22_6x_0)</f>
        <v>0</v>
      </c>
      <c r="E65" s="1"/>
      <c r="F65" s="5">
        <f t="shared" ref="F65:F75" si="43">IF(D$12=0,0,D65/D$12)</f>
        <v>0</v>
      </c>
      <c r="G65" s="1"/>
      <c r="H65" s="1">
        <f>SUM(OSRRefH22_6x_0)</f>
        <v>11.81</v>
      </c>
      <c r="I65" s="1"/>
      <c r="J65" s="5">
        <f t="shared" ref="J65:J75" si="44">IF(H$12=0,0,H65/H$12)</f>
        <v>9.8650444379321595E-6</v>
      </c>
      <c r="K65" s="1"/>
      <c r="L65" s="1">
        <f t="shared" ref="L65:L75" si="45">+D65-H65</f>
        <v>-11.81</v>
      </c>
      <c r="M65" s="1"/>
      <c r="N65" s="5">
        <f t="shared" ref="N65:N75" si="46">IF(H65=0,0,L65/H65)</f>
        <v>-1</v>
      </c>
      <c r="O65" s="13"/>
      <c r="P65" s="1">
        <f>SUM(OSRRefP22_6x_0)</f>
        <v>0</v>
      </c>
      <c r="Q65" s="1"/>
      <c r="R65" s="5">
        <f t="shared" ref="R65:R75" si="47">IF(P$12=0,0,P65/P$12)</f>
        <v>0</v>
      </c>
      <c r="S65" s="1"/>
      <c r="T65" s="1">
        <f>SUM(OSRRefT22_6x_0)</f>
        <v>120.05</v>
      </c>
      <c r="U65" s="1"/>
      <c r="V65" s="5">
        <f t="shared" ref="V65:V75" si="48">IF(T$12=0,0,T65/T$12)</f>
        <v>1.8432973224332187E-5</v>
      </c>
      <c r="W65" s="1"/>
      <c r="X65" s="1">
        <f t="shared" ref="X65:X75" si="49">+P65-T65</f>
        <v>-120.05</v>
      </c>
      <c r="Y65" s="1"/>
      <c r="Z65" s="5">
        <f t="shared" ref="Z65:Z75" si="50">IF(T65=0,0,X65/T65)</f>
        <v>-1</v>
      </c>
    </row>
    <row r="66" spans="1:26" s="24" customFormat="1" hidden="1" outlineLevel="2" x14ac:dyDescent="0.25">
      <c r="A66" s="26"/>
      <c r="B66" s="11" t="str">
        <f>CONCATENATE("          ", "6382", " - ", "DISCOUNTS/MARK DOWNS")</f>
        <v xml:space="preserve">          6382 - DISCOUNTS/MARK DOWNS</v>
      </c>
      <c r="C66" s="11"/>
      <c r="D66" s="6"/>
      <c r="E66" s="2"/>
      <c r="F66" s="7">
        <f t="shared" si="43"/>
        <v>0</v>
      </c>
      <c r="G66" s="2"/>
      <c r="H66" s="6">
        <v>11.81</v>
      </c>
      <c r="I66" s="2"/>
      <c r="J66" s="7">
        <f t="shared" si="44"/>
        <v>9.8650444379321595E-6</v>
      </c>
      <c r="K66" s="2"/>
      <c r="L66" s="6">
        <f t="shared" si="45"/>
        <v>-11.81</v>
      </c>
      <c r="M66" s="2"/>
      <c r="N66" s="7">
        <f t="shared" si="46"/>
        <v>-1</v>
      </c>
      <c r="O66" s="11"/>
      <c r="P66" s="6"/>
      <c r="Q66" s="2"/>
      <c r="R66" s="7">
        <f t="shared" si="47"/>
        <v>0</v>
      </c>
      <c r="S66" s="2"/>
      <c r="T66" s="6">
        <v>120.05</v>
      </c>
      <c r="U66" s="2"/>
      <c r="V66" s="7">
        <f t="shared" si="48"/>
        <v>1.8432973224332187E-5</v>
      </c>
      <c r="W66" s="2"/>
      <c r="X66" s="6">
        <f t="shared" si="49"/>
        <v>-120.05</v>
      </c>
      <c r="Y66" s="2"/>
      <c r="Z66" s="7">
        <f t="shared" si="50"/>
        <v>-1</v>
      </c>
    </row>
    <row r="67" spans="1:26" s="25" customFormat="1" outlineLevel="1" collapsed="1" x14ac:dyDescent="0.25">
      <c r="A67" s="27"/>
      <c r="B67" s="13" t="str">
        <f>CONCATENATE("     ","Donations                                         ")</f>
        <v xml:space="preserve">     Donations                                         </v>
      </c>
      <c r="C67" s="13"/>
      <c r="D67" s="1">
        <f>SUM(OSRRefD22_7x_0)</f>
        <v>0</v>
      </c>
      <c r="E67" s="1"/>
      <c r="F67" s="5">
        <f t="shared" si="43"/>
        <v>0</v>
      </c>
      <c r="G67" s="1"/>
      <c r="H67" s="1">
        <f>SUM(OSRRefH22_7x_0)</f>
        <v>0</v>
      </c>
      <c r="I67" s="1"/>
      <c r="J67" s="5">
        <f t="shared" si="44"/>
        <v>0</v>
      </c>
      <c r="K67" s="1"/>
      <c r="L67" s="1">
        <f t="shared" si="45"/>
        <v>0</v>
      </c>
      <c r="M67" s="1"/>
      <c r="N67" s="5">
        <f t="shared" si="46"/>
        <v>0</v>
      </c>
      <c r="O67" s="13"/>
      <c r="P67" s="1">
        <f>SUM(OSRRefP22_7x_0)</f>
        <v>0</v>
      </c>
      <c r="Q67" s="1"/>
      <c r="R67" s="5">
        <f t="shared" si="47"/>
        <v>0</v>
      </c>
      <c r="S67" s="1"/>
      <c r="T67" s="1">
        <f>SUM(OSRRefT22_7x_0)</f>
        <v>236.68</v>
      </c>
      <c r="U67" s="1"/>
      <c r="V67" s="5">
        <f t="shared" si="48"/>
        <v>3.6340825512161119E-5</v>
      </c>
      <c r="W67" s="1"/>
      <c r="X67" s="1">
        <f t="shared" si="49"/>
        <v>-236.68</v>
      </c>
      <c r="Y67" s="1"/>
      <c r="Z67" s="5">
        <f t="shared" si="50"/>
        <v>-1</v>
      </c>
    </row>
    <row r="68" spans="1:26" s="24" customFormat="1" hidden="1" outlineLevel="2" x14ac:dyDescent="0.25">
      <c r="A68" s="26"/>
      <c r="B68" s="11" t="str">
        <f>CONCATENATE("          ", "6399", " - ", "DONATION-ON CAMPUS")</f>
        <v xml:space="preserve">          6399 - DONATION-ON CAMPUS</v>
      </c>
      <c r="C68" s="11"/>
      <c r="D68" s="6"/>
      <c r="E68" s="2"/>
      <c r="F68" s="7">
        <f t="shared" si="43"/>
        <v>0</v>
      </c>
      <c r="G68" s="2"/>
      <c r="H68" s="6"/>
      <c r="I68" s="2"/>
      <c r="J68" s="7">
        <f t="shared" si="44"/>
        <v>0</v>
      </c>
      <c r="K68" s="2"/>
      <c r="L68" s="6">
        <f t="shared" si="45"/>
        <v>0</v>
      </c>
      <c r="M68" s="2"/>
      <c r="N68" s="7">
        <f t="shared" si="46"/>
        <v>0</v>
      </c>
      <c r="O68" s="11"/>
      <c r="P68" s="6"/>
      <c r="Q68" s="2"/>
      <c r="R68" s="7">
        <f t="shared" si="47"/>
        <v>0</v>
      </c>
      <c r="S68" s="2"/>
      <c r="T68" s="6">
        <v>236.68</v>
      </c>
      <c r="U68" s="2"/>
      <c r="V68" s="7">
        <f t="shared" si="48"/>
        <v>3.6340825512161119E-5</v>
      </c>
      <c r="W68" s="2"/>
      <c r="X68" s="6">
        <f t="shared" si="49"/>
        <v>-236.68</v>
      </c>
      <c r="Y68" s="2"/>
      <c r="Z68" s="7">
        <f t="shared" si="50"/>
        <v>-1</v>
      </c>
    </row>
    <row r="69" spans="1:26" s="25" customFormat="1" outlineLevel="1" collapsed="1" x14ac:dyDescent="0.25">
      <c r="A69" s="27"/>
      <c r="B69" s="13" t="str">
        <f>CONCATENATE("     ","Employees' Appreciation                           ")</f>
        <v xml:space="preserve">     Employees' Appreciation                           </v>
      </c>
      <c r="C69" s="13"/>
      <c r="D69" s="1">
        <f>SUM(OSRRefD22_8x_0)</f>
        <v>0</v>
      </c>
      <c r="E69" s="1"/>
      <c r="F69" s="5">
        <f t="shared" si="43"/>
        <v>0</v>
      </c>
      <c r="G69" s="1"/>
      <c r="H69" s="1">
        <f>SUM(OSRRefH22_8x_0)</f>
        <v>113.93</v>
      </c>
      <c r="I69" s="1"/>
      <c r="J69" s="5">
        <f t="shared" si="44"/>
        <v>9.5167189908011089E-5</v>
      </c>
      <c r="K69" s="1"/>
      <c r="L69" s="1">
        <f t="shared" si="45"/>
        <v>-113.93</v>
      </c>
      <c r="M69" s="1"/>
      <c r="N69" s="5">
        <f t="shared" si="46"/>
        <v>-1</v>
      </c>
      <c r="O69" s="13"/>
      <c r="P69" s="1">
        <f>SUM(OSRRefP22_8x_0)</f>
        <v>10</v>
      </c>
      <c r="Q69" s="1"/>
      <c r="R69" s="5">
        <f t="shared" si="47"/>
        <v>3.0396164149985859E-5</v>
      </c>
      <c r="S69" s="1"/>
      <c r="T69" s="1">
        <f>SUM(OSRRefT22_8x_0)</f>
        <v>1623.41</v>
      </c>
      <c r="U69" s="1"/>
      <c r="V69" s="5">
        <f t="shared" si="48"/>
        <v>2.4926508173355366E-4</v>
      </c>
      <c r="W69" s="1"/>
      <c r="X69" s="1">
        <f t="shared" si="49"/>
        <v>-1613.41</v>
      </c>
      <c r="Y69" s="1"/>
      <c r="Z69" s="5">
        <f t="shared" si="50"/>
        <v>-0.99384012664699617</v>
      </c>
    </row>
    <row r="70" spans="1:26" s="24" customFormat="1" hidden="1" outlineLevel="2" x14ac:dyDescent="0.25">
      <c r="A70" s="26"/>
      <c r="B70" s="11" t="str">
        <f>CONCATENATE("          ", "6277", " - ", "EMPLOYEE APPRECIATION")</f>
        <v xml:space="preserve">          6277 - EMPLOYEE APPRECIATION</v>
      </c>
      <c r="C70" s="11"/>
      <c r="D70" s="6"/>
      <c r="E70" s="2"/>
      <c r="F70" s="7">
        <f t="shared" si="43"/>
        <v>0</v>
      </c>
      <c r="G70" s="2"/>
      <c r="H70" s="6">
        <v>113.93</v>
      </c>
      <c r="I70" s="2"/>
      <c r="J70" s="7">
        <f t="shared" si="44"/>
        <v>9.5167189908011089E-5</v>
      </c>
      <c r="K70" s="2"/>
      <c r="L70" s="6">
        <f t="shared" si="45"/>
        <v>-113.93</v>
      </c>
      <c r="M70" s="2"/>
      <c r="N70" s="7">
        <f t="shared" si="46"/>
        <v>-1</v>
      </c>
      <c r="O70" s="11"/>
      <c r="P70" s="6">
        <v>10</v>
      </c>
      <c r="Q70" s="2"/>
      <c r="R70" s="7">
        <f t="shared" si="47"/>
        <v>3.0396164149985859E-5</v>
      </c>
      <c r="S70" s="2"/>
      <c r="T70" s="6">
        <v>1623.41</v>
      </c>
      <c r="U70" s="2"/>
      <c r="V70" s="7">
        <f t="shared" si="48"/>
        <v>2.4926508173355366E-4</v>
      </c>
      <c r="W70" s="2"/>
      <c r="X70" s="6">
        <f t="shared" si="49"/>
        <v>-1613.41</v>
      </c>
      <c r="Y70" s="2"/>
      <c r="Z70" s="7">
        <f t="shared" si="50"/>
        <v>-0.99384012664699617</v>
      </c>
    </row>
    <row r="71" spans="1:26" s="25" customFormat="1" outlineLevel="1" collapsed="1" x14ac:dyDescent="0.25">
      <c r="A71" s="27"/>
      <c r="B71" s="13" t="str">
        <f>CONCATENATE("     ","Equipment Rental                                  ")</f>
        <v xml:space="preserve">     Equipment Rental                                  </v>
      </c>
      <c r="C71" s="13"/>
      <c r="D71" s="1">
        <f>SUM(OSRRefD22_9x_0)</f>
        <v>431.95</v>
      </c>
      <c r="E71" s="1"/>
      <c r="F71" s="5">
        <f t="shared" si="43"/>
        <v>8.6191844948463481E-3</v>
      </c>
      <c r="G71" s="1"/>
      <c r="H71" s="1">
        <f>SUM(OSRRefH22_9x_0)</f>
        <v>2202.7399999999998</v>
      </c>
      <c r="I71" s="1"/>
      <c r="J71" s="5">
        <f t="shared" si="44"/>
        <v>1.8399769674183474E-3</v>
      </c>
      <c r="K71" s="1"/>
      <c r="L71" s="1">
        <f t="shared" si="45"/>
        <v>-1770.7899999999997</v>
      </c>
      <c r="M71" s="1"/>
      <c r="N71" s="5">
        <f t="shared" si="46"/>
        <v>-0.80390332041003476</v>
      </c>
      <c r="O71" s="13"/>
      <c r="P71" s="1">
        <f>SUM(OSRRefP22_9x_0)</f>
        <v>5161.38</v>
      </c>
      <c r="Q71" s="1"/>
      <c r="R71" s="5">
        <f t="shared" si="47"/>
        <v>1.5688615372045401E-2</v>
      </c>
      <c r="S71" s="1"/>
      <c r="T71" s="1">
        <f>SUM(OSRRefT22_9x_0)</f>
        <v>22536.6</v>
      </c>
      <c r="U71" s="1"/>
      <c r="V71" s="5">
        <f t="shared" si="48"/>
        <v>3.4603627185962908E-3</v>
      </c>
      <c r="W71" s="1"/>
      <c r="X71" s="1">
        <f t="shared" si="49"/>
        <v>-17375.219999999998</v>
      </c>
      <c r="Y71" s="1"/>
      <c r="Z71" s="5">
        <f t="shared" si="50"/>
        <v>-0.77097787598839218</v>
      </c>
    </row>
    <row r="72" spans="1:26" s="24" customFormat="1" hidden="1" outlineLevel="2" x14ac:dyDescent="0.25">
      <c r="A72" s="26"/>
      <c r="B72" s="11" t="str">
        <f>CONCATENATE("          ", "6351", " - ", "EQUIPMENT RENTAL")</f>
        <v xml:space="preserve">          6351 - EQUIPMENT RENTAL</v>
      </c>
      <c r="C72" s="11"/>
      <c r="D72" s="6">
        <v>431.95</v>
      </c>
      <c r="E72" s="2"/>
      <c r="F72" s="7">
        <f t="shared" si="43"/>
        <v>8.6191844948463481E-3</v>
      </c>
      <c r="G72" s="2"/>
      <c r="H72" s="6">
        <v>2202.7399999999998</v>
      </c>
      <c r="I72" s="2"/>
      <c r="J72" s="7">
        <f t="shared" si="44"/>
        <v>1.8399769674183474E-3</v>
      </c>
      <c r="K72" s="2"/>
      <c r="L72" s="6">
        <f t="shared" si="45"/>
        <v>-1770.7899999999997</v>
      </c>
      <c r="M72" s="2"/>
      <c r="N72" s="7">
        <f t="shared" si="46"/>
        <v>-0.80390332041003476</v>
      </c>
      <c r="O72" s="11"/>
      <c r="P72" s="6">
        <v>5161.38</v>
      </c>
      <c r="Q72" s="2"/>
      <c r="R72" s="7">
        <f t="shared" si="47"/>
        <v>1.5688615372045401E-2</v>
      </c>
      <c r="S72" s="2"/>
      <c r="T72" s="6">
        <v>22536.6</v>
      </c>
      <c r="U72" s="2"/>
      <c r="V72" s="7">
        <f t="shared" si="48"/>
        <v>3.4603627185962908E-3</v>
      </c>
      <c r="W72" s="2"/>
      <c r="X72" s="6">
        <f t="shared" si="49"/>
        <v>-17375.219999999998</v>
      </c>
      <c r="Y72" s="2"/>
      <c r="Z72" s="7">
        <f t="shared" si="50"/>
        <v>-0.77097787598839218</v>
      </c>
    </row>
    <row r="73" spans="1:26" s="25" customFormat="1" outlineLevel="1" collapsed="1" x14ac:dyDescent="0.25">
      <c r="A73" s="27"/>
      <c r="B73" s="13" t="str">
        <f>CONCATENATE("     ","Freight out/Postage                               ")</f>
        <v xml:space="preserve">     Freight out/Postage                               </v>
      </c>
      <c r="C73" s="13"/>
      <c r="D73" s="1">
        <f>SUM(OSRRefD22_10x_0)</f>
        <v>90.46</v>
      </c>
      <c r="E73" s="1"/>
      <c r="F73" s="5">
        <f t="shared" si="43"/>
        <v>1.8050501896140771E-3</v>
      </c>
      <c r="G73" s="1"/>
      <c r="H73" s="1">
        <f>SUM(OSRRefH22_10x_0)</f>
        <v>20.83</v>
      </c>
      <c r="I73" s="1"/>
      <c r="J73" s="5">
        <f t="shared" si="44"/>
        <v>1.7399566100095417E-5</v>
      </c>
      <c r="K73" s="1"/>
      <c r="L73" s="1">
        <f t="shared" si="45"/>
        <v>69.63</v>
      </c>
      <c r="M73" s="1"/>
      <c r="N73" s="5">
        <f t="shared" si="46"/>
        <v>3.342774843975036</v>
      </c>
      <c r="O73" s="13"/>
      <c r="P73" s="1">
        <f>SUM(OSRRefP22_10x_0)</f>
        <v>202.48</v>
      </c>
      <c r="Q73" s="1"/>
      <c r="R73" s="5">
        <f t="shared" si="47"/>
        <v>6.1546153170891364E-4</v>
      </c>
      <c r="S73" s="1"/>
      <c r="T73" s="1">
        <f>SUM(OSRRefT22_10x_0)</f>
        <v>254.46</v>
      </c>
      <c r="U73" s="1"/>
      <c r="V73" s="5">
        <f t="shared" si="48"/>
        <v>3.9070840205444136E-5</v>
      </c>
      <c r="W73" s="1"/>
      <c r="X73" s="1">
        <f t="shared" si="49"/>
        <v>-51.980000000000018</v>
      </c>
      <c r="Y73" s="1"/>
      <c r="Z73" s="5">
        <f t="shared" si="50"/>
        <v>-0.20427572113495251</v>
      </c>
    </row>
    <row r="74" spans="1:26" s="24" customFormat="1" hidden="1" outlineLevel="2" x14ac:dyDescent="0.25">
      <c r="A74" s="26"/>
      <c r="B74" s="11" t="str">
        <f>CONCATENATE("          ", "6305", " - ", "FREIGHT OUT")</f>
        <v xml:space="preserve">          6305 - FREIGHT OUT</v>
      </c>
      <c r="C74" s="11"/>
      <c r="D74" s="6">
        <v>90.46</v>
      </c>
      <c r="E74" s="2"/>
      <c r="F74" s="7">
        <f t="shared" si="43"/>
        <v>1.8050501896140771E-3</v>
      </c>
      <c r="G74" s="2"/>
      <c r="H74" s="6">
        <v>20.83</v>
      </c>
      <c r="I74" s="2"/>
      <c r="J74" s="7">
        <f t="shared" si="44"/>
        <v>1.7399566100095417E-5</v>
      </c>
      <c r="K74" s="2"/>
      <c r="L74" s="6">
        <f t="shared" si="45"/>
        <v>69.63</v>
      </c>
      <c r="M74" s="2"/>
      <c r="N74" s="7">
        <f t="shared" si="46"/>
        <v>3.342774843975036</v>
      </c>
      <c r="O74" s="11"/>
      <c r="P74" s="6">
        <v>207.89</v>
      </c>
      <c r="Q74" s="2"/>
      <c r="R74" s="7">
        <f t="shared" si="47"/>
        <v>6.3190585651405596E-4</v>
      </c>
      <c r="S74" s="2"/>
      <c r="T74" s="6">
        <v>254.46</v>
      </c>
      <c r="U74" s="2"/>
      <c r="V74" s="7">
        <f t="shared" si="48"/>
        <v>3.9070840205444136E-5</v>
      </c>
      <c r="W74" s="2"/>
      <c r="X74" s="6">
        <f t="shared" si="49"/>
        <v>-46.570000000000022</v>
      </c>
      <c r="Y74" s="2"/>
      <c r="Z74" s="7">
        <f t="shared" si="50"/>
        <v>-0.18301501218266139</v>
      </c>
    </row>
    <row r="75" spans="1:26" s="24" customFormat="1" hidden="1" outlineLevel="2" x14ac:dyDescent="0.25">
      <c r="A75" s="26"/>
      <c r="B75" s="11" t="str">
        <f>CONCATENATE("          ", "6307", " - ", "POSTAGE")</f>
        <v xml:space="preserve">          6307 - POSTAGE</v>
      </c>
      <c r="C75" s="11"/>
      <c r="D75" s="6"/>
      <c r="E75" s="2"/>
      <c r="F75" s="7">
        <f t="shared" si="43"/>
        <v>0</v>
      </c>
      <c r="G75" s="2"/>
      <c r="H75" s="6"/>
      <c r="I75" s="2"/>
      <c r="J75" s="7">
        <f t="shared" si="44"/>
        <v>0</v>
      </c>
      <c r="K75" s="2"/>
      <c r="L75" s="6">
        <f t="shared" si="45"/>
        <v>0</v>
      </c>
      <c r="M75" s="2"/>
      <c r="N75" s="7">
        <f t="shared" si="46"/>
        <v>0</v>
      </c>
      <c r="O75" s="11"/>
      <c r="P75" s="6">
        <v>-5.41</v>
      </c>
      <c r="Q75" s="2"/>
      <c r="R75" s="7">
        <f t="shared" si="47"/>
        <v>-1.644432480514235E-5</v>
      </c>
      <c r="S75" s="2"/>
      <c r="T75" s="6"/>
      <c r="U75" s="2"/>
      <c r="V75" s="7">
        <f t="shared" si="48"/>
        <v>0</v>
      </c>
      <c r="W75" s="2"/>
      <c r="X75" s="6">
        <f t="shared" si="49"/>
        <v>-5.41</v>
      </c>
      <c r="Y75" s="2"/>
      <c r="Z75" s="7">
        <f t="shared" si="50"/>
        <v>0</v>
      </c>
    </row>
    <row r="76" spans="1:26" s="25" customFormat="1" outlineLevel="1" collapsed="1" x14ac:dyDescent="0.25">
      <c r="A76" s="27"/>
      <c r="B76" s="13" t="str">
        <f>CONCATENATE("     ","General                                           ")</f>
        <v xml:space="preserve">     General                                           </v>
      </c>
      <c r="C76" s="13"/>
      <c r="D76" s="1">
        <f>SUM(OSRRefD22_11x_0)</f>
        <v>1893.03</v>
      </c>
      <c r="E76" s="1"/>
      <c r="F76" s="5">
        <f t="shared" ref="F76:F78" si="51">IF(D$12=0,0,D76/D$12)</f>
        <v>3.7773758130058996E-2</v>
      </c>
      <c r="G76" s="1"/>
      <c r="H76" s="1">
        <f>SUM(OSRRefH22_11x_0)</f>
        <v>7431.12</v>
      </c>
      <c r="I76" s="1"/>
      <c r="J76" s="5">
        <f t="shared" ref="J76:J78" si="52">IF(H$12=0,0,H76/H$12)</f>
        <v>6.2073098241834405E-3</v>
      </c>
      <c r="K76" s="1"/>
      <c r="L76" s="1">
        <f t="shared" ref="L76:L78" si="53">+D76-H76</f>
        <v>-5538.09</v>
      </c>
      <c r="M76" s="1"/>
      <c r="N76" s="5">
        <f t="shared" ref="N76:N78" si="54">IF(H76=0,0,L76/H76)</f>
        <v>-0.74525643509995809</v>
      </c>
      <c r="O76" s="13"/>
      <c r="P76" s="1">
        <f>SUM(OSRRefP22_11x_0)</f>
        <v>9758.9699999999993</v>
      </c>
      <c r="Q76" s="1"/>
      <c r="R76" s="5">
        <f t="shared" ref="R76:R78" si="55">IF(P$12=0,0,P76/P$12)</f>
        <v>2.9663525405478747E-2</v>
      </c>
      <c r="S76" s="1"/>
      <c r="T76" s="1">
        <f>SUM(OSRRefT22_11x_0)</f>
        <v>93010.559999999998</v>
      </c>
      <c r="U76" s="1"/>
      <c r="V76" s="5">
        <f t="shared" ref="V76:V78" si="56">IF(T$12=0,0,T76/T$12)</f>
        <v>1.4281225839734629E-2</v>
      </c>
      <c r="W76" s="1"/>
      <c r="X76" s="1">
        <f t="shared" ref="X76:X78" si="57">+P76-T76</f>
        <v>-83251.59</v>
      </c>
      <c r="Y76" s="1"/>
      <c r="Z76" s="5">
        <f t="shared" ref="Z76:Z78" si="58">IF(T76=0,0,X76/T76)</f>
        <v>-0.89507675257519148</v>
      </c>
    </row>
    <row r="77" spans="1:26" s="24" customFormat="1" hidden="1" outlineLevel="2" x14ac:dyDescent="0.25">
      <c r="A77" s="26"/>
      <c r="B77" s="11" t="str">
        <f>CONCATENATE("          ", "6269", " - ", "ENTERTAINMENT")</f>
        <v xml:space="preserve">          6269 - ENTERTAINMENT</v>
      </c>
      <c r="C77" s="11"/>
      <c r="D77" s="6"/>
      <c r="E77" s="2"/>
      <c r="F77" s="7">
        <f t="shared" si="51"/>
        <v>0</v>
      </c>
      <c r="G77" s="2"/>
      <c r="H77" s="6">
        <v>2700</v>
      </c>
      <c r="I77" s="2"/>
      <c r="J77" s="7">
        <f t="shared" si="52"/>
        <v>2.2553446217118403E-3</v>
      </c>
      <c r="K77" s="2"/>
      <c r="L77" s="6">
        <f t="shared" si="53"/>
        <v>-2700</v>
      </c>
      <c r="M77" s="2"/>
      <c r="N77" s="7">
        <f t="shared" si="54"/>
        <v>-1</v>
      </c>
      <c r="O77" s="11"/>
      <c r="P77" s="6"/>
      <c r="Q77" s="2"/>
      <c r="R77" s="7">
        <f t="shared" si="55"/>
        <v>0</v>
      </c>
      <c r="S77" s="2"/>
      <c r="T77" s="6">
        <v>10050</v>
      </c>
      <c r="U77" s="2"/>
      <c r="V77" s="7">
        <f t="shared" si="56"/>
        <v>1.5431185414788711E-3</v>
      </c>
      <c r="W77" s="2"/>
      <c r="X77" s="6">
        <f t="shared" si="57"/>
        <v>-10050</v>
      </c>
      <c r="Y77" s="2"/>
      <c r="Z77" s="7">
        <f t="shared" si="58"/>
        <v>-1</v>
      </c>
    </row>
    <row r="78" spans="1:26" s="24" customFormat="1" hidden="1" outlineLevel="2" x14ac:dyDescent="0.25">
      <c r="A78" s="26"/>
      <c r="B78" s="11" t="str">
        <f>CONCATENATE("          ", "6279", " - ", "GENERAL EXPENSE")</f>
        <v xml:space="preserve">          6279 - GENERAL EXPENSE</v>
      </c>
      <c r="C78" s="11"/>
      <c r="D78" s="6">
        <v>1893.03</v>
      </c>
      <c r="E78" s="2"/>
      <c r="F78" s="7">
        <f t="shared" si="51"/>
        <v>3.7773758130058996E-2</v>
      </c>
      <c r="G78" s="2"/>
      <c r="H78" s="6">
        <v>4731.12</v>
      </c>
      <c r="I78" s="2"/>
      <c r="J78" s="7">
        <f t="shared" si="52"/>
        <v>3.9519652024716002E-3</v>
      </c>
      <c r="K78" s="2"/>
      <c r="L78" s="6">
        <f t="shared" si="53"/>
        <v>-2838.09</v>
      </c>
      <c r="M78" s="2"/>
      <c r="N78" s="7">
        <f t="shared" si="54"/>
        <v>-0.59987698473088824</v>
      </c>
      <c r="O78" s="11"/>
      <c r="P78" s="6">
        <v>9758.9699999999993</v>
      </c>
      <c r="Q78" s="2"/>
      <c r="R78" s="7">
        <f t="shared" si="55"/>
        <v>2.9663525405478747E-2</v>
      </c>
      <c r="S78" s="2"/>
      <c r="T78" s="6">
        <v>82960.56</v>
      </c>
      <c r="U78" s="2"/>
      <c r="V78" s="7">
        <f t="shared" si="56"/>
        <v>1.2738107298255759E-2</v>
      </c>
      <c r="W78" s="2"/>
      <c r="X78" s="6">
        <f t="shared" si="57"/>
        <v>-73201.59</v>
      </c>
      <c r="Y78" s="2"/>
      <c r="Z78" s="7">
        <f t="shared" si="58"/>
        <v>-0.88236615085529801</v>
      </c>
    </row>
    <row r="79" spans="1:26" s="25" customFormat="1" outlineLevel="1" collapsed="1" x14ac:dyDescent="0.25">
      <c r="A79" s="27"/>
      <c r="B79" s="13" t="str">
        <f>CONCATENATE("     ","Insurance                                         ")</f>
        <v xml:space="preserve">     Insurance                                         </v>
      </c>
      <c r="C79" s="13"/>
      <c r="D79" s="1">
        <f>SUM(OSRRefD22_12x_0)</f>
        <v>4483.67</v>
      </c>
      <c r="E79" s="1"/>
      <c r="F79" s="5">
        <f t="shared" ref="F79:F91" si="59">IF(D$12=0,0,D79/D$12)</f>
        <v>8.9467713726143608E-2</v>
      </c>
      <c r="G79" s="1"/>
      <c r="H79" s="1">
        <f>SUM(OSRRefH22_12x_0)</f>
        <v>10244.67</v>
      </c>
      <c r="I79" s="1"/>
      <c r="J79" s="5">
        <f t="shared" ref="J79:J91" si="60">IF(H$12=0,0,H79/H$12)</f>
        <v>8.5575042169306059E-3</v>
      </c>
      <c r="K79" s="1"/>
      <c r="L79" s="1">
        <f t="shared" ref="L79:L91" si="61">+D79-H79</f>
        <v>-5761</v>
      </c>
      <c r="M79" s="1"/>
      <c r="N79" s="5">
        <f t="shared" ref="N79:N91" si="62">IF(H79=0,0,L79/H79)</f>
        <v>-0.56234119791071846</v>
      </c>
      <c r="O79" s="13"/>
      <c r="P79" s="1">
        <f>SUM(OSRRefP22_12x_0)</f>
        <v>41981.36</v>
      </c>
      <c r="Q79" s="1"/>
      <c r="R79" s="5">
        <f t="shared" ref="R79:R91" si="63">IF(P$12=0,0,P79/P$12)</f>
        <v>0.12760723097996504</v>
      </c>
      <c r="S79" s="1"/>
      <c r="T79" s="1">
        <f>SUM(OSRRefT22_12x_0)</f>
        <v>41630.36</v>
      </c>
      <c r="U79" s="1"/>
      <c r="V79" s="5">
        <f t="shared" ref="V79:V91" si="64">IF(T$12=0,0,T79/T$12)</f>
        <v>6.3920975526806307E-3</v>
      </c>
      <c r="W79" s="1"/>
      <c r="X79" s="1">
        <f t="shared" ref="X79:X91" si="65">+P79-T79</f>
        <v>351</v>
      </c>
      <c r="Y79" s="1"/>
      <c r="Z79" s="5">
        <f t="shared" ref="Z79:Z91" si="66">IF(T79=0,0,X79/T79)</f>
        <v>8.4313467382938802E-3</v>
      </c>
    </row>
    <row r="80" spans="1:26" s="24" customFormat="1" hidden="1" outlineLevel="2" x14ac:dyDescent="0.25">
      <c r="A80" s="26"/>
      <c r="B80" s="11" t="str">
        <f>CONCATENATE("          ", "6314", " - ", "LIABILITY INSURANCE")</f>
        <v xml:space="preserve">          6314 - LIABILITY INSURANCE</v>
      </c>
      <c r="C80" s="11"/>
      <c r="D80" s="6">
        <v>4483.67</v>
      </c>
      <c r="E80" s="2"/>
      <c r="F80" s="7">
        <f t="shared" si="59"/>
        <v>8.9467713726143608E-2</v>
      </c>
      <c r="G80" s="2"/>
      <c r="H80" s="6">
        <v>10244.67</v>
      </c>
      <c r="I80" s="2"/>
      <c r="J80" s="7">
        <f t="shared" si="60"/>
        <v>8.5575042169306059E-3</v>
      </c>
      <c r="K80" s="2"/>
      <c r="L80" s="6">
        <f t="shared" si="61"/>
        <v>-5761</v>
      </c>
      <c r="M80" s="2"/>
      <c r="N80" s="7">
        <f t="shared" si="62"/>
        <v>-0.56234119791071846</v>
      </c>
      <c r="O80" s="11"/>
      <c r="P80" s="6">
        <v>41981.36</v>
      </c>
      <c r="Q80" s="2"/>
      <c r="R80" s="7">
        <f t="shared" si="63"/>
        <v>0.12760723097996504</v>
      </c>
      <c r="S80" s="2"/>
      <c r="T80" s="6">
        <v>41630.36</v>
      </c>
      <c r="U80" s="2"/>
      <c r="V80" s="7">
        <f t="shared" si="64"/>
        <v>6.3920975526806307E-3</v>
      </c>
      <c r="W80" s="2"/>
      <c r="X80" s="6">
        <f t="shared" si="65"/>
        <v>351</v>
      </c>
      <c r="Y80" s="2"/>
      <c r="Z80" s="7">
        <f t="shared" si="66"/>
        <v>8.4313467382938802E-3</v>
      </c>
    </row>
    <row r="81" spans="1:26" s="25" customFormat="1" outlineLevel="1" collapsed="1" x14ac:dyDescent="0.25">
      <c r="A81" s="27"/>
      <c r="B81" s="13" t="str">
        <f>CONCATENATE("     ","Interest                                          ")</f>
        <v xml:space="preserve">     Interest                                          </v>
      </c>
      <c r="C81" s="13"/>
      <c r="D81" s="1">
        <f>SUM(OSRRefD22_13x_0)</f>
        <v>11554</v>
      </c>
      <c r="E81" s="1"/>
      <c r="F81" s="5">
        <f t="shared" si="59"/>
        <v>0.23054996562901889</v>
      </c>
      <c r="G81" s="1"/>
      <c r="H81" s="1">
        <f>SUM(OSRRefH22_13x_0)</f>
        <v>11929</v>
      </c>
      <c r="I81" s="1"/>
      <c r="J81" s="5">
        <f t="shared" si="60"/>
        <v>9.9644466638520515E-3</v>
      </c>
      <c r="K81" s="1"/>
      <c r="L81" s="1">
        <f t="shared" si="61"/>
        <v>-375</v>
      </c>
      <c r="M81" s="1"/>
      <c r="N81" s="5">
        <f t="shared" si="62"/>
        <v>-3.1435996311509763E-2</v>
      </c>
      <c r="O81" s="13"/>
      <c r="P81" s="1">
        <f>SUM(OSRRefP22_13x_0)</f>
        <v>91683</v>
      </c>
      <c r="Q81" s="1"/>
      <c r="R81" s="5">
        <f t="shared" si="63"/>
        <v>0.27868115177631536</v>
      </c>
      <c r="S81" s="1"/>
      <c r="T81" s="1">
        <f>SUM(OSRRefT22_13x_0)</f>
        <v>94833</v>
      </c>
      <c r="U81" s="1"/>
      <c r="V81" s="5">
        <f t="shared" si="64"/>
        <v>1.4561050810354805E-2</v>
      </c>
      <c r="W81" s="1"/>
      <c r="X81" s="1">
        <f t="shared" si="65"/>
        <v>-3150</v>
      </c>
      <c r="Y81" s="1"/>
      <c r="Z81" s="5">
        <f t="shared" si="66"/>
        <v>-3.32162854702477E-2</v>
      </c>
    </row>
    <row r="82" spans="1:26" s="24" customFormat="1" hidden="1" outlineLevel="2" x14ac:dyDescent="0.25">
      <c r="A82" s="26"/>
      <c r="B82" s="11" t="str">
        <f>CONCATENATE("          ", "6401", " - ", "INTEREST EXPENSE")</f>
        <v xml:space="preserve">          6401 - INTEREST EXPENSE</v>
      </c>
      <c r="C82" s="11"/>
      <c r="D82" s="6">
        <v>11554</v>
      </c>
      <c r="E82" s="2"/>
      <c r="F82" s="7">
        <f t="shared" si="59"/>
        <v>0.23054996562901889</v>
      </c>
      <c r="G82" s="2"/>
      <c r="H82" s="6">
        <v>11929</v>
      </c>
      <c r="I82" s="2"/>
      <c r="J82" s="7">
        <f t="shared" si="60"/>
        <v>9.9644466638520515E-3</v>
      </c>
      <c r="K82" s="2"/>
      <c r="L82" s="6">
        <f t="shared" si="61"/>
        <v>-375</v>
      </c>
      <c r="M82" s="2"/>
      <c r="N82" s="7">
        <f t="shared" si="62"/>
        <v>-3.1435996311509763E-2</v>
      </c>
      <c r="O82" s="11"/>
      <c r="P82" s="6">
        <v>91683</v>
      </c>
      <c r="Q82" s="2"/>
      <c r="R82" s="7">
        <f t="shared" si="63"/>
        <v>0.27868115177631536</v>
      </c>
      <c r="S82" s="2"/>
      <c r="T82" s="6">
        <v>94833</v>
      </c>
      <c r="U82" s="2"/>
      <c r="V82" s="7">
        <f t="shared" si="64"/>
        <v>1.4561050810354805E-2</v>
      </c>
      <c r="W82" s="2"/>
      <c r="X82" s="6">
        <f t="shared" si="65"/>
        <v>-3150</v>
      </c>
      <c r="Y82" s="2"/>
      <c r="Z82" s="7">
        <f t="shared" si="66"/>
        <v>-3.32162854702477E-2</v>
      </c>
    </row>
    <row r="83" spans="1:26" s="25" customFormat="1" outlineLevel="1" collapsed="1" x14ac:dyDescent="0.25">
      <c r="A83" s="27"/>
      <c r="B83" s="13" t="str">
        <f>CONCATENATE("     ","Professional Services                             ")</f>
        <v xml:space="preserve">     Professional Services                             </v>
      </c>
      <c r="C83" s="13"/>
      <c r="D83" s="1">
        <f>SUM(OSRRefD22_14x_0)</f>
        <v>0</v>
      </c>
      <c r="E83" s="1"/>
      <c r="F83" s="5">
        <f t="shared" si="59"/>
        <v>0</v>
      </c>
      <c r="G83" s="1"/>
      <c r="H83" s="1">
        <f>SUM(OSRRefH22_14x_0)</f>
        <v>0</v>
      </c>
      <c r="I83" s="1"/>
      <c r="J83" s="5">
        <f t="shared" si="60"/>
        <v>0</v>
      </c>
      <c r="K83" s="1"/>
      <c r="L83" s="1">
        <f t="shared" si="61"/>
        <v>0</v>
      </c>
      <c r="M83" s="1"/>
      <c r="N83" s="5">
        <f t="shared" si="62"/>
        <v>0</v>
      </c>
      <c r="O83" s="13"/>
      <c r="P83" s="1">
        <f>SUM(OSRRefP22_14x_0)</f>
        <v>0</v>
      </c>
      <c r="Q83" s="1"/>
      <c r="R83" s="5">
        <f t="shared" si="63"/>
        <v>0</v>
      </c>
      <c r="S83" s="1"/>
      <c r="T83" s="1">
        <f>SUM(OSRRefT22_14x_0)</f>
        <v>125</v>
      </c>
      <c r="U83" s="1"/>
      <c r="V83" s="5">
        <f t="shared" si="64"/>
        <v>1.9193016685060584E-5</v>
      </c>
      <c r="W83" s="1"/>
      <c r="X83" s="1">
        <f t="shared" si="65"/>
        <v>-125</v>
      </c>
      <c r="Y83" s="1"/>
      <c r="Z83" s="5">
        <f t="shared" si="66"/>
        <v>-1</v>
      </c>
    </row>
    <row r="84" spans="1:26" s="24" customFormat="1" hidden="1" outlineLevel="2" x14ac:dyDescent="0.25">
      <c r="A84" s="26"/>
      <c r="B84" s="11" t="str">
        <f>CONCATENATE("          ", "6336", " - ", "PROFESSIONAL SERVICES")</f>
        <v xml:space="preserve">          6336 - PROFESSIONAL SERVICES</v>
      </c>
      <c r="C84" s="11"/>
      <c r="D84" s="6"/>
      <c r="E84" s="2"/>
      <c r="F84" s="7">
        <f t="shared" si="59"/>
        <v>0</v>
      </c>
      <c r="G84" s="2"/>
      <c r="H84" s="6"/>
      <c r="I84" s="2"/>
      <c r="J84" s="7">
        <f t="shared" si="60"/>
        <v>0</v>
      </c>
      <c r="K84" s="2"/>
      <c r="L84" s="6">
        <f t="shared" si="61"/>
        <v>0</v>
      </c>
      <c r="M84" s="2"/>
      <c r="N84" s="7">
        <f t="shared" si="62"/>
        <v>0</v>
      </c>
      <c r="O84" s="11"/>
      <c r="P84" s="6"/>
      <c r="Q84" s="2"/>
      <c r="R84" s="7">
        <f t="shared" si="63"/>
        <v>0</v>
      </c>
      <c r="S84" s="2"/>
      <c r="T84" s="6">
        <v>125</v>
      </c>
      <c r="U84" s="2"/>
      <c r="V84" s="7">
        <f t="shared" si="64"/>
        <v>1.9193016685060584E-5</v>
      </c>
      <c r="W84" s="2"/>
      <c r="X84" s="6">
        <f t="shared" si="65"/>
        <v>-125</v>
      </c>
      <c r="Y84" s="2"/>
      <c r="Z84" s="7">
        <f t="shared" si="66"/>
        <v>-1</v>
      </c>
    </row>
    <row r="85" spans="1:26" s="25" customFormat="1" outlineLevel="1" collapsed="1" x14ac:dyDescent="0.25">
      <c r="A85" s="27"/>
      <c r="B85" s="13" t="str">
        <f>CONCATENATE("     ","Rent                                              ")</f>
        <v xml:space="preserve">     Rent                                              </v>
      </c>
      <c r="C85" s="13"/>
      <c r="D85" s="1">
        <f>SUM(OSRRefD22_15x_0)</f>
        <v>0</v>
      </c>
      <c r="E85" s="1"/>
      <c r="F85" s="5">
        <f t="shared" si="59"/>
        <v>0</v>
      </c>
      <c r="G85" s="1"/>
      <c r="H85" s="1">
        <f>SUM(OSRRefH22_15x_0)</f>
        <v>3000</v>
      </c>
      <c r="I85" s="1"/>
      <c r="J85" s="5">
        <f t="shared" si="60"/>
        <v>2.5059384685687113E-3</v>
      </c>
      <c r="K85" s="1"/>
      <c r="L85" s="1">
        <f t="shared" si="61"/>
        <v>-3000</v>
      </c>
      <c r="M85" s="1"/>
      <c r="N85" s="5">
        <f t="shared" si="62"/>
        <v>-1</v>
      </c>
      <c r="O85" s="13"/>
      <c r="P85" s="1">
        <f>SUM(OSRRefP22_15x_0)</f>
        <v>11100</v>
      </c>
      <c r="Q85" s="1"/>
      <c r="R85" s="5">
        <f t="shared" si="63"/>
        <v>3.3739742206484305E-2</v>
      </c>
      <c r="S85" s="1"/>
      <c r="T85" s="1">
        <f>SUM(OSRRefT22_15x_0)</f>
        <v>24000</v>
      </c>
      <c r="U85" s="1"/>
      <c r="V85" s="5">
        <f t="shared" si="64"/>
        <v>3.6850592035316326E-3</v>
      </c>
      <c r="W85" s="1"/>
      <c r="X85" s="1">
        <f t="shared" si="65"/>
        <v>-12900</v>
      </c>
      <c r="Y85" s="1"/>
      <c r="Z85" s="5">
        <f t="shared" si="66"/>
        <v>-0.53749999999999998</v>
      </c>
    </row>
    <row r="86" spans="1:26" s="24" customFormat="1" hidden="1" outlineLevel="2" x14ac:dyDescent="0.25">
      <c r="A86" s="26"/>
      <c r="B86" s="11" t="str">
        <f>CONCATENATE("          ", "6273", " - ", "RENT")</f>
        <v xml:space="preserve">          6273 - RENT</v>
      </c>
      <c r="C86" s="11"/>
      <c r="D86" s="6"/>
      <c r="E86" s="2"/>
      <c r="F86" s="7">
        <f t="shared" si="59"/>
        <v>0</v>
      </c>
      <c r="G86" s="2"/>
      <c r="H86" s="6">
        <v>3000</v>
      </c>
      <c r="I86" s="2"/>
      <c r="J86" s="7">
        <f t="shared" si="60"/>
        <v>2.5059384685687113E-3</v>
      </c>
      <c r="K86" s="2"/>
      <c r="L86" s="6">
        <f t="shared" si="61"/>
        <v>-3000</v>
      </c>
      <c r="M86" s="2"/>
      <c r="N86" s="7">
        <f t="shared" si="62"/>
        <v>-1</v>
      </c>
      <c r="O86" s="11"/>
      <c r="P86" s="6">
        <v>11100</v>
      </c>
      <c r="Q86" s="2"/>
      <c r="R86" s="7">
        <f t="shared" si="63"/>
        <v>3.3739742206484305E-2</v>
      </c>
      <c r="S86" s="2"/>
      <c r="T86" s="6">
        <v>24000</v>
      </c>
      <c r="U86" s="2"/>
      <c r="V86" s="7">
        <f t="shared" si="64"/>
        <v>3.6850592035316326E-3</v>
      </c>
      <c r="W86" s="2"/>
      <c r="X86" s="6">
        <f t="shared" si="65"/>
        <v>-12900</v>
      </c>
      <c r="Y86" s="2"/>
      <c r="Z86" s="7">
        <f t="shared" si="66"/>
        <v>-0.53749999999999998</v>
      </c>
    </row>
    <row r="87" spans="1:26" s="25" customFormat="1" outlineLevel="1" collapsed="1" x14ac:dyDescent="0.25">
      <c r="A87" s="27"/>
      <c r="B87" s="13" t="str">
        <f>CONCATENATE("     ","Repair and Maintenance                            ")</f>
        <v xml:space="preserve">     Repair and Maintenance                            </v>
      </c>
      <c r="C87" s="13"/>
      <c r="D87" s="1">
        <f>SUM(OSRRefD22_16x_0)</f>
        <v>2144.13</v>
      </c>
      <c r="E87" s="1"/>
      <c r="F87" s="5">
        <f t="shared" si="59"/>
        <v>4.2784239034459784E-2</v>
      </c>
      <c r="G87" s="1"/>
      <c r="H87" s="1">
        <f>SUM(OSRRefH22_16x_0)</f>
        <v>15644.16</v>
      </c>
      <c r="I87" s="1"/>
      <c r="J87" s="5">
        <f t="shared" si="60"/>
        <v>1.306776745081463E-2</v>
      </c>
      <c r="K87" s="1"/>
      <c r="L87" s="1">
        <f t="shared" si="61"/>
        <v>-13500.029999999999</v>
      </c>
      <c r="M87" s="1"/>
      <c r="N87" s="5">
        <f t="shared" si="62"/>
        <v>-0.86294374386352468</v>
      </c>
      <c r="O87" s="13"/>
      <c r="P87" s="1">
        <f>SUM(OSRRefP22_16x_0)</f>
        <v>27204.170000000002</v>
      </c>
      <c r="Q87" s="1"/>
      <c r="R87" s="5">
        <f t="shared" si="63"/>
        <v>8.2690241688412089E-2</v>
      </c>
      <c r="S87" s="1"/>
      <c r="T87" s="1">
        <f>SUM(OSRRefT22_16x_0)</f>
        <v>207489.49</v>
      </c>
      <c r="U87" s="1"/>
      <c r="V87" s="5">
        <f t="shared" si="64"/>
        <v>3.1858793948357694E-2</v>
      </c>
      <c r="W87" s="1"/>
      <c r="X87" s="1">
        <f t="shared" si="65"/>
        <v>-180285.31999999998</v>
      </c>
      <c r="Y87" s="1"/>
      <c r="Z87" s="5">
        <f t="shared" si="66"/>
        <v>-0.86888892541014962</v>
      </c>
    </row>
    <row r="88" spans="1:26" s="24" customFormat="1" hidden="1" outlineLevel="2" x14ac:dyDescent="0.25">
      <c r="A88" s="26"/>
      <c r="B88" s="11" t="str">
        <f>CONCATENATE("          ", "6371", " - ", "COMPUTER SOFTWARE MAINTENANCE")</f>
        <v xml:space="preserve">          6371 - COMPUTER SOFTWARE MAINTENANCE</v>
      </c>
      <c r="C88" s="11"/>
      <c r="D88" s="6">
        <v>702.27</v>
      </c>
      <c r="E88" s="2"/>
      <c r="F88" s="7">
        <f t="shared" si="59"/>
        <v>1.4013183690695092E-2</v>
      </c>
      <c r="G88" s="2"/>
      <c r="H88" s="6"/>
      <c r="I88" s="2"/>
      <c r="J88" s="7">
        <f t="shared" si="60"/>
        <v>0</v>
      </c>
      <c r="K88" s="2"/>
      <c r="L88" s="6">
        <f t="shared" si="61"/>
        <v>702.27</v>
      </c>
      <c r="M88" s="2"/>
      <c r="N88" s="7">
        <f t="shared" si="62"/>
        <v>0</v>
      </c>
      <c r="O88" s="11"/>
      <c r="P88" s="6">
        <v>702.27</v>
      </c>
      <c r="Q88" s="2"/>
      <c r="R88" s="7">
        <f t="shared" si="63"/>
        <v>2.1346314197610568E-3</v>
      </c>
      <c r="S88" s="2"/>
      <c r="T88" s="6">
        <v>12244.62</v>
      </c>
      <c r="U88" s="2"/>
      <c r="V88" s="7">
        <f t="shared" si="64"/>
        <v>1.8800895676978125E-3</v>
      </c>
      <c r="W88" s="2"/>
      <c r="X88" s="6">
        <f t="shared" si="65"/>
        <v>-11542.35</v>
      </c>
      <c r="Y88" s="2"/>
      <c r="Z88" s="7">
        <f t="shared" si="66"/>
        <v>-0.94264664807891141</v>
      </c>
    </row>
    <row r="89" spans="1:26" s="24" customFormat="1" hidden="1" outlineLevel="2" x14ac:dyDescent="0.25">
      <c r="A89" s="26"/>
      <c r="B89" s="11" t="str">
        <f>CONCATENATE("          ", "6372", " - ", "COMPUTER HARDWARE MAINTENANCE")</f>
        <v xml:space="preserve">          6372 - COMPUTER HARDWARE MAINTENANCE</v>
      </c>
      <c r="C89" s="11"/>
      <c r="D89" s="6"/>
      <c r="E89" s="2"/>
      <c r="F89" s="7">
        <f t="shared" si="59"/>
        <v>0</v>
      </c>
      <c r="G89" s="2"/>
      <c r="H89" s="6"/>
      <c r="I89" s="2"/>
      <c r="J89" s="7">
        <f t="shared" si="60"/>
        <v>0</v>
      </c>
      <c r="K89" s="2"/>
      <c r="L89" s="6">
        <f t="shared" si="61"/>
        <v>0</v>
      </c>
      <c r="M89" s="2"/>
      <c r="N89" s="7">
        <f t="shared" si="62"/>
        <v>0</v>
      </c>
      <c r="O89" s="11"/>
      <c r="P89" s="6"/>
      <c r="Q89" s="2"/>
      <c r="R89" s="7">
        <f t="shared" si="63"/>
        <v>0</v>
      </c>
      <c r="S89" s="2"/>
      <c r="T89" s="6">
        <v>-0.01</v>
      </c>
      <c r="U89" s="2"/>
      <c r="V89" s="7">
        <f t="shared" si="64"/>
        <v>-1.5354413348048469E-9</v>
      </c>
      <c r="W89" s="2"/>
      <c r="X89" s="6">
        <f t="shared" si="65"/>
        <v>0.01</v>
      </c>
      <c r="Y89" s="2"/>
      <c r="Z89" s="7">
        <f t="shared" si="66"/>
        <v>-1</v>
      </c>
    </row>
    <row r="90" spans="1:26" s="24" customFormat="1" hidden="1" outlineLevel="2" x14ac:dyDescent="0.25">
      <c r="A90" s="26"/>
      <c r="B90" s="11" t="str">
        <f>CONCATENATE("          ", "6373", " - ", "MAINTENANCE CONTRACTS")</f>
        <v xml:space="preserve">          6373 - MAINTENANCE CONTRACTS</v>
      </c>
      <c r="C90" s="11"/>
      <c r="D90" s="6"/>
      <c r="E90" s="2"/>
      <c r="F90" s="7">
        <f t="shared" si="59"/>
        <v>0</v>
      </c>
      <c r="G90" s="2"/>
      <c r="H90" s="6">
        <v>6832.25</v>
      </c>
      <c r="I90" s="2"/>
      <c r="J90" s="7">
        <f t="shared" si="60"/>
        <v>5.7070660339595255E-3</v>
      </c>
      <c r="K90" s="2"/>
      <c r="L90" s="6">
        <f t="shared" si="61"/>
        <v>-6832.25</v>
      </c>
      <c r="M90" s="2"/>
      <c r="N90" s="7">
        <f t="shared" si="62"/>
        <v>-1</v>
      </c>
      <c r="O90" s="11"/>
      <c r="P90" s="6">
        <v>11978.04</v>
      </c>
      <c r="Q90" s="2"/>
      <c r="R90" s="7">
        <f t="shared" si="63"/>
        <v>3.6408647003509667E-2</v>
      </c>
      <c r="S90" s="2"/>
      <c r="T90" s="6">
        <v>72535.490000000005</v>
      </c>
      <c r="U90" s="2"/>
      <c r="V90" s="7">
        <f t="shared" si="64"/>
        <v>1.1137398958632362E-2</v>
      </c>
      <c r="W90" s="2"/>
      <c r="X90" s="6">
        <f t="shared" si="65"/>
        <v>-60557.450000000004</v>
      </c>
      <c r="Y90" s="2"/>
      <c r="Z90" s="7">
        <f t="shared" si="66"/>
        <v>-0.83486649087226128</v>
      </c>
    </row>
    <row r="91" spans="1:26" s="24" customFormat="1" hidden="1" outlineLevel="2" x14ac:dyDescent="0.25">
      <c r="A91" s="26"/>
      <c r="B91" s="11" t="str">
        <f>CONCATENATE("          ", "6375", " - ", "OUTSIDE REPAIRS &amp; MAINTENANCE")</f>
        <v xml:space="preserve">          6375 - OUTSIDE REPAIRS &amp; MAINTENANCE</v>
      </c>
      <c r="C91" s="11"/>
      <c r="D91" s="6">
        <v>1441.86</v>
      </c>
      <c r="E91" s="2"/>
      <c r="F91" s="7">
        <f t="shared" si="59"/>
        <v>2.8771055343764684E-2</v>
      </c>
      <c r="G91" s="2"/>
      <c r="H91" s="6">
        <v>8811.91</v>
      </c>
      <c r="I91" s="2"/>
      <c r="J91" s="7">
        <f t="shared" si="60"/>
        <v>7.3607014168551041E-3</v>
      </c>
      <c r="K91" s="2"/>
      <c r="L91" s="6">
        <f t="shared" si="61"/>
        <v>-7370.05</v>
      </c>
      <c r="M91" s="2"/>
      <c r="N91" s="7">
        <f t="shared" si="62"/>
        <v>-0.83637372601399695</v>
      </c>
      <c r="O91" s="11"/>
      <c r="P91" s="6">
        <v>14523.86</v>
      </c>
      <c r="Q91" s="2"/>
      <c r="R91" s="7">
        <f t="shared" si="63"/>
        <v>4.4146963265141365E-2</v>
      </c>
      <c r="S91" s="2"/>
      <c r="T91" s="6">
        <v>122709.39</v>
      </c>
      <c r="U91" s="2"/>
      <c r="V91" s="7">
        <f t="shared" si="64"/>
        <v>1.8841306957468853E-2</v>
      </c>
      <c r="W91" s="2"/>
      <c r="X91" s="6">
        <f t="shared" si="65"/>
        <v>-108185.53</v>
      </c>
      <c r="Y91" s="2"/>
      <c r="Z91" s="7">
        <f t="shared" si="66"/>
        <v>-0.88164019069771271</v>
      </c>
    </row>
    <row r="92" spans="1:26" s="25" customFormat="1" outlineLevel="1" collapsed="1" x14ac:dyDescent="0.25">
      <c r="A92" s="27"/>
      <c r="B92" s="13" t="str">
        <f>CONCATENATE("     ","Royalty &amp; Commissions                             ")</f>
        <v xml:space="preserve">     Royalty &amp; Commissions                             </v>
      </c>
      <c r="C92" s="13"/>
      <c r="D92" s="1">
        <f>SUM(OSRRefD22_17x_0)</f>
        <v>0</v>
      </c>
      <c r="E92" s="1"/>
      <c r="F92" s="5">
        <f t="shared" ref="F92:F94" si="67">IF(D$12=0,0,D92/D$12)</f>
        <v>0</v>
      </c>
      <c r="G92" s="1"/>
      <c r="H92" s="1">
        <f>SUM(OSRRefH22_17x_0)</f>
        <v>57281.539999999994</v>
      </c>
      <c r="I92" s="1"/>
      <c r="J92" s="5">
        <f t="shared" ref="J92:J94" si="68">IF(H$12=0,0,H92/H$12)</f>
        <v>4.784800487495245E-2</v>
      </c>
      <c r="K92" s="1"/>
      <c r="L92" s="1">
        <f t="shared" ref="L92:L94" si="69">+D92-H92</f>
        <v>-57281.539999999994</v>
      </c>
      <c r="M92" s="1"/>
      <c r="N92" s="5">
        <f t="shared" ref="N92:N94" si="70">IF(H92=0,0,L92/H92)</f>
        <v>-1</v>
      </c>
      <c r="O92" s="13"/>
      <c r="P92" s="1">
        <f>SUM(OSRRefP22_17x_0)</f>
        <v>185.7</v>
      </c>
      <c r="Q92" s="1"/>
      <c r="R92" s="5">
        <f t="shared" ref="R92:R94" si="71">IF(P$12=0,0,P92/P$12)</f>
        <v>5.6445676826523742E-4</v>
      </c>
      <c r="S92" s="1"/>
      <c r="T92" s="1">
        <f>SUM(OSRRefT22_17x_0)</f>
        <v>232138.44</v>
      </c>
      <c r="U92" s="1"/>
      <c r="V92" s="5">
        <f t="shared" ref="V92:V94" si="72">IF(T$12=0,0,T92/T$12)</f>
        <v>3.5643495617311484E-2</v>
      </c>
      <c r="W92" s="1"/>
      <c r="X92" s="1">
        <f t="shared" ref="X92:X94" si="73">+P92-T92</f>
        <v>-231952.74</v>
      </c>
      <c r="Y92" s="1"/>
      <c r="Z92" s="5">
        <f t="shared" ref="Z92:Z94" si="74">IF(T92=0,0,X92/T92)</f>
        <v>-0.99920004631718895</v>
      </c>
    </row>
    <row r="93" spans="1:26" s="24" customFormat="1" hidden="1" outlineLevel="2" x14ac:dyDescent="0.25">
      <c r="A93" s="26"/>
      <c r="B93" s="11" t="str">
        <f>CONCATENATE("          ", "6254", " - ", "ROYALTY &amp; COMMISSIONS")</f>
        <v xml:space="preserve">          6254 - ROYALTY &amp; COMMISSIONS</v>
      </c>
      <c r="C93" s="11"/>
      <c r="D93" s="6"/>
      <c r="E93" s="2"/>
      <c r="F93" s="7">
        <f t="shared" si="67"/>
        <v>0</v>
      </c>
      <c r="G93" s="2"/>
      <c r="H93" s="6">
        <v>40423.06</v>
      </c>
      <c r="I93" s="2"/>
      <c r="J93" s="7">
        <f t="shared" si="68"/>
        <v>3.3765900357087042E-2</v>
      </c>
      <c r="K93" s="2"/>
      <c r="L93" s="6">
        <f t="shared" si="69"/>
        <v>-40423.06</v>
      </c>
      <c r="M93" s="2"/>
      <c r="N93" s="7">
        <f t="shared" si="70"/>
        <v>-1</v>
      </c>
      <c r="O93" s="11"/>
      <c r="P93" s="6">
        <v>185.7</v>
      </c>
      <c r="Q93" s="2"/>
      <c r="R93" s="7">
        <f t="shared" si="71"/>
        <v>5.6445676826523742E-4</v>
      </c>
      <c r="S93" s="2"/>
      <c r="T93" s="6">
        <v>134426.28</v>
      </c>
      <c r="U93" s="2"/>
      <c r="V93" s="7">
        <f t="shared" si="72"/>
        <v>2.0640366679605008E-2</v>
      </c>
      <c r="W93" s="2"/>
      <c r="X93" s="6">
        <f t="shared" si="73"/>
        <v>-134240.57999999999</v>
      </c>
      <c r="Y93" s="2"/>
      <c r="Z93" s="7">
        <f t="shared" si="74"/>
        <v>-0.99861857368960882</v>
      </c>
    </row>
    <row r="94" spans="1:26" s="24" customFormat="1" hidden="1" outlineLevel="2" x14ac:dyDescent="0.25">
      <c r="A94" s="26"/>
      <c r="B94" s="11" t="str">
        <f>CONCATENATE("          ", "6259", " - ", "ROYALTY &amp; COMMISSIONS")</f>
        <v xml:space="preserve">          6259 - ROYALTY &amp; COMMISSIONS</v>
      </c>
      <c r="C94" s="11"/>
      <c r="D94" s="6"/>
      <c r="E94" s="2"/>
      <c r="F94" s="7">
        <f t="shared" si="67"/>
        <v>0</v>
      </c>
      <c r="G94" s="2"/>
      <c r="H94" s="6">
        <v>16858.48</v>
      </c>
      <c r="I94" s="2"/>
      <c r="J94" s="7">
        <f t="shared" si="68"/>
        <v>1.4082104517865415E-2</v>
      </c>
      <c r="K94" s="2"/>
      <c r="L94" s="6">
        <f t="shared" si="69"/>
        <v>-16858.48</v>
      </c>
      <c r="M94" s="2"/>
      <c r="N94" s="7">
        <f t="shared" si="70"/>
        <v>-1</v>
      </c>
      <c r="O94" s="11"/>
      <c r="P94" s="6"/>
      <c r="Q94" s="2"/>
      <c r="R94" s="7">
        <f t="shared" si="71"/>
        <v>0</v>
      </c>
      <c r="S94" s="2"/>
      <c r="T94" s="6">
        <v>97712.16</v>
      </c>
      <c r="U94" s="2"/>
      <c r="V94" s="7">
        <f t="shared" si="72"/>
        <v>1.5003128937706478E-2</v>
      </c>
      <c r="W94" s="2"/>
      <c r="X94" s="6">
        <f t="shared" si="73"/>
        <v>-97712.16</v>
      </c>
      <c r="Y94" s="2"/>
      <c r="Z94" s="7">
        <f t="shared" si="74"/>
        <v>-1</v>
      </c>
    </row>
    <row r="95" spans="1:26" s="25" customFormat="1" outlineLevel="1" collapsed="1" x14ac:dyDescent="0.25">
      <c r="A95" s="27"/>
      <c r="B95" s="13" t="str">
        <f>CONCATENATE("     ","Services                                          ")</f>
        <v xml:space="preserve">     Services                                          </v>
      </c>
      <c r="C95" s="13"/>
      <c r="D95" s="1">
        <f>SUM(OSRRefD22_18x_0)</f>
        <v>6538.14</v>
      </c>
      <c r="E95" s="1"/>
      <c r="F95" s="5">
        <f t="shared" ref="F95:F100" si="75">IF(D$12=0,0,D95/D$12)</f>
        <v>0.13046286587136174</v>
      </c>
      <c r="G95" s="1"/>
      <c r="H95" s="1">
        <f>SUM(OSRRefH22_18x_0)</f>
        <v>26218.52</v>
      </c>
      <c r="I95" s="1"/>
      <c r="J95" s="5">
        <f t="shared" ref="J95:J100" si="76">IF(H$12=0,0,H95/H$12)</f>
        <v>2.1900665952312708E-2</v>
      </c>
      <c r="K95" s="1"/>
      <c r="L95" s="1">
        <f t="shared" ref="L95:L100" si="77">+D95-H95</f>
        <v>-19680.38</v>
      </c>
      <c r="M95" s="1"/>
      <c r="N95" s="5">
        <f t="shared" ref="N95:N100" si="78">IF(H95=0,0,L95/H95)</f>
        <v>-0.75062894473067132</v>
      </c>
      <c r="O95" s="13"/>
      <c r="P95" s="1">
        <f>SUM(OSRRefP22_18x_0)</f>
        <v>51951.040000000001</v>
      </c>
      <c r="Q95" s="1"/>
      <c r="R95" s="5">
        <f t="shared" ref="R95:R100" si="79">IF(P$12=0,0,P95/P$12)</f>
        <v>0.15791123396024814</v>
      </c>
      <c r="S95" s="1"/>
      <c r="T95" s="1">
        <f>SUM(OSRRefT22_18x_0)</f>
        <v>195807.24</v>
      </c>
      <c r="U95" s="1"/>
      <c r="V95" s="5">
        <f t="shared" ref="V95:V100" si="80">IF(T$12=0,0,T95/T$12)</f>
        <v>3.0065052995005299E-2</v>
      </c>
      <c r="W95" s="1"/>
      <c r="X95" s="1">
        <f t="shared" ref="X95:X100" si="81">+P95-T95</f>
        <v>-143856.19999999998</v>
      </c>
      <c r="Y95" s="1"/>
      <c r="Z95" s="5">
        <f t="shared" ref="Z95:Z100" si="82">IF(T95=0,0,X95/T95)</f>
        <v>-0.73468274206816864</v>
      </c>
    </row>
    <row r="96" spans="1:26" s="24" customFormat="1" hidden="1" outlineLevel="2" x14ac:dyDescent="0.25">
      <c r="A96" s="26"/>
      <c r="B96" s="11" t="str">
        <f>CONCATENATE("          ", "6282", " - ", "JANITORIAL/EXTERMINATOR EXPENS")</f>
        <v xml:space="preserve">          6282 - JANITORIAL/EXTERMINATOR EXPENS</v>
      </c>
      <c r="C96" s="11"/>
      <c r="D96" s="6">
        <v>768.19</v>
      </c>
      <c r="E96" s="2"/>
      <c r="F96" s="7">
        <f t="shared" si="75"/>
        <v>1.532855964138446E-2</v>
      </c>
      <c r="G96" s="2"/>
      <c r="H96" s="6">
        <v>2406.5500000000002</v>
      </c>
      <c r="I96" s="2"/>
      <c r="J96" s="7">
        <f t="shared" si="76"/>
        <v>2.0102220738446776E-3</v>
      </c>
      <c r="K96" s="2"/>
      <c r="L96" s="6">
        <f t="shared" si="77"/>
        <v>-1638.3600000000001</v>
      </c>
      <c r="M96" s="2"/>
      <c r="N96" s="7">
        <f t="shared" si="78"/>
        <v>-0.68079200515260441</v>
      </c>
      <c r="O96" s="11"/>
      <c r="P96" s="6">
        <v>8318.1200000000008</v>
      </c>
      <c r="Q96" s="2"/>
      <c r="R96" s="7">
        <f t="shared" si="79"/>
        <v>2.528389409392804E-2</v>
      </c>
      <c r="S96" s="2"/>
      <c r="T96" s="6">
        <v>16935.939999999999</v>
      </c>
      <c r="U96" s="2"/>
      <c r="V96" s="7">
        <f t="shared" si="80"/>
        <v>2.6004142319774794E-3</v>
      </c>
      <c r="W96" s="2"/>
      <c r="X96" s="6">
        <f t="shared" si="81"/>
        <v>-8617.8199999999979</v>
      </c>
      <c r="Y96" s="2"/>
      <c r="Z96" s="7">
        <f t="shared" si="82"/>
        <v>-0.5088480474068755</v>
      </c>
    </row>
    <row r="97" spans="1:26" s="24" customFormat="1" hidden="1" outlineLevel="2" x14ac:dyDescent="0.25">
      <c r="A97" s="26"/>
      <c r="B97" s="11" t="str">
        <f>CONCATENATE("          ", "6283", " - ", "PLANT SERVICE")</f>
        <v xml:space="preserve">          6283 - PLANT SERVICE</v>
      </c>
      <c r="C97" s="11"/>
      <c r="D97" s="6"/>
      <c r="E97" s="2"/>
      <c r="F97" s="7">
        <f t="shared" si="75"/>
        <v>0</v>
      </c>
      <c r="G97" s="2"/>
      <c r="H97" s="6">
        <v>199.78</v>
      </c>
      <c r="I97" s="2"/>
      <c r="J97" s="7">
        <f t="shared" si="76"/>
        <v>1.6687879575021905E-4</v>
      </c>
      <c r="K97" s="2"/>
      <c r="L97" s="6">
        <f t="shared" si="77"/>
        <v>-199.78</v>
      </c>
      <c r="M97" s="2"/>
      <c r="N97" s="7">
        <f t="shared" si="78"/>
        <v>-1</v>
      </c>
      <c r="O97" s="11"/>
      <c r="P97" s="6"/>
      <c r="Q97" s="2"/>
      <c r="R97" s="7">
        <f t="shared" si="79"/>
        <v>0</v>
      </c>
      <c r="S97" s="2"/>
      <c r="T97" s="6">
        <v>998.9</v>
      </c>
      <c r="U97" s="2"/>
      <c r="V97" s="7">
        <f t="shared" si="80"/>
        <v>1.5337523493365616E-4</v>
      </c>
      <c r="W97" s="2"/>
      <c r="X97" s="6">
        <f t="shared" si="81"/>
        <v>-998.9</v>
      </c>
      <c r="Y97" s="2"/>
      <c r="Z97" s="7">
        <f t="shared" si="82"/>
        <v>-1</v>
      </c>
    </row>
    <row r="98" spans="1:26" s="24" customFormat="1" hidden="1" outlineLevel="2" x14ac:dyDescent="0.25">
      <c r="A98" s="26"/>
      <c r="B98" s="11" t="str">
        <f>CONCATENATE("          ", "6284", " - ", "TRASH REMOVAL EXPENSE")</f>
        <v xml:space="preserve">          6284 - TRASH REMOVAL EXPENSE</v>
      </c>
      <c r="C98" s="11"/>
      <c r="D98" s="6">
        <v>5658</v>
      </c>
      <c r="E98" s="2"/>
      <c r="F98" s="7">
        <f t="shared" si="75"/>
        <v>0.11290044188410844</v>
      </c>
      <c r="G98" s="2"/>
      <c r="H98" s="6">
        <v>5419</v>
      </c>
      <c r="I98" s="2"/>
      <c r="J98" s="7">
        <f t="shared" si="76"/>
        <v>4.5265601870579488E-3</v>
      </c>
      <c r="K98" s="2"/>
      <c r="L98" s="6">
        <f t="shared" si="77"/>
        <v>239</v>
      </c>
      <c r="M98" s="2"/>
      <c r="N98" s="7">
        <f t="shared" si="78"/>
        <v>4.4104078243218305E-2</v>
      </c>
      <c r="O98" s="11"/>
      <c r="P98" s="6">
        <v>30762</v>
      </c>
      <c r="Q98" s="2"/>
      <c r="R98" s="7">
        <f t="shared" si="79"/>
        <v>9.3504680158186498E-2</v>
      </c>
      <c r="S98" s="2"/>
      <c r="T98" s="6">
        <v>35464</v>
      </c>
      <c r="U98" s="2"/>
      <c r="V98" s="7">
        <f t="shared" si="80"/>
        <v>5.4452891497519086E-3</v>
      </c>
      <c r="W98" s="2"/>
      <c r="X98" s="6">
        <f t="shared" si="81"/>
        <v>-4702</v>
      </c>
      <c r="Y98" s="2"/>
      <c r="Z98" s="7">
        <f t="shared" si="82"/>
        <v>-0.13258515677870517</v>
      </c>
    </row>
    <row r="99" spans="1:26" s="24" customFormat="1" hidden="1" outlineLevel="2" x14ac:dyDescent="0.25">
      <c r="A99" s="26"/>
      <c r="B99" s="11" t="str">
        <f>CONCATENATE("          ", "6285", " - ", "JANITORIAL SERVICES")</f>
        <v xml:space="preserve">          6285 - JANITORIAL SERVICES</v>
      </c>
      <c r="C99" s="11"/>
      <c r="D99" s="6"/>
      <c r="E99" s="2"/>
      <c r="F99" s="7">
        <f t="shared" si="75"/>
        <v>0</v>
      </c>
      <c r="G99" s="2"/>
      <c r="H99" s="6">
        <v>14271.92</v>
      </c>
      <c r="I99" s="2"/>
      <c r="J99" s="7">
        <f t="shared" si="76"/>
        <v>1.1921517782778387E-2</v>
      </c>
      <c r="K99" s="2"/>
      <c r="L99" s="6">
        <f t="shared" si="77"/>
        <v>-14271.92</v>
      </c>
      <c r="M99" s="2"/>
      <c r="N99" s="7">
        <f t="shared" si="78"/>
        <v>-1</v>
      </c>
      <c r="O99" s="11"/>
      <c r="P99" s="6">
        <v>11966.21</v>
      </c>
      <c r="Q99" s="2"/>
      <c r="R99" s="7">
        <f t="shared" si="79"/>
        <v>3.6372688341320229E-2</v>
      </c>
      <c r="S99" s="2"/>
      <c r="T99" s="6">
        <v>110873.98000000001</v>
      </c>
      <c r="U99" s="2"/>
      <c r="V99" s="7">
        <f t="shared" si="80"/>
        <v>1.702404918463259E-2</v>
      </c>
      <c r="W99" s="2"/>
      <c r="X99" s="6">
        <f t="shared" si="81"/>
        <v>-98907.770000000019</v>
      </c>
      <c r="Y99" s="2"/>
      <c r="Z99" s="7">
        <f t="shared" si="82"/>
        <v>-0.8920737760112879</v>
      </c>
    </row>
    <row r="100" spans="1:26" s="24" customFormat="1" hidden="1" outlineLevel="2" x14ac:dyDescent="0.25">
      <c r="A100" s="26"/>
      <c r="B100" s="11" t="str">
        <f>CONCATENATE("          ", "6286", " - ", "LAUNDRY EXPENSE")</f>
        <v xml:space="preserve">          6286 - LAUNDRY EXPENSE</v>
      </c>
      <c r="C100" s="11"/>
      <c r="D100" s="6">
        <v>111.95</v>
      </c>
      <c r="E100" s="2"/>
      <c r="F100" s="7">
        <f t="shared" si="75"/>
        <v>2.2338643458688478E-3</v>
      </c>
      <c r="G100" s="2"/>
      <c r="H100" s="6">
        <v>3921.27</v>
      </c>
      <c r="I100" s="2"/>
      <c r="J100" s="7">
        <f t="shared" si="76"/>
        <v>3.2754871128814768E-3</v>
      </c>
      <c r="K100" s="2"/>
      <c r="L100" s="6">
        <f t="shared" si="77"/>
        <v>-3809.32</v>
      </c>
      <c r="M100" s="2"/>
      <c r="N100" s="7">
        <f t="shared" si="78"/>
        <v>-0.97145057596135953</v>
      </c>
      <c r="O100" s="11"/>
      <c r="P100" s="6">
        <v>904.71</v>
      </c>
      <c r="Q100" s="2"/>
      <c r="R100" s="7">
        <f t="shared" si="79"/>
        <v>2.7499713668133708E-3</v>
      </c>
      <c r="S100" s="2"/>
      <c r="T100" s="6">
        <v>31534.42</v>
      </c>
      <c r="U100" s="2"/>
      <c r="V100" s="7">
        <f t="shared" si="80"/>
        <v>4.8419251937096659E-3</v>
      </c>
      <c r="W100" s="2"/>
      <c r="X100" s="6">
        <f t="shared" si="81"/>
        <v>-30629.71</v>
      </c>
      <c r="Y100" s="2"/>
      <c r="Z100" s="7">
        <f t="shared" si="82"/>
        <v>-0.97131039670303121</v>
      </c>
    </row>
    <row r="101" spans="1:26" s="25" customFormat="1" outlineLevel="1" collapsed="1" x14ac:dyDescent="0.25">
      <c r="A101" s="27"/>
      <c r="B101" s="13" t="str">
        <f>CONCATENATE("     ","Subscriptions &amp; Dues                              ")</f>
        <v xml:space="preserve">     Subscriptions &amp; Dues                              </v>
      </c>
      <c r="C101" s="13"/>
      <c r="D101" s="1">
        <f>SUM(OSRRefD22_19x_0)</f>
        <v>262.83999999999997</v>
      </c>
      <c r="E101" s="1"/>
      <c r="F101" s="5">
        <f t="shared" ref="F101:F103" si="83">IF(D$12=0,0,D101/D$12)</f>
        <v>5.2447423373663945E-3</v>
      </c>
      <c r="G101" s="1"/>
      <c r="H101" s="1">
        <f>SUM(OSRRefH22_19x_0)</f>
        <v>450.13000000000005</v>
      </c>
      <c r="I101" s="1"/>
      <c r="J101" s="5">
        <f t="shared" ref="J101:J103" si="84">IF(H$12=0,0,H101/H$12)</f>
        <v>3.7599936095227801E-4</v>
      </c>
      <c r="K101" s="1"/>
      <c r="L101" s="1">
        <f t="shared" ref="L101:L103" si="85">+D101-H101</f>
        <v>-187.29000000000008</v>
      </c>
      <c r="M101" s="1"/>
      <c r="N101" s="5">
        <f t="shared" ref="N101:N103" si="86">IF(H101=0,0,L101/H101)</f>
        <v>-0.41607979916912902</v>
      </c>
      <c r="O101" s="13"/>
      <c r="P101" s="1">
        <f>SUM(OSRRefP22_19x_0)</f>
        <v>797.01</v>
      </c>
      <c r="Q101" s="1"/>
      <c r="R101" s="5">
        <f t="shared" ref="R101:R103" si="87">IF(P$12=0,0,P101/P$12)</f>
        <v>2.422604678918023E-3</v>
      </c>
      <c r="S101" s="1"/>
      <c r="T101" s="1">
        <f>SUM(OSRRefT22_19x_0)</f>
        <v>8545.51</v>
      </c>
      <c r="U101" s="1"/>
      <c r="V101" s="5">
        <f t="shared" ref="V101:V103" si="88">IF(T$12=0,0,T101/T$12)</f>
        <v>1.3121129280988168E-3</v>
      </c>
      <c r="W101" s="1"/>
      <c r="X101" s="1">
        <f t="shared" ref="X101:X103" si="89">+P101-T101</f>
        <v>-7748.5</v>
      </c>
      <c r="Y101" s="1"/>
      <c r="Z101" s="5">
        <f t="shared" ref="Z101:Z103" si="90">IF(T101=0,0,X101/T101)</f>
        <v>-0.90673347758062417</v>
      </c>
    </row>
    <row r="102" spans="1:26" s="24" customFormat="1" hidden="1" outlineLevel="2" x14ac:dyDescent="0.25">
      <c r="A102" s="26"/>
      <c r="B102" s="11" t="str">
        <f>CONCATENATE("          ", "6258", " - ", "MEMBERSHIP DUES")</f>
        <v xml:space="preserve">          6258 - MEMBERSHIP DUES</v>
      </c>
      <c r="C102" s="11"/>
      <c r="D102" s="6"/>
      <c r="E102" s="2"/>
      <c r="F102" s="7">
        <f t="shared" si="83"/>
        <v>0</v>
      </c>
      <c r="G102" s="2"/>
      <c r="H102" s="6">
        <v>-131.19999999999999</v>
      </c>
      <c r="I102" s="2"/>
      <c r="J102" s="7">
        <f t="shared" si="84"/>
        <v>-1.0959304235873829E-4</v>
      </c>
      <c r="K102" s="2"/>
      <c r="L102" s="6">
        <f t="shared" si="85"/>
        <v>131.19999999999999</v>
      </c>
      <c r="M102" s="2"/>
      <c r="N102" s="7">
        <f t="shared" si="86"/>
        <v>-1</v>
      </c>
      <c r="O102" s="11"/>
      <c r="P102" s="6"/>
      <c r="Q102" s="2"/>
      <c r="R102" s="7">
        <f t="shared" si="87"/>
        <v>0</v>
      </c>
      <c r="S102" s="2"/>
      <c r="T102" s="6">
        <v>3730</v>
      </c>
      <c r="U102" s="2"/>
      <c r="V102" s="7">
        <f t="shared" si="88"/>
        <v>5.7271961788220793E-4</v>
      </c>
      <c r="W102" s="2"/>
      <c r="X102" s="6">
        <f t="shared" si="89"/>
        <v>-3730</v>
      </c>
      <c r="Y102" s="2"/>
      <c r="Z102" s="7">
        <f t="shared" si="90"/>
        <v>-1</v>
      </c>
    </row>
    <row r="103" spans="1:26" s="24" customFormat="1" hidden="1" outlineLevel="2" x14ac:dyDescent="0.25">
      <c r="A103" s="26"/>
      <c r="B103" s="11" t="str">
        <f>CONCATENATE("          ", "6275", " - ", "SUBSCRIPTIONS")</f>
        <v xml:space="preserve">          6275 - SUBSCRIPTIONS</v>
      </c>
      <c r="C103" s="11"/>
      <c r="D103" s="6">
        <v>262.83999999999997</v>
      </c>
      <c r="E103" s="2"/>
      <c r="F103" s="7">
        <f t="shared" si="83"/>
        <v>5.2447423373663945E-3</v>
      </c>
      <c r="G103" s="2"/>
      <c r="H103" s="6">
        <v>581.33000000000004</v>
      </c>
      <c r="I103" s="2"/>
      <c r="J103" s="7">
        <f t="shared" si="84"/>
        <v>4.8559240331101633E-4</v>
      </c>
      <c r="K103" s="2"/>
      <c r="L103" s="6">
        <f t="shared" si="85"/>
        <v>-318.49000000000007</v>
      </c>
      <c r="M103" s="2"/>
      <c r="N103" s="7">
        <f t="shared" si="86"/>
        <v>-0.54786437995630721</v>
      </c>
      <c r="O103" s="11"/>
      <c r="P103" s="6">
        <v>797.01</v>
      </c>
      <c r="Q103" s="2"/>
      <c r="R103" s="7">
        <f t="shared" si="87"/>
        <v>2.422604678918023E-3</v>
      </c>
      <c r="S103" s="2"/>
      <c r="T103" s="6">
        <v>4815.51</v>
      </c>
      <c r="U103" s="2"/>
      <c r="V103" s="7">
        <f t="shared" si="88"/>
        <v>7.3939331021660888E-4</v>
      </c>
      <c r="W103" s="2"/>
      <c r="X103" s="6">
        <f t="shared" si="89"/>
        <v>-4018.5</v>
      </c>
      <c r="Y103" s="2"/>
      <c r="Z103" s="7">
        <f t="shared" si="90"/>
        <v>-0.83449105079212793</v>
      </c>
    </row>
    <row r="104" spans="1:26" s="25" customFormat="1" outlineLevel="1" collapsed="1" x14ac:dyDescent="0.25">
      <c r="A104" s="27"/>
      <c r="B104" s="13" t="str">
        <f>CONCATENATE("     ","Supplies                                          ")</f>
        <v xml:space="preserve">     Supplies                                          </v>
      </c>
      <c r="C104" s="13"/>
      <c r="D104" s="1">
        <f>SUM(OSRRefD22_20x_0)</f>
        <v>82.73</v>
      </c>
      <c r="E104" s="1"/>
      <c r="F104" s="5">
        <f t="shared" ref="F104:F114" si="91">IF(D$12=0,0,D104/D$12)</f>
        <v>1.6508047997653397E-3</v>
      </c>
      <c r="G104" s="1"/>
      <c r="H104" s="1">
        <f>SUM(OSRRefH22_20x_0)</f>
        <v>30053.699999999997</v>
      </c>
      <c r="I104" s="1"/>
      <c r="J104" s="5">
        <f t="shared" ref="J104:J114" si="92">IF(H$12=0,0,H104/H$12)</f>
        <v>2.5104240984274488E-2</v>
      </c>
      <c r="K104" s="1"/>
      <c r="L104" s="1">
        <f t="shared" ref="L104:L114" si="93">+D104-H104</f>
        <v>-29970.969999999998</v>
      </c>
      <c r="M104" s="1"/>
      <c r="N104" s="5">
        <f t="shared" ref="N104:N114" si="94">IF(H104=0,0,L104/H104)</f>
        <v>-0.99724726073661485</v>
      </c>
      <c r="O104" s="13"/>
      <c r="P104" s="1">
        <f>SUM(OSRRefP22_20x_0)</f>
        <v>-20252.77</v>
      </c>
      <c r="Q104" s="1"/>
      <c r="R104" s="5">
        <f t="shared" ref="R104:R114" si="95">IF(P$12=0,0,P104/P$12)</f>
        <v>-6.1560652141190914E-2</v>
      </c>
      <c r="S104" s="1"/>
      <c r="T104" s="1">
        <f>SUM(OSRRefT22_20x_0)</f>
        <v>202485.24999999997</v>
      </c>
      <c r="U104" s="1"/>
      <c r="V104" s="5">
        <f t="shared" ref="V104:V114" si="96">IF(T$12=0,0,T104/T$12)</f>
        <v>3.1090422253829308E-2</v>
      </c>
      <c r="W104" s="1"/>
      <c r="X104" s="1">
        <f t="shared" ref="X104:X114" si="97">+P104-T104</f>
        <v>-222738.01999999996</v>
      </c>
      <c r="Y104" s="1"/>
      <c r="Z104" s="5">
        <f t="shared" ref="Z104:Z114" si="98">IF(T104=0,0,X104/T104)</f>
        <v>-1.1000209644900061</v>
      </c>
    </row>
    <row r="105" spans="1:26" s="24" customFormat="1" hidden="1" outlineLevel="2" x14ac:dyDescent="0.25">
      <c r="A105" s="26"/>
      <c r="B105" s="11" t="str">
        <f>CONCATENATE("          ", "6234", " - ", "EXPENDABLE SUPPLIES &amp; EQUIPMEN")</f>
        <v xml:space="preserve">          6234 - EXPENDABLE SUPPLIES &amp; EQUIPMEN</v>
      </c>
      <c r="C105" s="11"/>
      <c r="D105" s="6"/>
      <c r="E105" s="2"/>
      <c r="F105" s="7">
        <f t="shared" si="91"/>
        <v>0</v>
      </c>
      <c r="G105" s="2"/>
      <c r="H105" s="6">
        <v>360.61</v>
      </c>
      <c r="I105" s="2"/>
      <c r="J105" s="7">
        <f t="shared" si="92"/>
        <v>3.0122215705018766E-4</v>
      </c>
      <c r="K105" s="2"/>
      <c r="L105" s="6">
        <f t="shared" si="93"/>
        <v>-360.61</v>
      </c>
      <c r="M105" s="2"/>
      <c r="N105" s="7">
        <f t="shared" si="94"/>
        <v>-1</v>
      </c>
      <c r="O105" s="11"/>
      <c r="P105" s="6">
        <v>627.58000000000004</v>
      </c>
      <c r="Q105" s="2"/>
      <c r="R105" s="7">
        <f t="shared" si="95"/>
        <v>1.9076024697248126E-3</v>
      </c>
      <c r="S105" s="2"/>
      <c r="T105" s="6">
        <v>14664.58</v>
      </c>
      <c r="U105" s="2"/>
      <c r="V105" s="7">
        <f t="shared" si="96"/>
        <v>2.2516602289552462E-3</v>
      </c>
      <c r="W105" s="2"/>
      <c r="X105" s="6">
        <f t="shared" si="97"/>
        <v>-14037</v>
      </c>
      <c r="Y105" s="2"/>
      <c r="Z105" s="7">
        <f t="shared" si="98"/>
        <v>-0.95720436589387492</v>
      </c>
    </row>
    <row r="106" spans="1:26" s="24" customFormat="1" hidden="1" outlineLevel="2" x14ac:dyDescent="0.25">
      <c r="A106" s="26"/>
      <c r="B106" s="11" t="str">
        <f>CONCATENATE("          ", "6235", " - ", "COVID-19 EXPENSES")</f>
        <v xml:space="preserve">          6235 - COVID-19 EXPENSES</v>
      </c>
      <c r="C106" s="11"/>
      <c r="D106" s="6"/>
      <c r="E106" s="2"/>
      <c r="F106" s="7">
        <f t="shared" si="91"/>
        <v>0</v>
      </c>
      <c r="G106" s="2"/>
      <c r="H106" s="6"/>
      <c r="I106" s="2"/>
      <c r="J106" s="7">
        <f t="shared" si="92"/>
        <v>0</v>
      </c>
      <c r="K106" s="2"/>
      <c r="L106" s="6">
        <f t="shared" si="93"/>
        <v>0</v>
      </c>
      <c r="M106" s="2"/>
      <c r="N106" s="7">
        <f t="shared" si="94"/>
        <v>0</v>
      </c>
      <c r="O106" s="11"/>
      <c r="P106" s="6">
        <v>7089.13</v>
      </c>
      <c r="Q106" s="2"/>
      <c r="R106" s="7">
        <f t="shared" si="95"/>
        <v>2.1548235916058926E-2</v>
      </c>
      <c r="S106" s="2"/>
      <c r="T106" s="6"/>
      <c r="U106" s="2"/>
      <c r="V106" s="7">
        <f t="shared" si="96"/>
        <v>0</v>
      </c>
      <c r="W106" s="2"/>
      <c r="X106" s="6">
        <f t="shared" si="97"/>
        <v>7089.13</v>
      </c>
      <c r="Y106" s="2"/>
      <c r="Z106" s="7">
        <f t="shared" si="98"/>
        <v>0</v>
      </c>
    </row>
    <row r="107" spans="1:26" s="24" customFormat="1" hidden="1" outlineLevel="2" x14ac:dyDescent="0.25">
      <c r="A107" s="26"/>
      <c r="B107" s="11" t="str">
        <f>CONCATENATE("          ", "6237", " - ", "JANITORIAL SUPPLIES")</f>
        <v xml:space="preserve">          6237 - JANITORIAL SUPPLIES</v>
      </c>
      <c r="C107" s="11"/>
      <c r="D107" s="6"/>
      <c r="E107" s="2"/>
      <c r="F107" s="7">
        <f t="shared" si="91"/>
        <v>0</v>
      </c>
      <c r="G107" s="2"/>
      <c r="H107" s="6">
        <v>7792.95</v>
      </c>
      <c r="I107" s="2"/>
      <c r="J107" s="7">
        <f t="shared" si="92"/>
        <v>6.5095510628775128E-3</v>
      </c>
      <c r="K107" s="2"/>
      <c r="L107" s="6">
        <f t="shared" si="93"/>
        <v>-7792.95</v>
      </c>
      <c r="M107" s="2"/>
      <c r="N107" s="7">
        <f t="shared" si="94"/>
        <v>-1</v>
      </c>
      <c r="O107" s="11"/>
      <c r="P107" s="6">
        <v>676.48</v>
      </c>
      <c r="Q107" s="2"/>
      <c r="R107" s="7">
        <f t="shared" si="95"/>
        <v>2.0562397124182434E-3</v>
      </c>
      <c r="S107" s="2"/>
      <c r="T107" s="6">
        <v>47088.87</v>
      </c>
      <c r="U107" s="2"/>
      <c r="V107" s="7">
        <f t="shared" si="96"/>
        <v>7.2302197407251917E-3</v>
      </c>
      <c r="W107" s="2"/>
      <c r="X107" s="6">
        <f t="shared" si="97"/>
        <v>-46412.39</v>
      </c>
      <c r="Y107" s="2"/>
      <c r="Z107" s="7">
        <f t="shared" si="98"/>
        <v>-0.9856339725289649</v>
      </c>
    </row>
    <row r="108" spans="1:26" s="24" customFormat="1" hidden="1" outlineLevel="2" x14ac:dyDescent="0.25">
      <c r="A108" s="26"/>
      <c r="B108" s="11" t="str">
        <f>CONCATENATE("          ", "6239", " - ", "KITCHEN SUPPLIES")</f>
        <v xml:space="preserve">          6239 - KITCHEN SUPPLIES</v>
      </c>
      <c r="C108" s="11"/>
      <c r="D108" s="6"/>
      <c r="E108" s="2"/>
      <c r="F108" s="7">
        <f t="shared" si="91"/>
        <v>0</v>
      </c>
      <c r="G108" s="2"/>
      <c r="H108" s="6">
        <v>8084.83</v>
      </c>
      <c r="I108" s="2"/>
      <c r="J108" s="7">
        <f t="shared" si="92"/>
        <v>6.7533621696127914E-3</v>
      </c>
      <c r="K108" s="2"/>
      <c r="L108" s="6">
        <f t="shared" si="93"/>
        <v>-8084.83</v>
      </c>
      <c r="M108" s="2"/>
      <c r="N108" s="7">
        <f t="shared" si="94"/>
        <v>-1</v>
      </c>
      <c r="O108" s="11"/>
      <c r="P108" s="6">
        <v>19.829999999999998</v>
      </c>
      <c r="Q108" s="2"/>
      <c r="R108" s="7">
        <f t="shared" si="95"/>
        <v>6.0275593509421956E-5</v>
      </c>
      <c r="S108" s="2"/>
      <c r="T108" s="6">
        <v>43997.15</v>
      </c>
      <c r="U108" s="2"/>
      <c r="V108" s="7">
        <f t="shared" si="96"/>
        <v>6.7555042723609071E-3</v>
      </c>
      <c r="W108" s="2"/>
      <c r="X108" s="6">
        <f t="shared" si="97"/>
        <v>-43977.32</v>
      </c>
      <c r="Y108" s="2"/>
      <c r="Z108" s="7">
        <f t="shared" si="98"/>
        <v>-0.99954928898803663</v>
      </c>
    </row>
    <row r="109" spans="1:26" s="24" customFormat="1" hidden="1" outlineLevel="2" x14ac:dyDescent="0.25">
      <c r="A109" s="26"/>
      <c r="B109" s="11" t="str">
        <f>CONCATENATE("          ", "6241", " - ", "OFFICE EXPENSE")</f>
        <v xml:space="preserve">          6241 - OFFICE EXPENSE</v>
      </c>
      <c r="C109" s="11"/>
      <c r="D109" s="6">
        <v>82.73</v>
      </c>
      <c r="E109" s="2"/>
      <c r="F109" s="7">
        <f t="shared" si="91"/>
        <v>1.6508047997653397E-3</v>
      </c>
      <c r="G109" s="2"/>
      <c r="H109" s="6">
        <v>360.84</v>
      </c>
      <c r="I109" s="2"/>
      <c r="J109" s="7">
        <f t="shared" si="92"/>
        <v>3.0141427899944454E-4</v>
      </c>
      <c r="K109" s="2"/>
      <c r="L109" s="6">
        <f t="shared" si="93"/>
        <v>-278.10999999999996</v>
      </c>
      <c r="M109" s="2"/>
      <c r="N109" s="7">
        <f t="shared" si="94"/>
        <v>-0.77072940915641275</v>
      </c>
      <c r="O109" s="11"/>
      <c r="P109" s="6">
        <v>-28852.560000000001</v>
      </c>
      <c r="Q109" s="2"/>
      <c r="R109" s="7">
        <f t="shared" si="95"/>
        <v>-8.7700714990731607E-2</v>
      </c>
      <c r="S109" s="2"/>
      <c r="T109" s="6">
        <v>17802.72</v>
      </c>
      <c r="U109" s="2"/>
      <c r="V109" s="7">
        <f t="shared" si="96"/>
        <v>2.7335032159956944E-3</v>
      </c>
      <c r="W109" s="2"/>
      <c r="X109" s="6">
        <f t="shared" si="97"/>
        <v>-46655.28</v>
      </c>
      <c r="Y109" s="2"/>
      <c r="Z109" s="7">
        <f t="shared" si="98"/>
        <v>-2.6206826821968776</v>
      </c>
    </row>
    <row r="110" spans="1:26" s="24" customFormat="1" hidden="1" outlineLevel="2" x14ac:dyDescent="0.25">
      <c r="A110" s="26"/>
      <c r="B110" s="11" t="str">
        <f>CONCATENATE("          ", "6243", " - ", "PAPER SUPPLIES")</f>
        <v xml:space="preserve">          6243 - PAPER SUPPLIES</v>
      </c>
      <c r="C110" s="11"/>
      <c r="D110" s="6"/>
      <c r="E110" s="2"/>
      <c r="F110" s="7">
        <f t="shared" si="91"/>
        <v>0</v>
      </c>
      <c r="G110" s="2"/>
      <c r="H110" s="6">
        <v>4556.83</v>
      </c>
      <c r="I110" s="2"/>
      <c r="J110" s="7">
        <f t="shared" si="92"/>
        <v>3.8063785305759868E-3</v>
      </c>
      <c r="K110" s="2"/>
      <c r="L110" s="6">
        <f t="shared" si="93"/>
        <v>-4556.83</v>
      </c>
      <c r="M110" s="2"/>
      <c r="N110" s="7">
        <f t="shared" si="94"/>
        <v>-1</v>
      </c>
      <c r="O110" s="11"/>
      <c r="P110" s="6">
        <v>65.489999999999995</v>
      </c>
      <c r="Q110" s="2"/>
      <c r="R110" s="7">
        <f t="shared" si="95"/>
        <v>1.9906447901825737E-4</v>
      </c>
      <c r="S110" s="2"/>
      <c r="T110" s="6">
        <v>32198.899999999998</v>
      </c>
      <c r="U110" s="2"/>
      <c r="V110" s="7">
        <f t="shared" si="96"/>
        <v>4.9439521995247784E-3</v>
      </c>
      <c r="W110" s="2"/>
      <c r="X110" s="6">
        <f t="shared" si="97"/>
        <v>-32133.409999999996</v>
      </c>
      <c r="Y110" s="2"/>
      <c r="Z110" s="7">
        <f t="shared" si="98"/>
        <v>-0.99796607958656969</v>
      </c>
    </row>
    <row r="111" spans="1:26" s="24" customFormat="1" hidden="1" outlineLevel="2" x14ac:dyDescent="0.25">
      <c r="A111" s="26"/>
      <c r="B111" s="11" t="str">
        <f>CONCATENATE("          ", "6245", " - ", "PRINTING")</f>
        <v xml:space="preserve">          6245 - PRINTING</v>
      </c>
      <c r="C111" s="11"/>
      <c r="D111" s="6"/>
      <c r="E111" s="2"/>
      <c r="F111" s="7">
        <f t="shared" si="91"/>
        <v>0</v>
      </c>
      <c r="G111" s="2"/>
      <c r="H111" s="6"/>
      <c r="I111" s="2"/>
      <c r="J111" s="7">
        <f t="shared" si="92"/>
        <v>0</v>
      </c>
      <c r="K111" s="2"/>
      <c r="L111" s="6">
        <f t="shared" si="93"/>
        <v>0</v>
      </c>
      <c r="M111" s="2"/>
      <c r="N111" s="7">
        <f t="shared" si="94"/>
        <v>0</v>
      </c>
      <c r="O111" s="11"/>
      <c r="P111" s="6"/>
      <c r="Q111" s="2"/>
      <c r="R111" s="7">
        <f t="shared" si="95"/>
        <v>0</v>
      </c>
      <c r="S111" s="2"/>
      <c r="T111" s="6">
        <v>613.02</v>
      </c>
      <c r="U111" s="2"/>
      <c r="V111" s="7">
        <f t="shared" si="96"/>
        <v>9.4125624706206724E-5</v>
      </c>
      <c r="W111" s="2"/>
      <c r="X111" s="6">
        <f t="shared" si="97"/>
        <v>-613.02</v>
      </c>
      <c r="Y111" s="2"/>
      <c r="Z111" s="7">
        <f t="shared" si="98"/>
        <v>-1</v>
      </c>
    </row>
    <row r="112" spans="1:26" s="24" customFormat="1" hidden="1" outlineLevel="2" x14ac:dyDescent="0.25">
      <c r="A112" s="26"/>
      <c r="B112" s="11" t="str">
        <f>CONCATENATE("          ", "6246", " - ", "REPLACEMENTS")</f>
        <v xml:space="preserve">          6246 - REPLACEMENTS</v>
      </c>
      <c r="C112" s="11"/>
      <c r="D112" s="6"/>
      <c r="E112" s="2"/>
      <c r="F112" s="7">
        <f t="shared" si="91"/>
        <v>0</v>
      </c>
      <c r="G112" s="2"/>
      <c r="H112" s="6">
        <v>25.87</v>
      </c>
      <c r="I112" s="2"/>
      <c r="J112" s="7">
        <f t="shared" si="92"/>
        <v>2.1609542727290853E-5</v>
      </c>
      <c r="K112" s="2"/>
      <c r="L112" s="6">
        <f t="shared" si="93"/>
        <v>-25.87</v>
      </c>
      <c r="M112" s="2"/>
      <c r="N112" s="7">
        <f t="shared" si="94"/>
        <v>-1</v>
      </c>
      <c r="O112" s="11"/>
      <c r="P112" s="6"/>
      <c r="Q112" s="2"/>
      <c r="R112" s="7">
        <f t="shared" si="95"/>
        <v>0</v>
      </c>
      <c r="S112" s="2"/>
      <c r="T112" s="6">
        <v>25.87</v>
      </c>
      <c r="U112" s="2"/>
      <c r="V112" s="7">
        <f t="shared" si="96"/>
        <v>3.972186733140139E-6</v>
      </c>
      <c r="W112" s="2"/>
      <c r="X112" s="6">
        <f t="shared" si="97"/>
        <v>-25.87</v>
      </c>
      <c r="Y112" s="2"/>
      <c r="Z112" s="7">
        <f t="shared" si="98"/>
        <v>-1</v>
      </c>
    </row>
    <row r="113" spans="1:26" s="24" customFormat="1" hidden="1" outlineLevel="2" x14ac:dyDescent="0.25">
      <c r="A113" s="26"/>
      <c r="B113" s="11" t="str">
        <f>CONCATENATE("          ", "6247", " - ", "STORE SUPPLIES")</f>
        <v xml:space="preserve">          6247 - STORE SUPPLIES</v>
      </c>
      <c r="C113" s="11"/>
      <c r="D113" s="6"/>
      <c r="E113" s="2"/>
      <c r="F113" s="7">
        <f t="shared" si="91"/>
        <v>0</v>
      </c>
      <c r="G113" s="2"/>
      <c r="H113" s="6">
        <v>8413.7000000000007</v>
      </c>
      <c r="I113" s="2"/>
      <c r="J113" s="7">
        <f t="shared" si="92"/>
        <v>7.0280714976655228E-3</v>
      </c>
      <c r="K113" s="2"/>
      <c r="L113" s="6">
        <f t="shared" si="93"/>
        <v>-8413.7000000000007</v>
      </c>
      <c r="M113" s="2"/>
      <c r="N113" s="7">
        <f t="shared" si="94"/>
        <v>-1</v>
      </c>
      <c r="O113" s="11"/>
      <c r="P113" s="6">
        <v>121.28</v>
      </c>
      <c r="Q113" s="2"/>
      <c r="R113" s="7">
        <f t="shared" si="95"/>
        <v>3.6864467881102849E-4</v>
      </c>
      <c r="S113" s="2"/>
      <c r="T113" s="6">
        <v>41753.369999999995</v>
      </c>
      <c r="U113" s="2"/>
      <c r="V113" s="7">
        <f t="shared" si="96"/>
        <v>6.4109850165400646E-3</v>
      </c>
      <c r="W113" s="2"/>
      <c r="X113" s="6">
        <f t="shared" si="97"/>
        <v>-41632.089999999997</v>
      </c>
      <c r="Y113" s="2"/>
      <c r="Z113" s="7">
        <f t="shared" si="98"/>
        <v>-0.99709532428160896</v>
      </c>
    </row>
    <row r="114" spans="1:26" s="24" customFormat="1" hidden="1" outlineLevel="2" x14ac:dyDescent="0.25">
      <c r="A114" s="26"/>
      <c r="B114" s="11" t="str">
        <f>CONCATENATE("          ", "6248", " - ", "UNIFORMS")</f>
        <v xml:space="preserve">          6248 - UNIFORMS</v>
      </c>
      <c r="C114" s="11"/>
      <c r="D114" s="6"/>
      <c r="E114" s="2"/>
      <c r="F114" s="7">
        <f t="shared" si="91"/>
        <v>0</v>
      </c>
      <c r="G114" s="2"/>
      <c r="H114" s="6">
        <v>458.07</v>
      </c>
      <c r="I114" s="2"/>
      <c r="J114" s="7">
        <f t="shared" si="92"/>
        <v>3.8263174476575653E-4</v>
      </c>
      <c r="K114" s="2"/>
      <c r="L114" s="6">
        <f t="shared" si="93"/>
        <v>-458.07</v>
      </c>
      <c r="M114" s="2"/>
      <c r="N114" s="7">
        <f t="shared" si="94"/>
        <v>-1</v>
      </c>
      <c r="O114" s="11"/>
      <c r="P114" s="6"/>
      <c r="Q114" s="2"/>
      <c r="R114" s="7">
        <f t="shared" si="95"/>
        <v>0</v>
      </c>
      <c r="S114" s="2"/>
      <c r="T114" s="6">
        <v>4340.7700000000004</v>
      </c>
      <c r="U114" s="2"/>
      <c r="V114" s="7">
        <f t="shared" si="96"/>
        <v>6.6649976828808363E-4</v>
      </c>
      <c r="W114" s="2"/>
      <c r="X114" s="6">
        <f t="shared" si="97"/>
        <v>-4340.7700000000004</v>
      </c>
      <c r="Y114" s="2"/>
      <c r="Z114" s="7">
        <f t="shared" si="98"/>
        <v>-1</v>
      </c>
    </row>
    <row r="115" spans="1:26" s="25" customFormat="1" outlineLevel="1" collapsed="1" x14ac:dyDescent="0.25">
      <c r="A115" s="27"/>
      <c r="B115" s="13" t="str">
        <f>CONCATENATE("     ","Telephone/Data Lines                              ")</f>
        <v xml:space="preserve">     Telephone/Data Lines                              </v>
      </c>
      <c r="C115" s="13"/>
      <c r="D115" s="1">
        <f>SUM(OSRRefD22_21x_0)</f>
        <v>323.79000000000002</v>
      </c>
      <c r="E115" s="1"/>
      <c r="F115" s="5">
        <f t="shared" ref="F115:F122" si="99">IF(D$12=0,0,D115/D$12)</f>
        <v>6.4609462844919538E-3</v>
      </c>
      <c r="G115" s="1"/>
      <c r="H115" s="1">
        <f>SUM(OSRRefH22_21x_0)</f>
        <v>2005.01</v>
      </c>
      <c r="I115" s="1"/>
      <c r="J115" s="5">
        <f t="shared" ref="J115:J122" si="100">IF(H$12=0,0,H115/H$12)</f>
        <v>1.6748105629549839E-3</v>
      </c>
      <c r="K115" s="1"/>
      <c r="L115" s="1">
        <f t="shared" ref="L115:L122" si="101">+D115-H115</f>
        <v>-1681.22</v>
      </c>
      <c r="M115" s="1"/>
      <c r="N115" s="5">
        <f t="shared" ref="N115:N122" si="102">IF(H115=0,0,L115/H115)</f>
        <v>-0.83850953361828617</v>
      </c>
      <c r="O115" s="13"/>
      <c r="P115" s="1">
        <f>SUM(OSRRefP22_21x_0)</f>
        <v>8208.85</v>
      </c>
      <c r="Q115" s="1"/>
      <c r="R115" s="5">
        <f t="shared" ref="R115:R122" si="103">IF(P$12=0,0,P115/P$12)</f>
        <v>2.4951755208261144E-2</v>
      </c>
      <c r="S115" s="1"/>
      <c r="T115" s="1">
        <f>SUM(OSRRefT22_21x_0)</f>
        <v>17856.66</v>
      </c>
      <c r="U115" s="1"/>
      <c r="V115" s="5">
        <f t="shared" ref="V115:V122" si="104">IF(T$12=0,0,T115/T$12)</f>
        <v>2.7417853865556317E-3</v>
      </c>
      <c r="W115" s="1"/>
      <c r="X115" s="1">
        <f t="shared" ref="X115:X122" si="105">+P115-T115</f>
        <v>-9647.81</v>
      </c>
      <c r="Y115" s="1"/>
      <c r="Z115" s="5">
        <f t="shared" ref="Z115:Z122" si="106">IF(T115=0,0,X115/T115)</f>
        <v>-0.54029196949485514</v>
      </c>
    </row>
    <row r="116" spans="1:26" s="24" customFormat="1" hidden="1" outlineLevel="2" x14ac:dyDescent="0.25">
      <c r="A116" s="26"/>
      <c r="B116" s="11" t="str">
        <f>CONCATENATE("          ", "6309", " - ", "TELEPHONE")</f>
        <v xml:space="preserve">          6309 - TELEPHONE</v>
      </c>
      <c r="C116" s="11"/>
      <c r="D116" s="6">
        <v>323.79000000000002</v>
      </c>
      <c r="E116" s="2"/>
      <c r="F116" s="7">
        <f t="shared" si="99"/>
        <v>6.4609462844919538E-3</v>
      </c>
      <c r="G116" s="2"/>
      <c r="H116" s="6">
        <v>2005.01</v>
      </c>
      <c r="I116" s="2"/>
      <c r="J116" s="7">
        <f t="shared" si="100"/>
        <v>1.6748105629549839E-3</v>
      </c>
      <c r="K116" s="2"/>
      <c r="L116" s="6">
        <f t="shared" si="101"/>
        <v>-1681.22</v>
      </c>
      <c r="M116" s="2"/>
      <c r="N116" s="7">
        <f t="shared" si="102"/>
        <v>-0.83850953361828617</v>
      </c>
      <c r="O116" s="11"/>
      <c r="P116" s="6">
        <v>8208.85</v>
      </c>
      <c r="Q116" s="2"/>
      <c r="R116" s="7">
        <f t="shared" si="103"/>
        <v>2.4951755208261144E-2</v>
      </c>
      <c r="S116" s="2"/>
      <c r="T116" s="6">
        <v>17856.66</v>
      </c>
      <c r="U116" s="2"/>
      <c r="V116" s="7">
        <f t="shared" si="104"/>
        <v>2.7417853865556317E-3</v>
      </c>
      <c r="W116" s="2"/>
      <c r="X116" s="6">
        <f t="shared" si="105"/>
        <v>-9647.81</v>
      </c>
      <c r="Y116" s="2"/>
      <c r="Z116" s="7">
        <f t="shared" si="106"/>
        <v>-0.54029196949485514</v>
      </c>
    </row>
    <row r="117" spans="1:26" s="25" customFormat="1" outlineLevel="1" collapsed="1" x14ac:dyDescent="0.25">
      <c r="A117" s="27"/>
      <c r="B117" s="13" t="str">
        <f>CONCATENATE("     ","Training                                          ")</f>
        <v xml:space="preserve">     Training                                          </v>
      </c>
      <c r="C117" s="13"/>
      <c r="D117" s="1">
        <f>SUM(OSRRefD22_22x_0)</f>
        <v>0</v>
      </c>
      <c r="E117" s="1"/>
      <c r="F117" s="5">
        <f t="shared" si="99"/>
        <v>0</v>
      </c>
      <c r="G117" s="1"/>
      <c r="H117" s="1">
        <f>SUM(OSRRefH22_22x_0)</f>
        <v>105.51</v>
      </c>
      <c r="I117" s="1"/>
      <c r="J117" s="5">
        <f t="shared" si="100"/>
        <v>8.8133855939561583E-5</v>
      </c>
      <c r="K117" s="1"/>
      <c r="L117" s="1">
        <f t="shared" si="101"/>
        <v>-105.51</v>
      </c>
      <c r="M117" s="1"/>
      <c r="N117" s="5">
        <f t="shared" si="102"/>
        <v>-1</v>
      </c>
      <c r="O117" s="13"/>
      <c r="P117" s="1">
        <f>SUM(OSRRefP22_22x_0)</f>
        <v>400</v>
      </c>
      <c r="Q117" s="1"/>
      <c r="R117" s="5">
        <f t="shared" si="103"/>
        <v>1.2158465659994344E-3</v>
      </c>
      <c r="S117" s="1"/>
      <c r="T117" s="1">
        <f>SUM(OSRRefT22_22x_0)</f>
        <v>2013.01</v>
      </c>
      <c r="U117" s="1"/>
      <c r="V117" s="5">
        <f t="shared" si="104"/>
        <v>3.0908587613755049E-4</v>
      </c>
      <c r="W117" s="1"/>
      <c r="X117" s="1">
        <f t="shared" si="105"/>
        <v>-1613.01</v>
      </c>
      <c r="Y117" s="1"/>
      <c r="Z117" s="5">
        <f t="shared" si="106"/>
        <v>-0.80129259169104972</v>
      </c>
    </row>
    <row r="118" spans="1:26" s="24" customFormat="1" hidden="1" outlineLevel="2" x14ac:dyDescent="0.25">
      <c r="A118" s="26"/>
      <c r="B118" s="11" t="str">
        <f>CONCATENATE("          ", "6376", " - ", "TRAINING")</f>
        <v xml:space="preserve">          6376 - TRAINING</v>
      </c>
      <c r="C118" s="11"/>
      <c r="D118" s="6"/>
      <c r="E118" s="2"/>
      <c r="F118" s="7">
        <f t="shared" si="99"/>
        <v>0</v>
      </c>
      <c r="G118" s="2"/>
      <c r="H118" s="6">
        <v>105.51</v>
      </c>
      <c r="I118" s="2"/>
      <c r="J118" s="7">
        <f t="shared" si="100"/>
        <v>8.8133855939561583E-5</v>
      </c>
      <c r="K118" s="2"/>
      <c r="L118" s="6">
        <f t="shared" si="101"/>
        <v>-105.51</v>
      </c>
      <c r="M118" s="2"/>
      <c r="N118" s="7">
        <f t="shared" si="102"/>
        <v>-1</v>
      </c>
      <c r="O118" s="11"/>
      <c r="P118" s="6">
        <v>400</v>
      </c>
      <c r="Q118" s="2"/>
      <c r="R118" s="7">
        <f t="shared" si="103"/>
        <v>1.2158465659994344E-3</v>
      </c>
      <c r="S118" s="2"/>
      <c r="T118" s="6">
        <v>2013.01</v>
      </c>
      <c r="U118" s="2"/>
      <c r="V118" s="7">
        <f t="shared" si="104"/>
        <v>3.0908587613755049E-4</v>
      </c>
      <c r="W118" s="2"/>
      <c r="X118" s="6">
        <f t="shared" si="105"/>
        <v>-1613.01</v>
      </c>
      <c r="Y118" s="2"/>
      <c r="Z118" s="7">
        <f t="shared" si="106"/>
        <v>-0.80129259169104972</v>
      </c>
    </row>
    <row r="119" spans="1:26" s="25" customFormat="1" outlineLevel="1" collapsed="1" x14ac:dyDescent="0.25">
      <c r="A119" s="27"/>
      <c r="B119" s="13" t="str">
        <f>CONCATENATE("     ","Travel                                            ")</f>
        <v xml:space="preserve">     Travel                                            </v>
      </c>
      <c r="C119" s="13"/>
      <c r="D119" s="1">
        <f>SUM(OSRRefD22_23x_0)</f>
        <v>0</v>
      </c>
      <c r="E119" s="1"/>
      <c r="F119" s="5">
        <f t="shared" si="99"/>
        <v>0</v>
      </c>
      <c r="G119" s="1"/>
      <c r="H119" s="1">
        <f>SUM(OSRRefH22_23x_0)</f>
        <v>145.49</v>
      </c>
      <c r="I119" s="1"/>
      <c r="J119" s="5">
        <f t="shared" si="100"/>
        <v>1.2152966259735393E-4</v>
      </c>
      <c r="K119" s="1"/>
      <c r="L119" s="1">
        <f t="shared" si="101"/>
        <v>-145.49</v>
      </c>
      <c r="M119" s="1"/>
      <c r="N119" s="5">
        <f t="shared" si="102"/>
        <v>-1</v>
      </c>
      <c r="O119" s="13"/>
      <c r="P119" s="1">
        <f>SUM(OSRRefP22_23x_0)</f>
        <v>332.21</v>
      </c>
      <c r="Q119" s="1"/>
      <c r="R119" s="5">
        <f t="shared" si="103"/>
        <v>1.0097909692266802E-3</v>
      </c>
      <c r="S119" s="1"/>
      <c r="T119" s="1">
        <f>SUM(OSRRefT22_23x_0)</f>
        <v>3214.8399999999997</v>
      </c>
      <c r="U119" s="1"/>
      <c r="V119" s="5">
        <f t="shared" si="104"/>
        <v>4.9361982207840138E-4</v>
      </c>
      <c r="W119" s="1"/>
      <c r="X119" s="1">
        <f t="shared" si="105"/>
        <v>-2882.6299999999997</v>
      </c>
      <c r="Y119" s="1"/>
      <c r="Z119" s="5">
        <f t="shared" si="106"/>
        <v>-0.89666359756628633</v>
      </c>
    </row>
    <row r="120" spans="1:26" s="24" customFormat="1" hidden="1" outlineLevel="2" x14ac:dyDescent="0.25">
      <c r="A120" s="26"/>
      <c r="B120" s="11" t="str">
        <f>CONCATENATE("          ", "6292", " - ", "TRAVEL/CONFERENCE")</f>
        <v xml:space="preserve">          6292 - TRAVEL/CONFERENCE</v>
      </c>
      <c r="C120" s="11"/>
      <c r="D120" s="6"/>
      <c r="E120" s="2"/>
      <c r="F120" s="7">
        <f t="shared" si="99"/>
        <v>0</v>
      </c>
      <c r="G120" s="2"/>
      <c r="H120" s="6">
        <v>88.83</v>
      </c>
      <c r="I120" s="2"/>
      <c r="J120" s="7">
        <f t="shared" si="100"/>
        <v>7.4200838054319532E-5</v>
      </c>
      <c r="K120" s="2"/>
      <c r="L120" s="6">
        <f t="shared" si="101"/>
        <v>-88.83</v>
      </c>
      <c r="M120" s="2"/>
      <c r="N120" s="7">
        <f t="shared" si="102"/>
        <v>-1</v>
      </c>
      <c r="O120" s="11"/>
      <c r="P120" s="6"/>
      <c r="Q120" s="2"/>
      <c r="R120" s="7">
        <f t="shared" si="103"/>
        <v>0</v>
      </c>
      <c r="S120" s="2"/>
      <c r="T120" s="6">
        <v>2235.87</v>
      </c>
      <c r="U120" s="2"/>
      <c r="V120" s="7">
        <f t="shared" si="104"/>
        <v>3.433047217250113E-4</v>
      </c>
      <c r="W120" s="2"/>
      <c r="X120" s="6">
        <f t="shared" si="105"/>
        <v>-2235.87</v>
      </c>
      <c r="Y120" s="2"/>
      <c r="Z120" s="7">
        <f t="shared" si="106"/>
        <v>-1</v>
      </c>
    </row>
    <row r="121" spans="1:26" s="24" customFormat="1" hidden="1" outlineLevel="2" x14ac:dyDescent="0.25">
      <c r="A121" s="26"/>
      <c r="B121" s="11" t="str">
        <f>CONCATENATE("          ", "6294", " - ", "TRAVEL OPERATIONAL")</f>
        <v xml:space="preserve">          6294 - TRAVEL OPERATIONAL</v>
      </c>
      <c r="C121" s="11"/>
      <c r="D121" s="6"/>
      <c r="E121" s="2"/>
      <c r="F121" s="7">
        <f t="shared" si="99"/>
        <v>0</v>
      </c>
      <c r="G121" s="2"/>
      <c r="H121" s="6"/>
      <c r="I121" s="2"/>
      <c r="J121" s="7">
        <f t="shared" si="100"/>
        <v>0</v>
      </c>
      <c r="K121" s="2"/>
      <c r="L121" s="6">
        <f t="shared" si="101"/>
        <v>0</v>
      </c>
      <c r="M121" s="2"/>
      <c r="N121" s="7">
        <f t="shared" si="102"/>
        <v>0</v>
      </c>
      <c r="O121" s="11"/>
      <c r="P121" s="6"/>
      <c r="Q121" s="2"/>
      <c r="R121" s="7">
        <f t="shared" si="103"/>
        <v>0</v>
      </c>
      <c r="S121" s="2"/>
      <c r="T121" s="6">
        <v>45.49</v>
      </c>
      <c r="U121" s="2"/>
      <c r="V121" s="7">
        <f t="shared" si="104"/>
        <v>6.9847226320272484E-6</v>
      </c>
      <c r="W121" s="2"/>
      <c r="X121" s="6">
        <f t="shared" si="105"/>
        <v>-45.49</v>
      </c>
      <c r="Y121" s="2"/>
      <c r="Z121" s="7">
        <f t="shared" si="106"/>
        <v>-1</v>
      </c>
    </row>
    <row r="122" spans="1:26" s="24" customFormat="1" hidden="1" outlineLevel="2" x14ac:dyDescent="0.25">
      <c r="A122" s="26"/>
      <c r="B122" s="11" t="str">
        <f>CONCATENATE("          ", "6298", " - ", "VEHICLE MILEAGE")</f>
        <v xml:space="preserve">          6298 - VEHICLE MILEAGE</v>
      </c>
      <c r="C122" s="11"/>
      <c r="D122" s="6"/>
      <c r="E122" s="2"/>
      <c r="F122" s="7">
        <f t="shared" si="99"/>
        <v>0</v>
      </c>
      <c r="G122" s="2"/>
      <c r="H122" s="6">
        <v>56.66</v>
      </c>
      <c r="I122" s="2"/>
      <c r="J122" s="7">
        <f t="shared" si="100"/>
        <v>4.7328824543034387E-5</v>
      </c>
      <c r="K122" s="2"/>
      <c r="L122" s="6">
        <f t="shared" si="101"/>
        <v>-56.66</v>
      </c>
      <c r="M122" s="2"/>
      <c r="N122" s="7">
        <f t="shared" si="102"/>
        <v>-1</v>
      </c>
      <c r="O122" s="11"/>
      <c r="P122" s="6">
        <v>332.21</v>
      </c>
      <c r="Q122" s="2"/>
      <c r="R122" s="7">
        <f t="shared" si="103"/>
        <v>1.0097909692266802E-3</v>
      </c>
      <c r="S122" s="2"/>
      <c r="T122" s="6">
        <v>933.48</v>
      </c>
      <c r="U122" s="2"/>
      <c r="V122" s="7">
        <f t="shared" si="104"/>
        <v>1.4333037772136284E-4</v>
      </c>
      <c r="W122" s="2"/>
      <c r="X122" s="6">
        <f t="shared" si="105"/>
        <v>-601.27</v>
      </c>
      <c r="Y122" s="2"/>
      <c r="Z122" s="7">
        <f t="shared" si="106"/>
        <v>-0.64411663881390069</v>
      </c>
    </row>
    <row r="123" spans="1:26" s="25" customFormat="1" outlineLevel="1" collapsed="1" x14ac:dyDescent="0.25">
      <c r="A123" s="27"/>
      <c r="B123" s="13" t="str">
        <f>CONCATENATE("     ","Utilities                                         ")</f>
        <v xml:space="preserve">     Utilities                                         </v>
      </c>
      <c r="C123" s="13"/>
      <c r="D123" s="1">
        <f>SUM(OSRRefD22_24x_0)</f>
        <v>4796</v>
      </c>
      <c r="E123" s="1"/>
      <c r="F123" s="5">
        <f t="shared" ref="F123:F124" si="107">IF(D$12=0,0,D123/D$12)</f>
        <v>9.5699985732800294E-2</v>
      </c>
      <c r="G123" s="1"/>
      <c r="H123" s="1">
        <f>SUM(OSRRefH22_24x_0)</f>
        <v>16709</v>
      </c>
      <c r="I123" s="1"/>
      <c r="J123" s="5">
        <f t="shared" ref="J123:J124" si="108">IF(H$12=0,0,H123/H$12)</f>
        <v>1.3957241957104865E-2</v>
      </c>
      <c r="K123" s="1"/>
      <c r="L123" s="1">
        <f t="shared" ref="L123:L124" si="109">+D123-H123</f>
        <v>-11913</v>
      </c>
      <c r="M123" s="1"/>
      <c r="N123" s="5">
        <f t="shared" ref="N123:N124" si="110">IF(H123=0,0,L123/H123)</f>
        <v>-0.71296905859117843</v>
      </c>
      <c r="O123" s="13"/>
      <c r="P123" s="1">
        <f>SUM(OSRRefP22_24x_0)</f>
        <v>14142</v>
      </c>
      <c r="Q123" s="1"/>
      <c r="R123" s="5">
        <f t="shared" ref="R123:R124" si="111">IF(P$12=0,0,P123/P$12)</f>
        <v>4.2986255340910003E-2</v>
      </c>
      <c r="S123" s="1"/>
      <c r="T123" s="1">
        <f>SUM(OSRRefT22_24x_0)</f>
        <v>135734.12</v>
      </c>
      <c r="U123" s="1"/>
      <c r="V123" s="5">
        <f t="shared" ref="V123:V124" si="112">IF(T$12=0,0,T123/T$12)</f>
        <v>2.0841177839136124E-2</v>
      </c>
      <c r="W123" s="1"/>
      <c r="X123" s="1">
        <f t="shared" ref="X123:X124" si="113">+P123-T123</f>
        <v>-121592.12</v>
      </c>
      <c r="Y123" s="1"/>
      <c r="Z123" s="5">
        <f t="shared" ref="Z123:Z124" si="114">IF(T123=0,0,X123/T123)</f>
        <v>-0.89581101641945293</v>
      </c>
    </row>
    <row r="124" spans="1:26" s="24" customFormat="1" hidden="1" outlineLevel="2" x14ac:dyDescent="0.25">
      <c r="A124" s="26"/>
      <c r="B124" s="11" t="str">
        <f>CONCATENATE("          ", "6274", " - ", "UTILITIES")</f>
        <v xml:space="preserve">          6274 - UTILITIES</v>
      </c>
      <c r="C124" s="11"/>
      <c r="D124" s="6">
        <v>4796</v>
      </c>
      <c r="E124" s="2"/>
      <c r="F124" s="7">
        <f t="shared" si="107"/>
        <v>9.5699985732800294E-2</v>
      </c>
      <c r="G124" s="2"/>
      <c r="H124" s="6">
        <v>16709</v>
      </c>
      <c r="I124" s="2"/>
      <c r="J124" s="7">
        <f t="shared" si="108"/>
        <v>1.3957241957104865E-2</v>
      </c>
      <c r="K124" s="2"/>
      <c r="L124" s="6">
        <f t="shared" si="109"/>
        <v>-11913</v>
      </c>
      <c r="M124" s="2"/>
      <c r="N124" s="7">
        <f t="shared" si="110"/>
        <v>-0.71296905859117843</v>
      </c>
      <c r="O124" s="11"/>
      <c r="P124" s="6">
        <v>14142</v>
      </c>
      <c r="Q124" s="2"/>
      <c r="R124" s="7">
        <f t="shared" si="111"/>
        <v>4.2986255340910003E-2</v>
      </c>
      <c r="S124" s="2"/>
      <c r="T124" s="6">
        <v>135734.12</v>
      </c>
      <c r="U124" s="2"/>
      <c r="V124" s="7">
        <f t="shared" si="112"/>
        <v>2.0841177839136124E-2</v>
      </c>
      <c r="W124" s="2"/>
      <c r="X124" s="6">
        <f t="shared" si="113"/>
        <v>-121592.12</v>
      </c>
      <c r="Y124" s="2"/>
      <c r="Z124" s="7">
        <f t="shared" si="114"/>
        <v>-0.89581101641945293</v>
      </c>
    </row>
    <row r="125" spans="1:26" s="52" customFormat="1" x14ac:dyDescent="0.25">
      <c r="A125" s="37"/>
      <c r="B125" s="37"/>
      <c r="C125" s="37"/>
      <c r="D125" s="1"/>
      <c r="E125" s="1"/>
      <c r="F125" s="5"/>
      <c r="G125" s="1"/>
      <c r="H125" s="1"/>
      <c r="I125" s="1"/>
      <c r="J125" s="5"/>
      <c r="K125" s="1"/>
      <c r="L125" s="1"/>
      <c r="M125" s="1"/>
      <c r="N125" s="5"/>
      <c r="O125" s="37"/>
      <c r="P125" s="1"/>
      <c r="Q125" s="1"/>
      <c r="R125" s="5"/>
      <c r="S125" s="1"/>
      <c r="T125" s="1"/>
      <c r="U125" s="1"/>
      <c r="V125" s="5"/>
      <c r="W125" s="1"/>
      <c r="X125" s="1"/>
      <c r="Y125" s="1"/>
      <c r="Z125" s="5"/>
    </row>
    <row r="126" spans="1:26" s="23" customFormat="1" collapsed="1" x14ac:dyDescent="0.25">
      <c r="A126" s="10"/>
      <c r="B126" s="28" t="s">
        <v>0</v>
      </c>
      <c r="C126" s="10"/>
      <c r="D126" s="4">
        <f>SUM(OSRRefD25x_0)</f>
        <v>1400.8799999999999</v>
      </c>
      <c r="E126" s="4"/>
      <c r="F126" s="12">
        <f t="shared" ref="F126:F129" si="115">IF(D$12=0,0,D126/D$12)</f>
        <v>2.7953335282186253E-2</v>
      </c>
      <c r="G126" s="4"/>
      <c r="H126" s="4">
        <f>SUM(OSRRefH25x_0)</f>
        <v>26842.02</v>
      </c>
      <c r="I126" s="4"/>
      <c r="J126" s="12">
        <f t="shared" ref="J126:J129" si="116">IF(H$12=0,0,H126/H$12)</f>
        <v>2.2421483497363573E-2</v>
      </c>
      <c r="K126" s="4"/>
      <c r="L126" s="4">
        <f t="shared" ref="L126:L129" si="117">+D126-H126</f>
        <v>-25441.14</v>
      </c>
      <c r="M126" s="4"/>
      <c r="N126" s="12">
        <f t="shared" ref="N126:N129" si="118">IF(H126=0,0,L126/H126)</f>
        <v>-0.9478101871617709</v>
      </c>
      <c r="O126" s="10"/>
      <c r="P126" s="4">
        <f>SUM(OSRRefP25x_0)</f>
        <v>17749.219999999998</v>
      </c>
      <c r="Q126" s="4"/>
      <c r="R126" s="12">
        <f t="shared" ref="R126:R129" si="119">IF(P$12=0,0,P126/P$12)</f>
        <v>5.3950820465421191E-2</v>
      </c>
      <c r="S126" s="4"/>
      <c r="T126" s="4">
        <f>SUM(OSRRefT25x_0)</f>
        <v>606786.93999999994</v>
      </c>
      <c r="U126" s="4"/>
      <c r="V126" s="12">
        <f t="shared" ref="V126:V129" si="120">IF(T$12=0,0,T126/T$12)</f>
        <v>9.316857490957485E-2</v>
      </c>
      <c r="W126" s="4"/>
      <c r="X126" s="4">
        <f t="shared" ref="X126:X129" si="121">+P126-T126</f>
        <v>-589037.72</v>
      </c>
      <c r="Y126" s="4"/>
      <c r="Z126" s="12">
        <f t="shared" ref="Z126:Z129" si="122">IF(T126=0,0,X126/T126)</f>
        <v>-0.97074884307826403</v>
      </c>
    </row>
    <row r="127" spans="1:26" s="24" customFormat="1" hidden="1" outlineLevel="1" x14ac:dyDescent="0.25">
      <c r="A127" s="44"/>
      <c r="B127" s="11" t="str">
        <f>CONCATENATE("          ", "9150", " - ", "MISC. INCOME")</f>
        <v xml:space="preserve">          9150 - MISC. INCOME</v>
      </c>
      <c r="C127" s="11"/>
      <c r="D127" s="2">
        <f>0</f>
        <v>0</v>
      </c>
      <c r="E127" s="2"/>
      <c r="F127" s="19">
        <f t="shared" si="115"/>
        <v>0</v>
      </c>
      <c r="G127" s="2"/>
      <c r="H127" s="2">
        <f>--17750.66</f>
        <v>17750.66</v>
      </c>
      <c r="I127" s="2"/>
      <c r="J127" s="19">
        <f t="shared" si="116"/>
        <v>1.4827353912161292E-2</v>
      </c>
      <c r="K127" s="2"/>
      <c r="L127" s="2">
        <f t="shared" si="117"/>
        <v>-17750.66</v>
      </c>
      <c r="M127" s="2"/>
      <c r="N127" s="19">
        <f t="shared" si="118"/>
        <v>-1</v>
      </c>
      <c r="O127" s="11"/>
      <c r="P127" s="2">
        <f>--1728.05</f>
        <v>1728.05</v>
      </c>
      <c r="Q127" s="2"/>
      <c r="R127" s="19">
        <f t="shared" si="119"/>
        <v>5.2526091459383067E-3</v>
      </c>
      <c r="S127" s="2"/>
      <c r="T127" s="2">
        <f>--247882.52</f>
        <v>247882.52</v>
      </c>
      <c r="U127" s="2"/>
      <c r="V127" s="19">
        <f t="shared" si="120"/>
        <v>3.8060906738358914E-2</v>
      </c>
      <c r="W127" s="2"/>
      <c r="X127" s="2">
        <f t="shared" si="121"/>
        <v>-246154.47</v>
      </c>
      <c r="Y127" s="2"/>
      <c r="Z127" s="19">
        <f t="shared" si="122"/>
        <v>-0.99302875410496882</v>
      </c>
    </row>
    <row r="128" spans="1:26" s="24" customFormat="1" hidden="1" outlineLevel="1" x14ac:dyDescent="0.25">
      <c r="A128" s="44"/>
      <c r="B128" s="11" t="str">
        <f>CONCATENATE("          ", "9160", " - ", "MISC. INCOME")</f>
        <v xml:space="preserve">          9160 - MISC. INCOME</v>
      </c>
      <c r="C128" s="11"/>
      <c r="D128" s="2">
        <f>--364.79</f>
        <v>364.79</v>
      </c>
      <c r="E128" s="2"/>
      <c r="F128" s="19">
        <f t="shared" si="115"/>
        <v>7.2790654285796964E-3</v>
      </c>
      <c r="G128" s="2"/>
      <c r="H128" s="2">
        <f>--7692.32</f>
        <v>7692.32</v>
      </c>
      <c r="I128" s="2"/>
      <c r="J128" s="19">
        <f t="shared" si="116"/>
        <v>6.4254935335134895E-3</v>
      </c>
      <c r="K128" s="2"/>
      <c r="L128" s="2">
        <f t="shared" si="117"/>
        <v>-7327.53</v>
      </c>
      <c r="M128" s="2"/>
      <c r="N128" s="19">
        <f t="shared" si="118"/>
        <v>-0.95257737587619862</v>
      </c>
      <c r="O128" s="11"/>
      <c r="P128" s="2">
        <f>--12882.96</f>
        <v>12882.96</v>
      </c>
      <c r="Q128" s="2"/>
      <c r="R128" s="19">
        <f t="shared" si="119"/>
        <v>3.9159256689770182E-2</v>
      </c>
      <c r="S128" s="2"/>
      <c r="T128" s="2">
        <f>--130089.32</f>
        <v>130089.32</v>
      </c>
      <c r="U128" s="2"/>
      <c r="V128" s="19">
        <f t="shared" si="120"/>
        <v>1.9974451914465487E-2</v>
      </c>
      <c r="W128" s="2"/>
      <c r="X128" s="2">
        <f t="shared" si="121"/>
        <v>-117206.36000000002</v>
      </c>
      <c r="Y128" s="2"/>
      <c r="Z128" s="19">
        <f t="shared" si="122"/>
        <v>-0.90096835005364018</v>
      </c>
    </row>
    <row r="129" spans="1:26" s="24" customFormat="1" hidden="1" outlineLevel="1" x14ac:dyDescent="0.25">
      <c r="A129" s="44"/>
      <c r="B129" s="11" t="str">
        <f>CONCATENATE("          ", "9165", " - ", "OTHER INCOME")</f>
        <v xml:space="preserve">          9165 - OTHER INCOME</v>
      </c>
      <c r="C129" s="11"/>
      <c r="D129" s="2">
        <f>--1036.09</f>
        <v>1036.0899999999999</v>
      </c>
      <c r="E129" s="2"/>
      <c r="F129" s="19">
        <f t="shared" si="115"/>
        <v>2.0674269853606559E-2</v>
      </c>
      <c r="G129" s="2"/>
      <c r="H129" s="2">
        <f>--1399.04</f>
        <v>1399.04</v>
      </c>
      <c r="I129" s="2"/>
      <c r="J129" s="19">
        <f t="shared" si="116"/>
        <v>1.1686360516887898E-3</v>
      </c>
      <c r="K129" s="2"/>
      <c r="L129" s="2">
        <f t="shared" si="117"/>
        <v>-362.95000000000005</v>
      </c>
      <c r="M129" s="2"/>
      <c r="N129" s="19">
        <f t="shared" si="118"/>
        <v>-0.25942789341262584</v>
      </c>
      <c r="O129" s="11"/>
      <c r="P129" s="2">
        <f>--3138.21</f>
        <v>3138.21</v>
      </c>
      <c r="Q129" s="2"/>
      <c r="R129" s="19">
        <f t="shared" si="119"/>
        <v>9.5389546297127131E-3</v>
      </c>
      <c r="S129" s="2"/>
      <c r="T129" s="2">
        <f>--228815.1</f>
        <v>228815.1</v>
      </c>
      <c r="U129" s="2"/>
      <c r="V129" s="19">
        <f t="shared" si="120"/>
        <v>3.5133216256750449E-2</v>
      </c>
      <c r="W129" s="2"/>
      <c r="X129" s="2">
        <f t="shared" si="121"/>
        <v>-225676.89</v>
      </c>
      <c r="Y129" s="2"/>
      <c r="Z129" s="19">
        <f t="shared" si="122"/>
        <v>-0.98628495234798752</v>
      </c>
    </row>
    <row r="130" spans="1:26" x14ac:dyDescent="0.25">
      <c r="A130" s="9"/>
      <c r="B130" s="10"/>
      <c r="C130" s="10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0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x14ac:dyDescent="0.25">
      <c r="A131" s="10"/>
      <c r="B131" s="29" t="s">
        <v>3</v>
      </c>
      <c r="C131" s="29"/>
      <c r="D131" s="22">
        <f>+D34-D36+D126</f>
        <v>-86315.69</v>
      </c>
      <c r="E131" s="14"/>
      <c r="F131" s="20">
        <f>IF(D$12=0,0,D131/D$12)</f>
        <v>-1.7223541079059244</v>
      </c>
      <c r="G131" s="14"/>
      <c r="H131" s="22">
        <f>+H34-H36+H126</f>
        <v>100243.03000000025</v>
      </c>
      <c r="I131" s="14"/>
      <c r="J131" s="20">
        <f>IF(H$12=0,0,H131/H$12)</f>
        <v>8.3734288360962666E-2</v>
      </c>
      <c r="K131" s="16"/>
      <c r="L131" s="22">
        <f>+D131-H131</f>
        <v>-186558.72000000026</v>
      </c>
      <c r="M131" s="16"/>
      <c r="N131" s="20">
        <f>IF(H131=0,0,L131/H131)</f>
        <v>-1.8610642555397598</v>
      </c>
      <c r="O131" s="28"/>
      <c r="P131" s="22">
        <f>+P34-P36+P126</f>
        <v>-794854.77</v>
      </c>
      <c r="Q131" s="14"/>
      <c r="R131" s="20">
        <f>IF(P$12=0,0,P131/P$12)</f>
        <v>-2.4160536064319258</v>
      </c>
      <c r="S131" s="14"/>
      <c r="T131" s="22">
        <f>+T34-T36+T126</f>
        <v>-150694.98000000138</v>
      </c>
      <c r="U131" s="14"/>
      <c r="V131" s="20">
        <f>IF(T$12=0,0,T131/T$12)</f>
        <v>-2.3138330123959182E-2</v>
      </c>
      <c r="W131" s="16"/>
      <c r="X131" s="22">
        <f>+P131-T131</f>
        <v>-644159.78999999864</v>
      </c>
      <c r="Y131" s="16"/>
      <c r="Z131" s="20">
        <f>IF(T131=0,0,X131/T131)</f>
        <v>4.274593553149499</v>
      </c>
    </row>
    <row r="132" spans="1:26" x14ac:dyDescent="0.25">
      <c r="A132" s="9"/>
      <c r="B132" s="10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x14ac:dyDescent="0.25">
      <c r="A133" s="51"/>
      <c r="B133" s="10" t="s">
        <v>13</v>
      </c>
      <c r="C133" s="10"/>
      <c r="D133" s="4">
        <v>14528.56</v>
      </c>
      <c r="E133" s="4"/>
      <c r="F133" s="12">
        <f>IF(D$12=0,0,D133/D$12)</f>
        <v>0.28990470907383925</v>
      </c>
      <c r="G133" s="4"/>
      <c r="H133" s="4">
        <v>109436.81</v>
      </c>
      <c r="I133" s="4"/>
      <c r="J133" s="12">
        <f>IF(H$12=0,0,H133/H$12)</f>
        <v>9.1413970685481669E-2</v>
      </c>
      <c r="K133" s="4"/>
      <c r="L133" s="4">
        <f>+D133-H133</f>
        <v>-94908.25</v>
      </c>
      <c r="M133" s="4"/>
      <c r="N133" s="12">
        <f>IF(H133=0,0,L133/H133)</f>
        <v>-0.86724247536089549</v>
      </c>
      <c r="O133" s="10"/>
      <c r="P133" s="4">
        <v>65151.570000000007</v>
      </c>
      <c r="Q133" s="4"/>
      <c r="R133" s="12">
        <f>IF(P$12=0,0,P133/P$12)</f>
        <v>0.19803578163492944</v>
      </c>
      <c r="S133" s="4"/>
      <c r="T133" s="4">
        <v>663781.64</v>
      </c>
      <c r="U133" s="4"/>
      <c r="V133" s="12">
        <f>IF(T$12=0,0,T133/T$12)</f>
        <v>0.10191977673405503</v>
      </c>
      <c r="W133" s="4"/>
      <c r="X133" s="4">
        <f>+P133-T133</f>
        <v>-598630.07000000007</v>
      </c>
      <c r="Y133" s="4"/>
      <c r="Z133" s="12">
        <f>IF(T133=0,0,X133/T133)</f>
        <v>-0.90184788780840652</v>
      </c>
    </row>
    <row r="134" spans="1:26" x14ac:dyDescent="0.25">
      <c r="A134" s="9"/>
      <c r="B134" s="10"/>
      <c r="C134" s="10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O134" s="10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3" customFormat="1" ht="15.75" thickBot="1" x14ac:dyDescent="0.3">
      <c r="A135" s="10"/>
      <c r="B135" s="29" t="s">
        <v>4</v>
      </c>
      <c r="C135" s="29"/>
      <c r="D135" s="35">
        <f>+D131-D133</f>
        <v>-100844.25</v>
      </c>
      <c r="E135" s="14"/>
      <c r="F135" s="36">
        <f>IF(D$12=0,0,D135/D$12)</f>
        <v>-2.0122588169797635</v>
      </c>
      <c r="G135" s="14"/>
      <c r="H135" s="35">
        <f>+H131-H133</f>
        <v>-9193.7799999997515</v>
      </c>
      <c r="I135" s="14"/>
      <c r="J135" s="36">
        <f>IF(H$12=0,0,H135/H$12)</f>
        <v>-7.6796823245190073E-3</v>
      </c>
      <c r="K135" s="16"/>
      <c r="L135" s="35">
        <f>D135-H135</f>
        <v>-91650.470000000249</v>
      </c>
      <c r="M135" s="16"/>
      <c r="N135" s="36">
        <f>IF(H135=0,0,L135/H135)</f>
        <v>9.9687473487513003</v>
      </c>
      <c r="O135" s="28"/>
      <c r="P135" s="35">
        <f>+P131-P133</f>
        <v>-860006.34000000008</v>
      </c>
      <c r="Q135" s="14"/>
      <c r="R135" s="36">
        <f>IF(P$12=0,0,P135/P$12)</f>
        <v>-2.6140893880668554</v>
      </c>
      <c r="S135" s="14"/>
      <c r="T135" s="35">
        <f>+T131-T133</f>
        <v>-814476.62000000139</v>
      </c>
      <c r="U135" s="14"/>
      <c r="V135" s="36">
        <f>IF(T$12=0,0,T135/T$12)</f>
        <v>-0.12505810685801422</v>
      </c>
      <c r="W135" s="16"/>
      <c r="X135" s="35">
        <f>P135-T135</f>
        <v>-45529.719999998691</v>
      </c>
      <c r="Y135" s="16"/>
      <c r="Z135" s="36">
        <f>IF(T135=0,0,X135/T135)</f>
        <v>5.5900585580957021E-2</v>
      </c>
    </row>
    <row r="136" spans="1:26" ht="15.75" thickTop="1" x14ac:dyDescent="0.25">
      <c r="A136" s="9"/>
      <c r="B136" s="9"/>
      <c r="C136" s="9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x14ac:dyDescent="0.25">
      <c r="A137" s="9"/>
      <c r="B137" s="9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3" customFormat="1" ht="15.75" thickBot="1" x14ac:dyDescent="0.3">
      <c r="A138" s="10"/>
      <c r="B138" s="29" t="s">
        <v>5</v>
      </c>
      <c r="C138" s="29"/>
      <c r="D138" s="31">
        <f>SUM(D135:D137)</f>
        <v>-100844.25</v>
      </c>
      <c r="E138" s="14"/>
      <c r="F138" s="33">
        <f>IF(D$12=0,0,D138/D$12)</f>
        <v>-2.0122588169797635</v>
      </c>
      <c r="G138" s="14"/>
      <c r="H138" s="31">
        <f>SUM(H135:H137)</f>
        <v>-9193.7799999997515</v>
      </c>
      <c r="I138" s="14"/>
      <c r="J138" s="33">
        <f>IF(H$12=0,0,H138/H$12)</f>
        <v>-7.6796823245190073E-3</v>
      </c>
      <c r="K138" s="16"/>
      <c r="L138" s="31">
        <f>+D138-H138</f>
        <v>-91650.470000000249</v>
      </c>
      <c r="M138" s="16"/>
      <c r="N138" s="33">
        <f>IF(H138=0,0,L138/H138)</f>
        <v>9.9687473487513003</v>
      </c>
      <c r="O138" s="28"/>
      <c r="P138" s="31">
        <f>SUM(P135:P137)</f>
        <v>-860006.34000000008</v>
      </c>
      <c r="Q138" s="14"/>
      <c r="R138" s="33">
        <f>IF(P$12=0,0,P138/P$12)</f>
        <v>-2.6140893880668554</v>
      </c>
      <c r="S138" s="14"/>
      <c r="T138" s="31">
        <f>SUM(T135:T137)</f>
        <v>-814476.62000000139</v>
      </c>
      <c r="U138" s="14"/>
      <c r="V138" s="33">
        <f>IF(T$12=0,0,T138/T$12)</f>
        <v>-0.12505810685801422</v>
      </c>
      <c r="W138" s="16"/>
      <c r="X138" s="31">
        <f>+P138-T138</f>
        <v>-45529.719999998691</v>
      </c>
      <c r="Y138" s="16"/>
      <c r="Z138" s="33">
        <f>IF(T138=0,0,X138/T138)</f>
        <v>5.5900585580957021E-2</v>
      </c>
    </row>
    <row r="139" spans="1:26" ht="15.75" thickTop="1" x14ac:dyDescent="0.25">
      <c r="A139" s="9"/>
      <c r="C139" s="9"/>
      <c r="D139" s="18"/>
      <c r="E139" s="18"/>
      <c r="G139" s="18"/>
      <c r="H139" s="18"/>
      <c r="I139" s="18"/>
      <c r="J139" s="43"/>
      <c r="K139" s="18"/>
      <c r="L139" s="18"/>
      <c r="M139" s="18"/>
      <c r="P139" s="18"/>
      <c r="Q139" s="18"/>
      <c r="R139" s="43"/>
      <c r="S139" s="18"/>
      <c r="T139" s="18"/>
      <c r="U139" s="18"/>
      <c r="V139" s="43"/>
      <c r="W139" s="18"/>
      <c r="X139" s="18"/>
    </row>
    <row r="140" spans="1:26" x14ac:dyDescent="0.25">
      <c r="A140" s="9"/>
      <c r="B140" s="56">
        <v>44267.66793822917</v>
      </c>
      <c r="D140" s="18"/>
      <c r="E140" s="18"/>
      <c r="G140" s="18"/>
      <c r="H140" s="18"/>
      <c r="I140" s="18"/>
      <c r="J140" s="43"/>
      <c r="K140" s="18"/>
      <c r="L140" s="18"/>
      <c r="M140" s="18"/>
      <c r="P140" s="18"/>
      <c r="Q140" s="18"/>
      <c r="R140" s="43"/>
      <c r="S140" s="18"/>
      <c r="T140" s="18"/>
      <c r="U140" s="18"/>
      <c r="V140" s="43"/>
      <c r="W140" s="18"/>
      <c r="X140" s="18"/>
    </row>
    <row r="141" spans="1:26" x14ac:dyDescent="0.25">
      <c r="A141" s="9"/>
      <c r="B141" s="54" t="s">
        <v>313</v>
      </c>
      <c r="D141" s="18"/>
      <c r="E141" s="18"/>
      <c r="G141" s="18"/>
      <c r="H141" s="18"/>
      <c r="I141" s="18"/>
      <c r="J141" s="43"/>
      <c r="K141" s="18"/>
      <c r="L141" s="18"/>
      <c r="M141" s="18"/>
      <c r="P141" s="18"/>
      <c r="Q141" s="18"/>
      <c r="R141" s="43"/>
      <c r="S141" s="18"/>
      <c r="T141" s="18"/>
      <c r="U141" s="18"/>
      <c r="V141" s="43"/>
      <c r="W141" s="18"/>
      <c r="X141" s="18"/>
    </row>
    <row r="142" spans="1:26" x14ac:dyDescent="0.25">
      <c r="A142" s="9"/>
      <c r="B142" s="58"/>
      <c r="D142" s="18"/>
      <c r="E142" s="18"/>
      <c r="G142" s="18"/>
      <c r="H142" s="18"/>
      <c r="I142" s="18"/>
      <c r="J142" s="43"/>
      <c r="K142" s="18"/>
      <c r="L142" s="18"/>
      <c r="M142" s="18"/>
      <c r="P142" s="18"/>
      <c r="Q142" s="18"/>
      <c r="R142" s="43"/>
      <c r="S142" s="18"/>
      <c r="T142" s="18"/>
      <c r="U142" s="18"/>
      <c r="V142" s="43"/>
      <c r="W142" s="18"/>
      <c r="X142" s="18"/>
    </row>
    <row r="143" spans="1:26" x14ac:dyDescent="0.25">
      <c r="D143" s="18"/>
      <c r="E143" s="18"/>
      <c r="G143" s="18"/>
      <c r="H143" s="18"/>
      <c r="I143" s="18"/>
      <c r="J143" s="43"/>
      <c r="K143" s="18"/>
      <c r="L143" s="18"/>
      <c r="M143" s="18"/>
      <c r="P143" s="18"/>
      <c r="Q143" s="18"/>
      <c r="R143" s="43"/>
      <c r="S143" s="18"/>
      <c r="T143" s="18"/>
      <c r="U143" s="18"/>
      <c r="V143" s="43"/>
      <c r="W143" s="18"/>
      <c r="X143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299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49980.95</v>
      </c>
      <c r="E12" s="4"/>
      <c r="F12" s="12"/>
      <c r="G12" s="4"/>
      <c r="H12" s="4">
        <f>SUM(OSRRefH13x_0)</f>
        <v>803079.99000000011</v>
      </c>
      <c r="I12" s="4"/>
      <c r="J12" s="12"/>
      <c r="K12" s="4"/>
      <c r="L12" s="4">
        <f t="shared" ref="L12:L22" si="0">+D12-H12</f>
        <v>-753099.04000000015</v>
      </c>
      <c r="M12" s="4"/>
      <c r="N12" s="12">
        <f t="shared" ref="N12:N22" si="1">IF(H12=0,0,L12/H12)</f>
        <v>-0.9377634225452437</v>
      </c>
      <c r="O12" s="10"/>
      <c r="P12" s="4">
        <f>SUM(OSRRefP13x_0)</f>
        <v>326268.40999999992</v>
      </c>
      <c r="Q12" s="4"/>
      <c r="R12" s="12"/>
      <c r="S12" s="4"/>
      <c r="T12" s="4">
        <f>SUM(OSRRefT13x_0)</f>
        <v>4310725.4499999993</v>
      </c>
      <c r="U12" s="4"/>
      <c r="V12" s="12"/>
      <c r="W12" s="4"/>
      <c r="X12" s="4">
        <f t="shared" ref="X12:X22" si="2">+P12-T12</f>
        <v>-3984457.0399999991</v>
      </c>
      <c r="Y12" s="4"/>
      <c r="Z12" s="12">
        <f t="shared" ref="Z12:Z22" si="3">IF(T12=0,0,X12/T12)</f>
        <v>-0.92431241242700801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0</f>
        <v>0</v>
      </c>
      <c r="E13" s="2"/>
      <c r="F13" s="19"/>
      <c r="G13" s="2"/>
      <c r="H13" s="2">
        <f>--68008.29</f>
        <v>68008.289999999994</v>
      </c>
      <c r="I13" s="2"/>
      <c r="J13" s="19"/>
      <c r="K13" s="2"/>
      <c r="L13" s="2">
        <f t="shared" si="0"/>
        <v>-68008.289999999994</v>
      </c>
      <c r="M13" s="2"/>
      <c r="N13" s="19">
        <f t="shared" si="1"/>
        <v>-1</v>
      </c>
      <c r="O13" s="11"/>
      <c r="P13" s="2">
        <f>--22964.48</f>
        <v>22964.48</v>
      </c>
      <c r="Q13" s="2"/>
      <c r="R13" s="19"/>
      <c r="S13" s="2"/>
      <c r="T13" s="2">
        <f>--426270.45</f>
        <v>426270.45</v>
      </c>
      <c r="U13" s="2"/>
      <c r="V13" s="19"/>
      <c r="W13" s="2"/>
      <c r="X13" s="2">
        <f t="shared" si="2"/>
        <v>-403305.97000000003</v>
      </c>
      <c r="Y13" s="2"/>
      <c r="Z13" s="19">
        <f t="shared" si="3"/>
        <v>-0.94612697173824745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--49980.95</f>
        <v>49980.95</v>
      </c>
      <c r="E14" s="2"/>
      <c r="F14" s="19"/>
      <c r="G14" s="2"/>
      <c r="H14" s="2">
        <f>--131149.86</f>
        <v>131149.85999999999</v>
      </c>
      <c r="I14" s="2"/>
      <c r="J14" s="19"/>
      <c r="K14" s="2"/>
      <c r="L14" s="2">
        <f t="shared" si="0"/>
        <v>-81168.909999999989</v>
      </c>
      <c r="M14" s="2"/>
      <c r="N14" s="19">
        <f t="shared" si="1"/>
        <v>-0.61890199501547316</v>
      </c>
      <c r="O14" s="11"/>
      <c r="P14" s="2">
        <f>--280157.8</f>
        <v>280157.8</v>
      </c>
      <c r="Q14" s="2"/>
      <c r="R14" s="19"/>
      <c r="S14" s="2"/>
      <c r="T14" s="2">
        <f>--788152.3</f>
        <v>788152.3</v>
      </c>
      <c r="U14" s="2"/>
      <c r="V14" s="19"/>
      <c r="W14" s="2"/>
      <c r="X14" s="2">
        <f t="shared" si="2"/>
        <v>-507994.50000000006</v>
      </c>
      <c r="Y14" s="2"/>
      <c r="Z14" s="19">
        <f t="shared" si="3"/>
        <v>-0.64453849846025957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 t="shared" ref="D15:D22" si="4">0</f>
        <v>0</v>
      </c>
      <c r="E15" s="2"/>
      <c r="F15" s="19"/>
      <c r="G15" s="2"/>
      <c r="H15" s="2">
        <f>--126446.77</f>
        <v>126446.77</v>
      </c>
      <c r="I15" s="2"/>
      <c r="J15" s="19"/>
      <c r="K15" s="2"/>
      <c r="L15" s="2">
        <f t="shared" si="0"/>
        <v>-126446.77</v>
      </c>
      <c r="M15" s="2"/>
      <c r="N15" s="19">
        <f t="shared" si="1"/>
        <v>-1</v>
      </c>
      <c r="O15" s="11"/>
      <c r="P15" s="2">
        <f t="shared" ref="P15:P16" si="5">0</f>
        <v>0</v>
      </c>
      <c r="Q15" s="2"/>
      <c r="R15" s="19"/>
      <c r="S15" s="2"/>
      <c r="T15" s="2">
        <f>--222320</f>
        <v>222320</v>
      </c>
      <c r="U15" s="2"/>
      <c r="V15" s="19"/>
      <c r="W15" s="2"/>
      <c r="X15" s="2">
        <f t="shared" si="2"/>
        <v>-222320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 t="shared" si="4"/>
        <v>0</v>
      </c>
      <c r="E16" s="2"/>
      <c r="F16" s="19"/>
      <c r="G16" s="2"/>
      <c r="H16" s="2">
        <f>--54029.26</f>
        <v>54029.26</v>
      </c>
      <c r="I16" s="2"/>
      <c r="J16" s="19"/>
      <c r="K16" s="2"/>
      <c r="L16" s="2">
        <f t="shared" si="0"/>
        <v>-54029.26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--357243.21</f>
        <v>357243.21</v>
      </c>
      <c r="U16" s="2"/>
      <c r="V16" s="19"/>
      <c r="W16" s="2"/>
      <c r="X16" s="2">
        <f t="shared" si="2"/>
        <v>-357243.21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"4058", " - ", "TAXABLE SALES-FOOD")</f>
        <v xml:space="preserve">          4058 - TAXABLE SALES-FOOD</v>
      </c>
      <c r="C17" s="11"/>
      <c r="D17" s="2">
        <f t="shared" si="4"/>
        <v>0</v>
      </c>
      <c r="E17" s="2"/>
      <c r="F17" s="19"/>
      <c r="G17" s="2"/>
      <c r="H17" s="2">
        <f>--15335.14</f>
        <v>15335.14</v>
      </c>
      <c r="I17" s="2"/>
      <c r="J17" s="19"/>
      <c r="K17" s="2"/>
      <c r="L17" s="2">
        <f t="shared" si="0"/>
        <v>-15335.14</v>
      </c>
      <c r="M17" s="2"/>
      <c r="N17" s="19">
        <f t="shared" si="1"/>
        <v>-1</v>
      </c>
      <c r="O17" s="11"/>
      <c r="P17" s="2">
        <f>--974.91</f>
        <v>974.91</v>
      </c>
      <c r="Q17" s="2"/>
      <c r="R17" s="19"/>
      <c r="S17" s="2"/>
      <c r="T17" s="2">
        <f>--110971.24</f>
        <v>110971.24</v>
      </c>
      <c r="U17" s="2"/>
      <c r="V17" s="19"/>
      <c r="W17" s="2"/>
      <c r="X17" s="2">
        <f t="shared" si="2"/>
        <v>-109996.33</v>
      </c>
      <c r="Y17" s="2"/>
      <c r="Z17" s="19">
        <f t="shared" si="3"/>
        <v>-0.99121475077686794</v>
      </c>
    </row>
    <row r="18" spans="1:26" s="24" customFormat="1" hidden="1" outlineLevel="1" x14ac:dyDescent="0.25">
      <c r="A18" s="44"/>
      <c r="B18" s="11" t="str">
        <f>CONCATENATE("          ", "4151", " - ", "NON-TAXABLE SALES-FOOD")</f>
        <v xml:space="preserve">          4151 - NON-TAXABLE SALES-FOOD</v>
      </c>
      <c r="C18" s="11"/>
      <c r="D18" s="2">
        <f t="shared" si="4"/>
        <v>0</v>
      </c>
      <c r="E18" s="2"/>
      <c r="F18" s="19"/>
      <c r="G18" s="2"/>
      <c r="H18" s="2">
        <f>--221459.23</f>
        <v>221459.23</v>
      </c>
      <c r="I18" s="2"/>
      <c r="J18" s="19"/>
      <c r="K18" s="2"/>
      <c r="L18" s="2">
        <f t="shared" si="0"/>
        <v>-221459.23</v>
      </c>
      <c r="M18" s="2"/>
      <c r="N18" s="19">
        <f t="shared" si="1"/>
        <v>-1</v>
      </c>
      <c r="O18" s="11"/>
      <c r="P18" s="2">
        <f>--22171.22</f>
        <v>22171.22</v>
      </c>
      <c r="Q18" s="2"/>
      <c r="R18" s="19"/>
      <c r="S18" s="2"/>
      <c r="T18" s="2">
        <f>--1273390.1</f>
        <v>1273390.1000000001</v>
      </c>
      <c r="U18" s="2"/>
      <c r="V18" s="19"/>
      <c r="W18" s="2"/>
      <c r="X18" s="2">
        <f t="shared" si="2"/>
        <v>-1251218.8800000001</v>
      </c>
      <c r="Y18" s="2"/>
      <c r="Z18" s="19">
        <f t="shared" si="3"/>
        <v>-0.9825888233307295</v>
      </c>
    </row>
    <row r="19" spans="1:26" s="24" customFormat="1" hidden="1" outlineLevel="1" x14ac:dyDescent="0.25">
      <c r="A19" s="44"/>
      <c r="B19" s="11" t="str">
        <f>CONCATENATE("          ", "4152", " - ", "NON-TAXABLE SALES-FOOD")</f>
        <v xml:space="preserve">          4152 - NON-TAXABLE SALES-FOOD</v>
      </c>
      <c r="C19" s="11"/>
      <c r="D19" s="2">
        <f t="shared" si="4"/>
        <v>0</v>
      </c>
      <c r="E19" s="2"/>
      <c r="F19" s="19"/>
      <c r="G19" s="2"/>
      <c r="H19" s="2">
        <f>--8298.17</f>
        <v>8298.17</v>
      </c>
      <c r="I19" s="2"/>
      <c r="J19" s="19"/>
      <c r="K19" s="2"/>
      <c r="L19" s="2">
        <f t="shared" si="0"/>
        <v>-8298.17</v>
      </c>
      <c r="M19" s="2"/>
      <c r="N19" s="19">
        <f t="shared" si="1"/>
        <v>-1</v>
      </c>
      <c r="O19" s="11"/>
      <c r="P19" s="2">
        <f t="shared" ref="P19:P22" si="6">0</f>
        <v>0</v>
      </c>
      <c r="Q19" s="2"/>
      <c r="R19" s="19"/>
      <c r="S19" s="2"/>
      <c r="T19" s="2">
        <f>--47727.07</f>
        <v>47727.07</v>
      </c>
      <c r="U19" s="2"/>
      <c r="V19" s="19"/>
      <c r="W19" s="2"/>
      <c r="X19" s="2">
        <f t="shared" si="2"/>
        <v>-47727.07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"4153", " - ", "NON-TAXABLE SALES-FOOD")</f>
        <v xml:space="preserve">          4153 - NON-TAXABLE SALES-FOOD</v>
      </c>
      <c r="C20" s="11"/>
      <c r="D20" s="2">
        <f t="shared" si="4"/>
        <v>0</v>
      </c>
      <c r="E20" s="2"/>
      <c r="F20" s="19"/>
      <c r="G20" s="2"/>
      <c r="H20" s="2">
        <f>-194.29</f>
        <v>-194.29</v>
      </c>
      <c r="I20" s="2"/>
      <c r="J20" s="19"/>
      <c r="K20" s="2"/>
      <c r="L20" s="2">
        <f t="shared" si="0"/>
        <v>194.29</v>
      </c>
      <c r="M20" s="2"/>
      <c r="N20" s="19">
        <f t="shared" si="1"/>
        <v>-1</v>
      </c>
      <c r="O20" s="11"/>
      <c r="P20" s="2">
        <f t="shared" si="6"/>
        <v>0</v>
      </c>
      <c r="Q20" s="2"/>
      <c r="R20" s="19"/>
      <c r="S20" s="2"/>
      <c r="T20" s="2">
        <f>-194.29</f>
        <v>-194.29</v>
      </c>
      <c r="U20" s="2"/>
      <c r="V20" s="19"/>
      <c r="W20" s="2"/>
      <c r="X20" s="2">
        <f t="shared" si="2"/>
        <v>194.29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"4155", " - ", "NON-TAXABLE SALES-FOOD")</f>
        <v xml:space="preserve">          4155 - NON-TAXABLE SALES-FOOD</v>
      </c>
      <c r="C21" s="11"/>
      <c r="D21" s="2">
        <f t="shared" si="4"/>
        <v>0</v>
      </c>
      <c r="E21" s="2"/>
      <c r="F21" s="19"/>
      <c r="G21" s="2"/>
      <c r="H21" s="2">
        <f>--100290.43</f>
        <v>100290.43</v>
      </c>
      <c r="I21" s="2"/>
      <c r="J21" s="19"/>
      <c r="K21" s="2"/>
      <c r="L21" s="2">
        <f t="shared" si="0"/>
        <v>-100290.43</v>
      </c>
      <c r="M21" s="2"/>
      <c r="N21" s="19">
        <f t="shared" si="1"/>
        <v>-1</v>
      </c>
      <c r="O21" s="11"/>
      <c r="P21" s="2">
        <f t="shared" si="6"/>
        <v>0</v>
      </c>
      <c r="Q21" s="2"/>
      <c r="R21" s="19"/>
      <c r="S21" s="2"/>
      <c r="T21" s="2">
        <f>--643451.59</f>
        <v>643451.59</v>
      </c>
      <c r="U21" s="2"/>
      <c r="V21" s="19"/>
      <c r="W21" s="2"/>
      <c r="X21" s="2">
        <f t="shared" si="2"/>
        <v>-643451.59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"4158", " - ", "NON-TAXABLE SALES-FOOD")</f>
        <v xml:space="preserve">          4158 - NON-TAXABLE SALES-FOOD</v>
      </c>
      <c r="C22" s="11"/>
      <c r="D22" s="2">
        <f t="shared" si="4"/>
        <v>0</v>
      </c>
      <c r="E22" s="2"/>
      <c r="F22" s="19"/>
      <c r="G22" s="2"/>
      <c r="H22" s="2">
        <f>--78257.13</f>
        <v>78257.13</v>
      </c>
      <c r="I22" s="2"/>
      <c r="J22" s="19"/>
      <c r="K22" s="2"/>
      <c r="L22" s="2">
        <f t="shared" si="0"/>
        <v>-78257.13</v>
      </c>
      <c r="M22" s="2"/>
      <c r="N22" s="19">
        <f t="shared" si="1"/>
        <v>-1</v>
      </c>
      <c r="O22" s="11"/>
      <c r="P22" s="2">
        <f t="shared" si="6"/>
        <v>0</v>
      </c>
      <c r="Q22" s="2"/>
      <c r="R22" s="19"/>
      <c r="S22" s="2"/>
      <c r="T22" s="2">
        <f>--441393.78</f>
        <v>441393.78</v>
      </c>
      <c r="U22" s="2"/>
      <c r="V22" s="19"/>
      <c r="W22" s="2"/>
      <c r="X22" s="2">
        <f t="shared" si="2"/>
        <v>-441393.78</v>
      </c>
      <c r="Y22" s="2"/>
      <c r="Z22" s="19">
        <f t="shared" si="3"/>
        <v>-1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collapsed="1" x14ac:dyDescent="0.25">
      <c r="A24" s="10"/>
      <c r="B24" s="28" t="s">
        <v>8</v>
      </c>
      <c r="C24" s="10"/>
      <c r="D24" s="4">
        <f>SUM(OSRRefD16x_0)</f>
        <v>-4319.1099999999997</v>
      </c>
      <c r="E24" s="4"/>
      <c r="F24" s="12">
        <f t="shared" ref="F24:F26" si="7">IF(D$12=0,0,D24/D$12)</f>
        <v>-8.6415124162305831E-2</v>
      </c>
      <c r="G24" s="4"/>
      <c r="H24" s="4">
        <f>SUM(OSRRefH16x_0)</f>
        <v>259235.07000000004</v>
      </c>
      <c r="I24" s="4"/>
      <c r="J24" s="12">
        <f t="shared" ref="J24:J26" si="8">IF(H$12=0,0,H24/H$12)</f>
        <v>0.32280105746377769</v>
      </c>
      <c r="K24" s="4"/>
      <c r="L24" s="4">
        <f t="shared" ref="L24:L26" si="9">+D24-H24</f>
        <v>-263554.18000000005</v>
      </c>
      <c r="M24" s="4"/>
      <c r="N24" s="12">
        <f t="shared" ref="N24:N26" si="10">IF(H24=0,0,L24/H24)</f>
        <v>-1.0166609787788359</v>
      </c>
      <c r="O24" s="10"/>
      <c r="P24" s="4">
        <f>SUM(OSRRefP16x_0)</f>
        <v>15854.24</v>
      </c>
      <c r="Q24" s="4"/>
      <c r="R24" s="12">
        <f t="shared" ref="R24:R26" si="11">IF(P$12=0,0,P24/P$12)</f>
        <v>4.8592629608241886E-2</v>
      </c>
      <c r="S24" s="4"/>
      <c r="T24" s="4">
        <f>SUM(OSRRefT16x_0)</f>
        <v>1435265.1500000001</v>
      </c>
      <c r="U24" s="4"/>
      <c r="V24" s="12">
        <f t="shared" ref="V24:V26" si="12">IF(T$12=0,0,T24/T$12)</f>
        <v>0.33295211366337429</v>
      </c>
      <c r="W24" s="4"/>
      <c r="X24" s="4">
        <f t="shared" ref="X24:X26" si="13">+P24-T24</f>
        <v>-1419410.9100000001</v>
      </c>
      <c r="Y24" s="4"/>
      <c r="Z24" s="12">
        <f t="shared" ref="Z24:Z26" si="14">IF(T24=0,0,X24/T24)</f>
        <v>-0.98895379017598251</v>
      </c>
    </row>
    <row r="25" spans="1:26" s="24" customFormat="1" hidden="1" outlineLevel="1" x14ac:dyDescent="0.25">
      <c r="A25" s="44"/>
      <c r="B25" s="11" t="str">
        <f>CONCATENATE("          ", "5053", " - ", "PURCHASES @ COST-FOOD")</f>
        <v xml:space="preserve">          5053 - PURCHASES @ COST-FOOD</v>
      </c>
      <c r="C25" s="11"/>
      <c r="D25" s="2">
        <v>-4739.1099999999997</v>
      </c>
      <c r="E25" s="2"/>
      <c r="F25" s="19">
        <f t="shared" si="7"/>
        <v>-9.4818325782122986E-2</v>
      </c>
      <c r="G25" s="2"/>
      <c r="H25" s="2">
        <v>256882.09000000003</v>
      </c>
      <c r="I25" s="2"/>
      <c r="J25" s="19">
        <f t="shared" si="8"/>
        <v>0.3198711127144383</v>
      </c>
      <c r="K25" s="2"/>
      <c r="L25" s="2">
        <f t="shared" si="9"/>
        <v>-261621.2</v>
      </c>
      <c r="M25" s="2"/>
      <c r="N25" s="19">
        <f t="shared" si="10"/>
        <v>-1.0184485808255452</v>
      </c>
      <c r="O25" s="11"/>
      <c r="P25" s="2">
        <v>10105.16</v>
      </c>
      <c r="Q25" s="2"/>
      <c r="R25" s="19">
        <f t="shared" si="11"/>
        <v>3.0971922779775101E-2</v>
      </c>
      <c r="S25" s="2"/>
      <c r="T25" s="2">
        <v>1465271.1600000001</v>
      </c>
      <c r="U25" s="2"/>
      <c r="V25" s="19">
        <f t="shared" si="12"/>
        <v>0.33991289331590357</v>
      </c>
      <c r="W25" s="2"/>
      <c r="X25" s="2">
        <f t="shared" si="13"/>
        <v>-1455166.0000000002</v>
      </c>
      <c r="Y25" s="2"/>
      <c r="Z25" s="19">
        <f t="shared" si="14"/>
        <v>-0.99310355634106662</v>
      </c>
    </row>
    <row r="26" spans="1:26" s="24" customFormat="1" hidden="1" outlineLevel="1" x14ac:dyDescent="0.25">
      <c r="A26" s="44"/>
      <c r="B26" s="11" t="str">
        <f>CONCATENATE("          ", "5059", " - ", "PURCHASES @ COST-FOOD")</f>
        <v xml:space="preserve">          5059 - PURCHASES @ COST-FOOD</v>
      </c>
      <c r="C26" s="11"/>
      <c r="D26" s="2">
        <v>420</v>
      </c>
      <c r="E26" s="2"/>
      <c r="F26" s="19">
        <f t="shared" si="7"/>
        <v>8.4032016198171515E-3</v>
      </c>
      <c r="G26" s="2"/>
      <c r="H26" s="2">
        <v>2352.98</v>
      </c>
      <c r="I26" s="2"/>
      <c r="J26" s="19">
        <f t="shared" si="8"/>
        <v>2.9299447493393526E-3</v>
      </c>
      <c r="K26" s="2"/>
      <c r="L26" s="2">
        <f t="shared" si="9"/>
        <v>-1932.98</v>
      </c>
      <c r="M26" s="2"/>
      <c r="N26" s="19">
        <f t="shared" si="10"/>
        <v>-0.82150294520140421</v>
      </c>
      <c r="O26" s="11"/>
      <c r="P26" s="2">
        <v>5749.08</v>
      </c>
      <c r="Q26" s="2"/>
      <c r="R26" s="19">
        <f t="shared" si="11"/>
        <v>1.7620706828466788E-2</v>
      </c>
      <c r="S26" s="2"/>
      <c r="T26" s="2">
        <v>-30006.01</v>
      </c>
      <c r="U26" s="2"/>
      <c r="V26" s="19">
        <f t="shared" si="12"/>
        <v>-6.9607796525292523E-3</v>
      </c>
      <c r="W26" s="2"/>
      <c r="X26" s="2">
        <f t="shared" si="13"/>
        <v>35755.089999999997</v>
      </c>
      <c r="Y26" s="2"/>
      <c r="Z26" s="19">
        <f t="shared" si="14"/>
        <v>-1.1915976166108055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9" t="s">
        <v>6</v>
      </c>
      <c r="C28" s="29"/>
      <c r="D28" s="22">
        <f>D12-D24</f>
        <v>54300.06</v>
      </c>
      <c r="E28" s="14"/>
      <c r="F28" s="20">
        <f>IF(D$12=0,0,D28/D$12)</f>
        <v>1.0864151241623059</v>
      </c>
      <c r="G28" s="14"/>
      <c r="H28" s="22">
        <f>H12-H24</f>
        <v>543844.92000000004</v>
      </c>
      <c r="I28" s="14"/>
      <c r="J28" s="20">
        <f>IF(H$12=0,0,H28/H$12)</f>
        <v>0.67719894253622226</v>
      </c>
      <c r="K28" s="16"/>
      <c r="L28" s="22">
        <f>+D28-H28</f>
        <v>-489544.86000000004</v>
      </c>
      <c r="M28" s="16"/>
      <c r="N28" s="20">
        <f>IF(H28=0,0,L28/H28)</f>
        <v>-0.90015525014005837</v>
      </c>
      <c r="O28" s="28"/>
      <c r="P28" s="22">
        <f>P12-P24</f>
        <v>310414.16999999993</v>
      </c>
      <c r="Q28" s="14"/>
      <c r="R28" s="20">
        <f>IF(P$12=0,0,P28/P$12)</f>
        <v>0.95140737039175816</v>
      </c>
      <c r="S28" s="14"/>
      <c r="T28" s="22">
        <f>T12-T24</f>
        <v>2875460.2999999989</v>
      </c>
      <c r="U28" s="14"/>
      <c r="V28" s="20">
        <f>IF(T$12=0,0,T28/T$12)</f>
        <v>0.6670478863366256</v>
      </c>
      <c r="W28" s="16"/>
      <c r="X28" s="22">
        <f>+P28-T28</f>
        <v>-2565046.129999999</v>
      </c>
      <c r="Y28" s="16"/>
      <c r="Z28" s="20">
        <f>IF(T28=0,0,X28/T28)</f>
        <v>-0.89204713763566823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8" t="s">
        <v>9</v>
      </c>
      <c r="C30" s="10"/>
      <c r="D30" s="21">
        <f>SUM(OSRRefD22x_0)</f>
        <v>107369.61</v>
      </c>
      <c r="E30" s="21"/>
      <c r="F30" s="32">
        <f t="shared" ref="F30:F40" si="15">IF(D$12=0,0,D30/D$12)</f>
        <v>2.1482106682646092</v>
      </c>
      <c r="G30" s="21"/>
      <c r="H30" s="21">
        <f>SUM(OSRRefH22x_0)</f>
        <v>559841.37</v>
      </c>
      <c r="I30" s="21"/>
      <c r="J30" s="32">
        <f t="shared" ref="J30:J40" si="16">IF(H$12=0,0,H30/H$12)</f>
        <v>0.69711781761615044</v>
      </c>
      <c r="K30" s="4"/>
      <c r="L30" s="21">
        <f t="shared" ref="L30:L40" si="17">+D30-H30</f>
        <v>-452471.76</v>
      </c>
      <c r="M30" s="4"/>
      <c r="N30" s="32">
        <f t="shared" ref="N30:N40" si="18">IF(H30=0,0,L30/H30)</f>
        <v>-0.80821422682643118</v>
      </c>
      <c r="O30" s="10"/>
      <c r="P30" s="21">
        <f>SUM(OSRRefP22x_0)</f>
        <v>894122.76000000013</v>
      </c>
      <c r="Q30" s="21"/>
      <c r="R30" s="32">
        <f t="shared" ref="R30:R40" si="19">IF(P$12=0,0,P30/P$12)</f>
        <v>2.7404515196552444</v>
      </c>
      <c r="S30" s="21"/>
      <c r="T30" s="21">
        <f>SUM(OSRRefT22x_0)</f>
        <v>3935080.9900000007</v>
      </c>
      <c r="U30" s="21"/>
      <c r="V30" s="32">
        <f t="shared" ref="V30:V40" si="20">IF(T$12=0,0,T30/T$12)</f>
        <v>0.9128581802861051</v>
      </c>
      <c r="W30" s="4"/>
      <c r="X30" s="21">
        <f t="shared" ref="X30:X40" si="21">+P30-T30</f>
        <v>-3040958.2300000004</v>
      </c>
      <c r="Y30" s="4"/>
      <c r="Z30" s="32">
        <f t="shared" ref="Z30:Z40" si="22">IF(T30=0,0,X30/T30)</f>
        <v>-0.77278161179600013</v>
      </c>
    </row>
    <row r="31" spans="1:26" s="25" customFormat="1" outlineLevel="1" collapsed="1" x14ac:dyDescent="0.25">
      <c r="A31" s="27"/>
      <c r="B31" s="13" t="str">
        <f>CONCATENATE("     ","*Benefits                                         ")</f>
        <v xml:space="preserve">     *Benefits                                         </v>
      </c>
      <c r="C31" s="13"/>
      <c r="D31" s="1">
        <f>SUM(OSRRefD22_0x_0)</f>
        <v>18076.13</v>
      </c>
      <c r="E31" s="1"/>
      <c r="F31" s="5">
        <f t="shared" si="15"/>
        <v>0.36166039260958427</v>
      </c>
      <c r="G31" s="1"/>
      <c r="H31" s="1">
        <f>SUM(OSRRefH22_0x_0)</f>
        <v>71149.709999999992</v>
      </c>
      <c r="I31" s="1"/>
      <c r="J31" s="5">
        <f t="shared" si="16"/>
        <v>8.8596043838671645E-2</v>
      </c>
      <c r="K31" s="1"/>
      <c r="L31" s="1">
        <f t="shared" si="17"/>
        <v>-53073.579999999987</v>
      </c>
      <c r="M31" s="1"/>
      <c r="N31" s="5">
        <f t="shared" si="18"/>
        <v>-0.74594232358782619</v>
      </c>
      <c r="O31" s="13"/>
      <c r="P31" s="1">
        <f>SUM(OSRRefP22_0x_0)</f>
        <v>168070.19</v>
      </c>
      <c r="Q31" s="1"/>
      <c r="R31" s="5">
        <f t="shared" si="19"/>
        <v>0.51512860224500445</v>
      </c>
      <c r="S31" s="1"/>
      <c r="T31" s="1">
        <f>SUM(OSRRefT22_0x_0)</f>
        <v>547536.40999999992</v>
      </c>
      <c r="U31" s="1"/>
      <c r="V31" s="5">
        <f t="shared" si="20"/>
        <v>0.12701723093963221</v>
      </c>
      <c r="W31" s="1"/>
      <c r="X31" s="1">
        <f t="shared" si="21"/>
        <v>-379466.21999999991</v>
      </c>
      <c r="Y31" s="1"/>
      <c r="Z31" s="5">
        <f t="shared" si="22"/>
        <v>-0.69304289736640523</v>
      </c>
    </row>
    <row r="32" spans="1:26" s="24" customFormat="1" hidden="1" outlineLevel="2" x14ac:dyDescent="0.25">
      <c r="A32" s="26"/>
      <c r="B32" s="11" t="str">
        <f>CONCATENATE("          ", "6111", " - ", "F.I.C.A.")</f>
        <v xml:space="preserve">          6111 - F.I.C.A.</v>
      </c>
      <c r="C32" s="11"/>
      <c r="D32" s="6">
        <v>2064.8200000000002</v>
      </c>
      <c r="E32" s="2"/>
      <c r="F32" s="7">
        <f t="shared" si="15"/>
        <v>4.1312139925311547E-2</v>
      </c>
      <c r="G32" s="2"/>
      <c r="H32" s="6">
        <v>13520.77</v>
      </c>
      <c r="I32" s="2"/>
      <c r="J32" s="7">
        <f t="shared" si="16"/>
        <v>1.6836143557754438E-2</v>
      </c>
      <c r="K32" s="2"/>
      <c r="L32" s="6">
        <f t="shared" si="17"/>
        <v>-11455.95</v>
      </c>
      <c r="M32" s="2"/>
      <c r="N32" s="7">
        <f t="shared" si="18"/>
        <v>-0.84728532472632845</v>
      </c>
      <c r="O32" s="11"/>
      <c r="P32" s="6">
        <v>19740.41</v>
      </c>
      <c r="Q32" s="2"/>
      <c r="R32" s="7">
        <f t="shared" si="19"/>
        <v>6.0503589667170059E-2</v>
      </c>
      <c r="S32" s="2"/>
      <c r="T32" s="6">
        <v>104740.33</v>
      </c>
      <c r="U32" s="2"/>
      <c r="V32" s="7">
        <f t="shared" si="20"/>
        <v>2.4297610974041508E-2</v>
      </c>
      <c r="W32" s="2"/>
      <c r="X32" s="6">
        <f t="shared" si="21"/>
        <v>-84999.92</v>
      </c>
      <c r="Y32" s="2"/>
      <c r="Z32" s="7">
        <f t="shared" si="22"/>
        <v>-0.81152999995321762</v>
      </c>
    </row>
    <row r="33" spans="1:26" s="24" customFormat="1" hidden="1" outlineLevel="2" x14ac:dyDescent="0.25">
      <c r="A33" s="26"/>
      <c r="B33" s="11" t="str">
        <f>CONCATENATE("          ", "6112", " - ", "COMPENSATION INSURANCE")</f>
        <v xml:space="preserve">          6112 - COMPENSATION INSURANCE</v>
      </c>
      <c r="C33" s="11"/>
      <c r="D33" s="6">
        <v>629.72</v>
      </c>
      <c r="E33" s="2"/>
      <c r="F33" s="7">
        <f t="shared" si="15"/>
        <v>1.2599200295312515E-2</v>
      </c>
      <c r="G33" s="2"/>
      <c r="H33" s="6">
        <v>9834.0499999999993</v>
      </c>
      <c r="I33" s="2"/>
      <c r="J33" s="7">
        <f t="shared" si="16"/>
        <v>1.2245417794558669E-2</v>
      </c>
      <c r="K33" s="2"/>
      <c r="L33" s="6">
        <f t="shared" si="17"/>
        <v>-9204.33</v>
      </c>
      <c r="M33" s="2"/>
      <c r="N33" s="7">
        <f t="shared" si="18"/>
        <v>-0.93596534489859218</v>
      </c>
      <c r="O33" s="11"/>
      <c r="P33" s="6">
        <v>5792.22</v>
      </c>
      <c r="Q33" s="2"/>
      <c r="R33" s="7">
        <f t="shared" si="19"/>
        <v>1.7752929252329398E-2</v>
      </c>
      <c r="S33" s="2"/>
      <c r="T33" s="6">
        <v>54321.72</v>
      </c>
      <c r="U33" s="2"/>
      <c r="V33" s="7">
        <f t="shared" si="20"/>
        <v>1.2601526269783664E-2</v>
      </c>
      <c r="W33" s="2"/>
      <c r="X33" s="6">
        <f t="shared" si="21"/>
        <v>-48529.5</v>
      </c>
      <c r="Y33" s="2"/>
      <c r="Z33" s="7">
        <f t="shared" si="22"/>
        <v>-0.89337193299475792</v>
      </c>
    </row>
    <row r="34" spans="1:26" s="24" customFormat="1" hidden="1" outlineLevel="2" x14ac:dyDescent="0.25">
      <c r="A34" s="26"/>
      <c r="B34" s="11" t="str">
        <f>CONCATENATE("          ", "6113", " - ", "GROUP INSURANCE")</f>
        <v xml:space="preserve">          6113 - GROUP INSURANCE</v>
      </c>
      <c r="C34" s="11"/>
      <c r="D34" s="6">
        <v>8554.93</v>
      </c>
      <c r="E34" s="2"/>
      <c r="F34" s="7">
        <f t="shared" si="15"/>
        <v>0.17116381341291034</v>
      </c>
      <c r="G34" s="2"/>
      <c r="H34" s="6">
        <v>24757.3</v>
      </c>
      <c r="I34" s="2"/>
      <c r="J34" s="7">
        <f t="shared" si="16"/>
        <v>3.0827937824724032E-2</v>
      </c>
      <c r="K34" s="2"/>
      <c r="L34" s="6">
        <f t="shared" si="17"/>
        <v>-16202.369999999999</v>
      </c>
      <c r="M34" s="2"/>
      <c r="N34" s="7">
        <f t="shared" si="18"/>
        <v>-0.65444818296017737</v>
      </c>
      <c r="O34" s="11"/>
      <c r="P34" s="6">
        <v>78041.709999999992</v>
      </c>
      <c r="Q34" s="2"/>
      <c r="R34" s="7">
        <f t="shared" si="19"/>
        <v>0.23919480896112502</v>
      </c>
      <c r="S34" s="2"/>
      <c r="T34" s="6">
        <v>179167.32</v>
      </c>
      <c r="U34" s="2"/>
      <c r="V34" s="7">
        <f t="shared" si="20"/>
        <v>4.1563148031151007E-2</v>
      </c>
      <c r="W34" s="2"/>
      <c r="X34" s="6">
        <f t="shared" si="21"/>
        <v>-101125.61000000002</v>
      </c>
      <c r="Y34" s="2"/>
      <c r="Z34" s="7">
        <f t="shared" si="22"/>
        <v>-0.56441995113841081</v>
      </c>
    </row>
    <row r="35" spans="1:26" s="24" customFormat="1" hidden="1" outlineLevel="2" x14ac:dyDescent="0.25">
      <c r="A35" s="26"/>
      <c r="B35" s="11" t="str">
        <f>CONCATENATE("          ", "6114", " - ", "STATE UNEMPLOYMENT INSURANCE")</f>
        <v xml:space="preserve">          6114 - STATE UNEMPLOYMENT INSURANCE</v>
      </c>
      <c r="C35" s="11"/>
      <c r="D35" s="6">
        <v>81.3</v>
      </c>
      <c r="E35" s="2"/>
      <c r="F35" s="7">
        <f t="shared" si="15"/>
        <v>1.6266197421217483E-3</v>
      </c>
      <c r="G35" s="2"/>
      <c r="H35" s="6">
        <v>702.36</v>
      </c>
      <c r="I35" s="2"/>
      <c r="J35" s="7">
        <f t="shared" si="16"/>
        <v>8.7458286689474094E-4</v>
      </c>
      <c r="K35" s="2"/>
      <c r="L35" s="6">
        <f t="shared" si="17"/>
        <v>-621.06000000000006</v>
      </c>
      <c r="M35" s="2"/>
      <c r="N35" s="7">
        <f t="shared" si="18"/>
        <v>-0.88424739449854783</v>
      </c>
      <c r="O35" s="11"/>
      <c r="P35" s="6">
        <v>754.52</v>
      </c>
      <c r="Q35" s="2"/>
      <c r="R35" s="7">
        <f t="shared" si="19"/>
        <v>2.3125744843026639E-3</v>
      </c>
      <c r="S35" s="2"/>
      <c r="T35" s="6">
        <v>4855.3900000000003</v>
      </c>
      <c r="U35" s="2"/>
      <c r="V35" s="7">
        <f t="shared" si="20"/>
        <v>1.1263510182491444E-3</v>
      </c>
      <c r="W35" s="2"/>
      <c r="X35" s="6">
        <f t="shared" si="21"/>
        <v>-4100.8700000000008</v>
      </c>
      <c r="Y35" s="2"/>
      <c r="Z35" s="7">
        <f t="shared" si="22"/>
        <v>-0.84460156650650109</v>
      </c>
    </row>
    <row r="36" spans="1:26" s="24" customFormat="1" hidden="1" outlineLevel="2" x14ac:dyDescent="0.25">
      <c r="A36" s="26"/>
      <c r="B36" s="11" t="str">
        <f>CONCATENATE("          ", "6115", " - ", "P.E.R.S.")</f>
        <v xml:space="preserve">          6115 - P.E.R.S.</v>
      </c>
      <c r="C36" s="11"/>
      <c r="D36" s="6">
        <v>2703.34</v>
      </c>
      <c r="E36" s="2"/>
      <c r="F36" s="7">
        <f t="shared" si="15"/>
        <v>5.4087407302182137E-2</v>
      </c>
      <c r="G36" s="2"/>
      <c r="H36" s="6">
        <v>6777.37</v>
      </c>
      <c r="I36" s="2"/>
      <c r="J36" s="7">
        <f t="shared" si="16"/>
        <v>8.4392216023213319E-3</v>
      </c>
      <c r="K36" s="2"/>
      <c r="L36" s="6">
        <f t="shared" si="17"/>
        <v>-4074.0299999999997</v>
      </c>
      <c r="M36" s="2"/>
      <c r="N36" s="7">
        <f t="shared" si="18"/>
        <v>-0.60112255934086523</v>
      </c>
      <c r="O36" s="11"/>
      <c r="P36" s="6">
        <v>26926.449999999997</v>
      </c>
      <c r="Q36" s="2"/>
      <c r="R36" s="7">
        <f t="shared" si="19"/>
        <v>8.2528523064798104E-2</v>
      </c>
      <c r="S36" s="2"/>
      <c r="T36" s="6">
        <v>59345.77</v>
      </c>
      <c r="U36" s="2"/>
      <c r="V36" s="7">
        <f t="shared" si="20"/>
        <v>1.3767002953064433E-2</v>
      </c>
      <c r="W36" s="2"/>
      <c r="X36" s="6">
        <f t="shared" si="21"/>
        <v>-32419.32</v>
      </c>
      <c r="Y36" s="2"/>
      <c r="Z36" s="7">
        <f t="shared" si="22"/>
        <v>-0.54627853004519111</v>
      </c>
    </row>
    <row r="37" spans="1:26" s="24" customFormat="1" hidden="1" outlineLevel="2" x14ac:dyDescent="0.25">
      <c r="A37" s="26"/>
      <c r="B37" s="11" t="str">
        <f>CONCATENATE("          ", "6117", " - ", "RETIREMENT STAFF HOURLY")</f>
        <v xml:space="preserve">          6117 - RETIREMENT STAFF HOURLY</v>
      </c>
      <c r="C37" s="11"/>
      <c r="D37" s="6"/>
      <c r="E37" s="2"/>
      <c r="F37" s="7">
        <f t="shared" si="15"/>
        <v>0</v>
      </c>
      <c r="G37" s="2"/>
      <c r="H37" s="6">
        <v>154.87</v>
      </c>
      <c r="I37" s="2"/>
      <c r="J37" s="7">
        <f t="shared" si="16"/>
        <v>1.928450489720208E-4</v>
      </c>
      <c r="K37" s="2"/>
      <c r="L37" s="6">
        <f t="shared" si="17"/>
        <v>-154.87</v>
      </c>
      <c r="M37" s="2"/>
      <c r="N37" s="7">
        <f t="shared" si="18"/>
        <v>-1</v>
      </c>
      <c r="O37" s="11"/>
      <c r="P37" s="6"/>
      <c r="Q37" s="2"/>
      <c r="R37" s="7">
        <f t="shared" si="19"/>
        <v>0</v>
      </c>
      <c r="S37" s="2"/>
      <c r="T37" s="6">
        <v>712.85</v>
      </c>
      <c r="U37" s="2"/>
      <c r="V37" s="7">
        <f t="shared" si="20"/>
        <v>1.6536659740183643E-4</v>
      </c>
      <c r="W37" s="2"/>
      <c r="X37" s="6">
        <f t="shared" si="21"/>
        <v>-712.85</v>
      </c>
      <c r="Y37" s="2"/>
      <c r="Z37" s="7">
        <f t="shared" si="22"/>
        <v>-1</v>
      </c>
    </row>
    <row r="38" spans="1:26" s="24" customFormat="1" hidden="1" outlineLevel="2" x14ac:dyDescent="0.25">
      <c r="A38" s="26"/>
      <c r="B38" s="11" t="str">
        <f>CONCATENATE("          ", "6118", " - ", "VACATION")</f>
        <v xml:space="preserve">          6118 - VACATION</v>
      </c>
      <c r="C38" s="11"/>
      <c r="D38" s="6">
        <v>2462.92</v>
      </c>
      <c r="E38" s="2"/>
      <c r="F38" s="7">
        <f t="shared" si="15"/>
        <v>4.9277174603523946E-2</v>
      </c>
      <c r="G38" s="2"/>
      <c r="H38" s="6">
        <v>6652.34</v>
      </c>
      <c r="I38" s="2"/>
      <c r="J38" s="7">
        <f t="shared" si="16"/>
        <v>8.2835334995708196E-3</v>
      </c>
      <c r="K38" s="2"/>
      <c r="L38" s="6">
        <f t="shared" si="17"/>
        <v>-4189.42</v>
      </c>
      <c r="M38" s="2"/>
      <c r="N38" s="7">
        <f t="shared" si="18"/>
        <v>-0.62976636792467011</v>
      </c>
      <c r="O38" s="11"/>
      <c r="P38" s="6">
        <v>20972</v>
      </c>
      <c r="Q38" s="2"/>
      <c r="R38" s="7">
        <f t="shared" si="19"/>
        <v>6.4278365165662238E-2</v>
      </c>
      <c r="S38" s="2"/>
      <c r="T38" s="6">
        <v>58503.859999999993</v>
      </c>
      <c r="U38" s="2"/>
      <c r="V38" s="7">
        <f t="shared" si="20"/>
        <v>1.357169707943242E-2</v>
      </c>
      <c r="W38" s="2"/>
      <c r="X38" s="6">
        <f t="shared" si="21"/>
        <v>-37531.859999999993</v>
      </c>
      <c r="Y38" s="2"/>
      <c r="Z38" s="7">
        <f t="shared" si="22"/>
        <v>-0.64152792653339452</v>
      </c>
    </row>
    <row r="39" spans="1:26" s="24" customFormat="1" hidden="1" outlineLevel="2" x14ac:dyDescent="0.25">
      <c r="A39" s="26"/>
      <c r="B39" s="11" t="str">
        <f>CONCATENATE("          ", "6119", " - ", "SICK LEAVE")</f>
        <v xml:space="preserve">          6119 - SICK LEAVE</v>
      </c>
      <c r="C39" s="11"/>
      <c r="D39" s="6">
        <v>1382.86</v>
      </c>
      <c r="E39" s="2"/>
      <c r="F39" s="7">
        <f t="shared" si="15"/>
        <v>2.766774140947701E-2</v>
      </c>
      <c r="G39" s="2"/>
      <c r="H39" s="6">
        <v>5155.93</v>
      </c>
      <c r="I39" s="2"/>
      <c r="J39" s="7">
        <f t="shared" si="16"/>
        <v>6.4201948301563332E-3</v>
      </c>
      <c r="K39" s="2"/>
      <c r="L39" s="6">
        <f t="shared" si="17"/>
        <v>-3773.0700000000006</v>
      </c>
      <c r="M39" s="2"/>
      <c r="N39" s="7">
        <f t="shared" si="18"/>
        <v>-0.73179232456608223</v>
      </c>
      <c r="O39" s="11"/>
      <c r="P39" s="6">
        <v>12125.28</v>
      </c>
      <c r="Q39" s="2"/>
      <c r="R39" s="7">
        <f t="shared" si="19"/>
        <v>3.7163512091164461E-2</v>
      </c>
      <c r="S39" s="2"/>
      <c r="T39" s="6">
        <v>63031.55999999999</v>
      </c>
      <c r="U39" s="2"/>
      <c r="V39" s="7">
        <f t="shared" si="20"/>
        <v>1.4622030730349575E-2</v>
      </c>
      <c r="W39" s="2"/>
      <c r="X39" s="6">
        <f t="shared" si="21"/>
        <v>-50906.279999999992</v>
      </c>
      <c r="Y39" s="2"/>
      <c r="Z39" s="7">
        <f t="shared" si="22"/>
        <v>-0.80763160550048263</v>
      </c>
    </row>
    <row r="40" spans="1:26" s="24" customFormat="1" hidden="1" outlineLevel="2" x14ac:dyDescent="0.25">
      <c r="A40" s="26"/>
      <c r="B40" s="11" t="str">
        <f>CONCATENATE("          ", "6156", " - ", "EMPLOYEE MEALS")</f>
        <v xml:space="preserve">          6156 - EMPLOYEE MEALS</v>
      </c>
      <c r="C40" s="11"/>
      <c r="D40" s="6">
        <v>196.24</v>
      </c>
      <c r="E40" s="2"/>
      <c r="F40" s="7">
        <f t="shared" si="15"/>
        <v>3.9262959187450425E-3</v>
      </c>
      <c r="G40" s="2"/>
      <c r="H40" s="6">
        <v>3594.72</v>
      </c>
      <c r="I40" s="2"/>
      <c r="J40" s="7">
        <f t="shared" si="16"/>
        <v>4.4761668137192649E-3</v>
      </c>
      <c r="K40" s="2"/>
      <c r="L40" s="6">
        <f t="shared" si="17"/>
        <v>-3398.4799999999996</v>
      </c>
      <c r="M40" s="2"/>
      <c r="N40" s="7">
        <f t="shared" si="18"/>
        <v>-0.94540882182756925</v>
      </c>
      <c r="O40" s="11"/>
      <c r="P40" s="6">
        <v>3717.6</v>
      </c>
      <c r="Q40" s="2"/>
      <c r="R40" s="7">
        <f t="shared" si="19"/>
        <v>1.1394299558452505E-2</v>
      </c>
      <c r="S40" s="2"/>
      <c r="T40" s="6">
        <v>22857.609999999997</v>
      </c>
      <c r="U40" s="2"/>
      <c r="V40" s="7">
        <f t="shared" si="20"/>
        <v>5.3024972861586443E-3</v>
      </c>
      <c r="W40" s="2"/>
      <c r="X40" s="6">
        <f t="shared" si="21"/>
        <v>-19140.009999999998</v>
      </c>
      <c r="Y40" s="2"/>
      <c r="Z40" s="7">
        <f t="shared" si="22"/>
        <v>-0.83735832398925347</v>
      </c>
    </row>
    <row r="41" spans="1:26" s="25" customFormat="1" outlineLevel="1" collapsed="1" x14ac:dyDescent="0.25">
      <c r="A41" s="27"/>
      <c r="B41" s="13" t="str">
        <f>CONCATENATE("     ","*Payroll                                          ")</f>
        <v xml:space="preserve">     *Payroll                                          </v>
      </c>
      <c r="C41" s="13"/>
      <c r="D41" s="1">
        <f>SUM(OSRRefD22_1x_0)</f>
        <v>25366.62</v>
      </c>
      <c r="E41" s="1"/>
      <c r="F41" s="5">
        <f t="shared" ref="F41:F48" si="23">IF(D$12=0,0,D41/D$12)</f>
        <v>0.50752576731734789</v>
      </c>
      <c r="G41" s="1"/>
      <c r="H41" s="1">
        <f>SUM(OSRRefH22_1x_0)</f>
        <v>261505.06999999998</v>
      </c>
      <c r="I41" s="1"/>
      <c r="J41" s="5">
        <f t="shared" ref="J41:J48" si="24">IF(H$12=0,0,H41/H$12)</f>
        <v>0.32562767502151302</v>
      </c>
      <c r="K41" s="1"/>
      <c r="L41" s="1">
        <f t="shared" ref="L41:L48" si="25">+D41-H41</f>
        <v>-236138.44999999998</v>
      </c>
      <c r="M41" s="1"/>
      <c r="N41" s="5">
        <f t="shared" ref="N41:N48" si="26">IF(H41=0,0,L41/H41)</f>
        <v>-0.90299759771387988</v>
      </c>
      <c r="O41" s="13"/>
      <c r="P41" s="1">
        <f>SUM(OSRRefP22_1x_0)</f>
        <v>233504.28999999998</v>
      </c>
      <c r="Q41" s="1"/>
      <c r="R41" s="5">
        <f t="shared" ref="R41:R48" si="27">IF(P$12=0,0,P41/P$12)</f>
        <v>0.71568157640514463</v>
      </c>
      <c r="S41" s="1"/>
      <c r="T41" s="1">
        <f>SUM(OSRRefT22_1x_0)</f>
        <v>1788226.4900000002</v>
      </c>
      <c r="U41" s="1"/>
      <c r="V41" s="5">
        <f t="shared" ref="V41:V48" si="28">IF(T$12=0,0,T41/T$12)</f>
        <v>0.41483191419671611</v>
      </c>
      <c r="W41" s="1"/>
      <c r="X41" s="1">
        <f t="shared" ref="X41:X48" si="29">+P41-T41</f>
        <v>-1554722.2000000002</v>
      </c>
      <c r="Y41" s="1"/>
      <c r="Z41" s="5">
        <f t="shared" ref="Z41:Z48" si="30">IF(T41=0,0,X41/T41)</f>
        <v>-0.86942130020677633</v>
      </c>
    </row>
    <row r="42" spans="1:26" s="24" customFormat="1" hidden="1" outlineLevel="2" x14ac:dyDescent="0.25">
      <c r="A42" s="26"/>
      <c r="B42" s="11" t="str">
        <f>CONCATENATE("          ", "6001", " - ", "ADMINISTRATIVE SALARIES")</f>
        <v xml:space="preserve">          6001 - ADMINISTRATIVE SALARIES</v>
      </c>
      <c r="C42" s="11"/>
      <c r="D42" s="6">
        <v>10590.82</v>
      </c>
      <c r="E42" s="2"/>
      <c r="F42" s="7">
        <f t="shared" si="23"/>
        <v>0.2118971328075997</v>
      </c>
      <c r="G42" s="2"/>
      <c r="H42" s="6">
        <v>18246.47</v>
      </c>
      <c r="I42" s="2"/>
      <c r="J42" s="7">
        <f t="shared" si="24"/>
        <v>2.2720613422331688E-2</v>
      </c>
      <c r="K42" s="2"/>
      <c r="L42" s="6">
        <f t="shared" si="25"/>
        <v>-7655.6500000000015</v>
      </c>
      <c r="M42" s="2"/>
      <c r="N42" s="7">
        <f t="shared" si="26"/>
        <v>-0.41956882618939451</v>
      </c>
      <c r="O42" s="11"/>
      <c r="P42" s="6">
        <v>87181.900000000009</v>
      </c>
      <c r="Q42" s="2"/>
      <c r="R42" s="7">
        <f t="shared" si="27"/>
        <v>0.26720913618330389</v>
      </c>
      <c r="S42" s="2"/>
      <c r="T42" s="6">
        <v>143245.21</v>
      </c>
      <c r="U42" s="2"/>
      <c r="V42" s="7">
        <f t="shared" si="28"/>
        <v>3.3229954368817441E-2</v>
      </c>
      <c r="W42" s="2"/>
      <c r="X42" s="6">
        <f t="shared" si="29"/>
        <v>-56063.309999999983</v>
      </c>
      <c r="Y42" s="2"/>
      <c r="Z42" s="7">
        <f t="shared" si="30"/>
        <v>-0.3913799979768956</v>
      </c>
    </row>
    <row r="43" spans="1:26" s="24" customFormat="1" hidden="1" outlineLevel="2" x14ac:dyDescent="0.25">
      <c r="A43" s="26"/>
      <c r="B43" s="11" t="str">
        <f>CONCATENATE("          ", "6002", " - ", "STAFF SALARIES")</f>
        <v xml:space="preserve">          6002 - STAFF SALARIES</v>
      </c>
      <c r="C43" s="11"/>
      <c r="D43" s="6">
        <v>14166.5</v>
      </c>
      <c r="E43" s="2"/>
      <c r="F43" s="7">
        <f t="shared" si="23"/>
        <v>0.28343798987414204</v>
      </c>
      <c r="G43" s="2"/>
      <c r="H43" s="6">
        <v>58756.579999999994</v>
      </c>
      <c r="I43" s="2"/>
      <c r="J43" s="7">
        <f t="shared" si="24"/>
        <v>7.3164044343826798E-2</v>
      </c>
      <c r="K43" s="2"/>
      <c r="L43" s="6">
        <f t="shared" si="25"/>
        <v>-44590.079999999994</v>
      </c>
      <c r="M43" s="2"/>
      <c r="N43" s="7">
        <f t="shared" si="26"/>
        <v>-0.75889508885643109</v>
      </c>
      <c r="O43" s="11"/>
      <c r="P43" s="6">
        <v>121260.59</v>
      </c>
      <c r="Q43" s="2"/>
      <c r="R43" s="7">
        <f t="shared" si="27"/>
        <v>0.37165899695897631</v>
      </c>
      <c r="S43" s="2"/>
      <c r="T43" s="6">
        <v>497403.39999999997</v>
      </c>
      <c r="U43" s="2"/>
      <c r="V43" s="7">
        <f t="shared" si="28"/>
        <v>0.11538739958491211</v>
      </c>
      <c r="W43" s="2"/>
      <c r="X43" s="6">
        <f t="shared" si="29"/>
        <v>-376142.80999999994</v>
      </c>
      <c r="Y43" s="2"/>
      <c r="Z43" s="7">
        <f t="shared" si="30"/>
        <v>-0.75621278423106875</v>
      </c>
    </row>
    <row r="44" spans="1:26" s="24" customFormat="1" hidden="1" outlineLevel="2" x14ac:dyDescent="0.25">
      <c r="A44" s="26"/>
      <c r="B44" s="11" t="str">
        <f>CONCATENATE("          ", "6004", " - ", "STAFF HOURLY")</f>
        <v xml:space="preserve">          6004 - STAFF HOURLY</v>
      </c>
      <c r="C44" s="11"/>
      <c r="D44" s="6">
        <v>284.3</v>
      </c>
      <c r="E44" s="2"/>
      <c r="F44" s="7">
        <f t="shared" si="23"/>
        <v>5.6881671917000387E-3</v>
      </c>
      <c r="G44" s="2"/>
      <c r="H44" s="6">
        <v>27872.69</v>
      </c>
      <c r="I44" s="2"/>
      <c r="J44" s="7">
        <f t="shared" si="24"/>
        <v>3.470724005961099E-2</v>
      </c>
      <c r="K44" s="2"/>
      <c r="L44" s="6">
        <f t="shared" si="25"/>
        <v>-27588.39</v>
      </c>
      <c r="M44" s="2"/>
      <c r="N44" s="7">
        <f t="shared" si="26"/>
        <v>-0.98980005159171935</v>
      </c>
      <c r="O44" s="11"/>
      <c r="P44" s="6">
        <v>21769.38</v>
      </c>
      <c r="Q44" s="2"/>
      <c r="R44" s="7">
        <f t="shared" si="27"/>
        <v>6.6722303884706485E-2</v>
      </c>
      <c r="S44" s="2"/>
      <c r="T44" s="6">
        <v>173708.77</v>
      </c>
      <c r="U44" s="2"/>
      <c r="V44" s="7">
        <f t="shared" si="28"/>
        <v>4.0296876248521005E-2</v>
      </c>
      <c r="W44" s="2"/>
      <c r="X44" s="6">
        <f t="shared" si="29"/>
        <v>-151939.38999999998</v>
      </c>
      <c r="Y44" s="2"/>
      <c r="Z44" s="7">
        <f t="shared" si="30"/>
        <v>-0.8746788662426197</v>
      </c>
    </row>
    <row r="45" spans="1:26" s="24" customFormat="1" hidden="1" outlineLevel="2" x14ac:dyDescent="0.25">
      <c r="A45" s="26"/>
      <c r="B45" s="11" t="str">
        <f>CONCATENATE("          ", "6005", " - ", "TEMPORARY WAGES-HOURLY")</f>
        <v xml:space="preserve">          6005 - TEMPORARY WAGES-HOURLY</v>
      </c>
      <c r="C45" s="11"/>
      <c r="D45" s="6"/>
      <c r="E45" s="2"/>
      <c r="F45" s="7">
        <f t="shared" si="23"/>
        <v>0</v>
      </c>
      <c r="G45" s="2"/>
      <c r="H45" s="6">
        <v>59049.080000000009</v>
      </c>
      <c r="I45" s="2"/>
      <c r="J45" s="7">
        <f t="shared" si="24"/>
        <v>7.3528267090803748E-2</v>
      </c>
      <c r="K45" s="2"/>
      <c r="L45" s="6">
        <f t="shared" si="25"/>
        <v>-59049.080000000009</v>
      </c>
      <c r="M45" s="2"/>
      <c r="N45" s="7">
        <f t="shared" si="26"/>
        <v>-1</v>
      </c>
      <c r="O45" s="11"/>
      <c r="P45" s="6">
        <v>2736.71</v>
      </c>
      <c r="Q45" s="2"/>
      <c r="R45" s="7">
        <f t="shared" si="27"/>
        <v>8.3879098194029906E-3</v>
      </c>
      <c r="S45" s="2"/>
      <c r="T45" s="6">
        <v>367361.71</v>
      </c>
      <c r="U45" s="2"/>
      <c r="V45" s="7">
        <f t="shared" si="28"/>
        <v>8.5220391384471045E-2</v>
      </c>
      <c r="W45" s="2"/>
      <c r="X45" s="6">
        <f t="shared" si="29"/>
        <v>-364625</v>
      </c>
      <c r="Y45" s="2"/>
      <c r="Z45" s="7">
        <f t="shared" si="30"/>
        <v>-0.99255036677611275</v>
      </c>
    </row>
    <row r="46" spans="1:26" s="24" customFormat="1" hidden="1" outlineLevel="2" x14ac:dyDescent="0.25">
      <c r="A46" s="26"/>
      <c r="B46" s="11" t="str">
        <f>CONCATENATE("          ", "6006", " - ", "TEMPORARY PART TIME")</f>
        <v xml:space="preserve">          6006 - TEMPORARY PART TIME</v>
      </c>
      <c r="C46" s="11"/>
      <c r="D46" s="6"/>
      <c r="E46" s="2"/>
      <c r="F46" s="7">
        <f t="shared" si="23"/>
        <v>0</v>
      </c>
      <c r="G46" s="2"/>
      <c r="H46" s="6">
        <v>526.11</v>
      </c>
      <c r="I46" s="2"/>
      <c r="J46" s="7">
        <f t="shared" si="24"/>
        <v>6.5511531422915914E-4</v>
      </c>
      <c r="K46" s="2"/>
      <c r="L46" s="6">
        <f t="shared" si="25"/>
        <v>-526.11</v>
      </c>
      <c r="M46" s="2"/>
      <c r="N46" s="7">
        <f t="shared" si="26"/>
        <v>-1</v>
      </c>
      <c r="O46" s="11"/>
      <c r="P46" s="6"/>
      <c r="Q46" s="2"/>
      <c r="R46" s="7">
        <f t="shared" si="27"/>
        <v>0</v>
      </c>
      <c r="S46" s="2"/>
      <c r="T46" s="6">
        <v>11237.01</v>
      </c>
      <c r="U46" s="2"/>
      <c r="V46" s="7">
        <f t="shared" si="28"/>
        <v>2.606756131963821E-3</v>
      </c>
      <c r="W46" s="2"/>
      <c r="X46" s="6">
        <f t="shared" si="29"/>
        <v>-11237.01</v>
      </c>
      <c r="Y46" s="2"/>
      <c r="Z46" s="7">
        <f t="shared" si="30"/>
        <v>-1</v>
      </c>
    </row>
    <row r="47" spans="1:26" s="24" customFormat="1" hidden="1" outlineLevel="2" x14ac:dyDescent="0.25">
      <c r="A47" s="26"/>
      <c r="B47" s="11" t="str">
        <f>CONCATENATE("          ", "6007", " - ", "STUDENT HOURLY")</f>
        <v xml:space="preserve">          6007 - STUDENT HOURLY</v>
      </c>
      <c r="C47" s="11"/>
      <c r="D47" s="6">
        <v>325</v>
      </c>
      <c r="E47" s="2"/>
      <c r="F47" s="7">
        <f t="shared" si="23"/>
        <v>6.5024774439061284E-3</v>
      </c>
      <c r="G47" s="2"/>
      <c r="H47" s="6">
        <v>90844.56</v>
      </c>
      <c r="I47" s="2"/>
      <c r="J47" s="7">
        <f t="shared" si="24"/>
        <v>0.11312018868755526</v>
      </c>
      <c r="K47" s="2"/>
      <c r="L47" s="6">
        <f t="shared" si="25"/>
        <v>-90519.56</v>
      </c>
      <c r="M47" s="2"/>
      <c r="N47" s="7">
        <f t="shared" si="26"/>
        <v>-0.99642246051937511</v>
      </c>
      <c r="O47" s="11"/>
      <c r="P47" s="6">
        <v>555.71</v>
      </c>
      <c r="Q47" s="2"/>
      <c r="R47" s="7">
        <f t="shared" si="27"/>
        <v>1.7032295587550146E-3</v>
      </c>
      <c r="S47" s="2"/>
      <c r="T47" s="6">
        <v>566315.14</v>
      </c>
      <c r="U47" s="2"/>
      <c r="V47" s="7">
        <f t="shared" si="28"/>
        <v>0.13137351162088046</v>
      </c>
      <c r="W47" s="2"/>
      <c r="X47" s="6">
        <f t="shared" si="29"/>
        <v>-565759.43000000005</v>
      </c>
      <c r="Y47" s="2"/>
      <c r="Z47" s="7">
        <f t="shared" si="30"/>
        <v>-0.99901872656980362</v>
      </c>
    </row>
    <row r="48" spans="1:26" s="24" customFormat="1" hidden="1" outlineLevel="2" x14ac:dyDescent="0.25">
      <c r="A48" s="26"/>
      <c r="B48" s="11" t="str">
        <f>CONCATENATE("          ", "6008", " - ", "STUDENT HOURLY-FICA EXEMPT")</f>
        <v xml:space="preserve">          6008 - STUDENT HOURLY-FICA EXEMPT</v>
      </c>
      <c r="C48" s="11"/>
      <c r="D48" s="6"/>
      <c r="E48" s="2"/>
      <c r="F48" s="7">
        <f t="shared" si="23"/>
        <v>0</v>
      </c>
      <c r="G48" s="2"/>
      <c r="H48" s="6">
        <v>6209.58</v>
      </c>
      <c r="I48" s="2"/>
      <c r="J48" s="7">
        <f t="shared" si="24"/>
        <v>7.7322061031554271E-3</v>
      </c>
      <c r="K48" s="2"/>
      <c r="L48" s="6">
        <f t="shared" si="25"/>
        <v>-6209.58</v>
      </c>
      <c r="M48" s="2"/>
      <c r="N48" s="7">
        <f t="shared" si="26"/>
        <v>-1</v>
      </c>
      <c r="O48" s="11"/>
      <c r="P48" s="6"/>
      <c r="Q48" s="2"/>
      <c r="R48" s="7">
        <f t="shared" si="27"/>
        <v>0</v>
      </c>
      <c r="S48" s="2"/>
      <c r="T48" s="6">
        <v>28955.25</v>
      </c>
      <c r="U48" s="2"/>
      <c r="V48" s="7">
        <f t="shared" si="28"/>
        <v>6.7170248571502052E-3</v>
      </c>
      <c r="W48" s="2"/>
      <c r="X48" s="6">
        <f t="shared" si="29"/>
        <v>-28955.25</v>
      </c>
      <c r="Y48" s="2"/>
      <c r="Z48" s="7">
        <f t="shared" si="30"/>
        <v>-1</v>
      </c>
    </row>
    <row r="49" spans="1:26" s="25" customFormat="1" outlineLevel="1" collapsed="1" x14ac:dyDescent="0.25">
      <c r="A49" s="27"/>
      <c r="B49" s="13" t="str">
        <f>CONCATENATE("     ","Advertising/Promo                                 ")</f>
        <v xml:space="preserve">     Advertising/Promo                                 </v>
      </c>
      <c r="C49" s="13"/>
      <c r="D49" s="1">
        <f>SUM(OSRRefD22_2x_0)</f>
        <v>78.48</v>
      </c>
      <c r="E49" s="1"/>
      <c r="F49" s="5">
        <f t="shared" ref="F49:F58" si="31">IF(D$12=0,0,D49/D$12)</f>
        <v>1.5701982455315476E-3</v>
      </c>
      <c r="G49" s="1"/>
      <c r="H49" s="1">
        <f>SUM(OSRRefH22_2x_0)</f>
        <v>2273.58</v>
      </c>
      <c r="I49" s="1"/>
      <c r="J49" s="5">
        <f t="shared" ref="J49:J58" si="32">IF(H$12=0,0,H49/H$12)</f>
        <v>2.8310753951172407E-3</v>
      </c>
      <c r="K49" s="1"/>
      <c r="L49" s="1">
        <f t="shared" ref="L49:L58" si="33">+D49-H49</f>
        <v>-2195.1</v>
      </c>
      <c r="M49" s="1"/>
      <c r="N49" s="5">
        <f t="shared" ref="N49:N58" si="34">IF(H49=0,0,L49/H49)</f>
        <v>-0.96548175124693214</v>
      </c>
      <c r="O49" s="13"/>
      <c r="P49" s="1">
        <f>SUM(OSRRefP22_2x_0)</f>
        <v>217.83</v>
      </c>
      <c r="Q49" s="1"/>
      <c r="R49" s="5">
        <f t="shared" ref="R49:R58" si="35">IF(P$12=0,0,P49/P$12)</f>
        <v>6.6764048655522628E-4</v>
      </c>
      <c r="S49" s="1"/>
      <c r="T49" s="1">
        <f>SUM(OSRRefT22_2x_0)</f>
        <v>26084.59</v>
      </c>
      <c r="U49" s="1"/>
      <c r="V49" s="5">
        <f t="shared" ref="V49:V58" si="36">IF(T$12=0,0,T49/T$12)</f>
        <v>6.0510905420803366E-3</v>
      </c>
      <c r="W49" s="1"/>
      <c r="X49" s="1">
        <f t="shared" ref="X49:X58" si="37">+P49-T49</f>
        <v>-25866.76</v>
      </c>
      <c r="Y49" s="1"/>
      <c r="Z49" s="5">
        <f t="shared" ref="Z49:Z58" si="38">IF(T49=0,0,X49/T49)</f>
        <v>-0.99164909243350186</v>
      </c>
    </row>
    <row r="50" spans="1:26" s="24" customFormat="1" hidden="1" outlineLevel="2" x14ac:dyDescent="0.25">
      <c r="A50" s="26"/>
      <c r="B50" s="11" t="str">
        <f>CONCATENATE("          ", "6362", " - ", "ADVERTISING EXPENSE")</f>
        <v xml:space="preserve">          6362 - ADVERTISING EXPENSE</v>
      </c>
      <c r="C50" s="11"/>
      <c r="D50" s="6">
        <v>78.48</v>
      </c>
      <c r="E50" s="2"/>
      <c r="F50" s="7">
        <f t="shared" si="31"/>
        <v>1.5701982455315476E-3</v>
      </c>
      <c r="G50" s="2"/>
      <c r="H50" s="6">
        <v>2273.58</v>
      </c>
      <c r="I50" s="2"/>
      <c r="J50" s="7">
        <f t="shared" si="32"/>
        <v>2.8310753951172407E-3</v>
      </c>
      <c r="K50" s="2"/>
      <c r="L50" s="6">
        <f t="shared" si="33"/>
        <v>-2195.1</v>
      </c>
      <c r="M50" s="2"/>
      <c r="N50" s="7">
        <f t="shared" si="34"/>
        <v>-0.96548175124693214</v>
      </c>
      <c r="O50" s="11"/>
      <c r="P50" s="6">
        <v>217.83</v>
      </c>
      <c r="Q50" s="2"/>
      <c r="R50" s="7">
        <f t="shared" si="35"/>
        <v>6.6764048655522628E-4</v>
      </c>
      <c r="S50" s="2"/>
      <c r="T50" s="6">
        <v>26084.59</v>
      </c>
      <c r="U50" s="2"/>
      <c r="V50" s="7">
        <f t="shared" si="36"/>
        <v>6.0510905420803366E-3</v>
      </c>
      <c r="W50" s="2"/>
      <c r="X50" s="6">
        <f t="shared" si="37"/>
        <v>-25866.76</v>
      </c>
      <c r="Y50" s="2"/>
      <c r="Z50" s="7">
        <f t="shared" si="38"/>
        <v>-0.99164909243350186</v>
      </c>
    </row>
    <row r="51" spans="1:26" s="25" customFormat="1" outlineLevel="1" collapsed="1" x14ac:dyDescent="0.25">
      <c r="A51" s="27"/>
      <c r="B51" s="13" t="str">
        <f>CONCATENATE("     ","Bad Debts/Over/Short                              ")</f>
        <v xml:space="preserve">     Bad Debts/Over/Short                              </v>
      </c>
      <c r="C51" s="13"/>
      <c r="D51" s="1">
        <f>SUM(OSRRefD22_3x_0)</f>
        <v>0</v>
      </c>
      <c r="E51" s="1"/>
      <c r="F51" s="5">
        <f t="shared" si="31"/>
        <v>0</v>
      </c>
      <c r="G51" s="1"/>
      <c r="H51" s="1">
        <f>SUM(OSRRefH22_3x_0)</f>
        <v>234.25</v>
      </c>
      <c r="I51" s="1"/>
      <c r="J51" s="5">
        <f t="shared" si="32"/>
        <v>2.9168949907468119E-4</v>
      </c>
      <c r="K51" s="1"/>
      <c r="L51" s="1">
        <f t="shared" si="33"/>
        <v>-234.25</v>
      </c>
      <c r="M51" s="1"/>
      <c r="N51" s="5">
        <f t="shared" si="34"/>
        <v>-1</v>
      </c>
      <c r="O51" s="13"/>
      <c r="P51" s="1">
        <f>SUM(OSRRefP22_3x_0)</f>
        <v>8.7899999999999991</v>
      </c>
      <c r="Q51" s="1"/>
      <c r="R51" s="5">
        <f t="shared" si="35"/>
        <v>2.6941008478264879E-5</v>
      </c>
      <c r="S51" s="1"/>
      <c r="T51" s="1">
        <f>SUM(OSRRefT22_3x_0)</f>
        <v>-270.13</v>
      </c>
      <c r="U51" s="1"/>
      <c r="V51" s="5">
        <f t="shared" si="36"/>
        <v>-6.2664626437761197E-5</v>
      </c>
      <c r="W51" s="1"/>
      <c r="X51" s="1">
        <f t="shared" si="37"/>
        <v>278.92</v>
      </c>
      <c r="Y51" s="1"/>
      <c r="Z51" s="5">
        <f t="shared" si="38"/>
        <v>-1.032539888201977</v>
      </c>
    </row>
    <row r="52" spans="1:26" s="24" customFormat="1" hidden="1" outlineLevel="2" x14ac:dyDescent="0.25">
      <c r="A52" s="26"/>
      <c r="B52" s="11" t="str">
        <f>CONCATENATE("          ", "6272", " - ", "CASH (OVER/SHORT)")</f>
        <v xml:space="preserve">          6272 - CASH (OVER/SHORT)</v>
      </c>
      <c r="C52" s="11"/>
      <c r="D52" s="6"/>
      <c r="E52" s="2"/>
      <c r="F52" s="7">
        <f t="shared" si="31"/>
        <v>0</v>
      </c>
      <c r="G52" s="2"/>
      <c r="H52" s="6">
        <v>234.25</v>
      </c>
      <c r="I52" s="2"/>
      <c r="J52" s="7">
        <f t="shared" si="32"/>
        <v>2.9168949907468119E-4</v>
      </c>
      <c r="K52" s="2"/>
      <c r="L52" s="6">
        <f t="shared" si="33"/>
        <v>-234.25</v>
      </c>
      <c r="M52" s="2"/>
      <c r="N52" s="7">
        <f t="shared" si="34"/>
        <v>-1</v>
      </c>
      <c r="O52" s="11"/>
      <c r="P52" s="6">
        <v>8.7899999999999991</v>
      </c>
      <c r="Q52" s="2"/>
      <c r="R52" s="7">
        <f t="shared" si="35"/>
        <v>2.6941008478264879E-5</v>
      </c>
      <c r="S52" s="2"/>
      <c r="T52" s="6">
        <v>-270.13</v>
      </c>
      <c r="U52" s="2"/>
      <c r="V52" s="7">
        <f t="shared" si="36"/>
        <v>-6.2664626437761197E-5</v>
      </c>
      <c r="W52" s="2"/>
      <c r="X52" s="6">
        <f t="shared" si="37"/>
        <v>278.92</v>
      </c>
      <c r="Y52" s="2"/>
      <c r="Z52" s="7">
        <f t="shared" si="38"/>
        <v>-1.032539888201977</v>
      </c>
    </row>
    <row r="53" spans="1:26" s="25" customFormat="1" outlineLevel="1" collapsed="1" x14ac:dyDescent="0.25">
      <c r="A53" s="27"/>
      <c r="B53" s="13" t="str">
        <f>CONCATENATE("     ","Bank/card Fees                                    ")</f>
        <v xml:space="preserve">     Bank/card Fees                                    </v>
      </c>
      <c r="C53" s="13"/>
      <c r="D53" s="1">
        <f>SUM(OSRRefD22_4x_0)</f>
        <v>781.86</v>
      </c>
      <c r="E53" s="1"/>
      <c r="F53" s="5">
        <f t="shared" si="31"/>
        <v>1.5643160043976756E-2</v>
      </c>
      <c r="G53" s="1"/>
      <c r="H53" s="1">
        <f>SUM(OSRRefH22_4x_0)</f>
        <v>18412.04</v>
      </c>
      <c r="I53" s="1"/>
      <c r="J53" s="5">
        <f t="shared" si="32"/>
        <v>2.2926782175210218E-2</v>
      </c>
      <c r="K53" s="1"/>
      <c r="L53" s="1">
        <f t="shared" si="33"/>
        <v>-17630.18</v>
      </c>
      <c r="M53" s="1"/>
      <c r="N53" s="5">
        <f t="shared" si="34"/>
        <v>-0.95753539531741183</v>
      </c>
      <c r="O53" s="13"/>
      <c r="P53" s="1">
        <f>SUM(OSRRefP22_4x_0)</f>
        <v>4708.3900000000003</v>
      </c>
      <c r="Q53" s="1"/>
      <c r="R53" s="5">
        <f t="shared" si="35"/>
        <v>1.4431032412852969E-2</v>
      </c>
      <c r="S53" s="1"/>
      <c r="T53" s="1">
        <f>SUM(OSRRefT22_4x_0)</f>
        <v>132774.41</v>
      </c>
      <c r="U53" s="1"/>
      <c r="V53" s="5">
        <f t="shared" si="36"/>
        <v>3.0800943261185893E-2</v>
      </c>
      <c r="W53" s="1"/>
      <c r="X53" s="1">
        <f t="shared" si="37"/>
        <v>-128066.02</v>
      </c>
      <c r="Y53" s="1"/>
      <c r="Z53" s="5">
        <f t="shared" si="38"/>
        <v>-0.96453842272769275</v>
      </c>
    </row>
    <row r="54" spans="1:26" s="24" customFormat="1" hidden="1" outlineLevel="2" x14ac:dyDescent="0.25">
      <c r="A54" s="26"/>
      <c r="B54" s="11" t="str">
        <f>CONCATENATE("          ", "6381", " - ", "BANK/CREDIT CARD FEES")</f>
        <v xml:space="preserve">          6381 - BANK/CREDIT CARD FEES</v>
      </c>
      <c r="C54" s="11"/>
      <c r="D54" s="6">
        <v>781.86</v>
      </c>
      <c r="E54" s="2"/>
      <c r="F54" s="7">
        <f t="shared" si="31"/>
        <v>1.5643160043976756E-2</v>
      </c>
      <c r="G54" s="2"/>
      <c r="H54" s="6">
        <v>18412.04</v>
      </c>
      <c r="I54" s="2"/>
      <c r="J54" s="7">
        <f t="shared" si="32"/>
        <v>2.2926782175210218E-2</v>
      </c>
      <c r="K54" s="2"/>
      <c r="L54" s="6">
        <f t="shared" si="33"/>
        <v>-17630.18</v>
      </c>
      <c r="M54" s="2"/>
      <c r="N54" s="7">
        <f t="shared" si="34"/>
        <v>-0.95753539531741183</v>
      </c>
      <c r="O54" s="11"/>
      <c r="P54" s="6">
        <v>4708.3900000000003</v>
      </c>
      <c r="Q54" s="2"/>
      <c r="R54" s="7">
        <f t="shared" si="35"/>
        <v>1.4431032412852969E-2</v>
      </c>
      <c r="S54" s="2"/>
      <c r="T54" s="6">
        <v>132774.41</v>
      </c>
      <c r="U54" s="2"/>
      <c r="V54" s="7">
        <f t="shared" si="36"/>
        <v>3.0800943261185893E-2</v>
      </c>
      <c r="W54" s="2"/>
      <c r="X54" s="6">
        <f t="shared" si="37"/>
        <v>-128066.02</v>
      </c>
      <c r="Y54" s="2"/>
      <c r="Z54" s="7">
        <f t="shared" si="38"/>
        <v>-0.96453842272769275</v>
      </c>
    </row>
    <row r="55" spans="1:26" s="25" customFormat="1" outlineLevel="1" collapsed="1" x14ac:dyDescent="0.25">
      <c r="A55" s="27"/>
      <c r="B55" s="13" t="str">
        <f>CONCATENATE("     ","Depreciation                                      ")</f>
        <v xml:space="preserve">     Depreciation                                      </v>
      </c>
      <c r="C55" s="13"/>
      <c r="D55" s="1">
        <f>SUM(OSRRefD22_5x_0)</f>
        <v>36720.759999999995</v>
      </c>
      <c r="E55" s="1"/>
      <c r="F55" s="5">
        <f t="shared" si="31"/>
        <v>0.73469511884027805</v>
      </c>
      <c r="G55" s="1"/>
      <c r="H55" s="1">
        <f>SUM(OSRRefH22_5x_0)</f>
        <v>40983.520000000004</v>
      </c>
      <c r="I55" s="1"/>
      <c r="J55" s="5">
        <f t="shared" si="32"/>
        <v>5.1032923880969812E-2</v>
      </c>
      <c r="K55" s="1"/>
      <c r="L55" s="1">
        <f t="shared" si="33"/>
        <v>-4262.7600000000093</v>
      </c>
      <c r="M55" s="1"/>
      <c r="N55" s="5">
        <f t="shared" si="34"/>
        <v>-0.10401156367242269</v>
      </c>
      <c r="O55" s="13"/>
      <c r="P55" s="1">
        <f>SUM(OSRRefP22_5x_0)</f>
        <v>296589.59999999998</v>
      </c>
      <c r="Q55" s="1"/>
      <c r="R55" s="5">
        <f t="shared" si="35"/>
        <v>0.90903560047385545</v>
      </c>
      <c r="S55" s="1"/>
      <c r="T55" s="1">
        <f>SUM(OSRRefT22_5x_0)</f>
        <v>320330.01</v>
      </c>
      <c r="U55" s="1"/>
      <c r="V55" s="5">
        <f t="shared" si="36"/>
        <v>7.4310000419998926E-2</v>
      </c>
      <c r="W55" s="1"/>
      <c r="X55" s="1">
        <f t="shared" si="37"/>
        <v>-23740.410000000033</v>
      </c>
      <c r="Y55" s="1"/>
      <c r="Z55" s="5">
        <f t="shared" si="38"/>
        <v>-7.4112350572461294E-2</v>
      </c>
    </row>
    <row r="56" spans="1:26" s="24" customFormat="1" hidden="1" outlineLevel="2" x14ac:dyDescent="0.25">
      <c r="A56" s="26"/>
      <c r="B56" s="11" t="str">
        <f>CONCATENATE("          ", "6321", " - ", "BUILDING DEPRECIATION")</f>
        <v xml:space="preserve">          6321 - BUILDING DEPRECIATION</v>
      </c>
      <c r="C56" s="11"/>
      <c r="D56" s="6">
        <v>23583.489999999998</v>
      </c>
      <c r="E56" s="2"/>
      <c r="F56" s="7">
        <f t="shared" si="31"/>
        <v>0.47184957468795607</v>
      </c>
      <c r="G56" s="2"/>
      <c r="H56" s="6">
        <v>24042.959999999999</v>
      </c>
      <c r="I56" s="2"/>
      <c r="J56" s="7">
        <f t="shared" si="32"/>
        <v>2.9938437390277892E-2</v>
      </c>
      <c r="K56" s="2"/>
      <c r="L56" s="6">
        <f t="shared" si="33"/>
        <v>-459.47000000000116</v>
      </c>
      <c r="M56" s="2"/>
      <c r="N56" s="7">
        <f t="shared" si="34"/>
        <v>-1.9110375760721689E-2</v>
      </c>
      <c r="O56" s="11"/>
      <c r="P56" s="6">
        <v>189452.11</v>
      </c>
      <c r="Q56" s="2"/>
      <c r="R56" s="7">
        <f t="shared" si="35"/>
        <v>0.58066335628386467</v>
      </c>
      <c r="S56" s="2"/>
      <c r="T56" s="6">
        <v>192343.67999999999</v>
      </c>
      <c r="U56" s="2"/>
      <c r="V56" s="7">
        <f t="shared" si="36"/>
        <v>4.4619793635894862E-2</v>
      </c>
      <c r="W56" s="2"/>
      <c r="X56" s="6">
        <f t="shared" si="37"/>
        <v>-2891.570000000007</v>
      </c>
      <c r="Y56" s="2"/>
      <c r="Z56" s="7">
        <f t="shared" si="38"/>
        <v>-1.5033350718879908E-2</v>
      </c>
    </row>
    <row r="57" spans="1:26" s="24" customFormat="1" hidden="1" outlineLevel="2" x14ac:dyDescent="0.25">
      <c r="A57" s="26"/>
      <c r="B57" s="11" t="str">
        <f>CONCATENATE("          ", "6322", " - ", "EQUIPMENT DEPRECIATION EXPENSE")</f>
        <v xml:space="preserve">          6322 - EQUIPMENT DEPRECIATION EXPENSE</v>
      </c>
      <c r="C57" s="11"/>
      <c r="D57" s="6">
        <v>13137.27</v>
      </c>
      <c r="E57" s="2"/>
      <c r="F57" s="7">
        <f t="shared" si="31"/>
        <v>0.26284554415232209</v>
      </c>
      <c r="G57" s="2"/>
      <c r="H57" s="6">
        <v>16516.310000000001</v>
      </c>
      <c r="I57" s="2"/>
      <c r="J57" s="7">
        <f t="shared" si="32"/>
        <v>2.0566207856828805E-2</v>
      </c>
      <c r="K57" s="2"/>
      <c r="L57" s="6">
        <f t="shared" si="33"/>
        <v>-3379.0400000000009</v>
      </c>
      <c r="M57" s="2"/>
      <c r="N57" s="7">
        <f t="shared" si="34"/>
        <v>-0.20458807082211466</v>
      </c>
      <c r="O57" s="11"/>
      <c r="P57" s="6">
        <v>107137.49</v>
      </c>
      <c r="Q57" s="2"/>
      <c r="R57" s="7">
        <f t="shared" si="35"/>
        <v>0.32837224418999078</v>
      </c>
      <c r="S57" s="2"/>
      <c r="T57" s="6">
        <v>124592.33000000002</v>
      </c>
      <c r="U57" s="2"/>
      <c r="V57" s="7">
        <f t="shared" si="36"/>
        <v>2.8902868309555654E-2</v>
      </c>
      <c r="W57" s="2"/>
      <c r="X57" s="6">
        <f t="shared" si="37"/>
        <v>-17454.840000000011</v>
      </c>
      <c r="Y57" s="2"/>
      <c r="Z57" s="7">
        <f t="shared" si="38"/>
        <v>-0.14009562225860941</v>
      </c>
    </row>
    <row r="58" spans="1:26" s="24" customFormat="1" hidden="1" outlineLevel="2" x14ac:dyDescent="0.25">
      <c r="A58" s="26"/>
      <c r="B58" s="11" t="str">
        <f>CONCATENATE("          ", "6326", " - ", "VEHICLES DEPRECIATION EXPENSE")</f>
        <v xml:space="preserve">          6326 - VEHICLES DEPRECIATION EXPENSE</v>
      </c>
      <c r="C58" s="11"/>
      <c r="D58" s="6"/>
      <c r="E58" s="2"/>
      <c r="F58" s="7">
        <f t="shared" si="31"/>
        <v>0</v>
      </c>
      <c r="G58" s="2"/>
      <c r="H58" s="6">
        <v>424.25</v>
      </c>
      <c r="I58" s="2"/>
      <c r="J58" s="7">
        <f t="shared" si="32"/>
        <v>5.2827863386310987E-4</v>
      </c>
      <c r="K58" s="2"/>
      <c r="L58" s="6">
        <f t="shared" si="33"/>
        <v>-424.25</v>
      </c>
      <c r="M58" s="2"/>
      <c r="N58" s="7">
        <f t="shared" si="34"/>
        <v>-1</v>
      </c>
      <c r="O58" s="11"/>
      <c r="P58" s="6"/>
      <c r="Q58" s="2"/>
      <c r="R58" s="7">
        <f t="shared" si="35"/>
        <v>0</v>
      </c>
      <c r="S58" s="2"/>
      <c r="T58" s="6">
        <v>3394</v>
      </c>
      <c r="U58" s="2"/>
      <c r="V58" s="7">
        <f t="shared" si="36"/>
        <v>7.8733847454840822E-4</v>
      </c>
      <c r="W58" s="2"/>
      <c r="X58" s="6">
        <f t="shared" si="37"/>
        <v>-3394</v>
      </c>
      <c r="Y58" s="2"/>
      <c r="Z58" s="7">
        <f t="shared" si="38"/>
        <v>-1</v>
      </c>
    </row>
    <row r="59" spans="1:26" s="25" customFormat="1" outlineLevel="1" collapsed="1" x14ac:dyDescent="0.25">
      <c r="A59" s="27"/>
      <c r="B59" s="13" t="str">
        <f>CONCATENATE("     ","Discounts and Markdowns                           ")</f>
        <v xml:space="preserve">     Discounts and Markdowns                           </v>
      </c>
      <c r="C59" s="13"/>
      <c r="D59" s="1">
        <f>SUM(OSRRefD22_6x_0)</f>
        <v>0</v>
      </c>
      <c r="E59" s="1"/>
      <c r="F59" s="5">
        <f t="shared" ref="F59:F71" si="39">IF(D$12=0,0,D59/D$12)</f>
        <v>0</v>
      </c>
      <c r="G59" s="1"/>
      <c r="H59" s="1">
        <f>SUM(OSRRefH22_6x_0)</f>
        <v>0</v>
      </c>
      <c r="I59" s="1"/>
      <c r="J59" s="5">
        <f t="shared" ref="J59:J71" si="40">IF(H$12=0,0,H59/H$12)</f>
        <v>0</v>
      </c>
      <c r="K59" s="1"/>
      <c r="L59" s="1">
        <f t="shared" ref="L59:L71" si="41">+D59-H59</f>
        <v>0</v>
      </c>
      <c r="M59" s="1"/>
      <c r="N59" s="5">
        <f t="shared" ref="N59:N71" si="42">IF(H59=0,0,L59/H59)</f>
        <v>0</v>
      </c>
      <c r="O59" s="13"/>
      <c r="P59" s="1">
        <f>SUM(OSRRefP22_6x_0)</f>
        <v>0</v>
      </c>
      <c r="Q59" s="1"/>
      <c r="R59" s="5">
        <f t="shared" ref="R59:R71" si="43">IF(P$12=0,0,P59/P$12)</f>
        <v>0</v>
      </c>
      <c r="S59" s="1"/>
      <c r="T59" s="1">
        <f>SUM(OSRRefT22_6x_0)</f>
        <v>0.09</v>
      </c>
      <c r="U59" s="1"/>
      <c r="V59" s="5">
        <f t="shared" ref="V59:V71" si="44">IF(T$12=0,0,T59/T$12)</f>
        <v>2.0878156366928916E-8</v>
      </c>
      <c r="W59" s="1"/>
      <c r="X59" s="1">
        <f t="shared" ref="X59:X71" si="45">+P59-T59</f>
        <v>-0.09</v>
      </c>
      <c r="Y59" s="1"/>
      <c r="Z59" s="5">
        <f t="shared" ref="Z59:Z71" si="46">IF(T59=0,0,X59/T59)</f>
        <v>-1</v>
      </c>
    </row>
    <row r="60" spans="1:26" s="24" customFormat="1" hidden="1" outlineLevel="2" x14ac:dyDescent="0.25">
      <c r="A60" s="26"/>
      <c r="B60" s="11" t="str">
        <f>CONCATENATE("          ", "6382", " - ", "DISCOUNTS/MARK DOWNS")</f>
        <v xml:space="preserve">          6382 - DISCOUNTS/MARK DOWNS</v>
      </c>
      <c r="C60" s="11"/>
      <c r="D60" s="6"/>
      <c r="E60" s="2"/>
      <c r="F60" s="7">
        <f t="shared" si="39"/>
        <v>0</v>
      </c>
      <c r="G60" s="2"/>
      <c r="H60" s="6"/>
      <c r="I60" s="2"/>
      <c r="J60" s="7">
        <f t="shared" si="40"/>
        <v>0</v>
      </c>
      <c r="K60" s="2"/>
      <c r="L60" s="6">
        <f t="shared" si="41"/>
        <v>0</v>
      </c>
      <c r="M60" s="2"/>
      <c r="N60" s="7">
        <f t="shared" si="42"/>
        <v>0</v>
      </c>
      <c r="O60" s="11"/>
      <c r="P60" s="6"/>
      <c r="Q60" s="2"/>
      <c r="R60" s="7">
        <f t="shared" si="43"/>
        <v>0</v>
      </c>
      <c r="S60" s="2"/>
      <c r="T60" s="6">
        <v>0.09</v>
      </c>
      <c r="U60" s="2"/>
      <c r="V60" s="7">
        <f t="shared" si="44"/>
        <v>2.0878156366928916E-8</v>
      </c>
      <c r="W60" s="2"/>
      <c r="X60" s="6">
        <f t="shared" si="45"/>
        <v>-0.09</v>
      </c>
      <c r="Y60" s="2"/>
      <c r="Z60" s="7">
        <f t="shared" si="46"/>
        <v>-1</v>
      </c>
    </row>
    <row r="61" spans="1:26" s="25" customFormat="1" outlineLevel="1" collapsed="1" x14ac:dyDescent="0.25">
      <c r="A61" s="27"/>
      <c r="B61" s="13" t="str">
        <f>CONCATENATE("     ","Donations                                         ")</f>
        <v xml:space="preserve">     Donations                                         </v>
      </c>
      <c r="C61" s="13"/>
      <c r="D61" s="1">
        <f>SUM(OSRRefD22_7x_0)</f>
        <v>0</v>
      </c>
      <c r="E61" s="1"/>
      <c r="F61" s="5">
        <f t="shared" si="39"/>
        <v>0</v>
      </c>
      <c r="G61" s="1"/>
      <c r="H61" s="1">
        <f>SUM(OSRRefH22_7x_0)</f>
        <v>0</v>
      </c>
      <c r="I61" s="1"/>
      <c r="J61" s="5">
        <f t="shared" si="40"/>
        <v>0</v>
      </c>
      <c r="K61" s="1"/>
      <c r="L61" s="1">
        <f t="shared" si="41"/>
        <v>0</v>
      </c>
      <c r="M61" s="1"/>
      <c r="N61" s="5">
        <f t="shared" si="42"/>
        <v>0</v>
      </c>
      <c r="O61" s="13"/>
      <c r="P61" s="1">
        <f>SUM(OSRRefP22_7x_0)</f>
        <v>0</v>
      </c>
      <c r="Q61" s="1"/>
      <c r="R61" s="5">
        <f t="shared" si="43"/>
        <v>0</v>
      </c>
      <c r="S61" s="1"/>
      <c r="T61" s="1">
        <f>SUM(OSRRefT22_7x_0)</f>
        <v>236.68</v>
      </c>
      <c r="U61" s="1"/>
      <c r="V61" s="5">
        <f t="shared" si="44"/>
        <v>5.4904911654719287E-5</v>
      </c>
      <c r="W61" s="1"/>
      <c r="X61" s="1">
        <f t="shared" si="45"/>
        <v>-236.68</v>
      </c>
      <c r="Y61" s="1"/>
      <c r="Z61" s="5">
        <f t="shared" si="46"/>
        <v>-1</v>
      </c>
    </row>
    <row r="62" spans="1:26" s="24" customFormat="1" hidden="1" outlineLevel="2" x14ac:dyDescent="0.25">
      <c r="A62" s="26"/>
      <c r="B62" s="11" t="str">
        <f>CONCATENATE("          ", "6399", " - ", "DONATION-ON CAMPUS")</f>
        <v xml:space="preserve">          6399 - DONATION-ON CAMPUS</v>
      </c>
      <c r="C62" s="11"/>
      <c r="D62" s="6"/>
      <c r="E62" s="2"/>
      <c r="F62" s="7">
        <f t="shared" si="39"/>
        <v>0</v>
      </c>
      <c r="G62" s="2"/>
      <c r="H62" s="6"/>
      <c r="I62" s="2"/>
      <c r="J62" s="7">
        <f t="shared" si="40"/>
        <v>0</v>
      </c>
      <c r="K62" s="2"/>
      <c r="L62" s="6">
        <f t="shared" si="41"/>
        <v>0</v>
      </c>
      <c r="M62" s="2"/>
      <c r="N62" s="7">
        <f t="shared" si="42"/>
        <v>0</v>
      </c>
      <c r="O62" s="11"/>
      <c r="P62" s="6"/>
      <c r="Q62" s="2"/>
      <c r="R62" s="7">
        <f t="shared" si="43"/>
        <v>0</v>
      </c>
      <c r="S62" s="2"/>
      <c r="T62" s="6">
        <v>236.68</v>
      </c>
      <c r="U62" s="2"/>
      <c r="V62" s="7">
        <f t="shared" si="44"/>
        <v>5.4904911654719287E-5</v>
      </c>
      <c r="W62" s="2"/>
      <c r="X62" s="6">
        <f t="shared" si="45"/>
        <v>-236.68</v>
      </c>
      <c r="Y62" s="2"/>
      <c r="Z62" s="7">
        <f t="shared" si="46"/>
        <v>-1</v>
      </c>
    </row>
    <row r="63" spans="1:26" s="25" customFormat="1" outlineLevel="1" collapsed="1" x14ac:dyDescent="0.25">
      <c r="A63" s="27"/>
      <c r="B63" s="13" t="str">
        <f>CONCATENATE("     ","Employees' Appreciation                           ")</f>
        <v xml:space="preserve">     Employees' Appreciation                           </v>
      </c>
      <c r="C63" s="13"/>
      <c r="D63" s="1">
        <f>SUM(OSRRefD22_8x_0)</f>
        <v>0</v>
      </c>
      <c r="E63" s="1"/>
      <c r="F63" s="5">
        <f t="shared" si="39"/>
        <v>0</v>
      </c>
      <c r="G63" s="1"/>
      <c r="H63" s="1">
        <f>SUM(OSRRefH22_8x_0)</f>
        <v>113.93</v>
      </c>
      <c r="I63" s="1"/>
      <c r="J63" s="5">
        <f t="shared" si="40"/>
        <v>1.4186631645497728E-4</v>
      </c>
      <c r="K63" s="1"/>
      <c r="L63" s="1">
        <f t="shared" si="41"/>
        <v>-113.93</v>
      </c>
      <c r="M63" s="1"/>
      <c r="N63" s="5">
        <f t="shared" si="42"/>
        <v>-1</v>
      </c>
      <c r="O63" s="13"/>
      <c r="P63" s="1">
        <f>SUM(OSRRefP22_8x_0)</f>
        <v>10</v>
      </c>
      <c r="Q63" s="1"/>
      <c r="R63" s="5">
        <f t="shared" si="43"/>
        <v>3.0649611465602826E-5</v>
      </c>
      <c r="S63" s="1"/>
      <c r="T63" s="1">
        <f>SUM(OSRRefT22_8x_0)</f>
        <v>1486.58</v>
      </c>
      <c r="U63" s="1"/>
      <c r="V63" s="5">
        <f t="shared" si="44"/>
        <v>3.4485610768832429E-4</v>
      </c>
      <c r="W63" s="1"/>
      <c r="X63" s="1">
        <f t="shared" si="45"/>
        <v>-1476.58</v>
      </c>
      <c r="Y63" s="1"/>
      <c r="Z63" s="5">
        <f t="shared" si="46"/>
        <v>-0.99327315045271702</v>
      </c>
    </row>
    <row r="64" spans="1:26" s="24" customFormat="1" hidden="1" outlineLevel="2" x14ac:dyDescent="0.25">
      <c r="A64" s="26"/>
      <c r="B64" s="11" t="str">
        <f>CONCATENATE("          ", "6277", " - ", "EMPLOYEE APPRECIATION")</f>
        <v xml:space="preserve">          6277 - EMPLOYEE APPRECIATION</v>
      </c>
      <c r="C64" s="11"/>
      <c r="D64" s="6"/>
      <c r="E64" s="2"/>
      <c r="F64" s="7">
        <f t="shared" si="39"/>
        <v>0</v>
      </c>
      <c r="G64" s="2"/>
      <c r="H64" s="6">
        <v>113.93</v>
      </c>
      <c r="I64" s="2"/>
      <c r="J64" s="7">
        <f t="shared" si="40"/>
        <v>1.4186631645497728E-4</v>
      </c>
      <c r="K64" s="2"/>
      <c r="L64" s="6">
        <f t="shared" si="41"/>
        <v>-113.93</v>
      </c>
      <c r="M64" s="2"/>
      <c r="N64" s="7">
        <f t="shared" si="42"/>
        <v>-1</v>
      </c>
      <c r="O64" s="11"/>
      <c r="P64" s="6">
        <v>10</v>
      </c>
      <c r="Q64" s="2"/>
      <c r="R64" s="7">
        <f t="shared" si="43"/>
        <v>3.0649611465602826E-5</v>
      </c>
      <c r="S64" s="2"/>
      <c r="T64" s="6">
        <v>1486.58</v>
      </c>
      <c r="U64" s="2"/>
      <c r="V64" s="7">
        <f t="shared" si="44"/>
        <v>3.4485610768832429E-4</v>
      </c>
      <c r="W64" s="2"/>
      <c r="X64" s="6">
        <f t="shared" si="45"/>
        <v>-1476.58</v>
      </c>
      <c r="Y64" s="2"/>
      <c r="Z64" s="7">
        <f t="shared" si="46"/>
        <v>-0.99327315045271702</v>
      </c>
    </row>
    <row r="65" spans="1:26" s="25" customFormat="1" outlineLevel="1" collapsed="1" x14ac:dyDescent="0.25">
      <c r="A65" s="27"/>
      <c r="B65" s="13" t="str">
        <f>CONCATENATE("     ","Equipment Rental                                  ")</f>
        <v xml:space="preserve">     Equipment Rental                                  </v>
      </c>
      <c r="C65" s="13"/>
      <c r="D65" s="1">
        <f>SUM(OSRRefD22_9x_0)</f>
        <v>255.55</v>
      </c>
      <c r="E65" s="1"/>
      <c r="F65" s="5">
        <f t="shared" si="39"/>
        <v>5.1129480332006497E-3</v>
      </c>
      <c r="G65" s="1"/>
      <c r="H65" s="1">
        <f>SUM(OSRRefH22_9x_0)</f>
        <v>2099.4</v>
      </c>
      <c r="I65" s="1"/>
      <c r="J65" s="5">
        <f t="shared" si="40"/>
        <v>2.6141854188148801E-3</v>
      </c>
      <c r="K65" s="1"/>
      <c r="L65" s="1">
        <f t="shared" si="41"/>
        <v>-1843.8500000000001</v>
      </c>
      <c r="M65" s="1"/>
      <c r="N65" s="5">
        <f t="shared" si="42"/>
        <v>-0.87827474516528536</v>
      </c>
      <c r="O65" s="13"/>
      <c r="P65" s="1">
        <f>SUM(OSRRefP22_9x_0)</f>
        <v>4720.43</v>
      </c>
      <c r="Q65" s="1"/>
      <c r="R65" s="5">
        <f t="shared" si="43"/>
        <v>1.4467934545057555E-2</v>
      </c>
      <c r="S65" s="1"/>
      <c r="T65" s="1">
        <f>SUM(OSRRefT22_9x_0)</f>
        <v>21659.289999999997</v>
      </c>
      <c r="U65" s="1"/>
      <c r="V65" s="5">
        <f t="shared" si="44"/>
        <v>5.0245115935184416E-3</v>
      </c>
      <c r="W65" s="1"/>
      <c r="X65" s="1">
        <f t="shared" si="45"/>
        <v>-16938.859999999997</v>
      </c>
      <c r="Y65" s="1"/>
      <c r="Z65" s="5">
        <f t="shared" si="46"/>
        <v>-0.7820597997441282</v>
      </c>
    </row>
    <row r="66" spans="1:26" s="24" customFormat="1" hidden="1" outlineLevel="2" x14ac:dyDescent="0.25">
      <c r="A66" s="26"/>
      <c r="B66" s="11" t="str">
        <f>CONCATENATE("          ", "6351", " - ", "EQUIPMENT RENTAL")</f>
        <v xml:space="preserve">          6351 - EQUIPMENT RENTAL</v>
      </c>
      <c r="C66" s="11"/>
      <c r="D66" s="6">
        <v>255.55</v>
      </c>
      <c r="E66" s="2"/>
      <c r="F66" s="7">
        <f t="shared" si="39"/>
        <v>5.1129480332006497E-3</v>
      </c>
      <c r="G66" s="2"/>
      <c r="H66" s="6">
        <v>2099.4</v>
      </c>
      <c r="I66" s="2"/>
      <c r="J66" s="7">
        <f t="shared" si="40"/>
        <v>2.6141854188148801E-3</v>
      </c>
      <c r="K66" s="2"/>
      <c r="L66" s="6">
        <f t="shared" si="41"/>
        <v>-1843.8500000000001</v>
      </c>
      <c r="M66" s="2"/>
      <c r="N66" s="7">
        <f t="shared" si="42"/>
        <v>-0.87827474516528536</v>
      </c>
      <c r="O66" s="11"/>
      <c r="P66" s="6">
        <v>4720.43</v>
      </c>
      <c r="Q66" s="2"/>
      <c r="R66" s="7">
        <f t="shared" si="43"/>
        <v>1.4467934545057555E-2</v>
      </c>
      <c r="S66" s="2"/>
      <c r="T66" s="6">
        <v>21659.289999999997</v>
      </c>
      <c r="U66" s="2"/>
      <c r="V66" s="7">
        <f t="shared" si="44"/>
        <v>5.0245115935184416E-3</v>
      </c>
      <c r="W66" s="2"/>
      <c r="X66" s="6">
        <f t="shared" si="45"/>
        <v>-16938.859999999997</v>
      </c>
      <c r="Y66" s="2"/>
      <c r="Z66" s="7">
        <f t="shared" si="46"/>
        <v>-0.7820597997441282</v>
      </c>
    </row>
    <row r="67" spans="1:26" s="25" customFormat="1" outlineLevel="1" collapsed="1" x14ac:dyDescent="0.25">
      <c r="A67" s="27"/>
      <c r="B67" s="13" t="str">
        <f>CONCATENATE("     ","Freight out/Postage                               ")</f>
        <v xml:space="preserve">     Freight out/Postage                               </v>
      </c>
      <c r="C67" s="13"/>
      <c r="D67" s="1">
        <f>SUM(OSRRefD22_10x_0)</f>
        <v>0</v>
      </c>
      <c r="E67" s="1"/>
      <c r="F67" s="5">
        <f t="shared" si="39"/>
        <v>0</v>
      </c>
      <c r="G67" s="1"/>
      <c r="H67" s="1">
        <f>SUM(OSRRefH22_10x_0)</f>
        <v>0</v>
      </c>
      <c r="I67" s="1"/>
      <c r="J67" s="5">
        <f t="shared" si="40"/>
        <v>0</v>
      </c>
      <c r="K67" s="1"/>
      <c r="L67" s="1">
        <f t="shared" si="41"/>
        <v>0</v>
      </c>
      <c r="M67" s="1"/>
      <c r="N67" s="5">
        <f t="shared" si="42"/>
        <v>0</v>
      </c>
      <c r="O67" s="13"/>
      <c r="P67" s="1">
        <f>SUM(OSRRefP22_10x_0)</f>
        <v>-5.41</v>
      </c>
      <c r="Q67" s="1"/>
      <c r="R67" s="5">
        <f t="shared" si="43"/>
        <v>-1.6581439802891126E-5</v>
      </c>
      <c r="S67" s="1"/>
      <c r="T67" s="1">
        <f>SUM(OSRRefT22_10x_0)</f>
        <v>0</v>
      </c>
      <c r="U67" s="1"/>
      <c r="V67" s="5">
        <f t="shared" si="44"/>
        <v>0</v>
      </c>
      <c r="W67" s="1"/>
      <c r="X67" s="1">
        <f t="shared" si="45"/>
        <v>-5.41</v>
      </c>
      <c r="Y67" s="1"/>
      <c r="Z67" s="5">
        <f t="shared" si="46"/>
        <v>0</v>
      </c>
    </row>
    <row r="68" spans="1:26" s="24" customFormat="1" hidden="1" outlineLevel="2" x14ac:dyDescent="0.25">
      <c r="A68" s="26"/>
      <c r="B68" s="11" t="str">
        <f>CONCATENATE("          ", "6307", " - ", "POSTAGE")</f>
        <v xml:space="preserve">          6307 - POSTAGE</v>
      </c>
      <c r="C68" s="11"/>
      <c r="D68" s="6"/>
      <c r="E68" s="2"/>
      <c r="F68" s="7">
        <f t="shared" si="39"/>
        <v>0</v>
      </c>
      <c r="G68" s="2"/>
      <c r="H68" s="6"/>
      <c r="I68" s="2"/>
      <c r="J68" s="7">
        <f t="shared" si="40"/>
        <v>0</v>
      </c>
      <c r="K68" s="2"/>
      <c r="L68" s="6">
        <f t="shared" si="41"/>
        <v>0</v>
      </c>
      <c r="M68" s="2"/>
      <c r="N68" s="7">
        <f t="shared" si="42"/>
        <v>0</v>
      </c>
      <c r="O68" s="11"/>
      <c r="P68" s="6">
        <v>-5.41</v>
      </c>
      <c r="Q68" s="2"/>
      <c r="R68" s="7">
        <f t="shared" si="43"/>
        <v>-1.6581439802891126E-5</v>
      </c>
      <c r="S68" s="2"/>
      <c r="T68" s="6"/>
      <c r="U68" s="2"/>
      <c r="V68" s="7">
        <f t="shared" si="44"/>
        <v>0</v>
      </c>
      <c r="W68" s="2"/>
      <c r="X68" s="6">
        <f t="shared" si="45"/>
        <v>-5.41</v>
      </c>
      <c r="Y68" s="2"/>
      <c r="Z68" s="7">
        <f t="shared" si="46"/>
        <v>0</v>
      </c>
    </row>
    <row r="69" spans="1:26" s="25" customFormat="1" outlineLevel="1" collapsed="1" x14ac:dyDescent="0.25">
      <c r="A69" s="27"/>
      <c r="B69" s="13" t="str">
        <f>CONCATENATE("     ","General                                           ")</f>
        <v xml:space="preserve">     General                                           </v>
      </c>
      <c r="C69" s="13"/>
      <c r="D69" s="1">
        <f>SUM(OSRRefD22_11x_0)</f>
        <v>1893.03</v>
      </c>
      <c r="E69" s="1"/>
      <c r="F69" s="5">
        <f t="shared" si="39"/>
        <v>3.7875030386577288E-2</v>
      </c>
      <c r="G69" s="1"/>
      <c r="H69" s="1">
        <f>SUM(OSRRefH22_11x_0)</f>
        <v>7173.32</v>
      </c>
      <c r="I69" s="1"/>
      <c r="J69" s="5">
        <f t="shared" si="40"/>
        <v>8.9322609071606912E-3</v>
      </c>
      <c r="K69" s="1"/>
      <c r="L69" s="1">
        <f t="shared" si="41"/>
        <v>-5280.29</v>
      </c>
      <c r="M69" s="1"/>
      <c r="N69" s="5">
        <f t="shared" si="42"/>
        <v>-0.73610127528118086</v>
      </c>
      <c r="O69" s="13"/>
      <c r="P69" s="1">
        <f>SUM(OSRRefP22_11x_0)</f>
        <v>6970.48</v>
      </c>
      <c r="Q69" s="1"/>
      <c r="R69" s="5">
        <f t="shared" si="43"/>
        <v>2.1364250372875516E-2</v>
      </c>
      <c r="S69" s="1"/>
      <c r="T69" s="1">
        <f>SUM(OSRRefT22_11x_0)</f>
        <v>82279.92</v>
      </c>
      <c r="U69" s="1"/>
      <c r="V69" s="5">
        <f t="shared" si="44"/>
        <v>1.9087255951315576E-2</v>
      </c>
      <c r="W69" s="1"/>
      <c r="X69" s="1">
        <f t="shared" si="45"/>
        <v>-75309.440000000002</v>
      </c>
      <c r="Y69" s="1"/>
      <c r="Z69" s="5">
        <f t="shared" si="46"/>
        <v>-0.91528334009075363</v>
      </c>
    </row>
    <row r="70" spans="1:26" s="24" customFormat="1" hidden="1" outlineLevel="2" x14ac:dyDescent="0.25">
      <c r="A70" s="26"/>
      <c r="B70" s="11" t="str">
        <f>CONCATENATE("          ", "6269", " - ", "ENTERTAINMENT")</f>
        <v xml:space="preserve">          6269 - ENTERTAINMENT</v>
      </c>
      <c r="C70" s="11"/>
      <c r="D70" s="6"/>
      <c r="E70" s="2"/>
      <c r="F70" s="7">
        <f t="shared" si="39"/>
        <v>0</v>
      </c>
      <c r="G70" s="2"/>
      <c r="H70" s="6">
        <v>2700</v>
      </c>
      <c r="I70" s="2"/>
      <c r="J70" s="7">
        <f t="shared" si="40"/>
        <v>3.3620561259408289E-3</v>
      </c>
      <c r="K70" s="2"/>
      <c r="L70" s="6">
        <f t="shared" si="41"/>
        <v>-2700</v>
      </c>
      <c r="M70" s="2"/>
      <c r="N70" s="7">
        <f t="shared" si="42"/>
        <v>-1</v>
      </c>
      <c r="O70" s="11"/>
      <c r="P70" s="6"/>
      <c r="Q70" s="2"/>
      <c r="R70" s="7">
        <f t="shared" si="43"/>
        <v>0</v>
      </c>
      <c r="S70" s="2"/>
      <c r="T70" s="6">
        <v>10050</v>
      </c>
      <c r="U70" s="2"/>
      <c r="V70" s="7">
        <f t="shared" si="44"/>
        <v>2.3313941276403957E-3</v>
      </c>
      <c r="W70" s="2"/>
      <c r="X70" s="6">
        <f t="shared" si="45"/>
        <v>-10050</v>
      </c>
      <c r="Y70" s="2"/>
      <c r="Z70" s="7">
        <f t="shared" si="46"/>
        <v>-1</v>
      </c>
    </row>
    <row r="71" spans="1:26" s="24" customFormat="1" hidden="1" outlineLevel="2" x14ac:dyDescent="0.25">
      <c r="A71" s="26"/>
      <c r="B71" s="11" t="str">
        <f>CONCATENATE("          ", "6279", " - ", "GENERAL EXPENSE")</f>
        <v xml:space="preserve">          6279 - GENERAL EXPENSE</v>
      </c>
      <c r="C71" s="11"/>
      <c r="D71" s="6">
        <v>1893.03</v>
      </c>
      <c r="E71" s="2"/>
      <c r="F71" s="7">
        <f t="shared" si="39"/>
        <v>3.7875030386577288E-2</v>
      </c>
      <c r="G71" s="2"/>
      <c r="H71" s="6">
        <v>4473.32</v>
      </c>
      <c r="I71" s="2"/>
      <c r="J71" s="7">
        <f t="shared" si="40"/>
        <v>5.5702047812198618E-3</v>
      </c>
      <c r="K71" s="2"/>
      <c r="L71" s="6">
        <f t="shared" si="41"/>
        <v>-2580.29</v>
      </c>
      <c r="M71" s="2"/>
      <c r="N71" s="7">
        <f t="shared" si="42"/>
        <v>-0.57681766562642511</v>
      </c>
      <c r="O71" s="11"/>
      <c r="P71" s="6">
        <v>6970.48</v>
      </c>
      <c r="Q71" s="2"/>
      <c r="R71" s="7">
        <f t="shared" si="43"/>
        <v>2.1364250372875516E-2</v>
      </c>
      <c r="S71" s="2"/>
      <c r="T71" s="6">
        <v>72229.919999999998</v>
      </c>
      <c r="U71" s="2"/>
      <c r="V71" s="7">
        <f t="shared" si="44"/>
        <v>1.6755861823675181E-2</v>
      </c>
      <c r="W71" s="2"/>
      <c r="X71" s="6">
        <f t="shared" si="45"/>
        <v>-65259.44</v>
      </c>
      <c r="Y71" s="2"/>
      <c r="Z71" s="7">
        <f t="shared" si="46"/>
        <v>-0.90349594738579253</v>
      </c>
    </row>
    <row r="72" spans="1:26" s="25" customFormat="1" outlineLevel="1" collapsed="1" x14ac:dyDescent="0.25">
      <c r="A72" s="27"/>
      <c r="B72" s="13" t="str">
        <f>CONCATENATE("     ","Insurance                                         ")</f>
        <v xml:space="preserve">     Insurance                                         </v>
      </c>
      <c r="C72" s="13"/>
      <c r="D72" s="1">
        <f>SUM(OSRRefD22_12x_0)</f>
        <v>4240.13</v>
      </c>
      <c r="E72" s="1"/>
      <c r="F72" s="5">
        <f t="shared" ref="F72:F84" si="47">IF(D$12=0,0,D72/D$12)</f>
        <v>8.4834922105322133E-2</v>
      </c>
      <c r="G72" s="1"/>
      <c r="H72" s="1">
        <f>SUM(OSRRefH22_12x_0)</f>
        <v>10001.129999999999</v>
      </c>
      <c r="I72" s="1"/>
      <c r="J72" s="5">
        <f t="shared" ref="J72:J84" si="48">IF(H$12=0,0,H72/H$12)</f>
        <v>1.2453466808455778E-2</v>
      </c>
      <c r="K72" s="1"/>
      <c r="L72" s="1">
        <f t="shared" ref="L72:L84" si="49">+D72-H72</f>
        <v>-5760.9999999999991</v>
      </c>
      <c r="M72" s="1"/>
      <c r="N72" s="5">
        <f t="shared" ref="N72:N84" si="50">IF(H72=0,0,L72/H72)</f>
        <v>-0.5760349080553897</v>
      </c>
      <c r="O72" s="13"/>
      <c r="P72" s="1">
        <f>SUM(OSRRefP22_12x_0)</f>
        <v>40033.040000000001</v>
      </c>
      <c r="Q72" s="1"/>
      <c r="R72" s="5">
        <f t="shared" ref="R72:R84" si="51">IF(P$12=0,0,P72/P$12)</f>
        <v>0.12269971217869365</v>
      </c>
      <c r="S72" s="1"/>
      <c r="T72" s="1">
        <f>SUM(OSRRefT22_12x_0)</f>
        <v>39682.04</v>
      </c>
      <c r="U72" s="1"/>
      <c r="V72" s="5">
        <f t="shared" ref="V72:V84" si="52">IF(T$12=0,0,T72/T$12)</f>
        <v>9.2054204008747541E-3</v>
      </c>
      <c r="W72" s="1"/>
      <c r="X72" s="1">
        <f t="shared" ref="X72:X84" si="53">+P72-T72</f>
        <v>351</v>
      </c>
      <c r="Y72" s="1"/>
      <c r="Z72" s="5">
        <f t="shared" ref="Z72:Z84" si="54">IF(T72=0,0,X72/T72)</f>
        <v>8.8453113801608991E-3</v>
      </c>
    </row>
    <row r="73" spans="1:26" s="24" customFormat="1" hidden="1" outlineLevel="2" x14ac:dyDescent="0.25">
      <c r="A73" s="26"/>
      <c r="B73" s="11" t="str">
        <f>CONCATENATE("          ", "6314", " - ", "LIABILITY INSURANCE")</f>
        <v xml:space="preserve">          6314 - LIABILITY INSURANCE</v>
      </c>
      <c r="C73" s="11"/>
      <c r="D73" s="6">
        <v>4240.13</v>
      </c>
      <c r="E73" s="2"/>
      <c r="F73" s="7">
        <f t="shared" si="47"/>
        <v>8.4834922105322133E-2</v>
      </c>
      <c r="G73" s="2"/>
      <c r="H73" s="6">
        <v>10001.129999999999</v>
      </c>
      <c r="I73" s="2"/>
      <c r="J73" s="7">
        <f t="shared" si="48"/>
        <v>1.2453466808455778E-2</v>
      </c>
      <c r="K73" s="2"/>
      <c r="L73" s="6">
        <f t="shared" si="49"/>
        <v>-5760.9999999999991</v>
      </c>
      <c r="M73" s="2"/>
      <c r="N73" s="7">
        <f t="shared" si="50"/>
        <v>-0.5760349080553897</v>
      </c>
      <c r="O73" s="11"/>
      <c r="P73" s="6">
        <v>40033.040000000001</v>
      </c>
      <c r="Q73" s="2"/>
      <c r="R73" s="7">
        <f t="shared" si="51"/>
        <v>0.12269971217869365</v>
      </c>
      <c r="S73" s="2"/>
      <c r="T73" s="6">
        <v>39682.04</v>
      </c>
      <c r="U73" s="2"/>
      <c r="V73" s="7">
        <f t="shared" si="52"/>
        <v>9.2054204008747541E-3</v>
      </c>
      <c r="W73" s="2"/>
      <c r="X73" s="6">
        <f t="shared" si="53"/>
        <v>351</v>
      </c>
      <c r="Y73" s="2"/>
      <c r="Z73" s="7">
        <f t="shared" si="54"/>
        <v>8.8453113801608991E-3</v>
      </c>
    </row>
    <row r="74" spans="1:26" s="25" customFormat="1" outlineLevel="1" collapsed="1" x14ac:dyDescent="0.25">
      <c r="A74" s="27"/>
      <c r="B74" s="13" t="str">
        <f>CONCATENATE("     ","Interest                                          ")</f>
        <v xml:space="preserve">     Interest                                          </v>
      </c>
      <c r="C74" s="13"/>
      <c r="D74" s="1">
        <f>SUM(OSRRefD22_13x_0)</f>
        <v>7510</v>
      </c>
      <c r="E74" s="1"/>
      <c r="F74" s="5">
        <f t="shared" si="47"/>
        <v>0.1502572480114924</v>
      </c>
      <c r="G74" s="1"/>
      <c r="H74" s="1">
        <f>SUM(OSRRefH22_13x_0)</f>
        <v>7754</v>
      </c>
      <c r="I74" s="1"/>
      <c r="J74" s="5">
        <f t="shared" si="48"/>
        <v>9.6553271113130317E-3</v>
      </c>
      <c r="K74" s="1"/>
      <c r="L74" s="1">
        <f t="shared" si="49"/>
        <v>-244</v>
      </c>
      <c r="M74" s="1"/>
      <c r="N74" s="5">
        <f t="shared" si="50"/>
        <v>-3.1467629610523601E-2</v>
      </c>
      <c r="O74" s="13"/>
      <c r="P74" s="1">
        <f>SUM(OSRRefP22_13x_0)</f>
        <v>59593.149999999994</v>
      </c>
      <c r="Q74" s="1"/>
      <c r="R74" s="5">
        <f t="shared" si="51"/>
        <v>0.18265068935113887</v>
      </c>
      <c r="S74" s="1"/>
      <c r="T74" s="1">
        <f>SUM(OSRRefT22_13x_0)</f>
        <v>61639.049999999996</v>
      </c>
      <c r="U74" s="1"/>
      <c r="V74" s="5">
        <f t="shared" si="52"/>
        <v>1.4298996935654996E-2</v>
      </c>
      <c r="W74" s="1"/>
      <c r="X74" s="1">
        <f t="shared" si="53"/>
        <v>-2045.9000000000015</v>
      </c>
      <c r="Y74" s="1"/>
      <c r="Z74" s="5">
        <f t="shared" si="54"/>
        <v>-3.3191621220638567E-2</v>
      </c>
    </row>
    <row r="75" spans="1:26" s="24" customFormat="1" hidden="1" outlineLevel="2" x14ac:dyDescent="0.25">
      <c r="A75" s="26"/>
      <c r="B75" s="11" t="str">
        <f>CONCATENATE("          ", "6401", " - ", "INTEREST EXPENSE")</f>
        <v xml:space="preserve">          6401 - INTEREST EXPENSE</v>
      </c>
      <c r="C75" s="11"/>
      <c r="D75" s="6">
        <v>7510</v>
      </c>
      <c r="E75" s="2"/>
      <c r="F75" s="7">
        <f t="shared" si="47"/>
        <v>0.1502572480114924</v>
      </c>
      <c r="G75" s="2"/>
      <c r="H75" s="6">
        <v>7754</v>
      </c>
      <c r="I75" s="2"/>
      <c r="J75" s="7">
        <f t="shared" si="48"/>
        <v>9.6553271113130317E-3</v>
      </c>
      <c r="K75" s="2"/>
      <c r="L75" s="6">
        <f t="shared" si="49"/>
        <v>-244</v>
      </c>
      <c r="M75" s="2"/>
      <c r="N75" s="7">
        <f t="shared" si="50"/>
        <v>-3.1467629610523601E-2</v>
      </c>
      <c r="O75" s="11"/>
      <c r="P75" s="6">
        <v>59593.149999999994</v>
      </c>
      <c r="Q75" s="2"/>
      <c r="R75" s="7">
        <f t="shared" si="51"/>
        <v>0.18265068935113887</v>
      </c>
      <c r="S75" s="2"/>
      <c r="T75" s="6">
        <v>61639.049999999996</v>
      </c>
      <c r="U75" s="2"/>
      <c r="V75" s="7">
        <f t="shared" si="52"/>
        <v>1.4298996935654996E-2</v>
      </c>
      <c r="W75" s="2"/>
      <c r="X75" s="6">
        <f t="shared" si="53"/>
        <v>-2045.9000000000015</v>
      </c>
      <c r="Y75" s="2"/>
      <c r="Z75" s="7">
        <f t="shared" si="54"/>
        <v>-3.3191621220638567E-2</v>
      </c>
    </row>
    <row r="76" spans="1:26" s="25" customFormat="1" outlineLevel="1" collapsed="1" x14ac:dyDescent="0.25">
      <c r="A76" s="27"/>
      <c r="B76" s="13" t="str">
        <f>CONCATENATE("     ","Professional Services                             ")</f>
        <v xml:space="preserve">     Professional Services                             </v>
      </c>
      <c r="C76" s="13"/>
      <c r="D76" s="1">
        <f>SUM(OSRRefD22_14x_0)</f>
        <v>0</v>
      </c>
      <c r="E76" s="1"/>
      <c r="F76" s="5">
        <f t="shared" si="47"/>
        <v>0</v>
      </c>
      <c r="G76" s="1"/>
      <c r="H76" s="1">
        <f>SUM(OSRRefH22_14x_0)</f>
        <v>0</v>
      </c>
      <c r="I76" s="1"/>
      <c r="J76" s="5">
        <f t="shared" si="48"/>
        <v>0</v>
      </c>
      <c r="K76" s="1"/>
      <c r="L76" s="1">
        <f t="shared" si="49"/>
        <v>0</v>
      </c>
      <c r="M76" s="1"/>
      <c r="N76" s="5">
        <f t="shared" si="50"/>
        <v>0</v>
      </c>
      <c r="O76" s="13"/>
      <c r="P76" s="1">
        <f>SUM(OSRRefP22_14x_0)</f>
        <v>0</v>
      </c>
      <c r="Q76" s="1"/>
      <c r="R76" s="5">
        <f t="shared" si="51"/>
        <v>0</v>
      </c>
      <c r="S76" s="1"/>
      <c r="T76" s="1">
        <f>SUM(OSRRefT22_14x_0)</f>
        <v>125</v>
      </c>
      <c r="U76" s="1"/>
      <c r="V76" s="5">
        <f t="shared" si="52"/>
        <v>2.8997439398512384E-5</v>
      </c>
      <c r="W76" s="1"/>
      <c r="X76" s="1">
        <f t="shared" si="53"/>
        <v>-125</v>
      </c>
      <c r="Y76" s="1"/>
      <c r="Z76" s="5">
        <f t="shared" si="54"/>
        <v>-1</v>
      </c>
    </row>
    <row r="77" spans="1:26" s="24" customFormat="1" hidden="1" outlineLevel="2" x14ac:dyDescent="0.25">
      <c r="A77" s="26"/>
      <c r="B77" s="11" t="str">
        <f>CONCATENATE("          ", "6336", " - ", "PROFESSIONAL SERVICES")</f>
        <v xml:space="preserve">          6336 - PROFESSIONAL SERVICES</v>
      </c>
      <c r="C77" s="11"/>
      <c r="D77" s="6"/>
      <c r="E77" s="2"/>
      <c r="F77" s="7">
        <f t="shared" si="47"/>
        <v>0</v>
      </c>
      <c r="G77" s="2"/>
      <c r="H77" s="6"/>
      <c r="I77" s="2"/>
      <c r="J77" s="7">
        <f t="shared" si="48"/>
        <v>0</v>
      </c>
      <c r="K77" s="2"/>
      <c r="L77" s="6">
        <f t="shared" si="49"/>
        <v>0</v>
      </c>
      <c r="M77" s="2"/>
      <c r="N77" s="7">
        <f t="shared" si="50"/>
        <v>0</v>
      </c>
      <c r="O77" s="11"/>
      <c r="P77" s="6"/>
      <c r="Q77" s="2"/>
      <c r="R77" s="7">
        <f t="shared" si="51"/>
        <v>0</v>
      </c>
      <c r="S77" s="2"/>
      <c r="T77" s="6">
        <v>125</v>
      </c>
      <c r="U77" s="2"/>
      <c r="V77" s="7">
        <f t="shared" si="52"/>
        <v>2.8997439398512384E-5</v>
      </c>
      <c r="W77" s="2"/>
      <c r="X77" s="6">
        <f t="shared" si="53"/>
        <v>-125</v>
      </c>
      <c r="Y77" s="2"/>
      <c r="Z77" s="7">
        <f t="shared" si="54"/>
        <v>-1</v>
      </c>
    </row>
    <row r="78" spans="1:26" s="25" customFormat="1" outlineLevel="1" collapsed="1" x14ac:dyDescent="0.25">
      <c r="A78" s="27"/>
      <c r="B78" s="13" t="str">
        <f>CONCATENATE("     ","Rent                                              ")</f>
        <v xml:space="preserve">     Rent                                              </v>
      </c>
      <c r="C78" s="13"/>
      <c r="D78" s="1">
        <f>SUM(OSRRefD22_15x_0)</f>
        <v>0</v>
      </c>
      <c r="E78" s="1"/>
      <c r="F78" s="5">
        <f t="shared" si="47"/>
        <v>0</v>
      </c>
      <c r="G78" s="1"/>
      <c r="H78" s="1">
        <f>SUM(OSRRefH22_15x_0)</f>
        <v>1850</v>
      </c>
      <c r="I78" s="1"/>
      <c r="J78" s="5">
        <f t="shared" si="48"/>
        <v>2.3036310492557531E-3</v>
      </c>
      <c r="K78" s="1"/>
      <c r="L78" s="1">
        <f t="shared" si="49"/>
        <v>-1850</v>
      </c>
      <c r="M78" s="1"/>
      <c r="N78" s="5">
        <f t="shared" si="50"/>
        <v>-1</v>
      </c>
      <c r="O78" s="13"/>
      <c r="P78" s="1">
        <f>SUM(OSRRefP22_15x_0)</f>
        <v>11100</v>
      </c>
      <c r="Q78" s="1"/>
      <c r="R78" s="5">
        <f t="shared" si="51"/>
        <v>3.4021068726819134E-2</v>
      </c>
      <c r="S78" s="1"/>
      <c r="T78" s="1">
        <f>SUM(OSRRefT22_15x_0)</f>
        <v>14800</v>
      </c>
      <c r="U78" s="1"/>
      <c r="V78" s="5">
        <f t="shared" si="52"/>
        <v>3.4332968247838659E-3</v>
      </c>
      <c r="W78" s="1"/>
      <c r="X78" s="1">
        <f t="shared" si="53"/>
        <v>-3700</v>
      </c>
      <c r="Y78" s="1"/>
      <c r="Z78" s="5">
        <f t="shared" si="54"/>
        <v>-0.25</v>
      </c>
    </row>
    <row r="79" spans="1:26" s="24" customFormat="1" hidden="1" outlineLevel="2" x14ac:dyDescent="0.25">
      <c r="A79" s="26"/>
      <c r="B79" s="11" t="str">
        <f>CONCATENATE("          ", "6273", " - ", "RENT")</f>
        <v xml:space="preserve">          6273 - RENT</v>
      </c>
      <c r="C79" s="11"/>
      <c r="D79" s="6"/>
      <c r="E79" s="2"/>
      <c r="F79" s="7">
        <f t="shared" si="47"/>
        <v>0</v>
      </c>
      <c r="G79" s="2"/>
      <c r="H79" s="6">
        <v>1850</v>
      </c>
      <c r="I79" s="2"/>
      <c r="J79" s="7">
        <f t="shared" si="48"/>
        <v>2.3036310492557531E-3</v>
      </c>
      <c r="K79" s="2"/>
      <c r="L79" s="6">
        <f t="shared" si="49"/>
        <v>-1850</v>
      </c>
      <c r="M79" s="2"/>
      <c r="N79" s="7">
        <f t="shared" si="50"/>
        <v>-1</v>
      </c>
      <c r="O79" s="11"/>
      <c r="P79" s="6">
        <v>11100</v>
      </c>
      <c r="Q79" s="2"/>
      <c r="R79" s="7">
        <f t="shared" si="51"/>
        <v>3.4021068726819134E-2</v>
      </c>
      <c r="S79" s="2"/>
      <c r="T79" s="6">
        <v>14800</v>
      </c>
      <c r="U79" s="2"/>
      <c r="V79" s="7">
        <f t="shared" si="52"/>
        <v>3.4332968247838659E-3</v>
      </c>
      <c r="W79" s="2"/>
      <c r="X79" s="6">
        <f t="shared" si="53"/>
        <v>-3700</v>
      </c>
      <c r="Y79" s="2"/>
      <c r="Z79" s="7">
        <f t="shared" si="54"/>
        <v>-0.25</v>
      </c>
    </row>
    <row r="80" spans="1:26" s="25" customFormat="1" outlineLevel="1" collapsed="1" x14ac:dyDescent="0.25">
      <c r="A80" s="27"/>
      <c r="B80" s="13" t="str">
        <f>CONCATENATE("     ","Repair and Maintenance                            ")</f>
        <v xml:space="preserve">     Repair and Maintenance                            </v>
      </c>
      <c r="C80" s="13"/>
      <c r="D80" s="1">
        <f>SUM(OSRRefD22_16x_0)</f>
        <v>2036.1299999999999</v>
      </c>
      <c r="E80" s="1"/>
      <c r="F80" s="5">
        <f t="shared" si="47"/>
        <v>4.0738121224186415E-2</v>
      </c>
      <c r="G80" s="1"/>
      <c r="H80" s="1">
        <f>SUM(OSRRefH22_16x_0)</f>
        <v>14821.25</v>
      </c>
      <c r="I80" s="1"/>
      <c r="J80" s="5">
        <f t="shared" si="48"/>
        <v>1.8455509020963153E-2</v>
      </c>
      <c r="K80" s="1"/>
      <c r="L80" s="1">
        <f t="shared" si="49"/>
        <v>-12785.12</v>
      </c>
      <c r="M80" s="1"/>
      <c r="N80" s="5">
        <f t="shared" si="50"/>
        <v>-0.86262089904697647</v>
      </c>
      <c r="O80" s="13"/>
      <c r="P80" s="1">
        <f>SUM(OSRRefP22_16x_0)</f>
        <v>24804.32</v>
      </c>
      <c r="Q80" s="1"/>
      <c r="R80" s="5">
        <f t="shared" si="51"/>
        <v>7.6024277066848139E-2</v>
      </c>
      <c r="S80" s="1"/>
      <c r="T80" s="1">
        <f>SUM(OSRRefT22_16x_0)</f>
        <v>191751.55</v>
      </c>
      <c r="U80" s="1"/>
      <c r="V80" s="5">
        <f t="shared" si="52"/>
        <v>4.4482431605566537E-2</v>
      </c>
      <c r="W80" s="1"/>
      <c r="X80" s="1">
        <f t="shared" si="53"/>
        <v>-166947.22999999998</v>
      </c>
      <c r="Y80" s="1"/>
      <c r="Z80" s="5">
        <f t="shared" si="54"/>
        <v>-0.87064344460318566</v>
      </c>
    </row>
    <row r="81" spans="1:26" s="24" customFormat="1" hidden="1" outlineLevel="2" x14ac:dyDescent="0.25">
      <c r="A81" s="26"/>
      <c r="B81" s="11" t="str">
        <f>CONCATENATE("          ", "6371", " - ", "COMPUTER SOFTWARE MAINTENANCE")</f>
        <v xml:space="preserve">          6371 - COMPUTER SOFTWARE MAINTENANCE</v>
      </c>
      <c r="C81" s="11"/>
      <c r="D81" s="6">
        <v>702.27</v>
      </c>
      <c r="E81" s="2"/>
      <c r="F81" s="7">
        <f t="shared" si="47"/>
        <v>1.4050753337021406E-2</v>
      </c>
      <c r="G81" s="2"/>
      <c r="H81" s="6"/>
      <c r="I81" s="2"/>
      <c r="J81" s="7">
        <f t="shared" si="48"/>
        <v>0</v>
      </c>
      <c r="K81" s="2"/>
      <c r="L81" s="6">
        <f t="shared" si="49"/>
        <v>702.27</v>
      </c>
      <c r="M81" s="2"/>
      <c r="N81" s="7">
        <f t="shared" si="50"/>
        <v>0</v>
      </c>
      <c r="O81" s="11"/>
      <c r="P81" s="6">
        <v>702.27</v>
      </c>
      <c r="Q81" s="2"/>
      <c r="R81" s="7">
        <f t="shared" si="51"/>
        <v>2.1524302643948895E-3</v>
      </c>
      <c r="S81" s="2"/>
      <c r="T81" s="6">
        <v>10932.69</v>
      </c>
      <c r="U81" s="2"/>
      <c r="V81" s="7">
        <f t="shared" si="52"/>
        <v>2.536160125901779E-3</v>
      </c>
      <c r="W81" s="2"/>
      <c r="X81" s="6">
        <f t="shared" si="53"/>
        <v>-10230.42</v>
      </c>
      <c r="Y81" s="2"/>
      <c r="Z81" s="7">
        <f t="shared" si="54"/>
        <v>-0.93576420807687766</v>
      </c>
    </row>
    <row r="82" spans="1:26" s="24" customFormat="1" hidden="1" outlineLevel="2" x14ac:dyDescent="0.25">
      <c r="A82" s="26"/>
      <c r="B82" s="11" t="str">
        <f>CONCATENATE("          ", "6372", " - ", "COMPUTER HARDWARE MAINTENANCE")</f>
        <v xml:space="preserve">          6372 - COMPUTER HARDWARE MAINTENANCE</v>
      </c>
      <c r="C82" s="11"/>
      <c r="D82" s="6"/>
      <c r="E82" s="2"/>
      <c r="F82" s="7">
        <f t="shared" si="47"/>
        <v>0</v>
      </c>
      <c r="G82" s="2"/>
      <c r="H82" s="6"/>
      <c r="I82" s="2"/>
      <c r="J82" s="7">
        <f t="shared" si="48"/>
        <v>0</v>
      </c>
      <c r="K82" s="2"/>
      <c r="L82" s="6">
        <f t="shared" si="49"/>
        <v>0</v>
      </c>
      <c r="M82" s="2"/>
      <c r="N82" s="7">
        <f t="shared" si="50"/>
        <v>0</v>
      </c>
      <c r="O82" s="11"/>
      <c r="P82" s="6"/>
      <c r="Q82" s="2"/>
      <c r="R82" s="7">
        <f t="shared" si="51"/>
        <v>0</v>
      </c>
      <c r="S82" s="2"/>
      <c r="T82" s="6">
        <v>-0.01</v>
      </c>
      <c r="U82" s="2"/>
      <c r="V82" s="7">
        <f t="shared" si="52"/>
        <v>-2.3197951518809908E-9</v>
      </c>
      <c r="W82" s="2"/>
      <c r="X82" s="6">
        <f t="shared" si="53"/>
        <v>0.01</v>
      </c>
      <c r="Y82" s="2"/>
      <c r="Z82" s="7">
        <f t="shared" si="54"/>
        <v>-1</v>
      </c>
    </row>
    <row r="83" spans="1:26" s="24" customFormat="1" hidden="1" outlineLevel="2" x14ac:dyDescent="0.25">
      <c r="A83" s="26"/>
      <c r="B83" s="11" t="str">
        <f>CONCATENATE("          ", "6373", " - ", "MAINTENANCE CONTRACTS")</f>
        <v xml:space="preserve">          6373 - MAINTENANCE CONTRACTS</v>
      </c>
      <c r="C83" s="11"/>
      <c r="D83" s="6"/>
      <c r="E83" s="2"/>
      <c r="F83" s="7">
        <f t="shared" si="47"/>
        <v>0</v>
      </c>
      <c r="G83" s="2"/>
      <c r="H83" s="6">
        <v>6832.25</v>
      </c>
      <c r="I83" s="2"/>
      <c r="J83" s="7">
        <f t="shared" si="48"/>
        <v>8.5075585060960107E-3</v>
      </c>
      <c r="K83" s="2"/>
      <c r="L83" s="6">
        <f t="shared" si="49"/>
        <v>-6832.25</v>
      </c>
      <c r="M83" s="2"/>
      <c r="N83" s="7">
        <f t="shared" si="50"/>
        <v>-1</v>
      </c>
      <c r="O83" s="11"/>
      <c r="P83" s="6">
        <v>11021.44</v>
      </c>
      <c r="Q83" s="2"/>
      <c r="R83" s="7">
        <f t="shared" si="51"/>
        <v>3.3780285379145361E-2</v>
      </c>
      <c r="S83" s="2"/>
      <c r="T83" s="6">
        <v>71952.87</v>
      </c>
      <c r="U83" s="2"/>
      <c r="V83" s="7">
        <f t="shared" si="52"/>
        <v>1.6691591898992317E-2</v>
      </c>
      <c r="W83" s="2"/>
      <c r="X83" s="6">
        <f t="shared" si="53"/>
        <v>-60931.429999999993</v>
      </c>
      <c r="Y83" s="2"/>
      <c r="Z83" s="7">
        <f t="shared" si="54"/>
        <v>-0.84682417810436184</v>
      </c>
    </row>
    <row r="84" spans="1:26" s="24" customFormat="1" hidden="1" outlineLevel="2" x14ac:dyDescent="0.25">
      <c r="A84" s="26"/>
      <c r="B84" s="11" t="str">
        <f>CONCATENATE("          ", "6375", " - ", "OUTSIDE REPAIRS &amp; MAINTENANCE")</f>
        <v xml:space="preserve">          6375 - OUTSIDE REPAIRS &amp; MAINTENANCE</v>
      </c>
      <c r="C84" s="11"/>
      <c r="D84" s="6">
        <v>1333.86</v>
      </c>
      <c r="E84" s="2"/>
      <c r="F84" s="7">
        <f t="shared" si="47"/>
        <v>2.6687367887165008E-2</v>
      </c>
      <c r="G84" s="2"/>
      <c r="H84" s="6">
        <v>7989</v>
      </c>
      <c r="I84" s="2"/>
      <c r="J84" s="7">
        <f t="shared" si="48"/>
        <v>9.9479505148671408E-3</v>
      </c>
      <c r="K84" s="2"/>
      <c r="L84" s="6">
        <f t="shared" si="49"/>
        <v>-6655.14</v>
      </c>
      <c r="M84" s="2"/>
      <c r="N84" s="7">
        <f t="shared" si="50"/>
        <v>-0.83303792714983105</v>
      </c>
      <c r="O84" s="11"/>
      <c r="P84" s="6">
        <v>13080.61</v>
      </c>
      <c r="Q84" s="2"/>
      <c r="R84" s="7">
        <f t="shared" si="51"/>
        <v>4.0091561423307893E-2</v>
      </c>
      <c r="S84" s="2"/>
      <c r="T84" s="6">
        <v>108866</v>
      </c>
      <c r="U84" s="2"/>
      <c r="V84" s="7">
        <f t="shared" si="52"/>
        <v>2.5254681900467594E-2</v>
      </c>
      <c r="W84" s="2"/>
      <c r="X84" s="6">
        <f t="shared" si="53"/>
        <v>-95785.39</v>
      </c>
      <c r="Y84" s="2"/>
      <c r="Z84" s="7">
        <f t="shared" si="54"/>
        <v>-0.87984669226388401</v>
      </c>
    </row>
    <row r="85" spans="1:26" s="25" customFormat="1" outlineLevel="1" collapsed="1" x14ac:dyDescent="0.25">
      <c r="A85" s="27"/>
      <c r="B85" s="13" t="str">
        <f>CONCATENATE("     ","Royalty &amp; Commissions                             ")</f>
        <v xml:space="preserve">     Royalty &amp; Commissions                             </v>
      </c>
      <c r="C85" s="13"/>
      <c r="D85" s="1">
        <f>SUM(OSRRefD22_17x_0)</f>
        <v>0</v>
      </c>
      <c r="E85" s="1"/>
      <c r="F85" s="5">
        <f t="shared" ref="F85:F87" si="55">IF(D$12=0,0,D85/D$12)</f>
        <v>0</v>
      </c>
      <c r="G85" s="1"/>
      <c r="H85" s="1">
        <f>SUM(OSRRefH22_17x_0)</f>
        <v>57281.539999999994</v>
      </c>
      <c r="I85" s="1"/>
      <c r="J85" s="5">
        <f t="shared" ref="J85:J87" si="56">IF(H$12=0,0,H85/H$12)</f>
        <v>7.1327315726046156E-2</v>
      </c>
      <c r="K85" s="1"/>
      <c r="L85" s="1">
        <f t="shared" ref="L85:L87" si="57">+D85-H85</f>
        <v>-57281.539999999994</v>
      </c>
      <c r="M85" s="1"/>
      <c r="N85" s="5">
        <f t="shared" ref="N85:N87" si="58">IF(H85=0,0,L85/H85)</f>
        <v>-1</v>
      </c>
      <c r="O85" s="13"/>
      <c r="P85" s="1">
        <f>SUM(OSRRefP22_17x_0)</f>
        <v>0</v>
      </c>
      <c r="Q85" s="1"/>
      <c r="R85" s="5">
        <f t="shared" ref="R85:R87" si="59">IF(P$12=0,0,P85/P$12)</f>
        <v>0</v>
      </c>
      <c r="S85" s="1"/>
      <c r="T85" s="1">
        <f>SUM(OSRRefT22_17x_0)</f>
        <v>216803.65</v>
      </c>
      <c r="U85" s="1"/>
      <c r="V85" s="5">
        <f t="shared" ref="V85:V87" si="60">IF(T$12=0,0,T85/T$12)</f>
        <v>5.0294005618010312E-2</v>
      </c>
      <c r="W85" s="1"/>
      <c r="X85" s="1">
        <f t="shared" ref="X85:X87" si="61">+P85-T85</f>
        <v>-216803.65</v>
      </c>
      <c r="Y85" s="1"/>
      <c r="Z85" s="5">
        <f t="shared" ref="Z85:Z87" si="62">IF(T85=0,0,X85/T85)</f>
        <v>-1</v>
      </c>
    </row>
    <row r="86" spans="1:26" s="24" customFormat="1" hidden="1" outlineLevel="2" x14ac:dyDescent="0.25">
      <c r="A86" s="26"/>
      <c r="B86" s="11" t="str">
        <f>CONCATENATE("          ", "6254", " - ", "ROYALTY &amp; COMMISSIONS")</f>
        <v xml:space="preserve">          6254 - ROYALTY &amp; COMMISSIONS</v>
      </c>
      <c r="C86" s="11"/>
      <c r="D86" s="6"/>
      <c r="E86" s="2"/>
      <c r="F86" s="7">
        <f t="shared" si="55"/>
        <v>0</v>
      </c>
      <c r="G86" s="2"/>
      <c r="H86" s="6">
        <v>40423.06</v>
      </c>
      <c r="I86" s="2"/>
      <c r="J86" s="7">
        <f t="shared" si="56"/>
        <v>5.0335035741582844E-2</v>
      </c>
      <c r="K86" s="2"/>
      <c r="L86" s="6">
        <f t="shared" si="57"/>
        <v>-40423.06</v>
      </c>
      <c r="M86" s="2"/>
      <c r="N86" s="7">
        <f t="shared" si="58"/>
        <v>-1</v>
      </c>
      <c r="O86" s="11"/>
      <c r="P86" s="6"/>
      <c r="Q86" s="2"/>
      <c r="R86" s="7">
        <f t="shared" si="59"/>
        <v>0</v>
      </c>
      <c r="S86" s="2"/>
      <c r="T86" s="6">
        <v>119091.48999999999</v>
      </c>
      <c r="U86" s="2"/>
      <c r="V86" s="7">
        <f t="shared" si="60"/>
        <v>2.7626786113228347E-2</v>
      </c>
      <c r="W86" s="2"/>
      <c r="X86" s="6">
        <f t="shared" si="61"/>
        <v>-119091.48999999999</v>
      </c>
      <c r="Y86" s="2"/>
      <c r="Z86" s="7">
        <f t="shared" si="62"/>
        <v>-1</v>
      </c>
    </row>
    <row r="87" spans="1:26" s="24" customFormat="1" hidden="1" outlineLevel="2" x14ac:dyDescent="0.25">
      <c r="A87" s="26"/>
      <c r="B87" s="11" t="str">
        <f>CONCATENATE("          ", "6259", " - ", "ROYALTY &amp; COMMISSIONS")</f>
        <v xml:space="preserve">          6259 - ROYALTY &amp; COMMISSIONS</v>
      </c>
      <c r="C87" s="11"/>
      <c r="D87" s="6"/>
      <c r="E87" s="2"/>
      <c r="F87" s="7">
        <f t="shared" si="55"/>
        <v>0</v>
      </c>
      <c r="G87" s="2"/>
      <c r="H87" s="6">
        <v>16858.48</v>
      </c>
      <c r="I87" s="2"/>
      <c r="J87" s="7">
        <f t="shared" si="56"/>
        <v>2.0992279984463312E-2</v>
      </c>
      <c r="K87" s="2"/>
      <c r="L87" s="6">
        <f t="shared" si="57"/>
        <v>-16858.48</v>
      </c>
      <c r="M87" s="2"/>
      <c r="N87" s="7">
        <f t="shared" si="58"/>
        <v>-1</v>
      </c>
      <c r="O87" s="11"/>
      <c r="P87" s="6"/>
      <c r="Q87" s="2"/>
      <c r="R87" s="7">
        <f t="shared" si="59"/>
        <v>0</v>
      </c>
      <c r="S87" s="2"/>
      <c r="T87" s="6">
        <v>97712.16</v>
      </c>
      <c r="U87" s="2"/>
      <c r="V87" s="7">
        <f t="shared" si="60"/>
        <v>2.2667219504781965E-2</v>
      </c>
      <c r="W87" s="2"/>
      <c r="X87" s="6">
        <f t="shared" si="61"/>
        <v>-97712.16</v>
      </c>
      <c r="Y87" s="2"/>
      <c r="Z87" s="7">
        <f t="shared" si="62"/>
        <v>-1</v>
      </c>
    </row>
    <row r="88" spans="1:26" s="25" customFormat="1" outlineLevel="1" collapsed="1" x14ac:dyDescent="0.25">
      <c r="A88" s="27"/>
      <c r="B88" s="13" t="str">
        <f>CONCATENATE("     ","Services                                          ")</f>
        <v xml:space="preserve">     Services                                          </v>
      </c>
      <c r="C88" s="13"/>
      <c r="D88" s="1">
        <f>SUM(OSRRefD22_18x_0)</f>
        <v>6107.21</v>
      </c>
      <c r="E88" s="1"/>
      <c r="F88" s="5">
        <f t="shared" ref="F88:F93" si="63">IF(D$12=0,0,D88/D$12)</f>
        <v>0.12219075467753215</v>
      </c>
      <c r="G88" s="1"/>
      <c r="H88" s="1">
        <f>SUM(OSRRefH22_18x_0)</f>
        <v>24268.91</v>
      </c>
      <c r="I88" s="1"/>
      <c r="J88" s="5">
        <f t="shared" ref="J88:J93" si="64">IF(H$12=0,0,H88/H$12)</f>
        <v>3.0219791679780238E-2</v>
      </c>
      <c r="K88" s="1"/>
      <c r="L88" s="1">
        <f t="shared" ref="L88:L93" si="65">+D88-H88</f>
        <v>-18161.7</v>
      </c>
      <c r="M88" s="1"/>
      <c r="N88" s="5">
        <f t="shared" ref="N88:N93" si="66">IF(H88=0,0,L88/H88)</f>
        <v>-0.74835252180670664</v>
      </c>
      <c r="O88" s="13"/>
      <c r="P88" s="1">
        <f>SUM(OSRRefP22_18x_0)</f>
        <v>50105.89</v>
      </c>
      <c r="Q88" s="1"/>
      <c r="R88" s="5">
        <f t="shared" ref="R88:R93" si="67">IF(P$12=0,0,P88/P$12)</f>
        <v>0.15357260606382339</v>
      </c>
      <c r="S88" s="1"/>
      <c r="T88" s="1">
        <f>SUM(OSRRefT22_18x_0)</f>
        <v>181268.77</v>
      </c>
      <c r="U88" s="1"/>
      <c r="V88" s="5">
        <f t="shared" ref="V88:V93" si="68">IF(T$12=0,0,T88/T$12)</f>
        <v>4.2050641383343031E-2</v>
      </c>
      <c r="W88" s="1"/>
      <c r="X88" s="1">
        <f t="shared" ref="X88:X93" si="69">+P88-T88</f>
        <v>-131162.88</v>
      </c>
      <c r="Y88" s="1"/>
      <c r="Z88" s="5">
        <f t="shared" ref="Z88:Z93" si="70">IF(T88=0,0,X88/T88)</f>
        <v>-0.72358233577686881</v>
      </c>
    </row>
    <row r="89" spans="1:26" s="24" customFormat="1" hidden="1" outlineLevel="2" x14ac:dyDescent="0.25">
      <c r="A89" s="26"/>
      <c r="B89" s="11" t="str">
        <f>CONCATENATE("          ", "6282", " - ", "JANITORIAL/EXTERMINATOR EXPENS")</f>
        <v xml:space="preserve">          6282 - JANITORIAL/EXTERMINATOR EXPENS</v>
      </c>
      <c r="C89" s="11"/>
      <c r="D89" s="6">
        <v>626.26</v>
      </c>
      <c r="E89" s="2"/>
      <c r="F89" s="7">
        <f t="shared" si="63"/>
        <v>1.2529973920063544E-2</v>
      </c>
      <c r="G89" s="2"/>
      <c r="H89" s="6">
        <v>1606.11</v>
      </c>
      <c r="I89" s="2"/>
      <c r="J89" s="7">
        <f t="shared" si="64"/>
        <v>1.9999377646054907E-3</v>
      </c>
      <c r="K89" s="2"/>
      <c r="L89" s="6">
        <f t="shared" si="65"/>
        <v>-979.84999999999991</v>
      </c>
      <c r="M89" s="2"/>
      <c r="N89" s="7">
        <f t="shared" si="66"/>
        <v>-0.61007652028814963</v>
      </c>
      <c r="O89" s="11"/>
      <c r="P89" s="6">
        <v>6824.37</v>
      </c>
      <c r="Q89" s="2"/>
      <c r="R89" s="7">
        <f t="shared" si="67"/>
        <v>2.0916428899751593E-2</v>
      </c>
      <c r="S89" s="2"/>
      <c r="T89" s="6">
        <v>11498.13</v>
      </c>
      <c r="U89" s="2"/>
      <c r="V89" s="7">
        <f t="shared" si="68"/>
        <v>2.6673306229697373E-3</v>
      </c>
      <c r="W89" s="2"/>
      <c r="X89" s="6">
        <f t="shared" si="69"/>
        <v>-4673.7599999999993</v>
      </c>
      <c r="Y89" s="2"/>
      <c r="Z89" s="7">
        <f t="shared" si="70"/>
        <v>-0.40648001022775004</v>
      </c>
    </row>
    <row r="90" spans="1:26" s="24" customFormat="1" hidden="1" outlineLevel="2" x14ac:dyDescent="0.25">
      <c r="A90" s="26"/>
      <c r="B90" s="11" t="str">
        <f>CONCATENATE("          ", "6283", " - ", "PLANT SERVICE")</f>
        <v xml:space="preserve">          6283 - PLANT SERVICE</v>
      </c>
      <c r="C90" s="11"/>
      <c r="D90" s="6"/>
      <c r="E90" s="2"/>
      <c r="F90" s="7">
        <f t="shared" si="63"/>
        <v>0</v>
      </c>
      <c r="G90" s="2"/>
      <c r="H90" s="6">
        <v>199.78</v>
      </c>
      <c r="I90" s="2"/>
      <c r="J90" s="7">
        <f t="shared" si="64"/>
        <v>2.4876724920016994E-4</v>
      </c>
      <c r="K90" s="2"/>
      <c r="L90" s="6">
        <f t="shared" si="65"/>
        <v>-199.78</v>
      </c>
      <c r="M90" s="2"/>
      <c r="N90" s="7">
        <f t="shared" si="66"/>
        <v>-1</v>
      </c>
      <c r="O90" s="11"/>
      <c r="P90" s="6"/>
      <c r="Q90" s="2"/>
      <c r="R90" s="7">
        <f t="shared" si="67"/>
        <v>0</v>
      </c>
      <c r="S90" s="2"/>
      <c r="T90" s="6">
        <v>998.9</v>
      </c>
      <c r="U90" s="2"/>
      <c r="V90" s="7">
        <f t="shared" si="68"/>
        <v>2.3172433772139216E-4</v>
      </c>
      <c r="W90" s="2"/>
      <c r="X90" s="6">
        <f t="shared" si="69"/>
        <v>-998.9</v>
      </c>
      <c r="Y90" s="2"/>
      <c r="Z90" s="7">
        <f t="shared" si="70"/>
        <v>-1</v>
      </c>
    </row>
    <row r="91" spans="1:26" s="24" customFormat="1" hidden="1" outlineLevel="2" x14ac:dyDescent="0.25">
      <c r="A91" s="26"/>
      <c r="B91" s="11" t="str">
        <f>CONCATENATE("          ", "6284", " - ", "TRASH REMOVAL EXPENSE")</f>
        <v xml:space="preserve">          6284 - TRASH REMOVAL EXPENSE</v>
      </c>
      <c r="C91" s="11"/>
      <c r="D91" s="6">
        <v>5369</v>
      </c>
      <c r="E91" s="2"/>
      <c r="F91" s="7">
        <f t="shared" si="63"/>
        <v>0.10742092737332924</v>
      </c>
      <c r="G91" s="2"/>
      <c r="H91" s="6">
        <v>5130</v>
      </c>
      <c r="I91" s="2"/>
      <c r="J91" s="7">
        <f t="shared" si="64"/>
        <v>6.3879066392875748E-3</v>
      </c>
      <c r="K91" s="2"/>
      <c r="L91" s="6">
        <f t="shared" si="65"/>
        <v>239</v>
      </c>
      <c r="M91" s="2"/>
      <c r="N91" s="7">
        <f t="shared" si="66"/>
        <v>4.6588693957115013E-2</v>
      </c>
      <c r="O91" s="11"/>
      <c r="P91" s="6">
        <v>29606</v>
      </c>
      <c r="Q91" s="2"/>
      <c r="R91" s="7">
        <f t="shared" si="67"/>
        <v>9.0741239705063717E-2</v>
      </c>
      <c r="S91" s="2"/>
      <c r="T91" s="6">
        <v>33153</v>
      </c>
      <c r="U91" s="2"/>
      <c r="V91" s="7">
        <f t="shared" si="68"/>
        <v>7.6908168670310481E-3</v>
      </c>
      <c r="W91" s="2"/>
      <c r="X91" s="6">
        <f t="shared" si="69"/>
        <v>-3547</v>
      </c>
      <c r="Y91" s="2"/>
      <c r="Z91" s="7">
        <f t="shared" si="70"/>
        <v>-0.10698880945917413</v>
      </c>
    </row>
    <row r="92" spans="1:26" s="24" customFormat="1" hidden="1" outlineLevel="2" x14ac:dyDescent="0.25">
      <c r="A92" s="26"/>
      <c r="B92" s="11" t="str">
        <f>CONCATENATE("          ", "6285", " - ", "JANITORIAL SERVICES")</f>
        <v xml:space="preserve">          6285 - JANITORIAL SERVICES</v>
      </c>
      <c r="C92" s="11"/>
      <c r="D92" s="6"/>
      <c r="E92" s="2"/>
      <c r="F92" s="7">
        <f t="shared" si="63"/>
        <v>0</v>
      </c>
      <c r="G92" s="2"/>
      <c r="H92" s="6">
        <v>14137.82</v>
      </c>
      <c r="I92" s="2"/>
      <c r="J92" s="7">
        <f t="shared" si="64"/>
        <v>1.7604497903129172E-2</v>
      </c>
      <c r="K92" s="2"/>
      <c r="L92" s="6">
        <f t="shared" si="65"/>
        <v>-14137.82</v>
      </c>
      <c r="M92" s="2"/>
      <c r="N92" s="7">
        <f t="shared" si="66"/>
        <v>-1</v>
      </c>
      <c r="O92" s="11"/>
      <c r="P92" s="6">
        <v>12770.81</v>
      </c>
      <c r="Q92" s="2"/>
      <c r="R92" s="7">
        <f t="shared" si="67"/>
        <v>3.9142036460103516E-2</v>
      </c>
      <c r="S92" s="2"/>
      <c r="T92" s="6">
        <v>109954.4</v>
      </c>
      <c r="U92" s="2"/>
      <c r="V92" s="7">
        <f t="shared" si="68"/>
        <v>2.550716840479832E-2</v>
      </c>
      <c r="W92" s="2"/>
      <c r="X92" s="6">
        <f t="shared" si="69"/>
        <v>-97183.59</v>
      </c>
      <c r="Y92" s="2"/>
      <c r="Z92" s="7">
        <f t="shared" si="70"/>
        <v>-0.88385357930196518</v>
      </c>
    </row>
    <row r="93" spans="1:26" s="24" customFormat="1" hidden="1" outlineLevel="2" x14ac:dyDescent="0.25">
      <c r="A93" s="26"/>
      <c r="B93" s="11" t="str">
        <f>CONCATENATE("          ", "6286", " - ", "LAUNDRY EXPENSE")</f>
        <v xml:space="preserve">          6286 - LAUNDRY EXPENSE</v>
      </c>
      <c r="C93" s="11"/>
      <c r="D93" s="6">
        <v>111.95</v>
      </c>
      <c r="E93" s="2"/>
      <c r="F93" s="7">
        <f t="shared" si="63"/>
        <v>2.2398533841393575E-3</v>
      </c>
      <c r="G93" s="2"/>
      <c r="H93" s="6">
        <v>3195.2</v>
      </c>
      <c r="I93" s="2"/>
      <c r="J93" s="7">
        <f t="shared" si="64"/>
        <v>3.9786821235578279E-3</v>
      </c>
      <c r="K93" s="2"/>
      <c r="L93" s="6">
        <f t="shared" si="65"/>
        <v>-3083.25</v>
      </c>
      <c r="M93" s="2"/>
      <c r="N93" s="7">
        <f t="shared" si="66"/>
        <v>-0.9649630696044067</v>
      </c>
      <c r="O93" s="11"/>
      <c r="P93" s="6">
        <v>904.71</v>
      </c>
      <c r="Q93" s="2"/>
      <c r="R93" s="7">
        <f t="shared" si="67"/>
        <v>2.7729009989045533E-3</v>
      </c>
      <c r="S93" s="2"/>
      <c r="T93" s="6">
        <v>25664.34</v>
      </c>
      <c r="U93" s="2"/>
      <c r="V93" s="7">
        <f t="shared" si="68"/>
        <v>5.9536011508225387E-3</v>
      </c>
      <c r="W93" s="2"/>
      <c r="X93" s="6">
        <f t="shared" si="69"/>
        <v>-24759.63</v>
      </c>
      <c r="Y93" s="2"/>
      <c r="Z93" s="7">
        <f t="shared" si="70"/>
        <v>-0.96474836290354637</v>
      </c>
    </row>
    <row r="94" spans="1:26" s="25" customFormat="1" outlineLevel="1" collapsed="1" x14ac:dyDescent="0.25">
      <c r="A94" s="27"/>
      <c r="B94" s="13" t="str">
        <f>CONCATENATE("     ","Subscriptions &amp; Dues                              ")</f>
        <v xml:space="preserve">     Subscriptions &amp; Dues                              </v>
      </c>
      <c r="C94" s="13"/>
      <c r="D94" s="1">
        <f>SUM(OSRRefD22_19x_0)</f>
        <v>262.83999999999997</v>
      </c>
      <c r="E94" s="1"/>
      <c r="F94" s="5">
        <f t="shared" ref="F94:F96" si="71">IF(D$12=0,0,D94/D$12)</f>
        <v>5.25880360417319E-3</v>
      </c>
      <c r="G94" s="1"/>
      <c r="H94" s="1">
        <f>SUM(OSRRefH22_19x_0)</f>
        <v>273.73</v>
      </c>
      <c r="I94" s="1"/>
      <c r="J94" s="5">
        <f t="shared" ref="J94:J96" si="72">IF(H$12=0,0,H94/H$12)</f>
        <v>3.4085023087177153E-4</v>
      </c>
      <c r="K94" s="1"/>
      <c r="L94" s="1">
        <f t="shared" ref="L94:L96" si="73">+D94-H94</f>
        <v>-10.890000000000043</v>
      </c>
      <c r="M94" s="1"/>
      <c r="N94" s="5">
        <f t="shared" ref="N94:N96" si="74">IF(H94=0,0,L94/H94)</f>
        <v>-3.9783728491579448E-2</v>
      </c>
      <c r="O94" s="13"/>
      <c r="P94" s="1">
        <f>SUM(OSRRefP22_19x_0)</f>
        <v>797.01</v>
      </c>
      <c r="Q94" s="1"/>
      <c r="R94" s="5">
        <f t="shared" ref="R94:R96" si="75">IF(P$12=0,0,P94/P$12)</f>
        <v>2.4428046834200105E-3</v>
      </c>
      <c r="S94" s="1"/>
      <c r="T94" s="1">
        <f>SUM(OSRRefT22_19x_0)</f>
        <v>7134.3099999999995</v>
      </c>
      <c r="U94" s="1"/>
      <c r="V94" s="5">
        <f t="shared" ref="V94:V96" si="76">IF(T$12=0,0,T94/T$12)</f>
        <v>1.6550137750016068E-3</v>
      </c>
      <c r="W94" s="1"/>
      <c r="X94" s="1">
        <f t="shared" ref="X94:X96" si="77">+P94-T94</f>
        <v>-6337.2999999999993</v>
      </c>
      <c r="Y94" s="1"/>
      <c r="Z94" s="5">
        <f t="shared" ref="Z94:Z96" si="78">IF(T94=0,0,X94/T94)</f>
        <v>-0.88828492173735085</v>
      </c>
    </row>
    <row r="95" spans="1:26" s="24" customFormat="1" hidden="1" outlineLevel="2" x14ac:dyDescent="0.25">
      <c r="A95" s="26"/>
      <c r="B95" s="11" t="str">
        <f>CONCATENATE("          ", "6258", " - ", "MEMBERSHIP DUES")</f>
        <v xml:space="preserve">          6258 - MEMBERSHIP DUES</v>
      </c>
      <c r="C95" s="11"/>
      <c r="D95" s="6"/>
      <c r="E95" s="2"/>
      <c r="F95" s="7">
        <f t="shared" si="71"/>
        <v>0</v>
      </c>
      <c r="G95" s="2"/>
      <c r="H95" s="6">
        <v>-131.19999999999999</v>
      </c>
      <c r="I95" s="2"/>
      <c r="J95" s="7">
        <f t="shared" si="72"/>
        <v>-1.6337102360127286E-4</v>
      </c>
      <c r="K95" s="2"/>
      <c r="L95" s="6">
        <f t="shared" si="73"/>
        <v>131.19999999999999</v>
      </c>
      <c r="M95" s="2"/>
      <c r="N95" s="7">
        <f t="shared" si="74"/>
        <v>-1</v>
      </c>
      <c r="O95" s="11"/>
      <c r="P95" s="6"/>
      <c r="Q95" s="2"/>
      <c r="R95" s="7">
        <f t="shared" si="75"/>
        <v>0</v>
      </c>
      <c r="S95" s="2"/>
      <c r="T95" s="6">
        <v>3730</v>
      </c>
      <c r="U95" s="2"/>
      <c r="V95" s="7">
        <f t="shared" si="76"/>
        <v>8.6528359165160954E-4</v>
      </c>
      <c r="W95" s="2"/>
      <c r="X95" s="6">
        <f t="shared" si="77"/>
        <v>-3730</v>
      </c>
      <c r="Y95" s="2"/>
      <c r="Z95" s="7">
        <f t="shared" si="78"/>
        <v>-1</v>
      </c>
    </row>
    <row r="96" spans="1:26" s="24" customFormat="1" hidden="1" outlineLevel="2" x14ac:dyDescent="0.25">
      <c r="A96" s="26"/>
      <c r="B96" s="11" t="str">
        <f>CONCATENATE("          ", "6275", " - ", "SUBSCRIPTIONS")</f>
        <v xml:space="preserve">          6275 - SUBSCRIPTIONS</v>
      </c>
      <c r="C96" s="11"/>
      <c r="D96" s="6">
        <v>262.83999999999997</v>
      </c>
      <c r="E96" s="2"/>
      <c r="F96" s="7">
        <f t="shared" si="71"/>
        <v>5.25880360417319E-3</v>
      </c>
      <c r="G96" s="2"/>
      <c r="H96" s="6">
        <v>404.93</v>
      </c>
      <c r="I96" s="2"/>
      <c r="J96" s="7">
        <f t="shared" si="72"/>
        <v>5.0422125447304443E-4</v>
      </c>
      <c r="K96" s="2"/>
      <c r="L96" s="6">
        <f t="shared" si="73"/>
        <v>-142.09000000000003</v>
      </c>
      <c r="M96" s="2"/>
      <c r="N96" s="7">
        <f t="shared" si="74"/>
        <v>-0.35090015558244642</v>
      </c>
      <c r="O96" s="11"/>
      <c r="P96" s="6">
        <v>797.01</v>
      </c>
      <c r="Q96" s="2"/>
      <c r="R96" s="7">
        <f t="shared" si="75"/>
        <v>2.4428046834200105E-3</v>
      </c>
      <c r="S96" s="2"/>
      <c r="T96" s="6">
        <v>3404.31</v>
      </c>
      <c r="U96" s="2"/>
      <c r="V96" s="7">
        <f t="shared" si="76"/>
        <v>7.897301833499975E-4</v>
      </c>
      <c r="W96" s="2"/>
      <c r="X96" s="6">
        <f t="shared" si="77"/>
        <v>-2607.3000000000002</v>
      </c>
      <c r="Y96" s="2"/>
      <c r="Z96" s="7">
        <f t="shared" si="78"/>
        <v>-0.76588207301920219</v>
      </c>
    </row>
    <row r="97" spans="1:26" s="25" customFormat="1" outlineLevel="1" collapsed="1" x14ac:dyDescent="0.25">
      <c r="A97" s="27"/>
      <c r="B97" s="13" t="str">
        <f>CONCATENATE("     ","Supplies                                          ")</f>
        <v xml:space="preserve">     Supplies                                          </v>
      </c>
      <c r="C97" s="13"/>
      <c r="D97" s="1">
        <f>SUM(OSRRefD22_20x_0)</f>
        <v>82.73</v>
      </c>
      <c r="E97" s="1"/>
      <c r="F97" s="5">
        <f t="shared" ref="F97:F107" si="79">IF(D$12=0,0,D97/D$12)</f>
        <v>1.6552306428749355E-3</v>
      </c>
      <c r="G97" s="1"/>
      <c r="H97" s="1">
        <f>SUM(OSRRefH22_20x_0)</f>
        <v>22264.389999999996</v>
      </c>
      <c r="I97" s="1"/>
      <c r="J97" s="5">
        <f t="shared" ref="J97:J107" si="80">IF(H$12=0,0,H97/H$12)</f>
        <v>2.772375140364286E-2</v>
      </c>
      <c r="K97" s="1"/>
      <c r="L97" s="1">
        <f t="shared" ref="L97:L107" si="81">+D97-H97</f>
        <v>-22181.659999999996</v>
      </c>
      <c r="M97" s="1"/>
      <c r="N97" s="5">
        <f t="shared" ref="N97:N107" si="82">IF(H97=0,0,L97/H97)</f>
        <v>-0.99628420091455461</v>
      </c>
      <c r="O97" s="13"/>
      <c r="P97" s="1">
        <f>SUM(OSRRefP22_20x_0)</f>
        <v>-21346.86</v>
      </c>
      <c r="Q97" s="1"/>
      <c r="R97" s="5">
        <f t="shared" ref="R97:R107" si="83">IF(P$12=0,0,P97/P$12)</f>
        <v>-6.5427296501061827E-2</v>
      </c>
      <c r="S97" s="1"/>
      <c r="T97" s="1">
        <f>SUM(OSRRefT22_20x_0)</f>
        <v>153437.70000000001</v>
      </c>
      <c r="U97" s="1"/>
      <c r="V97" s="5">
        <f t="shared" ref="V97:V107" si="84">IF(T$12=0,0,T97/T$12)</f>
        <v>3.5594403257576991E-2</v>
      </c>
      <c r="W97" s="1"/>
      <c r="X97" s="1">
        <f t="shared" ref="X97:X107" si="85">+P97-T97</f>
        <v>-174784.56</v>
      </c>
      <c r="Y97" s="1"/>
      <c r="Z97" s="5">
        <f t="shared" ref="Z97:Z107" si="86">IF(T97=0,0,X97/T97)</f>
        <v>-1.1391239571500353</v>
      </c>
    </row>
    <row r="98" spans="1:26" s="24" customFormat="1" hidden="1" outlineLevel="2" x14ac:dyDescent="0.25">
      <c r="A98" s="26"/>
      <c r="B98" s="11" t="str">
        <f>CONCATENATE("          ", "6234", " - ", "EXPENDABLE SUPPLIES &amp; EQUIPMEN")</f>
        <v xml:space="preserve">          6234 - EXPENDABLE SUPPLIES &amp; EQUIPMEN</v>
      </c>
      <c r="C98" s="11"/>
      <c r="D98" s="6"/>
      <c r="E98" s="2"/>
      <c r="F98" s="7">
        <f t="shared" si="79"/>
        <v>0</v>
      </c>
      <c r="G98" s="2"/>
      <c r="H98" s="6">
        <v>360.61</v>
      </c>
      <c r="I98" s="2"/>
      <c r="J98" s="7">
        <f t="shared" si="80"/>
        <v>4.49033725768712E-4</v>
      </c>
      <c r="K98" s="2"/>
      <c r="L98" s="6">
        <f t="shared" si="81"/>
        <v>-360.61</v>
      </c>
      <c r="M98" s="2"/>
      <c r="N98" s="7">
        <f t="shared" si="82"/>
        <v>-1</v>
      </c>
      <c r="O98" s="11"/>
      <c r="P98" s="6">
        <v>310.91000000000003</v>
      </c>
      <c r="Q98" s="2"/>
      <c r="R98" s="7">
        <f t="shared" si="83"/>
        <v>9.5292707007705744E-4</v>
      </c>
      <c r="S98" s="2"/>
      <c r="T98" s="6">
        <v>13572.12</v>
      </c>
      <c r="U98" s="2"/>
      <c r="V98" s="7">
        <f t="shared" si="84"/>
        <v>3.1484538176747034E-3</v>
      </c>
      <c r="W98" s="2"/>
      <c r="X98" s="6">
        <f t="shared" si="85"/>
        <v>-13261.210000000001</v>
      </c>
      <c r="Y98" s="2"/>
      <c r="Z98" s="7">
        <f t="shared" si="86"/>
        <v>-0.97709200920710992</v>
      </c>
    </row>
    <row r="99" spans="1:26" s="24" customFormat="1" hidden="1" outlineLevel="2" x14ac:dyDescent="0.25">
      <c r="A99" s="26"/>
      <c r="B99" s="11" t="str">
        <f>CONCATENATE("          ", "6235", " - ", "COVID-19 EXPENSES")</f>
        <v xml:space="preserve">          6235 - COVID-19 EXPENSES</v>
      </c>
      <c r="C99" s="11"/>
      <c r="D99" s="6"/>
      <c r="E99" s="2"/>
      <c r="F99" s="7">
        <f t="shared" si="79"/>
        <v>0</v>
      </c>
      <c r="G99" s="2"/>
      <c r="H99" s="6"/>
      <c r="I99" s="2"/>
      <c r="J99" s="7">
        <f t="shared" si="80"/>
        <v>0</v>
      </c>
      <c r="K99" s="2"/>
      <c r="L99" s="6">
        <f t="shared" si="81"/>
        <v>0</v>
      </c>
      <c r="M99" s="2"/>
      <c r="N99" s="7">
        <f t="shared" si="82"/>
        <v>0</v>
      </c>
      <c r="O99" s="11"/>
      <c r="P99" s="6">
        <v>6881.86</v>
      </c>
      <c r="Q99" s="2"/>
      <c r="R99" s="7">
        <f t="shared" si="83"/>
        <v>2.1092633516067345E-2</v>
      </c>
      <c r="S99" s="2"/>
      <c r="T99" s="6"/>
      <c r="U99" s="2"/>
      <c r="V99" s="7">
        <f t="shared" si="84"/>
        <v>0</v>
      </c>
      <c r="W99" s="2"/>
      <c r="X99" s="6">
        <f t="shared" si="85"/>
        <v>6881.86</v>
      </c>
      <c r="Y99" s="2"/>
      <c r="Z99" s="7">
        <f t="shared" si="86"/>
        <v>0</v>
      </c>
    </row>
    <row r="100" spans="1:26" s="24" customFormat="1" hidden="1" outlineLevel="2" x14ac:dyDescent="0.25">
      <c r="A100" s="26"/>
      <c r="B100" s="11" t="str">
        <f>CONCATENATE("          ", "6237", " - ", "JANITORIAL SUPPLIES")</f>
        <v xml:space="preserve">          6237 - JANITORIAL SUPPLIES</v>
      </c>
      <c r="C100" s="11"/>
      <c r="D100" s="6"/>
      <c r="E100" s="2"/>
      <c r="F100" s="7">
        <f t="shared" si="79"/>
        <v>0</v>
      </c>
      <c r="G100" s="2"/>
      <c r="H100" s="6">
        <v>6739.72</v>
      </c>
      <c r="I100" s="2"/>
      <c r="J100" s="7">
        <f t="shared" si="80"/>
        <v>8.3923395974540467E-3</v>
      </c>
      <c r="K100" s="2"/>
      <c r="L100" s="6">
        <f t="shared" si="81"/>
        <v>-6739.72</v>
      </c>
      <c r="M100" s="2"/>
      <c r="N100" s="7">
        <f t="shared" si="82"/>
        <v>-1</v>
      </c>
      <c r="O100" s="11"/>
      <c r="P100" s="6">
        <v>358.91</v>
      </c>
      <c r="Q100" s="2"/>
      <c r="R100" s="7">
        <f t="shared" si="83"/>
        <v>1.1000452051119509E-3</v>
      </c>
      <c r="S100" s="2"/>
      <c r="T100" s="6">
        <v>42669.9</v>
      </c>
      <c r="U100" s="2"/>
      <c r="V100" s="7">
        <f t="shared" si="84"/>
        <v>9.8985427151246693E-3</v>
      </c>
      <c r="W100" s="2"/>
      <c r="X100" s="6">
        <f t="shared" si="85"/>
        <v>-42310.99</v>
      </c>
      <c r="Y100" s="2"/>
      <c r="Z100" s="7">
        <f t="shared" si="86"/>
        <v>-0.99158868429501823</v>
      </c>
    </row>
    <row r="101" spans="1:26" s="24" customFormat="1" hidden="1" outlineLevel="2" x14ac:dyDescent="0.25">
      <c r="A101" s="26"/>
      <c r="B101" s="11" t="str">
        <f>CONCATENATE("          ", "6239", " - ", "KITCHEN SUPPLIES")</f>
        <v xml:space="preserve">          6239 - KITCHEN SUPPLIES</v>
      </c>
      <c r="C101" s="11"/>
      <c r="D101" s="6"/>
      <c r="E101" s="2"/>
      <c r="F101" s="7">
        <f t="shared" si="79"/>
        <v>0</v>
      </c>
      <c r="G101" s="2"/>
      <c r="H101" s="6">
        <v>7707.55</v>
      </c>
      <c r="I101" s="2"/>
      <c r="J101" s="7">
        <f t="shared" si="80"/>
        <v>9.5974872938871247E-3</v>
      </c>
      <c r="K101" s="2"/>
      <c r="L101" s="6">
        <f t="shared" si="81"/>
        <v>-7707.55</v>
      </c>
      <c r="M101" s="2"/>
      <c r="N101" s="7">
        <f t="shared" si="82"/>
        <v>-1</v>
      </c>
      <c r="O101" s="11"/>
      <c r="P101" s="6">
        <v>19.829999999999998</v>
      </c>
      <c r="Q101" s="2"/>
      <c r="R101" s="7">
        <f t="shared" si="83"/>
        <v>6.0778179536290389E-5</v>
      </c>
      <c r="S101" s="2"/>
      <c r="T101" s="6">
        <v>43555.950000000004</v>
      </c>
      <c r="U101" s="2"/>
      <c r="V101" s="7">
        <f t="shared" si="84"/>
        <v>1.0104088164557084E-2</v>
      </c>
      <c r="W101" s="2"/>
      <c r="X101" s="6">
        <f t="shared" si="85"/>
        <v>-43536.12</v>
      </c>
      <c r="Y101" s="2"/>
      <c r="Z101" s="7">
        <f t="shared" si="86"/>
        <v>-0.99954472351079471</v>
      </c>
    </row>
    <row r="102" spans="1:26" s="24" customFormat="1" hidden="1" outlineLevel="2" x14ac:dyDescent="0.25">
      <c r="A102" s="26"/>
      <c r="B102" s="11" t="str">
        <f>CONCATENATE("          ", "6241", " - ", "OFFICE EXPENSE")</f>
        <v xml:space="preserve">          6241 - OFFICE EXPENSE</v>
      </c>
      <c r="C102" s="11"/>
      <c r="D102" s="6">
        <v>82.73</v>
      </c>
      <c r="E102" s="2"/>
      <c r="F102" s="7">
        <f t="shared" si="79"/>
        <v>1.6552306428749355E-3</v>
      </c>
      <c r="G102" s="2"/>
      <c r="H102" s="6">
        <v>177.55</v>
      </c>
      <c r="I102" s="2"/>
      <c r="J102" s="7">
        <f t="shared" si="80"/>
        <v>2.2108632042992378E-4</v>
      </c>
      <c r="K102" s="2"/>
      <c r="L102" s="6">
        <f t="shared" si="81"/>
        <v>-94.820000000000007</v>
      </c>
      <c r="M102" s="2"/>
      <c r="N102" s="7">
        <f t="shared" si="82"/>
        <v>-0.53404674739509994</v>
      </c>
      <c r="O102" s="11"/>
      <c r="P102" s="6">
        <v>-28983.86</v>
      </c>
      <c r="Q102" s="2"/>
      <c r="R102" s="7">
        <f t="shared" si="83"/>
        <v>-8.883440477734271E-2</v>
      </c>
      <c r="S102" s="2"/>
      <c r="T102" s="6">
        <v>15459.249999999998</v>
      </c>
      <c r="U102" s="2"/>
      <c r="V102" s="7">
        <f t="shared" si="84"/>
        <v>3.5862293201716199E-3</v>
      </c>
      <c r="W102" s="2"/>
      <c r="X102" s="6">
        <f t="shared" si="85"/>
        <v>-44443.11</v>
      </c>
      <c r="Y102" s="2"/>
      <c r="Z102" s="7">
        <f t="shared" si="86"/>
        <v>-2.8748555072205964</v>
      </c>
    </row>
    <row r="103" spans="1:26" s="24" customFormat="1" hidden="1" outlineLevel="2" x14ac:dyDescent="0.25">
      <c r="A103" s="26"/>
      <c r="B103" s="11" t="str">
        <f>CONCATENATE("          ", "6243", " - ", "PAPER SUPPLIES")</f>
        <v xml:space="preserve">          6243 - PAPER SUPPLIES</v>
      </c>
      <c r="C103" s="11"/>
      <c r="D103" s="6"/>
      <c r="E103" s="2"/>
      <c r="F103" s="7">
        <f t="shared" si="79"/>
        <v>0</v>
      </c>
      <c r="G103" s="2"/>
      <c r="H103" s="6">
        <v>3650.49</v>
      </c>
      <c r="I103" s="2"/>
      <c r="J103" s="7">
        <f t="shared" si="80"/>
        <v>4.5456119508095316E-3</v>
      </c>
      <c r="K103" s="2"/>
      <c r="L103" s="6">
        <f t="shared" si="81"/>
        <v>-3650.49</v>
      </c>
      <c r="M103" s="2"/>
      <c r="N103" s="7">
        <f t="shared" si="82"/>
        <v>-1</v>
      </c>
      <c r="O103" s="11"/>
      <c r="P103" s="6">
        <v>65.489999999999995</v>
      </c>
      <c r="Q103" s="2"/>
      <c r="R103" s="7">
        <f t="shared" si="83"/>
        <v>2.0072430548823288E-4</v>
      </c>
      <c r="S103" s="2"/>
      <c r="T103" s="6">
        <v>27361.42</v>
      </c>
      <c r="U103" s="2"/>
      <c r="V103" s="7">
        <f t="shared" si="84"/>
        <v>6.3472889464579567E-3</v>
      </c>
      <c r="W103" s="2"/>
      <c r="X103" s="6">
        <f t="shared" si="85"/>
        <v>-27295.929999999997</v>
      </c>
      <c r="Y103" s="2"/>
      <c r="Z103" s="7">
        <f t="shared" si="86"/>
        <v>-0.99760648387400941</v>
      </c>
    </row>
    <row r="104" spans="1:26" s="24" customFormat="1" hidden="1" outlineLevel="2" x14ac:dyDescent="0.25">
      <c r="A104" s="26"/>
      <c r="B104" s="11" t="str">
        <f>CONCATENATE("          ", "6245", " - ", "PRINTING")</f>
        <v xml:space="preserve">          6245 - PRINTING</v>
      </c>
      <c r="C104" s="11"/>
      <c r="D104" s="6"/>
      <c r="E104" s="2"/>
      <c r="F104" s="7">
        <f t="shared" si="79"/>
        <v>0</v>
      </c>
      <c r="G104" s="2"/>
      <c r="H104" s="6"/>
      <c r="I104" s="2"/>
      <c r="J104" s="7">
        <f t="shared" si="80"/>
        <v>0</v>
      </c>
      <c r="K104" s="2"/>
      <c r="L104" s="6">
        <f t="shared" si="81"/>
        <v>0</v>
      </c>
      <c r="M104" s="2"/>
      <c r="N104" s="7">
        <f t="shared" si="82"/>
        <v>0</v>
      </c>
      <c r="O104" s="11"/>
      <c r="P104" s="6"/>
      <c r="Q104" s="2"/>
      <c r="R104" s="7">
        <f t="shared" si="83"/>
        <v>0</v>
      </c>
      <c r="S104" s="2"/>
      <c r="T104" s="6">
        <v>531.28</v>
      </c>
      <c r="U104" s="2"/>
      <c r="V104" s="7">
        <f t="shared" si="84"/>
        <v>1.2324607682913326E-4</v>
      </c>
      <c r="W104" s="2"/>
      <c r="X104" s="6">
        <f t="shared" si="85"/>
        <v>-531.28</v>
      </c>
      <c r="Y104" s="2"/>
      <c r="Z104" s="7">
        <f t="shared" si="86"/>
        <v>-1</v>
      </c>
    </row>
    <row r="105" spans="1:26" s="24" customFormat="1" hidden="1" outlineLevel="2" x14ac:dyDescent="0.25">
      <c r="A105" s="26"/>
      <c r="B105" s="11" t="str">
        <f>CONCATENATE("          ", "6246", " - ", "REPLACEMENTS")</f>
        <v xml:space="preserve">          6246 - REPLACEMENTS</v>
      </c>
      <c r="C105" s="11"/>
      <c r="D105" s="6"/>
      <c r="E105" s="2"/>
      <c r="F105" s="7">
        <f t="shared" si="79"/>
        <v>0</v>
      </c>
      <c r="G105" s="2"/>
      <c r="H105" s="6">
        <v>25.87</v>
      </c>
      <c r="I105" s="2"/>
      <c r="J105" s="7">
        <f t="shared" si="80"/>
        <v>3.2213478510403425E-5</v>
      </c>
      <c r="K105" s="2"/>
      <c r="L105" s="6">
        <f t="shared" si="81"/>
        <v>-25.87</v>
      </c>
      <c r="M105" s="2"/>
      <c r="N105" s="7">
        <f t="shared" si="82"/>
        <v>-1</v>
      </c>
      <c r="O105" s="11"/>
      <c r="P105" s="6"/>
      <c r="Q105" s="2"/>
      <c r="R105" s="7">
        <f t="shared" si="83"/>
        <v>0</v>
      </c>
      <c r="S105" s="2"/>
      <c r="T105" s="6">
        <v>25.87</v>
      </c>
      <c r="U105" s="2"/>
      <c r="V105" s="7">
        <f t="shared" si="84"/>
        <v>6.0013100579161229E-6</v>
      </c>
      <c r="W105" s="2"/>
      <c r="X105" s="6">
        <f t="shared" si="85"/>
        <v>-25.87</v>
      </c>
      <c r="Y105" s="2"/>
      <c r="Z105" s="7">
        <f t="shared" si="86"/>
        <v>-1</v>
      </c>
    </row>
    <row r="106" spans="1:26" s="24" customFormat="1" hidden="1" outlineLevel="2" x14ac:dyDescent="0.25">
      <c r="A106" s="26"/>
      <c r="B106" s="11" t="str">
        <f>CONCATENATE("          ", "6247", " - ", "STORE SUPPLIES")</f>
        <v xml:space="preserve">          6247 - STORE SUPPLIES</v>
      </c>
      <c r="C106" s="11"/>
      <c r="D106" s="6"/>
      <c r="E106" s="2"/>
      <c r="F106" s="7">
        <f t="shared" si="79"/>
        <v>0</v>
      </c>
      <c r="G106" s="2"/>
      <c r="H106" s="6">
        <v>3144.53</v>
      </c>
      <c r="I106" s="2"/>
      <c r="J106" s="7">
        <f t="shared" si="80"/>
        <v>3.9155875369276723E-3</v>
      </c>
      <c r="K106" s="2"/>
      <c r="L106" s="6">
        <f t="shared" si="81"/>
        <v>-3144.53</v>
      </c>
      <c r="M106" s="2"/>
      <c r="N106" s="7">
        <f t="shared" si="82"/>
        <v>-1</v>
      </c>
      <c r="O106" s="11"/>
      <c r="P106" s="6"/>
      <c r="Q106" s="2"/>
      <c r="R106" s="7">
        <f t="shared" si="83"/>
        <v>0</v>
      </c>
      <c r="S106" s="2"/>
      <c r="T106" s="6">
        <v>5921.14</v>
      </c>
      <c r="U106" s="2"/>
      <c r="V106" s="7">
        <f t="shared" si="84"/>
        <v>1.373583186560861E-3</v>
      </c>
      <c r="W106" s="2"/>
      <c r="X106" s="6">
        <f t="shared" si="85"/>
        <v>-5921.14</v>
      </c>
      <c r="Y106" s="2"/>
      <c r="Z106" s="7">
        <f t="shared" si="86"/>
        <v>-1</v>
      </c>
    </row>
    <row r="107" spans="1:26" s="24" customFormat="1" hidden="1" outlineLevel="2" x14ac:dyDescent="0.25">
      <c r="A107" s="26"/>
      <c r="B107" s="11" t="str">
        <f>CONCATENATE("          ", "6248", " - ", "UNIFORMS")</f>
        <v xml:space="preserve">          6248 - UNIFORMS</v>
      </c>
      <c r="C107" s="11"/>
      <c r="D107" s="6"/>
      <c r="E107" s="2"/>
      <c r="F107" s="7">
        <f t="shared" si="79"/>
        <v>0</v>
      </c>
      <c r="G107" s="2"/>
      <c r="H107" s="6">
        <v>458.07</v>
      </c>
      <c r="I107" s="2"/>
      <c r="J107" s="7">
        <f t="shared" si="80"/>
        <v>5.7039149985545017E-4</v>
      </c>
      <c r="K107" s="2"/>
      <c r="L107" s="6">
        <f t="shared" si="81"/>
        <v>-458.07</v>
      </c>
      <c r="M107" s="2"/>
      <c r="N107" s="7">
        <f t="shared" si="82"/>
        <v>-1</v>
      </c>
      <c r="O107" s="11"/>
      <c r="P107" s="6"/>
      <c r="Q107" s="2"/>
      <c r="R107" s="7">
        <f t="shared" si="83"/>
        <v>0</v>
      </c>
      <c r="S107" s="2"/>
      <c r="T107" s="6">
        <v>4340.7700000000004</v>
      </c>
      <c r="U107" s="2"/>
      <c r="V107" s="7">
        <f t="shared" si="84"/>
        <v>1.0069697201430449E-3</v>
      </c>
      <c r="W107" s="2"/>
      <c r="X107" s="6">
        <f t="shared" si="85"/>
        <v>-4340.7700000000004</v>
      </c>
      <c r="Y107" s="2"/>
      <c r="Z107" s="7">
        <f t="shared" si="86"/>
        <v>-1</v>
      </c>
    </row>
    <row r="108" spans="1:26" s="25" customFormat="1" outlineLevel="1" collapsed="1" x14ac:dyDescent="0.25">
      <c r="A108" s="27"/>
      <c r="B108" s="13" t="str">
        <f>CONCATENATE("     ","Telephone/Data Lines                              ")</f>
        <v xml:space="preserve">     Telephone/Data Lines                              </v>
      </c>
      <c r="C108" s="13"/>
      <c r="D108" s="1">
        <f>SUM(OSRRefD22_21x_0)</f>
        <v>298.14</v>
      </c>
      <c r="E108" s="1"/>
      <c r="F108" s="5">
        <f t="shared" ref="F108:F115" si="87">IF(D$12=0,0,D108/D$12)</f>
        <v>5.9650726926959172E-3</v>
      </c>
      <c r="G108" s="1"/>
      <c r="H108" s="1">
        <f>SUM(OSRRefH22_21x_0)</f>
        <v>1561.6</v>
      </c>
      <c r="I108" s="1"/>
      <c r="J108" s="5">
        <f t="shared" ref="J108:J115" si="88">IF(H$12=0,0,H108/H$12)</f>
        <v>1.9445136467663698E-3</v>
      </c>
      <c r="K108" s="1"/>
      <c r="L108" s="1">
        <f t="shared" ref="L108:L115" si="89">+D108-H108</f>
        <v>-1263.46</v>
      </c>
      <c r="M108" s="1"/>
      <c r="N108" s="5">
        <f t="shared" ref="N108:N115" si="90">IF(H108=0,0,L108/H108)</f>
        <v>-0.80908043032786892</v>
      </c>
      <c r="O108" s="13"/>
      <c r="P108" s="1">
        <f>SUM(OSRRefP22_21x_0)</f>
        <v>5197.41</v>
      </c>
      <c r="Q108" s="1"/>
      <c r="R108" s="5">
        <f t="shared" ref="R108:R115" si="91">IF(P$12=0,0,P108/P$12)</f>
        <v>1.5929859712743875E-2</v>
      </c>
      <c r="S108" s="1"/>
      <c r="T108" s="1">
        <f>SUM(OSRRefT22_21x_0)</f>
        <v>14923.729999999998</v>
      </c>
      <c r="U108" s="1"/>
      <c r="V108" s="5">
        <f t="shared" ref="V108:V115" si="92">IF(T$12=0,0,T108/T$12)</f>
        <v>3.4619996501980893E-3</v>
      </c>
      <c r="W108" s="1"/>
      <c r="X108" s="1">
        <f t="shared" ref="X108:X115" si="93">+P108-T108</f>
        <v>-9726.3199999999979</v>
      </c>
      <c r="Y108" s="1"/>
      <c r="Z108" s="5">
        <f t="shared" ref="Z108:Z115" si="94">IF(T108=0,0,X108/T108)</f>
        <v>-0.65173518952701504</v>
      </c>
    </row>
    <row r="109" spans="1:26" s="24" customFormat="1" hidden="1" outlineLevel="2" x14ac:dyDescent="0.25">
      <c r="A109" s="26"/>
      <c r="B109" s="11" t="str">
        <f>CONCATENATE("          ", "6309", " - ", "TELEPHONE")</f>
        <v xml:space="preserve">          6309 - TELEPHONE</v>
      </c>
      <c r="C109" s="11"/>
      <c r="D109" s="6">
        <v>298.14</v>
      </c>
      <c r="E109" s="2"/>
      <c r="F109" s="7">
        <f t="shared" si="87"/>
        <v>5.9650726926959172E-3</v>
      </c>
      <c r="G109" s="2"/>
      <c r="H109" s="6">
        <v>1561.6</v>
      </c>
      <c r="I109" s="2"/>
      <c r="J109" s="7">
        <f t="shared" si="88"/>
        <v>1.9445136467663698E-3</v>
      </c>
      <c r="K109" s="2"/>
      <c r="L109" s="6">
        <f t="shared" si="89"/>
        <v>-1263.46</v>
      </c>
      <c r="M109" s="2"/>
      <c r="N109" s="7">
        <f t="shared" si="90"/>
        <v>-0.80908043032786892</v>
      </c>
      <c r="O109" s="11"/>
      <c r="P109" s="6">
        <v>5197.41</v>
      </c>
      <c r="Q109" s="2"/>
      <c r="R109" s="7">
        <f t="shared" si="91"/>
        <v>1.5929859712743875E-2</v>
      </c>
      <c r="S109" s="2"/>
      <c r="T109" s="6">
        <v>14923.729999999998</v>
      </c>
      <c r="U109" s="2"/>
      <c r="V109" s="7">
        <f t="shared" si="92"/>
        <v>3.4619996501980893E-3</v>
      </c>
      <c r="W109" s="2"/>
      <c r="X109" s="6">
        <f t="shared" si="93"/>
        <v>-9726.3199999999979</v>
      </c>
      <c r="Y109" s="2"/>
      <c r="Z109" s="7">
        <f t="shared" si="94"/>
        <v>-0.65173518952701504</v>
      </c>
    </row>
    <row r="110" spans="1:26" s="25" customFormat="1" outlineLevel="1" collapsed="1" x14ac:dyDescent="0.25">
      <c r="A110" s="27"/>
      <c r="B110" s="13" t="str">
        <f>CONCATENATE("     ","Training                                          ")</f>
        <v xml:space="preserve">     Training                                          </v>
      </c>
      <c r="C110" s="13"/>
      <c r="D110" s="1">
        <f>SUM(OSRRefD22_22x_0)</f>
        <v>0</v>
      </c>
      <c r="E110" s="1"/>
      <c r="F110" s="5">
        <f t="shared" si="87"/>
        <v>0</v>
      </c>
      <c r="G110" s="1"/>
      <c r="H110" s="1">
        <f>SUM(OSRRefH22_22x_0)</f>
        <v>91.51</v>
      </c>
      <c r="I110" s="1"/>
      <c r="J110" s="5">
        <f t="shared" si="88"/>
        <v>1.139487985499427E-4</v>
      </c>
      <c r="K110" s="1"/>
      <c r="L110" s="1">
        <f t="shared" si="89"/>
        <v>-91.51</v>
      </c>
      <c r="M110" s="1"/>
      <c r="N110" s="5">
        <f t="shared" si="90"/>
        <v>-1</v>
      </c>
      <c r="O110" s="13"/>
      <c r="P110" s="1">
        <f>SUM(OSRRefP22_22x_0)</f>
        <v>400</v>
      </c>
      <c r="Q110" s="1"/>
      <c r="R110" s="5">
        <f t="shared" si="91"/>
        <v>1.2259844586241129E-3</v>
      </c>
      <c r="S110" s="1"/>
      <c r="T110" s="1">
        <f>SUM(OSRRefT22_22x_0)</f>
        <v>1903.01</v>
      </c>
      <c r="U110" s="1"/>
      <c r="V110" s="5">
        <f t="shared" si="92"/>
        <v>4.414593371981044E-4</v>
      </c>
      <c r="W110" s="1"/>
      <c r="X110" s="1">
        <f t="shared" si="93"/>
        <v>-1503.01</v>
      </c>
      <c r="Y110" s="1"/>
      <c r="Z110" s="5">
        <f t="shared" si="94"/>
        <v>-0.7898066746890452</v>
      </c>
    </row>
    <row r="111" spans="1:26" s="24" customFormat="1" hidden="1" outlineLevel="2" x14ac:dyDescent="0.25">
      <c r="A111" s="26"/>
      <c r="B111" s="11" t="str">
        <f>CONCATENATE("          ", "6376", " - ", "TRAINING")</f>
        <v xml:space="preserve">          6376 - TRAINING</v>
      </c>
      <c r="C111" s="11"/>
      <c r="D111" s="6"/>
      <c r="E111" s="2"/>
      <c r="F111" s="7">
        <f t="shared" si="87"/>
        <v>0</v>
      </c>
      <c r="G111" s="2"/>
      <c r="H111" s="6">
        <v>91.51</v>
      </c>
      <c r="I111" s="2"/>
      <c r="J111" s="7">
        <f t="shared" si="88"/>
        <v>1.139487985499427E-4</v>
      </c>
      <c r="K111" s="2"/>
      <c r="L111" s="6">
        <f t="shared" si="89"/>
        <v>-91.51</v>
      </c>
      <c r="M111" s="2"/>
      <c r="N111" s="7">
        <f t="shared" si="90"/>
        <v>-1</v>
      </c>
      <c r="O111" s="11"/>
      <c r="P111" s="6">
        <v>400</v>
      </c>
      <c r="Q111" s="2"/>
      <c r="R111" s="7">
        <f t="shared" si="91"/>
        <v>1.2259844586241129E-3</v>
      </c>
      <c r="S111" s="2"/>
      <c r="T111" s="6">
        <v>1903.01</v>
      </c>
      <c r="U111" s="2"/>
      <c r="V111" s="7">
        <f t="shared" si="92"/>
        <v>4.414593371981044E-4</v>
      </c>
      <c r="W111" s="2"/>
      <c r="X111" s="6">
        <f t="shared" si="93"/>
        <v>-1503.01</v>
      </c>
      <c r="Y111" s="2"/>
      <c r="Z111" s="7">
        <f t="shared" si="94"/>
        <v>-0.7898066746890452</v>
      </c>
    </row>
    <row r="112" spans="1:26" s="25" customFormat="1" outlineLevel="1" collapsed="1" x14ac:dyDescent="0.25">
      <c r="A112" s="27"/>
      <c r="B112" s="13" t="str">
        <f>CONCATENATE("     ","Travel                                            ")</f>
        <v xml:space="preserve">     Travel                                            </v>
      </c>
      <c r="C112" s="13"/>
      <c r="D112" s="1">
        <f>SUM(OSRRefD22_23x_0)</f>
        <v>0</v>
      </c>
      <c r="E112" s="1"/>
      <c r="F112" s="5">
        <f t="shared" si="87"/>
        <v>0</v>
      </c>
      <c r="G112" s="1"/>
      <c r="H112" s="1">
        <f>SUM(OSRRefH22_23x_0)</f>
        <v>145.49</v>
      </c>
      <c r="I112" s="1"/>
      <c r="J112" s="5">
        <f t="shared" si="88"/>
        <v>1.8116501694930787E-4</v>
      </c>
      <c r="K112" s="1"/>
      <c r="L112" s="1">
        <f t="shared" si="89"/>
        <v>-145.49</v>
      </c>
      <c r="M112" s="1"/>
      <c r="N112" s="5">
        <f t="shared" si="90"/>
        <v>-1</v>
      </c>
      <c r="O112" s="13"/>
      <c r="P112" s="1">
        <f>SUM(OSRRefP22_23x_0)</f>
        <v>332.21</v>
      </c>
      <c r="Q112" s="1"/>
      <c r="R112" s="5">
        <f t="shared" si="91"/>
        <v>1.0182107424987913E-3</v>
      </c>
      <c r="S112" s="1"/>
      <c r="T112" s="1">
        <f>SUM(OSRRefT22_23x_0)</f>
        <v>3214.8399999999997</v>
      </c>
      <c r="U112" s="1"/>
      <c r="V112" s="5">
        <f t="shared" si="92"/>
        <v>7.4577702460730836E-4</v>
      </c>
      <c r="W112" s="1"/>
      <c r="X112" s="1">
        <f t="shared" si="93"/>
        <v>-2882.6299999999997</v>
      </c>
      <c r="Y112" s="1"/>
      <c r="Z112" s="5">
        <f t="shared" si="94"/>
        <v>-0.89666359756628633</v>
      </c>
    </row>
    <row r="113" spans="1:26" s="24" customFormat="1" hidden="1" outlineLevel="2" x14ac:dyDescent="0.25">
      <c r="A113" s="26"/>
      <c r="B113" s="11" t="str">
        <f>CONCATENATE("          ", "6292", " - ", "TRAVEL/CONFERENCE")</f>
        <v xml:space="preserve">          6292 - TRAVEL/CONFERENCE</v>
      </c>
      <c r="C113" s="11"/>
      <c r="D113" s="6"/>
      <c r="E113" s="2"/>
      <c r="F113" s="7">
        <f t="shared" si="87"/>
        <v>0</v>
      </c>
      <c r="G113" s="2"/>
      <c r="H113" s="6">
        <v>88.83</v>
      </c>
      <c r="I113" s="2"/>
      <c r="J113" s="7">
        <f t="shared" si="88"/>
        <v>1.1061164654345327E-4</v>
      </c>
      <c r="K113" s="2"/>
      <c r="L113" s="6">
        <f t="shared" si="89"/>
        <v>-88.83</v>
      </c>
      <c r="M113" s="2"/>
      <c r="N113" s="7">
        <f t="shared" si="90"/>
        <v>-1</v>
      </c>
      <c r="O113" s="11"/>
      <c r="P113" s="6"/>
      <c r="Q113" s="2"/>
      <c r="R113" s="7">
        <f t="shared" si="91"/>
        <v>0</v>
      </c>
      <c r="S113" s="2"/>
      <c r="T113" s="6">
        <v>2235.87</v>
      </c>
      <c r="U113" s="2"/>
      <c r="V113" s="7">
        <f t="shared" si="92"/>
        <v>5.1867603862361508E-4</v>
      </c>
      <c r="W113" s="2"/>
      <c r="X113" s="6">
        <f t="shared" si="93"/>
        <v>-2235.87</v>
      </c>
      <c r="Y113" s="2"/>
      <c r="Z113" s="7">
        <f t="shared" si="94"/>
        <v>-1</v>
      </c>
    </row>
    <row r="114" spans="1:26" s="24" customFormat="1" hidden="1" outlineLevel="2" x14ac:dyDescent="0.25">
      <c r="A114" s="26"/>
      <c r="B114" s="11" t="str">
        <f>CONCATENATE("          ", "6294", " - ", "TRAVEL OPERATIONAL")</f>
        <v xml:space="preserve">          6294 - TRAVEL OPERATIONAL</v>
      </c>
      <c r="C114" s="11"/>
      <c r="D114" s="6"/>
      <c r="E114" s="2"/>
      <c r="F114" s="7">
        <f t="shared" si="87"/>
        <v>0</v>
      </c>
      <c r="G114" s="2"/>
      <c r="H114" s="6"/>
      <c r="I114" s="2"/>
      <c r="J114" s="7">
        <f t="shared" si="88"/>
        <v>0</v>
      </c>
      <c r="K114" s="2"/>
      <c r="L114" s="6">
        <f t="shared" si="89"/>
        <v>0</v>
      </c>
      <c r="M114" s="2"/>
      <c r="N114" s="7">
        <f t="shared" si="90"/>
        <v>0</v>
      </c>
      <c r="O114" s="11"/>
      <c r="P114" s="6"/>
      <c r="Q114" s="2"/>
      <c r="R114" s="7">
        <f t="shared" si="91"/>
        <v>0</v>
      </c>
      <c r="S114" s="2"/>
      <c r="T114" s="6">
        <v>45.49</v>
      </c>
      <c r="U114" s="2"/>
      <c r="V114" s="7">
        <f t="shared" si="92"/>
        <v>1.0552748145906627E-5</v>
      </c>
      <c r="W114" s="2"/>
      <c r="X114" s="6">
        <f t="shared" si="93"/>
        <v>-45.49</v>
      </c>
      <c r="Y114" s="2"/>
      <c r="Z114" s="7">
        <f t="shared" si="94"/>
        <v>-1</v>
      </c>
    </row>
    <row r="115" spans="1:26" s="24" customFormat="1" hidden="1" outlineLevel="2" x14ac:dyDescent="0.25">
      <c r="A115" s="26"/>
      <c r="B115" s="11" t="str">
        <f>CONCATENATE("          ", "6298", " - ", "VEHICLE MILEAGE")</f>
        <v xml:space="preserve">          6298 - VEHICLE MILEAGE</v>
      </c>
      <c r="C115" s="11"/>
      <c r="D115" s="6"/>
      <c r="E115" s="2"/>
      <c r="F115" s="7">
        <f t="shared" si="87"/>
        <v>0</v>
      </c>
      <c r="G115" s="2"/>
      <c r="H115" s="6">
        <v>56.66</v>
      </c>
      <c r="I115" s="2"/>
      <c r="J115" s="7">
        <f t="shared" si="88"/>
        <v>7.0553370405854575E-5</v>
      </c>
      <c r="K115" s="2"/>
      <c r="L115" s="6">
        <f t="shared" si="89"/>
        <v>-56.66</v>
      </c>
      <c r="M115" s="2"/>
      <c r="N115" s="7">
        <f t="shared" si="90"/>
        <v>-1</v>
      </c>
      <c r="O115" s="11"/>
      <c r="P115" s="6">
        <v>332.21</v>
      </c>
      <c r="Q115" s="2"/>
      <c r="R115" s="7">
        <f t="shared" si="91"/>
        <v>1.0182107424987913E-3</v>
      </c>
      <c r="S115" s="2"/>
      <c r="T115" s="6">
        <v>933.48</v>
      </c>
      <c r="U115" s="2"/>
      <c r="V115" s="7">
        <f t="shared" si="92"/>
        <v>2.1654823783778671E-4</v>
      </c>
      <c r="W115" s="2"/>
      <c r="X115" s="6">
        <f t="shared" si="93"/>
        <v>-601.27</v>
      </c>
      <c r="Y115" s="2"/>
      <c r="Z115" s="7">
        <f t="shared" si="94"/>
        <v>-0.64411663881390069</v>
      </c>
    </row>
    <row r="116" spans="1:26" s="25" customFormat="1" outlineLevel="1" collapsed="1" x14ac:dyDescent="0.25">
      <c r="A116" s="27"/>
      <c r="B116" s="13" t="str">
        <f>CONCATENATE("     ","Utilities                                         ")</f>
        <v xml:space="preserve">     Utilities                                         </v>
      </c>
      <c r="C116" s="13"/>
      <c r="D116" s="1">
        <f>SUM(OSRRefD22_24x_0)</f>
        <v>3660</v>
      </c>
      <c r="E116" s="1"/>
      <c r="F116" s="5">
        <f t="shared" ref="F116:F117" si="95">IF(D$12=0,0,D116/D$12)</f>
        <v>7.3227899829835172E-2</v>
      </c>
      <c r="G116" s="1"/>
      <c r="H116" s="1">
        <f>SUM(OSRRefH22_24x_0)</f>
        <v>15583</v>
      </c>
      <c r="I116" s="1"/>
      <c r="J116" s="5">
        <f t="shared" ref="J116:J117" si="96">IF(H$12=0,0,H116/H$12)</f>
        <v>1.9404044670568867E-2</v>
      </c>
      <c r="K116" s="1"/>
      <c r="L116" s="1">
        <f t="shared" ref="L116:L117" si="97">+D116-H116</f>
        <v>-11923</v>
      </c>
      <c r="M116" s="1"/>
      <c r="N116" s="5">
        <f t="shared" ref="N116:N117" si="98">IF(H116=0,0,L116/H116)</f>
        <v>-0.765128665853815</v>
      </c>
      <c r="O116" s="13"/>
      <c r="P116" s="1">
        <f>SUM(OSRRefP22_24x_0)</f>
        <v>8312</v>
      </c>
      <c r="Q116" s="1"/>
      <c r="R116" s="5">
        <f t="shared" ref="R116:R117" si="99">IF(P$12=0,0,P116/P$12)</f>
        <v>2.5475957050209067E-2</v>
      </c>
      <c r="S116" s="1"/>
      <c r="T116" s="1">
        <f>SUM(OSRRefT22_24x_0)</f>
        <v>128053</v>
      </c>
      <c r="U116" s="1"/>
      <c r="V116" s="5">
        <f t="shared" ref="V116:V117" si="100">IF(T$12=0,0,T116/T$12)</f>
        <v>2.9705672858381649E-2</v>
      </c>
      <c r="W116" s="1"/>
      <c r="X116" s="1">
        <f t="shared" ref="X116:X117" si="101">+P116-T116</f>
        <v>-119741</v>
      </c>
      <c r="Y116" s="1"/>
      <c r="Z116" s="5">
        <f t="shared" ref="Z116:Z117" si="102">IF(T116=0,0,X116/T116)</f>
        <v>-0.93508937705481321</v>
      </c>
    </row>
    <row r="117" spans="1:26" s="24" customFormat="1" hidden="1" outlineLevel="2" x14ac:dyDescent="0.25">
      <c r="A117" s="26"/>
      <c r="B117" s="11" t="str">
        <f>CONCATENATE("          ", "6274", " - ", "UTILITIES")</f>
        <v xml:space="preserve">          6274 - UTILITIES</v>
      </c>
      <c r="C117" s="11"/>
      <c r="D117" s="6">
        <v>3660</v>
      </c>
      <c r="E117" s="2"/>
      <c r="F117" s="7">
        <f t="shared" si="95"/>
        <v>7.3227899829835172E-2</v>
      </c>
      <c r="G117" s="2"/>
      <c r="H117" s="6">
        <v>15583</v>
      </c>
      <c r="I117" s="2"/>
      <c r="J117" s="7">
        <f t="shared" si="96"/>
        <v>1.9404044670568867E-2</v>
      </c>
      <c r="K117" s="2"/>
      <c r="L117" s="6">
        <f t="shared" si="97"/>
        <v>-11923</v>
      </c>
      <c r="M117" s="2"/>
      <c r="N117" s="7">
        <f t="shared" si="98"/>
        <v>-0.765128665853815</v>
      </c>
      <c r="O117" s="11"/>
      <c r="P117" s="6">
        <v>8312</v>
      </c>
      <c r="Q117" s="2"/>
      <c r="R117" s="7">
        <f t="shared" si="99"/>
        <v>2.5475957050209067E-2</v>
      </c>
      <c r="S117" s="2"/>
      <c r="T117" s="6">
        <v>128053</v>
      </c>
      <c r="U117" s="2"/>
      <c r="V117" s="7">
        <f t="shared" si="100"/>
        <v>2.9705672858381649E-2</v>
      </c>
      <c r="W117" s="2"/>
      <c r="X117" s="6">
        <f t="shared" si="101"/>
        <v>-119741</v>
      </c>
      <c r="Y117" s="2"/>
      <c r="Z117" s="7">
        <f t="shared" si="102"/>
        <v>-0.93508937705481321</v>
      </c>
    </row>
    <row r="118" spans="1:26" s="52" customFormat="1" x14ac:dyDescent="0.25">
      <c r="A118" s="37"/>
      <c r="B118" s="37"/>
      <c r="C118" s="37"/>
      <c r="D118" s="1"/>
      <c r="E118" s="1"/>
      <c r="F118" s="5"/>
      <c r="G118" s="1"/>
      <c r="H118" s="1"/>
      <c r="I118" s="1"/>
      <c r="J118" s="5"/>
      <c r="K118" s="1"/>
      <c r="L118" s="1"/>
      <c r="M118" s="1"/>
      <c r="N118" s="5"/>
      <c r="O118" s="37"/>
      <c r="P118" s="1"/>
      <c r="Q118" s="1"/>
      <c r="R118" s="5"/>
      <c r="S118" s="1"/>
      <c r="T118" s="1"/>
      <c r="U118" s="1"/>
      <c r="V118" s="5"/>
      <c r="W118" s="1"/>
      <c r="X118" s="1"/>
      <c r="Y118" s="1"/>
      <c r="Z118" s="5"/>
    </row>
    <row r="119" spans="1:26" s="23" customFormat="1" collapsed="1" x14ac:dyDescent="0.25">
      <c r="A119" s="10"/>
      <c r="B119" s="28" t="s">
        <v>0</v>
      </c>
      <c r="C119" s="10"/>
      <c r="D119" s="4">
        <f>SUM(OSRRefD25x_0)</f>
        <v>1400.8799999999999</v>
      </c>
      <c r="E119" s="4"/>
      <c r="F119" s="12">
        <f t="shared" ref="F119:F122" si="103">IF(D$12=0,0,D119/D$12)</f>
        <v>2.8028278774212975E-2</v>
      </c>
      <c r="G119" s="4"/>
      <c r="H119" s="4">
        <f>SUM(OSRRefH25x_0)</f>
        <v>26842.02</v>
      </c>
      <c r="I119" s="4"/>
      <c r="J119" s="12">
        <f t="shared" ref="J119:J122" si="104">IF(H$12=0,0,H119/H$12)</f>
        <v>3.3423843619861573E-2</v>
      </c>
      <c r="K119" s="4"/>
      <c r="L119" s="4">
        <f t="shared" ref="L119:L122" si="105">+D119-H119</f>
        <v>-25441.14</v>
      </c>
      <c r="M119" s="4"/>
      <c r="N119" s="12">
        <f t="shared" ref="N119:N122" si="106">IF(H119=0,0,L119/H119)</f>
        <v>-0.9478101871617709</v>
      </c>
      <c r="O119" s="10"/>
      <c r="P119" s="4">
        <f>SUM(OSRRefP25x_0)</f>
        <v>17749.219999999998</v>
      </c>
      <c r="Q119" s="4"/>
      <c r="R119" s="12">
        <f t="shared" ref="R119:R122" si="107">IF(P$12=0,0,P119/P$12)</f>
        <v>5.4400669681750682E-2</v>
      </c>
      <c r="S119" s="4"/>
      <c r="T119" s="4">
        <f>SUM(OSRRefT25x_0)</f>
        <v>606786.93999999994</v>
      </c>
      <c r="U119" s="4"/>
      <c r="V119" s="12">
        <f t="shared" ref="V119:V122" si="108">IF(T$12=0,0,T119/T$12)</f>
        <v>0.14076214016367014</v>
      </c>
      <c r="W119" s="4"/>
      <c r="X119" s="4">
        <f t="shared" ref="X119:X122" si="109">+P119-T119</f>
        <v>-589037.72</v>
      </c>
      <c r="Y119" s="4"/>
      <c r="Z119" s="12">
        <f t="shared" ref="Z119:Z122" si="110">IF(T119=0,0,X119/T119)</f>
        <v>-0.97074884307826403</v>
      </c>
    </row>
    <row r="120" spans="1:26" s="24" customFormat="1" hidden="1" outlineLevel="1" x14ac:dyDescent="0.25">
      <c r="A120" s="44"/>
      <c r="B120" s="11" t="str">
        <f>CONCATENATE("          ", "9150", " - ", "MISC. INCOME")</f>
        <v xml:space="preserve">          9150 - MISC. INCOME</v>
      </c>
      <c r="C120" s="11"/>
      <c r="D120" s="2">
        <f>0</f>
        <v>0</v>
      </c>
      <c r="E120" s="2"/>
      <c r="F120" s="19">
        <f t="shared" si="103"/>
        <v>0</v>
      </c>
      <c r="G120" s="2"/>
      <c r="H120" s="2">
        <f>--17750.66</f>
        <v>17750.66</v>
      </c>
      <c r="I120" s="2"/>
      <c r="J120" s="19">
        <f t="shared" si="104"/>
        <v>2.210322784907142E-2</v>
      </c>
      <c r="K120" s="2"/>
      <c r="L120" s="2">
        <f t="shared" si="105"/>
        <v>-17750.66</v>
      </c>
      <c r="M120" s="2"/>
      <c r="N120" s="19">
        <f t="shared" si="106"/>
        <v>-1</v>
      </c>
      <c r="O120" s="11"/>
      <c r="P120" s="2">
        <f>--1728.05</f>
        <v>1728.05</v>
      </c>
      <c r="Q120" s="2"/>
      <c r="R120" s="19">
        <f t="shared" si="107"/>
        <v>5.2964061093134958E-3</v>
      </c>
      <c r="S120" s="2"/>
      <c r="T120" s="2">
        <f>--247882.52</f>
        <v>247882.52</v>
      </c>
      <c r="U120" s="2"/>
      <c r="V120" s="19">
        <f t="shared" si="108"/>
        <v>5.750366681320427E-2</v>
      </c>
      <c r="W120" s="2"/>
      <c r="X120" s="2">
        <f t="shared" si="109"/>
        <v>-246154.47</v>
      </c>
      <c r="Y120" s="2"/>
      <c r="Z120" s="19">
        <f t="shared" si="110"/>
        <v>-0.99302875410496882</v>
      </c>
    </row>
    <row r="121" spans="1:26" s="24" customFormat="1" hidden="1" outlineLevel="1" x14ac:dyDescent="0.25">
      <c r="A121" s="44"/>
      <c r="B121" s="11" t="str">
        <f>CONCATENATE("          ", "9160", " - ", "MISC. INCOME")</f>
        <v xml:space="preserve">          9160 - MISC. INCOME</v>
      </c>
      <c r="C121" s="11"/>
      <c r="D121" s="2">
        <f>--364.79</f>
        <v>364.79</v>
      </c>
      <c r="E121" s="2"/>
      <c r="F121" s="19">
        <f t="shared" si="103"/>
        <v>7.2985807592692827E-3</v>
      </c>
      <c r="G121" s="2"/>
      <c r="H121" s="2">
        <f>--7692.32</f>
        <v>7692.32</v>
      </c>
      <c r="I121" s="2"/>
      <c r="J121" s="19">
        <f t="shared" si="104"/>
        <v>9.5785228069248732E-3</v>
      </c>
      <c r="K121" s="2"/>
      <c r="L121" s="2">
        <f t="shared" si="105"/>
        <v>-7327.53</v>
      </c>
      <c r="M121" s="2"/>
      <c r="N121" s="19">
        <f t="shared" si="106"/>
        <v>-0.95257737587619862</v>
      </c>
      <c r="O121" s="11"/>
      <c r="P121" s="2">
        <f>--12882.96</f>
        <v>12882.96</v>
      </c>
      <c r="Q121" s="2"/>
      <c r="R121" s="19">
        <f t="shared" si="107"/>
        <v>3.9485771852690248E-2</v>
      </c>
      <c r="S121" s="2"/>
      <c r="T121" s="2">
        <f>--130089.32</f>
        <v>130089.32</v>
      </c>
      <c r="U121" s="2"/>
      <c r="V121" s="19">
        <f t="shared" si="108"/>
        <v>3.017805738474948E-2</v>
      </c>
      <c r="W121" s="2"/>
      <c r="X121" s="2">
        <f t="shared" si="109"/>
        <v>-117206.36000000002</v>
      </c>
      <c r="Y121" s="2"/>
      <c r="Z121" s="19">
        <f t="shared" si="110"/>
        <v>-0.90096835005364018</v>
      </c>
    </row>
    <row r="122" spans="1:26" s="24" customFormat="1" hidden="1" outlineLevel="1" x14ac:dyDescent="0.25">
      <c r="A122" s="44"/>
      <c r="B122" s="11" t="str">
        <f>CONCATENATE("          ", "9165", " - ", "OTHER INCOME")</f>
        <v xml:space="preserve">          9165 - OTHER INCOME</v>
      </c>
      <c r="C122" s="11"/>
      <c r="D122" s="2">
        <f>--1036.09</f>
        <v>1036.0899999999999</v>
      </c>
      <c r="E122" s="2"/>
      <c r="F122" s="19">
        <f t="shared" si="103"/>
        <v>2.0729698014943693E-2</v>
      </c>
      <c r="G122" s="2"/>
      <c r="H122" s="2">
        <f>--1399.04</f>
        <v>1399.04</v>
      </c>
      <c r="I122" s="2"/>
      <c r="J122" s="19">
        <f t="shared" si="104"/>
        <v>1.7420929638652805E-3</v>
      </c>
      <c r="K122" s="2"/>
      <c r="L122" s="2">
        <f t="shared" si="105"/>
        <v>-362.95000000000005</v>
      </c>
      <c r="M122" s="2"/>
      <c r="N122" s="19">
        <f t="shared" si="106"/>
        <v>-0.25942789341262584</v>
      </c>
      <c r="O122" s="11"/>
      <c r="P122" s="2">
        <f>--3138.21</f>
        <v>3138.21</v>
      </c>
      <c r="Q122" s="2"/>
      <c r="R122" s="19">
        <f t="shared" si="107"/>
        <v>9.6184917197469442E-3</v>
      </c>
      <c r="S122" s="2"/>
      <c r="T122" s="2">
        <f>--228815.1</f>
        <v>228815.1</v>
      </c>
      <c r="U122" s="2"/>
      <c r="V122" s="19">
        <f t="shared" si="108"/>
        <v>5.3080415965716408E-2</v>
      </c>
      <c r="W122" s="2"/>
      <c r="X122" s="2">
        <f t="shared" si="109"/>
        <v>-225676.89</v>
      </c>
      <c r="Y122" s="2"/>
      <c r="Z122" s="19">
        <f t="shared" si="110"/>
        <v>-0.98628495234798752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10"/>
      <c r="B124" s="29" t="s">
        <v>3</v>
      </c>
      <c r="C124" s="29"/>
      <c r="D124" s="22">
        <f>+D28-D30+D119</f>
        <v>-51668.670000000006</v>
      </c>
      <c r="E124" s="14"/>
      <c r="F124" s="20">
        <f>IF(D$12=0,0,D124/D$12)</f>
        <v>-1.0337672653280903</v>
      </c>
      <c r="G124" s="14"/>
      <c r="H124" s="22">
        <f>+H28-H30+H119</f>
        <v>10845.570000000047</v>
      </c>
      <c r="I124" s="14"/>
      <c r="J124" s="20">
        <f>IF(H$12=0,0,H124/H$12)</f>
        <v>1.350496853993342E-2</v>
      </c>
      <c r="K124" s="16"/>
      <c r="L124" s="22">
        <f>+D124-H124</f>
        <v>-62514.240000000049</v>
      </c>
      <c r="M124" s="16"/>
      <c r="N124" s="20">
        <f>IF(H124=0,0,L124/H124)</f>
        <v>-5.7640345320715998</v>
      </c>
      <c r="O124" s="28"/>
      <c r="P124" s="22">
        <f>+P28-P30+P119</f>
        <v>-565959.37000000023</v>
      </c>
      <c r="Q124" s="14"/>
      <c r="R124" s="20">
        <f>IF(P$12=0,0,P124/P$12)</f>
        <v>-1.7346434795817358</v>
      </c>
      <c r="S124" s="14"/>
      <c r="T124" s="22">
        <f>+T28-T30+T119</f>
        <v>-452833.75000000186</v>
      </c>
      <c r="U124" s="14"/>
      <c r="V124" s="20">
        <f>IF(T$12=0,0,T124/T$12)</f>
        <v>-0.10504815378580928</v>
      </c>
      <c r="W124" s="16"/>
      <c r="X124" s="22">
        <f>+P124-T124</f>
        <v>-113125.61999999837</v>
      </c>
      <c r="Y124" s="16"/>
      <c r="Z124" s="20">
        <f>IF(T124=0,0,X124/T124)</f>
        <v>0.24981711279249372</v>
      </c>
    </row>
    <row r="125" spans="1:26" x14ac:dyDescent="0.25">
      <c r="A125" s="9"/>
      <c r="B125" s="10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25">
      <c r="A126" s="51"/>
      <c r="B126" s="10" t="s">
        <v>13</v>
      </c>
      <c r="C126" s="10"/>
      <c r="D126" s="4">
        <v>14459.32</v>
      </c>
      <c r="E126" s="4"/>
      <c r="F126" s="12">
        <f>IF(D$12=0,0,D126/D$12)</f>
        <v>0.28929662201298695</v>
      </c>
      <c r="G126" s="4"/>
      <c r="H126" s="4">
        <v>73550.439999999988</v>
      </c>
      <c r="I126" s="4"/>
      <c r="J126" s="12">
        <f>IF(H$12=0,0,H126/H$12)</f>
        <v>9.1585447173201232E-2</v>
      </c>
      <c r="K126" s="4"/>
      <c r="L126" s="4">
        <f>+D126-H126</f>
        <v>-59091.119999999988</v>
      </c>
      <c r="M126" s="4"/>
      <c r="N126" s="12">
        <f>IF(H126=0,0,L126/H126)</f>
        <v>-0.80340946974620409</v>
      </c>
      <c r="O126" s="10"/>
      <c r="P126" s="4">
        <v>64612.82</v>
      </c>
      <c r="Q126" s="4"/>
      <c r="R126" s="12">
        <f>IF(P$12=0,0,P126/P$12)</f>
        <v>0.19803578286969314</v>
      </c>
      <c r="S126" s="4"/>
      <c r="T126" s="4">
        <v>439348.18000000005</v>
      </c>
      <c r="U126" s="4"/>
      <c r="V126" s="12">
        <f>IF(T$12=0,0,T126/T$12)</f>
        <v>0.10191977779517369</v>
      </c>
      <c r="W126" s="4"/>
      <c r="X126" s="4">
        <f>+P126-T126</f>
        <v>-374735.36000000004</v>
      </c>
      <c r="Y126" s="4"/>
      <c r="Z126" s="12">
        <f>IF(T126=0,0,X126/T126)</f>
        <v>-0.85293481812078975</v>
      </c>
    </row>
    <row r="127" spans="1:26" x14ac:dyDescent="0.25">
      <c r="A127" s="9"/>
      <c r="B127" s="10"/>
      <c r="C127" s="10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0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9" t="s">
        <v>4</v>
      </c>
      <c r="C128" s="29"/>
      <c r="D128" s="35">
        <f>+D124-D126</f>
        <v>-66127.990000000005</v>
      </c>
      <c r="E128" s="14"/>
      <c r="F128" s="36">
        <f>IF(D$12=0,0,D128/D$12)</f>
        <v>-1.3230638873410772</v>
      </c>
      <c r="G128" s="14"/>
      <c r="H128" s="35">
        <f>+H124-H126</f>
        <v>-62704.869999999937</v>
      </c>
      <c r="I128" s="14"/>
      <c r="J128" s="36">
        <f>IF(H$12=0,0,H128/H$12)</f>
        <v>-7.8080478633267808E-2</v>
      </c>
      <c r="K128" s="16"/>
      <c r="L128" s="35">
        <f>D128-H128</f>
        <v>-3423.1200000000681</v>
      </c>
      <c r="M128" s="16"/>
      <c r="N128" s="36">
        <f>IF(H128=0,0,L128/H128)</f>
        <v>5.4590975150735049E-2</v>
      </c>
      <c r="O128" s="28"/>
      <c r="P128" s="35">
        <f>+P124-P126</f>
        <v>-630572.19000000018</v>
      </c>
      <c r="Q128" s="14"/>
      <c r="R128" s="36">
        <f>IF(P$12=0,0,P128/P$12)</f>
        <v>-1.9326792624514286</v>
      </c>
      <c r="S128" s="14"/>
      <c r="T128" s="35">
        <f>+T124-T126</f>
        <v>-892181.93000000191</v>
      </c>
      <c r="U128" s="14"/>
      <c r="V128" s="36">
        <f>IF(T$12=0,0,T128/T$12)</f>
        <v>-0.20696793158098298</v>
      </c>
      <c r="W128" s="16"/>
      <c r="X128" s="35">
        <f>P128-T128</f>
        <v>261609.74000000174</v>
      </c>
      <c r="Y128" s="16"/>
      <c r="Z128" s="36">
        <f>IF(T128=0,0,X128/T128)</f>
        <v>-0.29322465654510754</v>
      </c>
    </row>
    <row r="129" spans="1:26" ht="15.75" thickTop="1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9" t="s">
        <v>5</v>
      </c>
      <c r="C131" s="29"/>
      <c r="D131" s="31">
        <f>SUM(D128:D130)</f>
        <v>-66127.990000000005</v>
      </c>
      <c r="E131" s="14"/>
      <c r="F131" s="33">
        <f>IF(D$12=0,0,D131/D$12)</f>
        <v>-1.3230638873410772</v>
      </c>
      <c r="G131" s="14"/>
      <c r="H131" s="31">
        <f>SUM(H128:H130)</f>
        <v>-62704.869999999937</v>
      </c>
      <c r="I131" s="14"/>
      <c r="J131" s="33">
        <f>IF(H$12=0,0,H131/H$12)</f>
        <v>-7.8080478633267808E-2</v>
      </c>
      <c r="K131" s="16"/>
      <c r="L131" s="31">
        <f>+D131-H131</f>
        <v>-3423.1200000000681</v>
      </c>
      <c r="M131" s="16"/>
      <c r="N131" s="33">
        <f>IF(H131=0,0,L131/H131)</f>
        <v>5.4590975150735049E-2</v>
      </c>
      <c r="O131" s="28"/>
      <c r="P131" s="31">
        <f>SUM(P128:P130)</f>
        <v>-630572.19000000018</v>
      </c>
      <c r="Q131" s="14"/>
      <c r="R131" s="33">
        <f>IF(P$12=0,0,P131/P$12)</f>
        <v>-1.9326792624514286</v>
      </c>
      <c r="S131" s="14"/>
      <c r="T131" s="31">
        <f>SUM(T128:T130)</f>
        <v>-892181.93000000191</v>
      </c>
      <c r="U131" s="14"/>
      <c r="V131" s="33">
        <f>IF(T$12=0,0,T131/T$12)</f>
        <v>-0.20696793158098298</v>
      </c>
      <c r="W131" s="16"/>
      <c r="X131" s="31">
        <f>+P131-T131</f>
        <v>261609.74000000174</v>
      </c>
      <c r="Y131" s="16"/>
      <c r="Z131" s="33">
        <f>IF(T131=0,0,X131/T131)</f>
        <v>-0.29322465654510754</v>
      </c>
    </row>
    <row r="132" spans="1:26" ht="15.75" thickTop="1" x14ac:dyDescent="0.25">
      <c r="A132" s="9"/>
      <c r="C132" s="9"/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  <row r="133" spans="1:26" x14ac:dyDescent="0.25">
      <c r="A133" s="9"/>
      <c r="B133" s="56">
        <v>44267.667955937497</v>
      </c>
      <c r="D133" s="18"/>
      <c r="E133" s="18"/>
      <c r="G133" s="18"/>
      <c r="H133" s="18"/>
      <c r="I133" s="18"/>
      <c r="J133" s="43"/>
      <c r="K133" s="18"/>
      <c r="L133" s="18"/>
      <c r="M133" s="18"/>
      <c r="P133" s="18"/>
      <c r="Q133" s="18"/>
      <c r="R133" s="43"/>
      <c r="S133" s="18"/>
      <c r="T133" s="18"/>
      <c r="U133" s="18"/>
      <c r="V133" s="43"/>
      <c r="W133" s="18"/>
      <c r="X133" s="18"/>
    </row>
    <row r="134" spans="1:26" x14ac:dyDescent="0.25">
      <c r="A134" s="9"/>
      <c r="B134" s="54" t="s">
        <v>313</v>
      </c>
      <c r="D134" s="18"/>
      <c r="E134" s="18"/>
      <c r="G134" s="18"/>
      <c r="H134" s="18"/>
      <c r="I134" s="18"/>
      <c r="J134" s="43"/>
      <c r="K134" s="18"/>
      <c r="L134" s="18"/>
      <c r="M134" s="18"/>
      <c r="P134" s="18"/>
      <c r="Q134" s="18"/>
      <c r="R134" s="43"/>
      <c r="S134" s="18"/>
      <c r="T134" s="18"/>
      <c r="U134" s="18"/>
      <c r="V134" s="43"/>
      <c r="W134" s="18"/>
      <c r="X134" s="18"/>
    </row>
    <row r="135" spans="1:26" x14ac:dyDescent="0.25">
      <c r="A135" s="9"/>
      <c r="B135" s="58"/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  <row r="136" spans="1:26" x14ac:dyDescent="0.25">
      <c r="D136" s="18"/>
      <c r="E136" s="18"/>
      <c r="G136" s="18"/>
      <c r="H136" s="18"/>
      <c r="I136" s="18"/>
      <c r="J136" s="43"/>
      <c r="K136" s="18"/>
      <c r="L136" s="18"/>
      <c r="M136" s="18"/>
      <c r="P136" s="18"/>
      <c r="Q136" s="18"/>
      <c r="R136" s="43"/>
      <c r="S136" s="18"/>
      <c r="T136" s="18"/>
      <c r="U136" s="18"/>
      <c r="V136" s="43"/>
      <c r="W136" s="18"/>
      <c r="X136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","405", " - ", "Library Starbucks")</f>
        <v>Department 405 - Library Starbucks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117139.45000000001</v>
      </c>
      <c r="I12" s="4"/>
      <c r="J12" s="12"/>
      <c r="K12" s="4"/>
      <c r="L12" s="4">
        <f t="shared" ref="L12:L14" si="0">+D12-H12</f>
        <v>-117139.45000000001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673922.55999999994</v>
      </c>
      <c r="U12" s="4"/>
      <c r="V12" s="12"/>
      <c r="W12" s="4"/>
      <c r="X12" s="4">
        <f t="shared" ref="X12:X14" si="2">+P12-T12</f>
        <v>-673922.55999999994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--20359.88</f>
        <v>20359.88</v>
      </c>
      <c r="I13" s="2"/>
      <c r="J13" s="19"/>
      <c r="K13" s="2"/>
      <c r="L13" s="2">
        <f t="shared" si="0"/>
        <v>-20359.88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--141126.23</f>
        <v>141126.23000000001</v>
      </c>
      <c r="U13" s="2"/>
      <c r="V13" s="19"/>
      <c r="W13" s="2"/>
      <c r="X13" s="2">
        <f t="shared" si="2"/>
        <v>-141126.23000000001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--96779.57</f>
        <v>96779.57</v>
      </c>
      <c r="I14" s="2"/>
      <c r="J14" s="19"/>
      <c r="K14" s="2"/>
      <c r="L14" s="2">
        <f t="shared" si="0"/>
        <v>-96779.57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--532796.33</f>
        <v>532796.32999999996</v>
      </c>
      <c r="U14" s="2"/>
      <c r="V14" s="19"/>
      <c r="W14" s="2"/>
      <c r="X14" s="2">
        <f t="shared" si="2"/>
        <v>-532796.32999999996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-2369.5500000000002</v>
      </c>
      <c r="E16" s="4"/>
      <c r="F16" s="12">
        <f t="shared" ref="F16:F18" si="6">IF(D$12=0,0,D16/D$12)</f>
        <v>0</v>
      </c>
      <c r="G16" s="4"/>
      <c r="H16" s="4">
        <f>SUM(OSRRefH16x_0)</f>
        <v>43155.87</v>
      </c>
      <c r="I16" s="4"/>
      <c r="J16" s="12">
        <f t="shared" ref="J16:J18" si="7">IF(H$12=0,0,H16/H$12)</f>
        <v>0.36841448376272895</v>
      </c>
      <c r="K16" s="4"/>
      <c r="L16" s="4">
        <f t="shared" ref="L16:L18" si="8">+D16-H16</f>
        <v>-45525.420000000006</v>
      </c>
      <c r="M16" s="4"/>
      <c r="N16" s="12">
        <f t="shared" ref="N16:N18" si="9">IF(H16=0,0,L16/H16)</f>
        <v>-1.0549067832487216</v>
      </c>
      <c r="O16" s="10"/>
      <c r="P16" s="4">
        <f>SUM(OSRRefP16x_0)</f>
        <v>-2369.5500000000002</v>
      </c>
      <c r="Q16" s="4"/>
      <c r="R16" s="12">
        <f t="shared" ref="R16:R18" si="10">IF(P$12=0,0,P16/P$12)</f>
        <v>0</v>
      </c>
      <c r="S16" s="4"/>
      <c r="T16" s="4">
        <f>SUM(OSRRefT16x_0)</f>
        <v>263874.06</v>
      </c>
      <c r="U16" s="4"/>
      <c r="V16" s="12">
        <f t="shared" ref="V16:V18" si="11">IF(T$12=0,0,T16/T$12)</f>
        <v>0.39154952758963879</v>
      </c>
      <c r="W16" s="4"/>
      <c r="X16" s="4">
        <f t="shared" ref="X16:X18" si="12">+P16-T16</f>
        <v>-266243.61</v>
      </c>
      <c r="Y16" s="4"/>
      <c r="Z16" s="12">
        <f t="shared" ref="Z16:Z18" si="13">IF(T16=0,0,X16/T16)</f>
        <v>-1.0089798519793873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-2369.5500000000002</v>
      </c>
      <c r="E17" s="2"/>
      <c r="F17" s="19">
        <f t="shared" si="6"/>
        <v>0</v>
      </c>
      <c r="G17" s="2"/>
      <c r="H17" s="2">
        <v>41953.87</v>
      </c>
      <c r="I17" s="2"/>
      <c r="J17" s="19">
        <f t="shared" si="7"/>
        <v>0.35815320970006259</v>
      </c>
      <c r="K17" s="2"/>
      <c r="L17" s="2">
        <f t="shared" si="8"/>
        <v>-44323.420000000006</v>
      </c>
      <c r="M17" s="2"/>
      <c r="N17" s="19">
        <f t="shared" si="9"/>
        <v>-1.0564798908896844</v>
      </c>
      <c r="O17" s="11"/>
      <c r="P17" s="2">
        <v>-2369.5500000000002</v>
      </c>
      <c r="Q17" s="2"/>
      <c r="R17" s="19">
        <f t="shared" si="10"/>
        <v>0</v>
      </c>
      <c r="S17" s="2"/>
      <c r="T17" s="2">
        <v>263522.06</v>
      </c>
      <c r="U17" s="2"/>
      <c r="V17" s="19">
        <f t="shared" si="11"/>
        <v>0.39102721238475829</v>
      </c>
      <c r="W17" s="2"/>
      <c r="X17" s="2">
        <f t="shared" si="12"/>
        <v>-265891.61</v>
      </c>
      <c r="Y17" s="2"/>
      <c r="Z17" s="19">
        <f t="shared" si="13"/>
        <v>-1.0089918468305841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1202</v>
      </c>
      <c r="I18" s="2"/>
      <c r="J18" s="19">
        <f t="shared" si="7"/>
        <v>1.0261274062666335E-2</v>
      </c>
      <c r="K18" s="2"/>
      <c r="L18" s="2">
        <f t="shared" si="8"/>
        <v>-1202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352</v>
      </c>
      <c r="U18" s="2"/>
      <c r="V18" s="19">
        <f t="shared" si="11"/>
        <v>5.2231520488051335E-4</v>
      </c>
      <c r="W18" s="2"/>
      <c r="X18" s="2">
        <f t="shared" si="12"/>
        <v>-352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2">
        <f>D12-D16</f>
        <v>2369.5500000000002</v>
      </c>
      <c r="E20" s="14"/>
      <c r="F20" s="20">
        <f>IF(D$12=0,0,D20/D$12)</f>
        <v>0</v>
      </c>
      <c r="G20" s="14"/>
      <c r="H20" s="22">
        <f>H12-H16</f>
        <v>73983.580000000016</v>
      </c>
      <c r="I20" s="14"/>
      <c r="J20" s="20">
        <f>IF(H$12=0,0,H20/H$12)</f>
        <v>0.63158551623727111</v>
      </c>
      <c r="K20" s="16"/>
      <c r="L20" s="22">
        <f>+D20-H20</f>
        <v>-71614.030000000013</v>
      </c>
      <c r="M20" s="16"/>
      <c r="N20" s="20">
        <f>IF(H20=0,0,L20/H20)</f>
        <v>-0.96797194728884428</v>
      </c>
      <c r="O20" s="28"/>
      <c r="P20" s="22">
        <f>P12-P16</f>
        <v>2369.5500000000002</v>
      </c>
      <c r="Q20" s="14"/>
      <c r="R20" s="20">
        <f>IF(P$12=0,0,P20/P$12)</f>
        <v>0</v>
      </c>
      <c r="S20" s="14"/>
      <c r="T20" s="22">
        <f>T12-T16</f>
        <v>410048.49999999994</v>
      </c>
      <c r="U20" s="14"/>
      <c r="V20" s="20">
        <f>IF(T$12=0,0,T20/T$12)</f>
        <v>0.60845047241036121</v>
      </c>
      <c r="W20" s="16"/>
      <c r="X20" s="22">
        <f>+P20-T20</f>
        <v>-407678.94999999995</v>
      </c>
      <c r="Y20" s="16"/>
      <c r="Z20" s="20">
        <f>IF(T20=0,0,X20/T20)</f>
        <v>-0.99422129333481291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1">
        <f>SUM(OSRRefD22x_0)</f>
        <v>5696.01</v>
      </c>
      <c r="E22" s="21"/>
      <c r="F22" s="32">
        <f t="shared" ref="F22:F31" si="14">IF(D$12=0,0,D22/D$12)</f>
        <v>0</v>
      </c>
      <c r="G22" s="21"/>
      <c r="H22" s="21">
        <f>SUM(OSRRefH22x_0)</f>
        <v>58266.729999999996</v>
      </c>
      <c r="I22" s="21"/>
      <c r="J22" s="32">
        <f t="shared" ref="J22:J31" si="15">IF(H$12=0,0,H22/H$12)</f>
        <v>0.49741338208434471</v>
      </c>
      <c r="K22" s="4"/>
      <c r="L22" s="21">
        <f t="shared" ref="L22:L31" si="16">+D22-H22</f>
        <v>-52570.719999999994</v>
      </c>
      <c r="M22" s="4"/>
      <c r="N22" s="32">
        <f t="shared" ref="N22:N31" si="17">IF(H22=0,0,L22/H22)</f>
        <v>-0.90224249756250263</v>
      </c>
      <c r="O22" s="10"/>
      <c r="P22" s="21">
        <f>SUM(OSRRefP22x_0)</f>
        <v>56582.060000000005</v>
      </c>
      <c r="Q22" s="21"/>
      <c r="R22" s="32">
        <f t="shared" ref="R22:R31" si="18">IF(P$12=0,0,P22/P$12)</f>
        <v>0</v>
      </c>
      <c r="S22" s="21"/>
      <c r="T22" s="21">
        <f>SUM(OSRRefT22x_0)</f>
        <v>447345.58999999997</v>
      </c>
      <c r="U22" s="21"/>
      <c r="V22" s="32">
        <f t="shared" ref="V22:V31" si="19">IF(T$12=0,0,T22/T$12)</f>
        <v>0.66379375992398892</v>
      </c>
      <c r="W22" s="4"/>
      <c r="X22" s="21">
        <f t="shared" ref="X22:X31" si="20">+P22-T22</f>
        <v>-390763.52999999997</v>
      </c>
      <c r="Y22" s="4"/>
      <c r="Z22" s="32">
        <f t="shared" ref="Z22:Z31" si="21">IF(T22=0,0,X22/T22)</f>
        <v>-0.87351599911826561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4042.4700000000003</v>
      </c>
      <c r="I23" s="1"/>
      <c r="J23" s="5">
        <f t="shared" si="15"/>
        <v>3.4509893976794326E-2</v>
      </c>
      <c r="K23" s="1"/>
      <c r="L23" s="1">
        <f t="shared" si="16"/>
        <v>-4042.4700000000003</v>
      </c>
      <c r="M23" s="1"/>
      <c r="N23" s="5">
        <f t="shared" si="17"/>
        <v>-1</v>
      </c>
      <c r="O23" s="13"/>
      <c r="P23" s="1">
        <f>SUM(OSRRefP22_0x_0)</f>
        <v>0.83</v>
      </c>
      <c r="Q23" s="1"/>
      <c r="R23" s="5">
        <f t="shared" si="18"/>
        <v>0</v>
      </c>
      <c r="S23" s="1"/>
      <c r="T23" s="1">
        <f>SUM(OSRRefT22_0x_0)</f>
        <v>40310.19</v>
      </c>
      <c r="U23" s="1"/>
      <c r="V23" s="5">
        <f t="shared" si="19"/>
        <v>5.9814275990404606E-2</v>
      </c>
      <c r="W23" s="1"/>
      <c r="X23" s="1">
        <f t="shared" si="20"/>
        <v>-40309.360000000001</v>
      </c>
      <c r="Y23" s="1"/>
      <c r="Z23" s="5">
        <f t="shared" si="21"/>
        <v>-0.99997940967283949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592.91999999999996</v>
      </c>
      <c r="I24" s="2"/>
      <c r="J24" s="7">
        <f t="shared" si="15"/>
        <v>5.0616594153378722E-3</v>
      </c>
      <c r="K24" s="2"/>
      <c r="L24" s="6">
        <f t="shared" si="16"/>
        <v>-592.91999999999996</v>
      </c>
      <c r="M24" s="2"/>
      <c r="N24" s="7">
        <f t="shared" si="17"/>
        <v>-1</v>
      </c>
      <c r="O24" s="11"/>
      <c r="P24" s="6">
        <v>0.83</v>
      </c>
      <c r="Q24" s="2"/>
      <c r="R24" s="7">
        <f t="shared" si="18"/>
        <v>0</v>
      </c>
      <c r="S24" s="2"/>
      <c r="T24" s="6">
        <v>7924.33</v>
      </c>
      <c r="U24" s="2"/>
      <c r="V24" s="7">
        <f t="shared" si="19"/>
        <v>1.1758517180371585E-2</v>
      </c>
      <c r="W24" s="2"/>
      <c r="X24" s="6">
        <f t="shared" si="20"/>
        <v>-7923.5</v>
      </c>
      <c r="Y24" s="2"/>
      <c r="Z24" s="7">
        <f t="shared" si="21"/>
        <v>-0.99989525928375023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1175.5899999999999</v>
      </c>
      <c r="I25" s="2"/>
      <c r="J25" s="7">
        <f t="shared" si="15"/>
        <v>1.0035816285632208E-2</v>
      </c>
      <c r="K25" s="2"/>
      <c r="L25" s="6">
        <f t="shared" si="16"/>
        <v>-1175.5899999999999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6998.68</v>
      </c>
      <c r="U25" s="2"/>
      <c r="V25" s="7">
        <f t="shared" si="19"/>
        <v>1.0384991415037362E-2</v>
      </c>
      <c r="W25" s="2"/>
      <c r="X25" s="6">
        <f t="shared" si="20"/>
        <v>-6998.68</v>
      </c>
      <c r="Y25" s="2"/>
      <c r="Z25" s="7">
        <f t="shared" si="21"/>
        <v>-1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416.44</v>
      </c>
      <c r="I26" s="2"/>
      <c r="J26" s="7">
        <f t="shared" si="15"/>
        <v>3.5550790105297572E-3</v>
      </c>
      <c r="K26" s="2"/>
      <c r="L26" s="6">
        <f t="shared" si="16"/>
        <v>-416.44</v>
      </c>
      <c r="M26" s="2"/>
      <c r="N26" s="7">
        <f t="shared" si="17"/>
        <v>-1</v>
      </c>
      <c r="O26" s="11"/>
      <c r="P26" s="6"/>
      <c r="Q26" s="2"/>
      <c r="R26" s="7">
        <f t="shared" si="18"/>
        <v>0</v>
      </c>
      <c r="S26" s="2"/>
      <c r="T26" s="6">
        <v>9752.8799999999992</v>
      </c>
      <c r="U26" s="2"/>
      <c r="V26" s="7">
        <f t="shared" si="19"/>
        <v>1.4471811123224603E-2</v>
      </c>
      <c r="W26" s="2"/>
      <c r="X26" s="6">
        <f t="shared" si="20"/>
        <v>-9752.8799999999992</v>
      </c>
      <c r="Y26" s="2"/>
      <c r="Z26" s="7">
        <f t="shared" si="21"/>
        <v>-1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78.78</v>
      </c>
      <c r="I27" s="2"/>
      <c r="J27" s="7">
        <f t="shared" si="15"/>
        <v>6.7253175595412132E-4</v>
      </c>
      <c r="K27" s="2"/>
      <c r="L27" s="6">
        <f t="shared" si="16"/>
        <v>-78.78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573.11</v>
      </c>
      <c r="U27" s="2"/>
      <c r="V27" s="7">
        <f t="shared" si="19"/>
        <v>8.5040928144622439E-4</v>
      </c>
      <c r="W27" s="2"/>
      <c r="X27" s="6">
        <f t="shared" si="20"/>
        <v>-573.11</v>
      </c>
      <c r="Y27" s="2"/>
      <c r="Z27" s="7">
        <f t="shared" si="21"/>
        <v>-1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541.9</v>
      </c>
      <c r="I28" s="2"/>
      <c r="J28" s="7">
        <f t="shared" si="15"/>
        <v>4.6261101618626337E-3</v>
      </c>
      <c r="K28" s="2"/>
      <c r="L28" s="6">
        <f t="shared" si="16"/>
        <v>-541.9</v>
      </c>
      <c r="M28" s="2"/>
      <c r="N28" s="7">
        <f t="shared" si="17"/>
        <v>-1</v>
      </c>
      <c r="O28" s="11"/>
      <c r="P28" s="6"/>
      <c r="Q28" s="2"/>
      <c r="R28" s="7">
        <f t="shared" si="18"/>
        <v>0</v>
      </c>
      <c r="S28" s="2"/>
      <c r="T28" s="6">
        <v>5532.33</v>
      </c>
      <c r="U28" s="2"/>
      <c r="V28" s="7">
        <f t="shared" si="19"/>
        <v>8.2091479472062787E-3</v>
      </c>
      <c r="W28" s="2"/>
      <c r="X28" s="6">
        <f t="shared" si="20"/>
        <v>-5532.33</v>
      </c>
      <c r="Y28" s="2"/>
      <c r="Z28" s="7">
        <f t="shared" si="21"/>
        <v>-1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410.8</v>
      </c>
      <c r="I29" s="2"/>
      <c r="J29" s="7">
        <f t="shared" si="15"/>
        <v>3.5069312686716557E-3</v>
      </c>
      <c r="K29" s="2"/>
      <c r="L29" s="6">
        <f t="shared" si="16"/>
        <v>-410.8</v>
      </c>
      <c r="M29" s="2"/>
      <c r="N29" s="7">
        <f t="shared" si="17"/>
        <v>-1</v>
      </c>
      <c r="O29" s="11"/>
      <c r="P29" s="6"/>
      <c r="Q29" s="2"/>
      <c r="R29" s="7">
        <f t="shared" si="18"/>
        <v>0</v>
      </c>
      <c r="S29" s="2"/>
      <c r="T29" s="6">
        <v>3285.38</v>
      </c>
      <c r="U29" s="2"/>
      <c r="V29" s="7">
        <f t="shared" si="19"/>
        <v>4.8750111585521049E-3</v>
      </c>
      <c r="W29" s="2"/>
      <c r="X29" s="6">
        <f t="shared" si="20"/>
        <v>-3285.38</v>
      </c>
      <c r="Y29" s="2"/>
      <c r="Z29" s="7">
        <f t="shared" si="21"/>
        <v>-1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492.14</v>
      </c>
      <c r="I30" s="2"/>
      <c r="J30" s="7">
        <f t="shared" si="15"/>
        <v>4.2013173188025039E-3</v>
      </c>
      <c r="K30" s="2"/>
      <c r="L30" s="6">
        <f t="shared" si="16"/>
        <v>-492.14</v>
      </c>
      <c r="M30" s="2"/>
      <c r="N30" s="7">
        <f t="shared" si="17"/>
        <v>-1</v>
      </c>
      <c r="O30" s="11"/>
      <c r="P30" s="6"/>
      <c r="Q30" s="2"/>
      <c r="R30" s="7">
        <f t="shared" si="18"/>
        <v>0</v>
      </c>
      <c r="S30" s="2"/>
      <c r="T30" s="6">
        <v>3935.94</v>
      </c>
      <c r="U30" s="2"/>
      <c r="V30" s="7">
        <f t="shared" si="19"/>
        <v>5.8403446235721808E-3</v>
      </c>
      <c r="W30" s="2"/>
      <c r="X30" s="6">
        <f t="shared" si="20"/>
        <v>-3935.94</v>
      </c>
      <c r="Y30" s="2"/>
      <c r="Z30" s="7">
        <f t="shared" si="21"/>
        <v>-1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333.9</v>
      </c>
      <c r="I31" s="2"/>
      <c r="J31" s="7">
        <f t="shared" si="15"/>
        <v>2.8504487600035681E-3</v>
      </c>
      <c r="K31" s="2"/>
      <c r="L31" s="6">
        <f t="shared" si="16"/>
        <v>-333.9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2307.54</v>
      </c>
      <c r="U31" s="2"/>
      <c r="V31" s="7">
        <f t="shared" si="19"/>
        <v>3.4240432609942604E-3</v>
      </c>
      <c r="W31" s="2"/>
      <c r="X31" s="6">
        <f t="shared" si="20"/>
        <v>-2307.54</v>
      </c>
      <c r="Y31" s="2"/>
      <c r="Z31" s="7">
        <f t="shared" si="21"/>
        <v>-1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6" si="22">IF(D$12=0,0,D32/D$12)</f>
        <v>0</v>
      </c>
      <c r="G32" s="1"/>
      <c r="H32" s="1">
        <f>SUM(OSRRefH22_1x_0)</f>
        <v>29272.880000000001</v>
      </c>
      <c r="I32" s="1"/>
      <c r="J32" s="5">
        <f t="shared" ref="J32:J36" si="23">IF(H$12=0,0,H32/H$12)</f>
        <v>0.24989770739063569</v>
      </c>
      <c r="K32" s="1"/>
      <c r="L32" s="1">
        <f t="shared" ref="L32:L36" si="24">+D32-H32</f>
        <v>-29272.880000000001</v>
      </c>
      <c r="M32" s="1"/>
      <c r="N32" s="5">
        <f t="shared" ref="N32:N36" si="25">IF(H32=0,0,L32/H32)</f>
        <v>-1</v>
      </c>
      <c r="O32" s="13"/>
      <c r="P32" s="1">
        <f>SUM(OSRRefP22_1x_0)</f>
        <v>0</v>
      </c>
      <c r="Q32" s="1"/>
      <c r="R32" s="5">
        <f t="shared" ref="R32:R36" si="26">IF(P$12=0,0,P32/P$12)</f>
        <v>0</v>
      </c>
      <c r="S32" s="1"/>
      <c r="T32" s="1">
        <f>SUM(OSRRefT22_1x_0)</f>
        <v>212567.19</v>
      </c>
      <c r="U32" s="1"/>
      <c r="V32" s="5">
        <f t="shared" ref="V32:V36" si="27">IF(T$12=0,0,T32/T$12)</f>
        <v>0.31541782782876421</v>
      </c>
      <c r="W32" s="1"/>
      <c r="X32" s="1">
        <f t="shared" ref="X32:X36" si="28">+P32-T32</f>
        <v>-212567.19</v>
      </c>
      <c r="Y32" s="1"/>
      <c r="Z32" s="5">
        <f t="shared" ref="Z32:Z36" si="29">IF(T32=0,0,X32/T32)</f>
        <v>-1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8486.08</v>
      </c>
      <c r="I33" s="2"/>
      <c r="J33" s="7">
        <f t="shared" si="23"/>
        <v>7.24442534090778E-2</v>
      </c>
      <c r="K33" s="2"/>
      <c r="L33" s="6">
        <f t="shared" si="24"/>
        <v>-8486.08</v>
      </c>
      <c r="M33" s="2"/>
      <c r="N33" s="7">
        <f t="shared" si="25"/>
        <v>-1</v>
      </c>
      <c r="O33" s="11"/>
      <c r="P33" s="6"/>
      <c r="Q33" s="2"/>
      <c r="R33" s="7">
        <f t="shared" si="26"/>
        <v>0</v>
      </c>
      <c r="S33" s="2"/>
      <c r="T33" s="6">
        <v>84878.86</v>
      </c>
      <c r="U33" s="2"/>
      <c r="V33" s="7">
        <f t="shared" si="27"/>
        <v>0.12594749758785342</v>
      </c>
      <c r="W33" s="2"/>
      <c r="X33" s="6">
        <f t="shared" si="28"/>
        <v>-84878.86</v>
      </c>
      <c r="Y33" s="2"/>
      <c r="Z33" s="7">
        <f t="shared" si="29"/>
        <v>-1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2"/>
        <v>0</v>
      </c>
      <c r="G34" s="2"/>
      <c r="H34" s="6"/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/>
      <c r="Q34" s="2"/>
      <c r="R34" s="7">
        <f t="shared" si="26"/>
        <v>0</v>
      </c>
      <c r="S34" s="2"/>
      <c r="T34" s="6">
        <v>45.5</v>
      </c>
      <c r="U34" s="2"/>
      <c r="V34" s="7">
        <f t="shared" si="27"/>
        <v>6.7515175630861803E-5</v>
      </c>
      <c r="W34" s="2"/>
      <c r="X34" s="6">
        <f t="shared" si="28"/>
        <v>-45.5</v>
      </c>
      <c r="Y34" s="2"/>
      <c r="Z34" s="7">
        <f t="shared" si="29"/>
        <v>-1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22"/>
        <v>0</v>
      </c>
      <c r="G35" s="2"/>
      <c r="H35" s="6">
        <v>19767.86</v>
      </c>
      <c r="I35" s="2"/>
      <c r="J35" s="7">
        <f t="shared" si="23"/>
        <v>0.16875493268920078</v>
      </c>
      <c r="K35" s="2"/>
      <c r="L35" s="6">
        <f t="shared" si="24"/>
        <v>-19767.86</v>
      </c>
      <c r="M35" s="2"/>
      <c r="N35" s="7">
        <f t="shared" si="25"/>
        <v>-1</v>
      </c>
      <c r="O35" s="11"/>
      <c r="P35" s="6"/>
      <c r="Q35" s="2"/>
      <c r="R35" s="7">
        <f t="shared" si="26"/>
        <v>0</v>
      </c>
      <c r="S35" s="2"/>
      <c r="T35" s="6">
        <v>121789.39</v>
      </c>
      <c r="U35" s="2"/>
      <c r="V35" s="7">
        <f t="shared" si="27"/>
        <v>0.18071718804012141</v>
      </c>
      <c r="W35" s="2"/>
      <c r="X35" s="6">
        <f t="shared" si="28"/>
        <v>-121789.39</v>
      </c>
      <c r="Y35" s="2"/>
      <c r="Z35" s="7">
        <f t="shared" si="29"/>
        <v>-1</v>
      </c>
    </row>
    <row r="36" spans="1:26" s="24" customFormat="1" hidden="1" outlineLevel="2" x14ac:dyDescent="0.25">
      <c r="A36" s="26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22"/>
        <v>0</v>
      </c>
      <c r="G36" s="2"/>
      <c r="H36" s="6">
        <v>1018.94</v>
      </c>
      <c r="I36" s="2"/>
      <c r="J36" s="7">
        <f t="shared" si="23"/>
        <v>8.6985212923571011E-3</v>
      </c>
      <c r="K36" s="2"/>
      <c r="L36" s="6">
        <f t="shared" si="24"/>
        <v>-1018.94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5853.44</v>
      </c>
      <c r="U36" s="2"/>
      <c r="V36" s="7">
        <f t="shared" si="27"/>
        <v>8.6856270251584999E-3</v>
      </c>
      <c r="W36" s="2"/>
      <c r="X36" s="6">
        <f t="shared" si="28"/>
        <v>-5853.44</v>
      </c>
      <c r="Y36" s="2"/>
      <c r="Z36" s="7">
        <f t="shared" si="29"/>
        <v>-1</v>
      </c>
    </row>
    <row r="37" spans="1:26" s="25" customFormat="1" outlineLevel="1" collapsed="1" x14ac:dyDescent="0.25">
      <c r="A37" s="27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0</v>
      </c>
      <c r="E37" s="1"/>
      <c r="F37" s="5">
        <f t="shared" ref="F37:F45" si="30">IF(D$12=0,0,D37/D$12)</f>
        <v>0</v>
      </c>
      <c r="G37" s="1"/>
      <c r="H37" s="1">
        <f>SUM(OSRRefH22_2x_0)</f>
        <v>169.37</v>
      </c>
      <c r="I37" s="1"/>
      <c r="J37" s="5">
        <f t="shared" ref="J37:J45" si="31">IF(H$12=0,0,H37/H$12)</f>
        <v>1.4458835174657213E-3</v>
      </c>
      <c r="K37" s="1"/>
      <c r="L37" s="1">
        <f t="shared" ref="L37:L45" si="32">+D37-H37</f>
        <v>-169.37</v>
      </c>
      <c r="M37" s="1"/>
      <c r="N37" s="5">
        <f t="shared" ref="N37:N45" si="33">IF(H37=0,0,L37/H37)</f>
        <v>-1</v>
      </c>
      <c r="O37" s="13"/>
      <c r="P37" s="1">
        <f>SUM(OSRRefP22_2x_0)</f>
        <v>0</v>
      </c>
      <c r="Q37" s="1"/>
      <c r="R37" s="5">
        <f t="shared" ref="R37:R45" si="34">IF(P$12=0,0,P37/P$12)</f>
        <v>0</v>
      </c>
      <c r="S37" s="1"/>
      <c r="T37" s="1">
        <f>SUM(OSRRefT22_2x_0)</f>
        <v>1352.66</v>
      </c>
      <c r="U37" s="1"/>
      <c r="V37" s="5">
        <f t="shared" ref="V37:V45" si="35">IF(T$12=0,0,T37/T$12)</f>
        <v>2.0071445597547592E-3</v>
      </c>
      <c r="W37" s="1"/>
      <c r="X37" s="1">
        <f t="shared" ref="X37:X45" si="36">+P37-T37</f>
        <v>-1352.66</v>
      </c>
      <c r="Y37" s="1"/>
      <c r="Z37" s="5">
        <f t="shared" ref="Z37:Z45" si="37">IF(T37=0,0,X37/T37)</f>
        <v>-1</v>
      </c>
    </row>
    <row r="38" spans="1:26" s="24" customFormat="1" hidden="1" outlineLevel="2" x14ac:dyDescent="0.25">
      <c r="A38" s="26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30"/>
        <v>0</v>
      </c>
      <c r="G38" s="2"/>
      <c r="H38" s="6">
        <v>169.37</v>
      </c>
      <c r="I38" s="2"/>
      <c r="J38" s="7">
        <f t="shared" si="31"/>
        <v>1.4458835174657213E-3</v>
      </c>
      <c r="K38" s="2"/>
      <c r="L38" s="6">
        <f t="shared" si="32"/>
        <v>-169.37</v>
      </c>
      <c r="M38" s="2"/>
      <c r="N38" s="7">
        <f t="shared" si="33"/>
        <v>-1</v>
      </c>
      <c r="O38" s="11"/>
      <c r="P38" s="6"/>
      <c r="Q38" s="2"/>
      <c r="R38" s="7">
        <f t="shared" si="34"/>
        <v>0</v>
      </c>
      <c r="S38" s="2"/>
      <c r="T38" s="6">
        <v>1352.66</v>
      </c>
      <c r="U38" s="2"/>
      <c r="V38" s="7">
        <f t="shared" si="35"/>
        <v>2.0071445597547592E-3</v>
      </c>
      <c r="W38" s="2"/>
      <c r="X38" s="6">
        <f t="shared" si="36"/>
        <v>-1352.66</v>
      </c>
      <c r="Y38" s="2"/>
      <c r="Z38" s="7">
        <f t="shared" si="37"/>
        <v>-1</v>
      </c>
    </row>
    <row r="39" spans="1:26" s="25" customFormat="1" outlineLevel="1" collapsed="1" x14ac:dyDescent="0.25">
      <c r="A39" s="27"/>
      <c r="B39" s="13" t="str">
        <f>CONCATENATE("     ","Bad Debts/Over/Short                              ")</f>
        <v xml:space="preserve">     Bad Debts/Over/Short                              </v>
      </c>
      <c r="C39" s="13"/>
      <c r="D39" s="1">
        <f>SUM(OSRRefD22_3x_0)</f>
        <v>0</v>
      </c>
      <c r="E39" s="1"/>
      <c r="F39" s="5">
        <f t="shared" si="30"/>
        <v>0</v>
      </c>
      <c r="G39" s="1"/>
      <c r="H39" s="1">
        <f>SUM(OSRRefH22_3x_0)</f>
        <v>124.6</v>
      </c>
      <c r="I39" s="1"/>
      <c r="J39" s="5">
        <f t="shared" si="31"/>
        <v>1.0636894743828828E-3</v>
      </c>
      <c r="K39" s="1"/>
      <c r="L39" s="1">
        <f t="shared" si="32"/>
        <v>-124.6</v>
      </c>
      <c r="M39" s="1"/>
      <c r="N39" s="5">
        <f t="shared" si="33"/>
        <v>-1</v>
      </c>
      <c r="O39" s="13"/>
      <c r="P39" s="1">
        <f>SUM(OSRRefP22_3x_0)</f>
        <v>0</v>
      </c>
      <c r="Q39" s="1"/>
      <c r="R39" s="5">
        <f t="shared" si="34"/>
        <v>0</v>
      </c>
      <c r="S39" s="1"/>
      <c r="T39" s="1">
        <f>SUM(OSRRefT22_3x_0)</f>
        <v>174.57</v>
      </c>
      <c r="U39" s="1"/>
      <c r="V39" s="5">
        <f t="shared" si="35"/>
        <v>2.5903569692042959E-4</v>
      </c>
      <c r="W39" s="1"/>
      <c r="X39" s="1">
        <f t="shared" si="36"/>
        <v>-174.57</v>
      </c>
      <c r="Y39" s="1"/>
      <c r="Z39" s="5">
        <f t="shared" si="37"/>
        <v>-1</v>
      </c>
    </row>
    <row r="40" spans="1:26" s="24" customFormat="1" hidden="1" outlineLevel="2" x14ac:dyDescent="0.25">
      <c r="A40" s="26"/>
      <c r="B40" s="11" t="str">
        <f>CONCATENATE("          ", "6272", " - ", "CASH (OVER/SHORT)")</f>
        <v xml:space="preserve">          6272 - CASH (OVER/SHORT)</v>
      </c>
      <c r="C40" s="11"/>
      <c r="D40" s="6"/>
      <c r="E40" s="2"/>
      <c r="F40" s="7">
        <f t="shared" si="30"/>
        <v>0</v>
      </c>
      <c r="G40" s="2"/>
      <c r="H40" s="6">
        <v>124.6</v>
      </c>
      <c r="I40" s="2"/>
      <c r="J40" s="7">
        <f t="shared" si="31"/>
        <v>1.0636894743828828E-3</v>
      </c>
      <c r="K40" s="2"/>
      <c r="L40" s="6">
        <f t="shared" si="32"/>
        <v>-124.6</v>
      </c>
      <c r="M40" s="2"/>
      <c r="N40" s="7">
        <f t="shared" si="33"/>
        <v>-1</v>
      </c>
      <c r="O40" s="11"/>
      <c r="P40" s="6"/>
      <c r="Q40" s="2"/>
      <c r="R40" s="7">
        <f t="shared" si="34"/>
        <v>0</v>
      </c>
      <c r="S40" s="2"/>
      <c r="T40" s="6">
        <v>174.57</v>
      </c>
      <c r="U40" s="2"/>
      <c r="V40" s="7">
        <f t="shared" si="35"/>
        <v>2.5903569692042959E-4</v>
      </c>
      <c r="W40" s="2"/>
      <c r="X40" s="6">
        <f t="shared" si="36"/>
        <v>-174.57</v>
      </c>
      <c r="Y40" s="2"/>
      <c r="Z40" s="7">
        <f t="shared" si="37"/>
        <v>-1</v>
      </c>
    </row>
    <row r="41" spans="1:26" s="25" customFormat="1" outlineLevel="1" collapsed="1" x14ac:dyDescent="0.25">
      <c r="A41" s="27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0</v>
      </c>
      <c r="E41" s="1"/>
      <c r="F41" s="5">
        <f t="shared" si="30"/>
        <v>0</v>
      </c>
      <c r="G41" s="1"/>
      <c r="H41" s="1">
        <f>SUM(OSRRefH22_4x_0)</f>
        <v>2561.7399999999998</v>
      </c>
      <c r="I41" s="1"/>
      <c r="J41" s="5">
        <f t="shared" si="31"/>
        <v>2.1869148267300211E-2</v>
      </c>
      <c r="K41" s="1"/>
      <c r="L41" s="1">
        <f t="shared" si="32"/>
        <v>-2561.7399999999998</v>
      </c>
      <c r="M41" s="1"/>
      <c r="N41" s="5">
        <f t="shared" si="33"/>
        <v>-1</v>
      </c>
      <c r="O41" s="13"/>
      <c r="P41" s="1">
        <f>SUM(OSRRefP22_4x_0)</f>
        <v>0</v>
      </c>
      <c r="Q41" s="1"/>
      <c r="R41" s="5">
        <f t="shared" si="34"/>
        <v>0</v>
      </c>
      <c r="S41" s="1"/>
      <c r="T41" s="1">
        <f>SUM(OSRRefT22_4x_0)</f>
        <v>22098.670000000002</v>
      </c>
      <c r="U41" s="1"/>
      <c r="V41" s="5">
        <f t="shared" si="35"/>
        <v>3.2791111785900155E-2</v>
      </c>
      <c r="W41" s="1"/>
      <c r="X41" s="1">
        <f t="shared" si="36"/>
        <v>-22098.670000000002</v>
      </c>
      <c r="Y41" s="1"/>
      <c r="Z41" s="5">
        <f t="shared" si="37"/>
        <v>-1</v>
      </c>
    </row>
    <row r="42" spans="1:26" s="24" customFormat="1" hidden="1" outlineLevel="2" x14ac:dyDescent="0.25">
      <c r="A42" s="26"/>
      <c r="B42" s="11" t="str">
        <f>CONCATENATE("          ", "6381", " - ", "BANK/CREDIT CARD FEES")</f>
        <v xml:space="preserve">          6381 - BANK/CREDIT CARD FEES</v>
      </c>
      <c r="C42" s="11"/>
      <c r="D42" s="6"/>
      <c r="E42" s="2"/>
      <c r="F42" s="7">
        <f t="shared" si="30"/>
        <v>0</v>
      </c>
      <c r="G42" s="2"/>
      <c r="H42" s="6">
        <v>2561.7399999999998</v>
      </c>
      <c r="I42" s="2"/>
      <c r="J42" s="7">
        <f t="shared" si="31"/>
        <v>2.1869148267300211E-2</v>
      </c>
      <c r="K42" s="2"/>
      <c r="L42" s="6">
        <f t="shared" si="32"/>
        <v>-2561.7399999999998</v>
      </c>
      <c r="M42" s="2"/>
      <c r="N42" s="7">
        <f t="shared" si="33"/>
        <v>-1</v>
      </c>
      <c r="O42" s="11"/>
      <c r="P42" s="6"/>
      <c r="Q42" s="2"/>
      <c r="R42" s="7">
        <f t="shared" si="34"/>
        <v>0</v>
      </c>
      <c r="S42" s="2"/>
      <c r="T42" s="6">
        <v>22098.670000000002</v>
      </c>
      <c r="U42" s="2"/>
      <c r="V42" s="7">
        <f t="shared" si="35"/>
        <v>3.2791111785900155E-2</v>
      </c>
      <c r="W42" s="2"/>
      <c r="X42" s="6">
        <f t="shared" si="36"/>
        <v>-22098.670000000002</v>
      </c>
      <c r="Y42" s="2"/>
      <c r="Z42" s="7">
        <f t="shared" si="37"/>
        <v>-1</v>
      </c>
    </row>
    <row r="43" spans="1:26" s="25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SUM(OSRRefD22_5x_0)</f>
        <v>5233.01</v>
      </c>
      <c r="E43" s="1"/>
      <c r="F43" s="5">
        <f t="shared" si="30"/>
        <v>0</v>
      </c>
      <c r="G43" s="1"/>
      <c r="H43" s="1">
        <f>SUM(OSRRefH22_5x_0)</f>
        <v>5612.57</v>
      </c>
      <c r="I43" s="1"/>
      <c r="J43" s="5">
        <f t="shared" si="31"/>
        <v>4.7913576510731436E-2</v>
      </c>
      <c r="K43" s="1"/>
      <c r="L43" s="1">
        <f t="shared" si="32"/>
        <v>-379.55999999999949</v>
      </c>
      <c r="M43" s="1"/>
      <c r="N43" s="5">
        <f t="shared" si="33"/>
        <v>-6.7626773474540103E-2</v>
      </c>
      <c r="O43" s="13"/>
      <c r="P43" s="1">
        <f>SUM(OSRRefP22_5x_0)</f>
        <v>42155.199999999997</v>
      </c>
      <c r="Q43" s="1"/>
      <c r="R43" s="5">
        <f t="shared" si="34"/>
        <v>0</v>
      </c>
      <c r="S43" s="1"/>
      <c r="T43" s="1">
        <f>SUM(OSRRefT22_5x_0)</f>
        <v>44900.56</v>
      </c>
      <c r="U43" s="1"/>
      <c r="V43" s="5">
        <f t="shared" si="35"/>
        <v>6.6625696578550511E-2</v>
      </c>
      <c r="W43" s="1"/>
      <c r="X43" s="1">
        <f t="shared" si="36"/>
        <v>-2745.3600000000006</v>
      </c>
      <c r="Y43" s="1"/>
      <c r="Z43" s="5">
        <f t="shared" si="37"/>
        <v>-6.1143112691690274E-2</v>
      </c>
    </row>
    <row r="44" spans="1:26" s="24" customFormat="1" hidden="1" outlineLevel="2" x14ac:dyDescent="0.25">
      <c r="A44" s="26"/>
      <c r="B44" s="11" t="str">
        <f>CONCATENATE("          ", "6321", " - ", "BUILDING DEPRECIATION")</f>
        <v xml:space="preserve">          6321 - BUILDING DEPRECIATION</v>
      </c>
      <c r="C44" s="11"/>
      <c r="D44" s="6">
        <v>4626.5</v>
      </c>
      <c r="E44" s="2"/>
      <c r="F44" s="7">
        <f t="shared" si="30"/>
        <v>0</v>
      </c>
      <c r="G44" s="2"/>
      <c r="H44" s="6">
        <v>4626.5</v>
      </c>
      <c r="I44" s="2"/>
      <c r="J44" s="7">
        <f t="shared" si="31"/>
        <v>3.9495660940870043E-2</v>
      </c>
      <c r="K44" s="2"/>
      <c r="L44" s="6">
        <f t="shared" si="32"/>
        <v>0</v>
      </c>
      <c r="M44" s="2"/>
      <c r="N44" s="7">
        <f t="shared" si="33"/>
        <v>0</v>
      </c>
      <c r="O44" s="11"/>
      <c r="P44" s="6">
        <v>37012</v>
      </c>
      <c r="Q44" s="2"/>
      <c r="R44" s="7">
        <f t="shared" si="34"/>
        <v>0</v>
      </c>
      <c r="S44" s="2"/>
      <c r="T44" s="6">
        <v>37012</v>
      </c>
      <c r="U44" s="2"/>
      <c r="V44" s="7">
        <f t="shared" si="35"/>
        <v>5.4920256713174881E-2</v>
      </c>
      <c r="W44" s="2"/>
      <c r="X44" s="6">
        <f t="shared" si="36"/>
        <v>0</v>
      </c>
      <c r="Y44" s="2"/>
      <c r="Z44" s="7">
        <f t="shared" si="37"/>
        <v>0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606.51</v>
      </c>
      <c r="E45" s="2"/>
      <c r="F45" s="7">
        <f t="shared" si="30"/>
        <v>0</v>
      </c>
      <c r="G45" s="2"/>
      <c r="H45" s="6">
        <v>986.07</v>
      </c>
      <c r="I45" s="2"/>
      <c r="J45" s="7">
        <f t="shared" si="31"/>
        <v>8.4179155698613905E-3</v>
      </c>
      <c r="K45" s="2"/>
      <c r="L45" s="6">
        <f t="shared" si="32"/>
        <v>-379.56000000000006</v>
      </c>
      <c r="M45" s="2"/>
      <c r="N45" s="7">
        <f t="shared" si="33"/>
        <v>-0.38492196294380726</v>
      </c>
      <c r="O45" s="11"/>
      <c r="P45" s="6">
        <v>5143.2</v>
      </c>
      <c r="Q45" s="2"/>
      <c r="R45" s="7">
        <f t="shared" si="34"/>
        <v>0</v>
      </c>
      <c r="S45" s="2"/>
      <c r="T45" s="6">
        <v>7888.56</v>
      </c>
      <c r="U45" s="2"/>
      <c r="V45" s="7">
        <f t="shared" si="35"/>
        <v>1.1705439865375632E-2</v>
      </c>
      <c r="W45" s="2"/>
      <c r="X45" s="6">
        <f t="shared" si="36"/>
        <v>-2745.3600000000006</v>
      </c>
      <c r="Y45" s="2"/>
      <c r="Z45" s="7">
        <f t="shared" si="37"/>
        <v>-0.34801788919650739</v>
      </c>
    </row>
    <row r="46" spans="1:26" s="25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ref="F46:F56" si="38">IF(D$12=0,0,D46/D$12)</f>
        <v>0</v>
      </c>
      <c r="G46" s="1"/>
      <c r="H46" s="1">
        <f>SUM(OSRRefH22_6x_0)</f>
        <v>0</v>
      </c>
      <c r="I46" s="1"/>
      <c r="J46" s="5">
        <f t="shared" ref="J46:J56" si="39">IF(H$12=0,0,H46/H$12)</f>
        <v>0</v>
      </c>
      <c r="K46" s="1"/>
      <c r="L46" s="1">
        <f t="shared" ref="L46:L56" si="40">+D46-H46</f>
        <v>0</v>
      </c>
      <c r="M46" s="1"/>
      <c r="N46" s="5">
        <f t="shared" ref="N46:N56" si="41">IF(H46=0,0,L46/H46)</f>
        <v>0</v>
      </c>
      <c r="O46" s="13"/>
      <c r="P46" s="1">
        <f>SUM(OSRRefP22_6x_0)</f>
        <v>0</v>
      </c>
      <c r="Q46" s="1"/>
      <c r="R46" s="5">
        <f t="shared" ref="R46:R56" si="42">IF(P$12=0,0,P46/P$12)</f>
        <v>0</v>
      </c>
      <c r="S46" s="1"/>
      <c r="T46" s="1">
        <f>SUM(OSRRefT22_6x_0)</f>
        <v>186.48</v>
      </c>
      <c r="U46" s="1"/>
      <c r="V46" s="5">
        <f t="shared" ref="V46:V56" si="43">IF(T$12=0,0,T46/T$12)</f>
        <v>2.7670835058556283E-4</v>
      </c>
      <c r="W46" s="1"/>
      <c r="X46" s="1">
        <f t="shared" ref="X46:X56" si="44">+P46-T46</f>
        <v>-186.48</v>
      </c>
      <c r="Y46" s="1"/>
      <c r="Z46" s="5">
        <f t="shared" ref="Z46:Z56" si="45">IF(T46=0,0,X46/T46)</f>
        <v>-1</v>
      </c>
    </row>
    <row r="47" spans="1:26" s="24" customFormat="1" hidden="1" outlineLevel="2" x14ac:dyDescent="0.25">
      <c r="A47" s="26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38"/>
        <v>0</v>
      </c>
      <c r="G47" s="2"/>
      <c r="H47" s="6"/>
      <c r="I47" s="2"/>
      <c r="J47" s="7">
        <f t="shared" si="39"/>
        <v>0</v>
      </c>
      <c r="K47" s="2"/>
      <c r="L47" s="6">
        <f t="shared" si="40"/>
        <v>0</v>
      </c>
      <c r="M47" s="2"/>
      <c r="N47" s="7">
        <f t="shared" si="41"/>
        <v>0</v>
      </c>
      <c r="O47" s="11"/>
      <c r="P47" s="6"/>
      <c r="Q47" s="2"/>
      <c r="R47" s="7">
        <f t="shared" si="42"/>
        <v>0</v>
      </c>
      <c r="S47" s="2"/>
      <c r="T47" s="6">
        <v>186.48</v>
      </c>
      <c r="U47" s="2"/>
      <c r="V47" s="7">
        <f t="shared" si="43"/>
        <v>2.7670835058556283E-4</v>
      </c>
      <c r="W47" s="2"/>
      <c r="X47" s="6">
        <f t="shared" si="44"/>
        <v>-186.48</v>
      </c>
      <c r="Y47" s="2"/>
      <c r="Z47" s="7">
        <f t="shared" si="45"/>
        <v>-1</v>
      </c>
    </row>
    <row r="48" spans="1:26" s="25" customFormat="1" outlineLevel="1" collapsed="1" x14ac:dyDescent="0.25">
      <c r="A48" s="27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0</v>
      </c>
      <c r="E48" s="1"/>
      <c r="F48" s="5">
        <f t="shared" si="38"/>
        <v>0</v>
      </c>
      <c r="G48" s="1"/>
      <c r="H48" s="1">
        <f>SUM(OSRRefH22_7x_0)</f>
        <v>328.35</v>
      </c>
      <c r="I48" s="1"/>
      <c r="J48" s="5">
        <f t="shared" si="39"/>
        <v>2.8030693331751173E-3</v>
      </c>
      <c r="K48" s="1"/>
      <c r="L48" s="1">
        <f t="shared" si="40"/>
        <v>-328.35</v>
      </c>
      <c r="M48" s="1"/>
      <c r="N48" s="5">
        <f t="shared" si="41"/>
        <v>-1</v>
      </c>
      <c r="O48" s="13"/>
      <c r="P48" s="1">
        <f>SUM(OSRRefP22_7x_0)</f>
        <v>96.3</v>
      </c>
      <c r="Q48" s="1"/>
      <c r="R48" s="5">
        <f t="shared" si="42"/>
        <v>0</v>
      </c>
      <c r="S48" s="1"/>
      <c r="T48" s="1">
        <f>SUM(OSRRefT22_7x_0)</f>
        <v>3039.43</v>
      </c>
      <c r="U48" s="1"/>
      <c r="V48" s="5">
        <f t="shared" si="43"/>
        <v>4.5100582476419841E-3</v>
      </c>
      <c r="W48" s="1"/>
      <c r="X48" s="1">
        <f t="shared" si="44"/>
        <v>-2943.1299999999997</v>
      </c>
      <c r="Y48" s="1"/>
      <c r="Z48" s="5">
        <f t="shared" si="45"/>
        <v>-0.96831642775125593</v>
      </c>
    </row>
    <row r="49" spans="1:26" s="24" customFormat="1" hidden="1" outlineLevel="2" x14ac:dyDescent="0.25">
      <c r="A49" s="26"/>
      <c r="B49" s="11" t="str">
        <f>CONCATENATE("          ", "6351", " - ", "EQUIPMENT RENTAL")</f>
        <v xml:space="preserve">          6351 - EQUIPMENT RENTAL</v>
      </c>
      <c r="C49" s="11"/>
      <c r="D49" s="6"/>
      <c r="E49" s="2"/>
      <c r="F49" s="7">
        <f t="shared" si="38"/>
        <v>0</v>
      </c>
      <c r="G49" s="2"/>
      <c r="H49" s="6">
        <v>328.35</v>
      </c>
      <c r="I49" s="2"/>
      <c r="J49" s="7">
        <f t="shared" si="39"/>
        <v>2.8030693331751173E-3</v>
      </c>
      <c r="K49" s="2"/>
      <c r="L49" s="6">
        <f t="shared" si="40"/>
        <v>-328.35</v>
      </c>
      <c r="M49" s="2"/>
      <c r="N49" s="7">
        <f t="shared" si="41"/>
        <v>-1</v>
      </c>
      <c r="O49" s="11"/>
      <c r="P49" s="6">
        <v>96.3</v>
      </c>
      <c r="Q49" s="2"/>
      <c r="R49" s="7">
        <f t="shared" si="42"/>
        <v>0</v>
      </c>
      <c r="S49" s="2"/>
      <c r="T49" s="6">
        <v>3039.43</v>
      </c>
      <c r="U49" s="2"/>
      <c r="V49" s="7">
        <f t="shared" si="43"/>
        <v>4.5100582476419841E-3</v>
      </c>
      <c r="W49" s="2"/>
      <c r="X49" s="6">
        <f t="shared" si="44"/>
        <v>-2943.1299999999997</v>
      </c>
      <c r="Y49" s="2"/>
      <c r="Z49" s="7">
        <f t="shared" si="45"/>
        <v>-0.96831642775125593</v>
      </c>
    </row>
    <row r="50" spans="1:26" s="25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0</v>
      </c>
      <c r="E50" s="1"/>
      <c r="F50" s="5">
        <f t="shared" si="38"/>
        <v>0</v>
      </c>
      <c r="G50" s="1"/>
      <c r="H50" s="1">
        <f>SUM(OSRRefH22_8x_0)</f>
        <v>878.51</v>
      </c>
      <c r="I50" s="1"/>
      <c r="J50" s="5">
        <f t="shared" si="39"/>
        <v>7.4996937410923472E-3</v>
      </c>
      <c r="K50" s="1"/>
      <c r="L50" s="1">
        <f t="shared" si="40"/>
        <v>-878.51</v>
      </c>
      <c r="M50" s="1"/>
      <c r="N50" s="5">
        <f t="shared" si="41"/>
        <v>-1</v>
      </c>
      <c r="O50" s="13"/>
      <c r="P50" s="1">
        <f>SUM(OSRRefP22_8x_0)</f>
        <v>0</v>
      </c>
      <c r="Q50" s="1"/>
      <c r="R50" s="5">
        <f t="shared" si="42"/>
        <v>0</v>
      </c>
      <c r="S50" s="1"/>
      <c r="T50" s="1">
        <f>SUM(OSRRefT22_8x_0)</f>
        <v>8340.4</v>
      </c>
      <c r="U50" s="1"/>
      <c r="V50" s="5">
        <f t="shared" si="43"/>
        <v>1.2375902655640435E-2</v>
      </c>
      <c r="W50" s="1"/>
      <c r="X50" s="1">
        <f t="shared" si="44"/>
        <v>-8340.4</v>
      </c>
      <c r="Y50" s="1"/>
      <c r="Z50" s="5">
        <f t="shared" si="45"/>
        <v>-1</v>
      </c>
    </row>
    <row r="51" spans="1:26" s="24" customFormat="1" hidden="1" outlineLevel="2" x14ac:dyDescent="0.25">
      <c r="A51" s="26"/>
      <c r="B51" s="11" t="str">
        <f>CONCATENATE("          ", "6279", " - ", "GENERAL EXPENSE")</f>
        <v xml:space="preserve">          6279 - GENERAL EXPENSE</v>
      </c>
      <c r="C51" s="11"/>
      <c r="D51" s="6"/>
      <c r="E51" s="2"/>
      <c r="F51" s="7">
        <f t="shared" si="38"/>
        <v>0</v>
      </c>
      <c r="G51" s="2"/>
      <c r="H51" s="6">
        <v>878.51</v>
      </c>
      <c r="I51" s="2"/>
      <c r="J51" s="7">
        <f t="shared" si="39"/>
        <v>7.4996937410923472E-3</v>
      </c>
      <c r="K51" s="2"/>
      <c r="L51" s="6">
        <f t="shared" si="40"/>
        <v>-878.51</v>
      </c>
      <c r="M51" s="2"/>
      <c r="N51" s="7">
        <f t="shared" si="41"/>
        <v>-1</v>
      </c>
      <c r="O51" s="11"/>
      <c r="P51" s="6">
        <v>0</v>
      </c>
      <c r="Q51" s="2"/>
      <c r="R51" s="7">
        <f t="shared" si="42"/>
        <v>0</v>
      </c>
      <c r="S51" s="2"/>
      <c r="T51" s="6">
        <v>8340.4</v>
      </c>
      <c r="U51" s="2"/>
      <c r="V51" s="7">
        <f t="shared" si="43"/>
        <v>1.2375902655640435E-2</v>
      </c>
      <c r="W51" s="2"/>
      <c r="X51" s="6">
        <f t="shared" si="44"/>
        <v>-8340.4</v>
      </c>
      <c r="Y51" s="2"/>
      <c r="Z51" s="7">
        <f t="shared" si="45"/>
        <v>-1</v>
      </c>
    </row>
    <row r="52" spans="1:26" s="25" customFormat="1" outlineLevel="1" collapsed="1" x14ac:dyDescent="0.25">
      <c r="A52" s="27"/>
      <c r="B52" s="13" t="str">
        <f>CONCATENATE("     ","Rent                                              ")</f>
        <v xml:space="preserve">     Rent                                              </v>
      </c>
      <c r="C52" s="13"/>
      <c r="D52" s="1">
        <f>SUM(OSRRefD22_9x_0)</f>
        <v>0</v>
      </c>
      <c r="E52" s="1"/>
      <c r="F52" s="5">
        <f t="shared" si="38"/>
        <v>0</v>
      </c>
      <c r="G52" s="1"/>
      <c r="H52" s="1">
        <f>SUM(OSRRefH22_9x_0)</f>
        <v>1850</v>
      </c>
      <c r="I52" s="1"/>
      <c r="J52" s="5">
        <f t="shared" si="39"/>
        <v>1.5793142276150349E-2</v>
      </c>
      <c r="K52" s="1"/>
      <c r="L52" s="1">
        <f t="shared" si="40"/>
        <v>-1850</v>
      </c>
      <c r="M52" s="1"/>
      <c r="N52" s="5">
        <f t="shared" si="41"/>
        <v>-1</v>
      </c>
      <c r="O52" s="13"/>
      <c r="P52" s="1">
        <f>SUM(OSRRefP22_9x_0)</f>
        <v>11100</v>
      </c>
      <c r="Q52" s="1"/>
      <c r="R52" s="5">
        <f t="shared" si="42"/>
        <v>0</v>
      </c>
      <c r="S52" s="1"/>
      <c r="T52" s="1">
        <f>SUM(OSRRefT22_9x_0)</f>
        <v>14800</v>
      </c>
      <c r="U52" s="1"/>
      <c r="V52" s="5">
        <f t="shared" si="43"/>
        <v>2.1960980205203401E-2</v>
      </c>
      <c r="W52" s="1"/>
      <c r="X52" s="1">
        <f t="shared" si="44"/>
        <v>-3700</v>
      </c>
      <c r="Y52" s="1"/>
      <c r="Z52" s="5">
        <f t="shared" si="45"/>
        <v>-0.25</v>
      </c>
    </row>
    <row r="53" spans="1:26" s="24" customFormat="1" hidden="1" outlineLevel="2" x14ac:dyDescent="0.25">
      <c r="A53" s="26"/>
      <c r="B53" s="11" t="str">
        <f>CONCATENATE("          ", "6273", " - ", "RENT")</f>
        <v xml:space="preserve">          6273 - RENT</v>
      </c>
      <c r="C53" s="11"/>
      <c r="D53" s="6"/>
      <c r="E53" s="2"/>
      <c r="F53" s="7">
        <f t="shared" si="38"/>
        <v>0</v>
      </c>
      <c r="G53" s="2"/>
      <c r="H53" s="6">
        <v>1850</v>
      </c>
      <c r="I53" s="2"/>
      <c r="J53" s="7">
        <f t="shared" si="39"/>
        <v>1.5793142276150349E-2</v>
      </c>
      <c r="K53" s="2"/>
      <c r="L53" s="6">
        <f t="shared" si="40"/>
        <v>-1850</v>
      </c>
      <c r="M53" s="2"/>
      <c r="N53" s="7">
        <f t="shared" si="41"/>
        <v>-1</v>
      </c>
      <c r="O53" s="11"/>
      <c r="P53" s="6">
        <v>11100</v>
      </c>
      <c r="Q53" s="2"/>
      <c r="R53" s="7">
        <f t="shared" si="42"/>
        <v>0</v>
      </c>
      <c r="S53" s="2"/>
      <c r="T53" s="6">
        <v>14800</v>
      </c>
      <c r="U53" s="2"/>
      <c r="V53" s="7">
        <f t="shared" si="43"/>
        <v>2.1960980205203401E-2</v>
      </c>
      <c r="W53" s="2"/>
      <c r="X53" s="6">
        <f t="shared" si="44"/>
        <v>-3700</v>
      </c>
      <c r="Y53" s="2"/>
      <c r="Z53" s="7">
        <f t="shared" si="45"/>
        <v>-0.25</v>
      </c>
    </row>
    <row r="54" spans="1:26" s="25" customFormat="1" outlineLevel="1" collapsed="1" x14ac:dyDescent="0.25">
      <c r="A54" s="27"/>
      <c r="B54" s="13" t="str">
        <f>CONCATENATE("     ","Repair and Maintenance                            ")</f>
        <v xml:space="preserve">     Repair and Maintenance                            </v>
      </c>
      <c r="C54" s="13"/>
      <c r="D54" s="1">
        <f>SUM(OSRRefD22_10x_0)</f>
        <v>0</v>
      </c>
      <c r="E54" s="1"/>
      <c r="F54" s="5">
        <f t="shared" si="38"/>
        <v>0</v>
      </c>
      <c r="G54" s="1"/>
      <c r="H54" s="1">
        <f>SUM(OSRRefH22_10x_0)</f>
        <v>2470.13</v>
      </c>
      <c r="I54" s="1"/>
      <c r="J54" s="5">
        <f t="shared" si="39"/>
        <v>2.1087088935452573E-2</v>
      </c>
      <c r="K54" s="1"/>
      <c r="L54" s="1">
        <f t="shared" si="40"/>
        <v>-2470.13</v>
      </c>
      <c r="M54" s="1"/>
      <c r="N54" s="5">
        <f t="shared" si="41"/>
        <v>-1</v>
      </c>
      <c r="O54" s="13"/>
      <c r="P54" s="1">
        <f>SUM(OSRRefP22_10x_0)</f>
        <v>765.3</v>
      </c>
      <c r="Q54" s="1"/>
      <c r="R54" s="5">
        <f t="shared" si="42"/>
        <v>0</v>
      </c>
      <c r="S54" s="1"/>
      <c r="T54" s="1">
        <f>SUM(OSRRefT22_10x_0)</f>
        <v>22826.080000000002</v>
      </c>
      <c r="U54" s="1"/>
      <c r="V54" s="5">
        <f t="shared" si="43"/>
        <v>3.3870479124485764E-2</v>
      </c>
      <c r="W54" s="1"/>
      <c r="X54" s="1">
        <f t="shared" si="44"/>
        <v>-22060.780000000002</v>
      </c>
      <c r="Y54" s="1"/>
      <c r="Z54" s="5">
        <f t="shared" si="45"/>
        <v>-0.96647256121068537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6"/>
      <c r="E55" s="2"/>
      <c r="F55" s="7">
        <f t="shared" si="38"/>
        <v>0</v>
      </c>
      <c r="G55" s="2"/>
      <c r="H55" s="6">
        <v>1799</v>
      </c>
      <c r="I55" s="2"/>
      <c r="J55" s="7">
        <f t="shared" si="39"/>
        <v>1.5357763759348365E-2</v>
      </c>
      <c r="K55" s="2"/>
      <c r="L55" s="6">
        <f t="shared" si="40"/>
        <v>-1799</v>
      </c>
      <c r="M55" s="2"/>
      <c r="N55" s="7">
        <f t="shared" si="41"/>
        <v>-1</v>
      </c>
      <c r="O55" s="11"/>
      <c r="P55" s="6">
        <v>223.3</v>
      </c>
      <c r="Q55" s="2"/>
      <c r="R55" s="7">
        <f t="shared" si="42"/>
        <v>0</v>
      </c>
      <c r="S55" s="2"/>
      <c r="T55" s="6">
        <v>14518.41</v>
      </c>
      <c r="U55" s="2"/>
      <c r="V55" s="7">
        <f t="shared" si="43"/>
        <v>2.1543142879799127E-2</v>
      </c>
      <c r="W55" s="2"/>
      <c r="X55" s="6">
        <f t="shared" si="44"/>
        <v>-14295.11</v>
      </c>
      <c r="Y55" s="2"/>
      <c r="Z55" s="7">
        <f t="shared" si="45"/>
        <v>-0.98461952789596108</v>
      </c>
    </row>
    <row r="56" spans="1:26" s="24" customFormat="1" hidden="1" outlineLevel="2" x14ac:dyDescent="0.25">
      <c r="A56" s="26"/>
      <c r="B56" s="11" t="str">
        <f>CONCATENATE("          ", "6375", " - ", "OUTSIDE REPAIRS &amp; MAINTENANCE")</f>
        <v xml:space="preserve">          6375 - OUTSIDE REPAIRS &amp; MAINTENANCE</v>
      </c>
      <c r="C56" s="11"/>
      <c r="D56" s="6"/>
      <c r="E56" s="2"/>
      <c r="F56" s="7">
        <f t="shared" si="38"/>
        <v>0</v>
      </c>
      <c r="G56" s="2"/>
      <c r="H56" s="6">
        <v>671.13</v>
      </c>
      <c r="I56" s="2"/>
      <c r="J56" s="7">
        <f t="shared" si="39"/>
        <v>5.7293251761042071E-3</v>
      </c>
      <c r="K56" s="2"/>
      <c r="L56" s="6">
        <f t="shared" si="40"/>
        <v>-671.13</v>
      </c>
      <c r="M56" s="2"/>
      <c r="N56" s="7">
        <f t="shared" si="41"/>
        <v>-1</v>
      </c>
      <c r="O56" s="11"/>
      <c r="P56" s="6">
        <v>542</v>
      </c>
      <c r="Q56" s="2"/>
      <c r="R56" s="7">
        <f t="shared" si="42"/>
        <v>0</v>
      </c>
      <c r="S56" s="2"/>
      <c r="T56" s="6">
        <v>8307.67</v>
      </c>
      <c r="U56" s="2"/>
      <c r="V56" s="7">
        <f t="shared" si="43"/>
        <v>1.2327336244686632E-2</v>
      </c>
      <c r="W56" s="2"/>
      <c r="X56" s="6">
        <f t="shared" si="44"/>
        <v>-7765.67</v>
      </c>
      <c r="Y56" s="2"/>
      <c r="Z56" s="7">
        <f t="shared" si="45"/>
        <v>-0.93475908407531838</v>
      </c>
    </row>
    <row r="57" spans="1:26" s="25" customFormat="1" outlineLevel="1" collapsed="1" x14ac:dyDescent="0.25">
      <c r="A57" s="27"/>
      <c r="B57" s="13" t="str">
        <f>CONCATENATE("     ","Royalty &amp; Commissions                             ")</f>
        <v xml:space="preserve">     Royalty &amp; Commissions                             </v>
      </c>
      <c r="C57" s="13"/>
      <c r="D57" s="1">
        <f>SUM(OSRRefD22_11x_0)</f>
        <v>0</v>
      </c>
      <c r="E57" s="1"/>
      <c r="F57" s="5">
        <f t="shared" ref="F57:F62" si="46">IF(D$12=0,0,D57/D$12)</f>
        <v>0</v>
      </c>
      <c r="G57" s="1"/>
      <c r="H57" s="1">
        <f>SUM(OSRRefH22_11x_0)</f>
        <v>9371.1200000000008</v>
      </c>
      <c r="I57" s="1"/>
      <c r="J57" s="5">
        <f t="shared" ref="J57:J62" si="47">IF(H$12=0,0,H57/H$12)</f>
        <v>7.999969267398814E-2</v>
      </c>
      <c r="K57" s="1"/>
      <c r="L57" s="1">
        <f t="shared" ref="L57:L62" si="48">+D57-H57</f>
        <v>-9371.1200000000008</v>
      </c>
      <c r="M57" s="1"/>
      <c r="N57" s="5">
        <f t="shared" ref="N57:N62" si="49">IF(H57=0,0,L57/H57)</f>
        <v>-1</v>
      </c>
      <c r="O57" s="13"/>
      <c r="P57" s="1">
        <f>SUM(OSRRefP22_11x_0)</f>
        <v>0</v>
      </c>
      <c r="Q57" s="1"/>
      <c r="R57" s="5">
        <f t="shared" ref="R57:R62" si="50">IF(P$12=0,0,P57/P$12)</f>
        <v>0</v>
      </c>
      <c r="S57" s="1"/>
      <c r="T57" s="1">
        <f>SUM(OSRRefT22_11x_0)</f>
        <v>56742.8</v>
      </c>
      <c r="U57" s="1"/>
      <c r="V57" s="5">
        <f t="shared" ref="V57:V62" si="51">IF(T$12=0,0,T57/T$12)</f>
        <v>8.4197804566744291E-2</v>
      </c>
      <c r="W57" s="1"/>
      <c r="X57" s="1">
        <f t="shared" ref="X57:X62" si="52">+P57-T57</f>
        <v>-56742.8</v>
      </c>
      <c r="Y57" s="1"/>
      <c r="Z57" s="5">
        <f t="shared" ref="Z57:Z62" si="53">IF(T57=0,0,X57/T57)</f>
        <v>-1</v>
      </c>
    </row>
    <row r="58" spans="1:26" s="24" customFormat="1" hidden="1" outlineLevel="2" x14ac:dyDescent="0.25">
      <c r="A58" s="26"/>
      <c r="B58" s="11" t="str">
        <f>CONCATENATE("          ", "6259", " - ", "ROYALTY &amp; COMMISSIONS")</f>
        <v xml:space="preserve">          6259 - ROYALTY &amp; COMMISSIONS</v>
      </c>
      <c r="C58" s="11"/>
      <c r="D58" s="6"/>
      <c r="E58" s="2"/>
      <c r="F58" s="7">
        <f t="shared" si="46"/>
        <v>0</v>
      </c>
      <c r="G58" s="2"/>
      <c r="H58" s="6">
        <v>9371.1200000000008</v>
      </c>
      <c r="I58" s="2"/>
      <c r="J58" s="7">
        <f t="shared" si="47"/>
        <v>7.999969267398814E-2</v>
      </c>
      <c r="K58" s="2"/>
      <c r="L58" s="6">
        <f t="shared" si="48"/>
        <v>-9371.1200000000008</v>
      </c>
      <c r="M58" s="2"/>
      <c r="N58" s="7">
        <f t="shared" si="49"/>
        <v>-1</v>
      </c>
      <c r="O58" s="11"/>
      <c r="P58" s="6"/>
      <c r="Q58" s="2"/>
      <c r="R58" s="7">
        <f t="shared" si="50"/>
        <v>0</v>
      </c>
      <c r="S58" s="2"/>
      <c r="T58" s="6">
        <v>56742.8</v>
      </c>
      <c r="U58" s="2"/>
      <c r="V58" s="7">
        <f t="shared" si="51"/>
        <v>8.4197804566744291E-2</v>
      </c>
      <c r="W58" s="2"/>
      <c r="X58" s="6">
        <f t="shared" si="52"/>
        <v>-56742.8</v>
      </c>
      <c r="Y58" s="2"/>
      <c r="Z58" s="7">
        <f t="shared" si="53"/>
        <v>-1</v>
      </c>
    </row>
    <row r="59" spans="1:26" s="25" customFormat="1" outlineLevel="1" collapsed="1" x14ac:dyDescent="0.25">
      <c r="A59" s="27"/>
      <c r="B59" s="13" t="str">
        <f>CONCATENATE("     ","Services                                          ")</f>
        <v xml:space="preserve">     Services                                          </v>
      </c>
      <c r="C59" s="13"/>
      <c r="D59" s="1">
        <f>SUM(OSRRefD22_12x_0)</f>
        <v>115</v>
      </c>
      <c r="E59" s="1"/>
      <c r="F59" s="5">
        <f t="shared" si="46"/>
        <v>0</v>
      </c>
      <c r="G59" s="1"/>
      <c r="H59" s="1">
        <f>SUM(OSRRefH22_12x_0)</f>
        <v>373.29999999999995</v>
      </c>
      <c r="I59" s="1"/>
      <c r="J59" s="5">
        <f t="shared" si="47"/>
        <v>3.1868000063172562E-3</v>
      </c>
      <c r="K59" s="1"/>
      <c r="L59" s="1">
        <f t="shared" si="48"/>
        <v>-258.29999999999995</v>
      </c>
      <c r="M59" s="1"/>
      <c r="N59" s="5">
        <f t="shared" si="49"/>
        <v>-0.69193678006964909</v>
      </c>
      <c r="O59" s="13"/>
      <c r="P59" s="1">
        <f>SUM(OSRRefP22_12x_0)</f>
        <v>575</v>
      </c>
      <c r="Q59" s="1"/>
      <c r="R59" s="5">
        <f t="shared" si="50"/>
        <v>0</v>
      </c>
      <c r="S59" s="1"/>
      <c r="T59" s="1">
        <f>SUM(OSRRefT22_12x_0)</f>
        <v>3563.39</v>
      </c>
      <c r="U59" s="1"/>
      <c r="V59" s="5">
        <f t="shared" si="51"/>
        <v>5.2875363009067394E-3</v>
      </c>
      <c r="W59" s="1"/>
      <c r="X59" s="1">
        <f t="shared" si="52"/>
        <v>-2988.39</v>
      </c>
      <c r="Y59" s="1"/>
      <c r="Z59" s="5">
        <f t="shared" si="53"/>
        <v>-0.83863680371780802</v>
      </c>
    </row>
    <row r="60" spans="1:26" s="24" customFormat="1" hidden="1" outlineLevel="2" x14ac:dyDescent="0.25">
      <c r="A60" s="26"/>
      <c r="B60" s="11" t="str">
        <f>CONCATENATE("          ", "6282", " - ", "JANITORIAL/EXTERMINATOR EXPENS")</f>
        <v xml:space="preserve">          6282 - JANITORIAL/EXTERMINATOR EXPENS</v>
      </c>
      <c r="C60" s="11"/>
      <c r="D60" s="6"/>
      <c r="E60" s="2"/>
      <c r="F60" s="7">
        <f t="shared" si="46"/>
        <v>0</v>
      </c>
      <c r="G60" s="2"/>
      <c r="H60" s="6">
        <v>96.96</v>
      </c>
      <c r="I60" s="2"/>
      <c r="J60" s="7">
        <f t="shared" si="47"/>
        <v>8.2773139194353379E-4</v>
      </c>
      <c r="K60" s="2"/>
      <c r="L60" s="6">
        <f t="shared" si="48"/>
        <v>-96.96</v>
      </c>
      <c r="M60" s="2"/>
      <c r="N60" s="7">
        <f t="shared" si="49"/>
        <v>-1</v>
      </c>
      <c r="O60" s="11"/>
      <c r="P60" s="6"/>
      <c r="Q60" s="2"/>
      <c r="R60" s="7">
        <f t="shared" si="50"/>
        <v>0</v>
      </c>
      <c r="S60" s="2"/>
      <c r="T60" s="6">
        <v>872.64</v>
      </c>
      <c r="U60" s="2"/>
      <c r="V60" s="7">
        <f t="shared" si="51"/>
        <v>1.2948668760992361E-3</v>
      </c>
      <c r="W60" s="2"/>
      <c r="X60" s="6">
        <f t="shared" si="52"/>
        <v>-872.64</v>
      </c>
      <c r="Y60" s="2"/>
      <c r="Z60" s="7">
        <f t="shared" si="53"/>
        <v>-1</v>
      </c>
    </row>
    <row r="61" spans="1:26" s="24" customFormat="1" hidden="1" outlineLevel="2" x14ac:dyDescent="0.25">
      <c r="A61" s="26"/>
      <c r="B61" s="11" t="str">
        <f>CONCATENATE("          ", "6284", " - ", "TRASH REMOVAL EXPENSE")</f>
        <v xml:space="preserve">          6284 - TRASH REMOVAL EXPENSE</v>
      </c>
      <c r="C61" s="11"/>
      <c r="D61" s="6">
        <v>115</v>
      </c>
      <c r="E61" s="2"/>
      <c r="F61" s="7">
        <f t="shared" si="46"/>
        <v>0</v>
      </c>
      <c r="G61" s="2"/>
      <c r="H61" s="6">
        <v>115</v>
      </c>
      <c r="I61" s="2"/>
      <c r="J61" s="7">
        <f t="shared" si="47"/>
        <v>9.8173587122015664E-4</v>
      </c>
      <c r="K61" s="2"/>
      <c r="L61" s="6">
        <f t="shared" si="48"/>
        <v>0</v>
      </c>
      <c r="M61" s="2"/>
      <c r="N61" s="7">
        <f t="shared" si="49"/>
        <v>0</v>
      </c>
      <c r="O61" s="11"/>
      <c r="P61" s="6">
        <v>575</v>
      </c>
      <c r="Q61" s="2"/>
      <c r="R61" s="7">
        <f t="shared" si="50"/>
        <v>0</v>
      </c>
      <c r="S61" s="2"/>
      <c r="T61" s="6">
        <v>824</v>
      </c>
      <c r="U61" s="2"/>
      <c r="V61" s="7">
        <f t="shared" si="51"/>
        <v>1.222692411424838E-3</v>
      </c>
      <c r="W61" s="2"/>
      <c r="X61" s="6">
        <f t="shared" si="52"/>
        <v>-249</v>
      </c>
      <c r="Y61" s="2"/>
      <c r="Z61" s="7">
        <f t="shared" si="53"/>
        <v>-0.30218446601941745</v>
      </c>
    </row>
    <row r="62" spans="1:26" s="24" customFormat="1" hidden="1" outlineLevel="2" x14ac:dyDescent="0.25">
      <c r="A62" s="26"/>
      <c r="B62" s="11" t="str">
        <f>CONCATENATE("          ", "6286", " - ", "LAUNDRY EXPENSE")</f>
        <v xml:space="preserve">          6286 - LAUNDRY EXPENSE</v>
      </c>
      <c r="C62" s="11"/>
      <c r="D62" s="6"/>
      <c r="E62" s="2"/>
      <c r="F62" s="7">
        <f t="shared" si="46"/>
        <v>0</v>
      </c>
      <c r="G62" s="2"/>
      <c r="H62" s="6">
        <v>161.34</v>
      </c>
      <c r="I62" s="2"/>
      <c r="J62" s="7">
        <f t="shared" si="47"/>
        <v>1.377332743153566E-3</v>
      </c>
      <c r="K62" s="2"/>
      <c r="L62" s="6">
        <f t="shared" si="48"/>
        <v>-161.34</v>
      </c>
      <c r="M62" s="2"/>
      <c r="N62" s="7">
        <f t="shared" si="49"/>
        <v>-1</v>
      </c>
      <c r="O62" s="11"/>
      <c r="P62" s="6"/>
      <c r="Q62" s="2"/>
      <c r="R62" s="7">
        <f t="shared" si="50"/>
        <v>0</v>
      </c>
      <c r="S62" s="2"/>
      <c r="T62" s="6">
        <v>1866.75</v>
      </c>
      <c r="U62" s="2"/>
      <c r="V62" s="7">
        <f t="shared" si="51"/>
        <v>2.7699770133826655E-3</v>
      </c>
      <c r="W62" s="2"/>
      <c r="X62" s="6">
        <f t="shared" si="52"/>
        <v>-1866.75</v>
      </c>
      <c r="Y62" s="2"/>
      <c r="Z62" s="7">
        <f t="shared" si="53"/>
        <v>-1</v>
      </c>
    </row>
    <row r="63" spans="1:26" s="25" customFormat="1" outlineLevel="1" collapsed="1" x14ac:dyDescent="0.25">
      <c r="A63" s="27"/>
      <c r="B63" s="13" t="str">
        <f>CONCATENATE("     ","Subscriptions &amp; Dues                              ")</f>
        <v xml:space="preserve">     Subscriptions &amp; Dues                              </v>
      </c>
      <c r="C63" s="13"/>
      <c r="D63" s="1">
        <f>SUM(OSRRefD22_13x_0)</f>
        <v>0</v>
      </c>
      <c r="E63" s="1"/>
      <c r="F63" s="5">
        <f t="shared" ref="F63:F65" si="54">IF(D$12=0,0,D63/D$12)</f>
        <v>0</v>
      </c>
      <c r="G63" s="1"/>
      <c r="H63" s="1">
        <f>SUM(OSRRefH22_13x_0)</f>
        <v>0</v>
      </c>
      <c r="I63" s="1"/>
      <c r="J63" s="5">
        <f t="shared" ref="J63:J65" si="55">IF(H$12=0,0,H63/H$12)</f>
        <v>0</v>
      </c>
      <c r="K63" s="1"/>
      <c r="L63" s="1">
        <f t="shared" ref="L63:L65" si="56">+D63-H63</f>
        <v>0</v>
      </c>
      <c r="M63" s="1"/>
      <c r="N63" s="5">
        <f t="shared" ref="N63:N65" si="57">IF(H63=0,0,L63/H63)</f>
        <v>0</v>
      </c>
      <c r="O63" s="13"/>
      <c r="P63" s="1">
        <f>SUM(OSRRefP22_13x_0)</f>
        <v>0</v>
      </c>
      <c r="Q63" s="1"/>
      <c r="R63" s="5">
        <f t="shared" ref="R63:R65" si="58">IF(P$12=0,0,P63/P$12)</f>
        <v>0</v>
      </c>
      <c r="S63" s="1"/>
      <c r="T63" s="1">
        <f>SUM(OSRRefT22_13x_0)</f>
        <v>1101.72</v>
      </c>
      <c r="U63" s="1"/>
      <c r="V63" s="5">
        <f t="shared" ref="V63:V65" si="59">IF(T$12=0,0,T63/T$12)</f>
        <v>1.6347872372754521E-3</v>
      </c>
      <c r="W63" s="1"/>
      <c r="X63" s="1">
        <f t="shared" ref="X63:X65" si="60">+P63-T63</f>
        <v>-1101.72</v>
      </c>
      <c r="Y63" s="1"/>
      <c r="Z63" s="5">
        <f t="shared" ref="Z63:Z65" si="61">IF(T63=0,0,X63/T63)</f>
        <v>-1</v>
      </c>
    </row>
    <row r="64" spans="1:26" s="24" customFormat="1" hidden="1" outlineLevel="2" x14ac:dyDescent="0.25">
      <c r="A64" s="26"/>
      <c r="B64" s="11" t="str">
        <f>CONCATENATE("          ", "6258", " - ", "MEMBERSHIP DUES")</f>
        <v xml:space="preserve">          6258 - MEMBERSHIP DUES</v>
      </c>
      <c r="C64" s="11"/>
      <c r="D64" s="6"/>
      <c r="E64" s="2"/>
      <c r="F64" s="7">
        <f t="shared" si="54"/>
        <v>0</v>
      </c>
      <c r="G64" s="2"/>
      <c r="H64" s="6"/>
      <c r="I64" s="2"/>
      <c r="J64" s="7">
        <f t="shared" si="55"/>
        <v>0</v>
      </c>
      <c r="K64" s="2"/>
      <c r="L64" s="6">
        <f t="shared" si="56"/>
        <v>0</v>
      </c>
      <c r="M64" s="2"/>
      <c r="N64" s="7">
        <f t="shared" si="57"/>
        <v>0</v>
      </c>
      <c r="O64" s="11"/>
      <c r="P64" s="6"/>
      <c r="Q64" s="2"/>
      <c r="R64" s="7">
        <f t="shared" si="58"/>
        <v>0</v>
      </c>
      <c r="S64" s="2"/>
      <c r="T64" s="6">
        <v>979</v>
      </c>
      <c r="U64" s="2"/>
      <c r="V64" s="7">
        <f t="shared" si="59"/>
        <v>1.4526891635739277E-3</v>
      </c>
      <c r="W64" s="2"/>
      <c r="X64" s="6">
        <f t="shared" si="60"/>
        <v>-979</v>
      </c>
      <c r="Y64" s="2"/>
      <c r="Z64" s="7">
        <f t="shared" si="61"/>
        <v>-1</v>
      </c>
    </row>
    <row r="65" spans="1:26" s="24" customFormat="1" hidden="1" outlineLevel="2" x14ac:dyDescent="0.25">
      <c r="A65" s="26"/>
      <c r="B65" s="11" t="str">
        <f>CONCATENATE("          ", "6275", " - ", "SUBSCRIPTIONS")</f>
        <v xml:space="preserve">          6275 - SUBSCRIPTIONS</v>
      </c>
      <c r="C65" s="11"/>
      <c r="D65" s="6"/>
      <c r="E65" s="2"/>
      <c r="F65" s="7">
        <f t="shared" si="54"/>
        <v>0</v>
      </c>
      <c r="G65" s="2"/>
      <c r="H65" s="6"/>
      <c r="I65" s="2"/>
      <c r="J65" s="7">
        <f t="shared" si="55"/>
        <v>0</v>
      </c>
      <c r="K65" s="2"/>
      <c r="L65" s="6">
        <f t="shared" si="56"/>
        <v>0</v>
      </c>
      <c r="M65" s="2"/>
      <c r="N65" s="7">
        <f t="shared" si="57"/>
        <v>0</v>
      </c>
      <c r="O65" s="11"/>
      <c r="P65" s="6"/>
      <c r="Q65" s="2"/>
      <c r="R65" s="7">
        <f t="shared" si="58"/>
        <v>0</v>
      </c>
      <c r="S65" s="2"/>
      <c r="T65" s="6">
        <v>122.72</v>
      </c>
      <c r="U65" s="2"/>
      <c r="V65" s="7">
        <f t="shared" si="59"/>
        <v>1.8209807370152441E-4</v>
      </c>
      <c r="W65" s="2"/>
      <c r="X65" s="6">
        <f t="shared" si="60"/>
        <v>-122.72</v>
      </c>
      <c r="Y65" s="2"/>
      <c r="Z65" s="7">
        <f t="shared" si="61"/>
        <v>-1</v>
      </c>
    </row>
    <row r="66" spans="1:26" s="25" customFormat="1" outlineLevel="1" collapsed="1" x14ac:dyDescent="0.25">
      <c r="A66" s="27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SUM(OSRRefD22_14x_0)</f>
        <v>0</v>
      </c>
      <c r="E66" s="1"/>
      <c r="F66" s="5">
        <f t="shared" ref="F66:F73" si="62">IF(D$12=0,0,D66/D$12)</f>
        <v>0</v>
      </c>
      <c r="G66" s="1"/>
      <c r="H66" s="1">
        <f>SUM(OSRRefH22_14x_0)</f>
        <v>790.54</v>
      </c>
      <c r="I66" s="1"/>
      <c r="J66" s="5">
        <f t="shared" ref="J66:J73" si="63">IF(H$12=0,0,H66/H$12)</f>
        <v>6.7487084837772405E-3</v>
      </c>
      <c r="K66" s="1"/>
      <c r="L66" s="1">
        <f t="shared" ref="L66:L73" si="64">+D66-H66</f>
        <v>-790.54</v>
      </c>
      <c r="M66" s="1"/>
      <c r="N66" s="5">
        <f t="shared" ref="N66:N73" si="65">IF(H66=0,0,L66/H66)</f>
        <v>-1</v>
      </c>
      <c r="O66" s="13"/>
      <c r="P66" s="1">
        <f>SUM(OSRRefP22_14x_0)</f>
        <v>72</v>
      </c>
      <c r="Q66" s="1"/>
      <c r="R66" s="5">
        <f t="shared" ref="R66:R73" si="66">IF(P$12=0,0,P66/P$12)</f>
        <v>0</v>
      </c>
      <c r="S66" s="1"/>
      <c r="T66" s="1">
        <f>SUM(OSRRefT22_14x_0)</f>
        <v>10707.150000000001</v>
      </c>
      <c r="U66" s="1"/>
      <c r="V66" s="5">
        <f t="shared" ref="V66:V73" si="67">IF(T$12=0,0,T66/T$12)</f>
        <v>1.5887804675955651E-2</v>
      </c>
      <c r="W66" s="1"/>
      <c r="X66" s="1">
        <f t="shared" ref="X66:X73" si="68">+P66-T66</f>
        <v>-10635.150000000001</v>
      </c>
      <c r="Y66" s="1"/>
      <c r="Z66" s="5">
        <f t="shared" ref="Z66:Z73" si="69">IF(T66=0,0,X66/T66)</f>
        <v>-0.99327552149731724</v>
      </c>
    </row>
    <row r="67" spans="1:26" s="24" customFormat="1" hidden="1" outlineLevel="2" x14ac:dyDescent="0.25">
      <c r="A67" s="26"/>
      <c r="B67" s="11" t="str">
        <f>CONCATENATE("          ", "6237", " - ", "JANITORIAL SUPPLIES")</f>
        <v xml:space="preserve">          6237 - JANITORIAL SUPPLIES</v>
      </c>
      <c r="C67" s="11"/>
      <c r="D67" s="6"/>
      <c r="E67" s="2"/>
      <c r="F67" s="7">
        <f t="shared" si="62"/>
        <v>0</v>
      </c>
      <c r="G67" s="2"/>
      <c r="H67" s="6">
        <v>316.27999999999997</v>
      </c>
      <c r="I67" s="2"/>
      <c r="J67" s="7">
        <f t="shared" si="63"/>
        <v>2.7000297508653144E-3</v>
      </c>
      <c r="K67" s="2"/>
      <c r="L67" s="6">
        <f t="shared" si="64"/>
        <v>-316.27999999999997</v>
      </c>
      <c r="M67" s="2"/>
      <c r="N67" s="7">
        <f t="shared" si="65"/>
        <v>-1</v>
      </c>
      <c r="O67" s="11"/>
      <c r="P67" s="6">
        <v>72</v>
      </c>
      <c r="Q67" s="2"/>
      <c r="R67" s="7">
        <f t="shared" si="66"/>
        <v>0</v>
      </c>
      <c r="S67" s="2"/>
      <c r="T67" s="6">
        <v>1744.91</v>
      </c>
      <c r="U67" s="2"/>
      <c r="V67" s="7">
        <f t="shared" si="67"/>
        <v>2.5891847276933427E-3</v>
      </c>
      <c r="W67" s="2"/>
      <c r="X67" s="6">
        <f t="shared" si="68"/>
        <v>-1672.91</v>
      </c>
      <c r="Y67" s="2"/>
      <c r="Z67" s="7">
        <f t="shared" si="69"/>
        <v>-0.95873712684321832</v>
      </c>
    </row>
    <row r="68" spans="1:26" s="24" customFormat="1" hidden="1" outlineLevel="2" x14ac:dyDescent="0.25">
      <c r="A68" s="26"/>
      <c r="B68" s="11" t="str">
        <f>CONCATENATE("          ", "6239", " - ", "KITCHEN SUPPLIES")</f>
        <v xml:space="preserve">          6239 - KITCHEN SUPPLIES</v>
      </c>
      <c r="C68" s="11"/>
      <c r="D68" s="6"/>
      <c r="E68" s="2"/>
      <c r="F68" s="7">
        <f t="shared" si="62"/>
        <v>0</v>
      </c>
      <c r="G68" s="2"/>
      <c r="H68" s="6">
        <v>283.62</v>
      </c>
      <c r="I68" s="2"/>
      <c r="J68" s="7">
        <f t="shared" si="63"/>
        <v>2.42121676343879E-3</v>
      </c>
      <c r="K68" s="2"/>
      <c r="L68" s="6">
        <f t="shared" si="64"/>
        <v>-283.62</v>
      </c>
      <c r="M68" s="2"/>
      <c r="N68" s="7">
        <f t="shared" si="65"/>
        <v>-1</v>
      </c>
      <c r="O68" s="11"/>
      <c r="P68" s="6"/>
      <c r="Q68" s="2"/>
      <c r="R68" s="7">
        <f t="shared" si="66"/>
        <v>0</v>
      </c>
      <c r="S68" s="2"/>
      <c r="T68" s="6">
        <v>4284.8599999999997</v>
      </c>
      <c r="U68" s="2"/>
      <c r="V68" s="7">
        <f t="shared" si="67"/>
        <v>6.3580895704099891E-3</v>
      </c>
      <c r="W68" s="2"/>
      <c r="X68" s="6">
        <f t="shared" si="68"/>
        <v>-4284.8599999999997</v>
      </c>
      <c r="Y68" s="2"/>
      <c r="Z68" s="7">
        <f t="shared" si="69"/>
        <v>-1</v>
      </c>
    </row>
    <row r="69" spans="1:26" s="24" customFormat="1" hidden="1" outlineLevel="2" x14ac:dyDescent="0.25">
      <c r="A69" s="26"/>
      <c r="B69" s="11" t="str">
        <f>CONCATENATE("          ", "6241", " - ", "OFFICE EXPENSE")</f>
        <v xml:space="preserve">          6241 - OFFICE EXPENSE</v>
      </c>
      <c r="C69" s="11"/>
      <c r="D69" s="6"/>
      <c r="E69" s="2"/>
      <c r="F69" s="7">
        <f t="shared" si="62"/>
        <v>0</v>
      </c>
      <c r="G69" s="2"/>
      <c r="H69" s="6"/>
      <c r="I69" s="2"/>
      <c r="J69" s="7">
        <f t="shared" si="63"/>
        <v>0</v>
      </c>
      <c r="K69" s="2"/>
      <c r="L69" s="6">
        <f t="shared" si="64"/>
        <v>0</v>
      </c>
      <c r="M69" s="2"/>
      <c r="N69" s="7">
        <f t="shared" si="65"/>
        <v>0</v>
      </c>
      <c r="O69" s="11"/>
      <c r="P69" s="6"/>
      <c r="Q69" s="2"/>
      <c r="R69" s="7">
        <f t="shared" si="66"/>
        <v>0</v>
      </c>
      <c r="S69" s="2"/>
      <c r="T69" s="6">
        <v>1405.42</v>
      </c>
      <c r="U69" s="2"/>
      <c r="V69" s="7">
        <f t="shared" si="67"/>
        <v>2.0854324864862813E-3</v>
      </c>
      <c r="W69" s="2"/>
      <c r="X69" s="6">
        <f t="shared" si="68"/>
        <v>-1405.42</v>
      </c>
      <c r="Y69" s="2"/>
      <c r="Z69" s="7">
        <f t="shared" si="69"/>
        <v>-1</v>
      </c>
    </row>
    <row r="70" spans="1:26" s="24" customFormat="1" hidden="1" outlineLevel="2" x14ac:dyDescent="0.25">
      <c r="A70" s="26"/>
      <c r="B70" s="11" t="str">
        <f>CONCATENATE("          ", "6243", " - ", "PAPER SUPPLIES")</f>
        <v xml:space="preserve">          6243 - PAPER SUPPLIES</v>
      </c>
      <c r="C70" s="11"/>
      <c r="D70" s="6"/>
      <c r="E70" s="2"/>
      <c r="F70" s="7">
        <f t="shared" si="62"/>
        <v>0</v>
      </c>
      <c r="G70" s="2"/>
      <c r="H70" s="6">
        <v>190.64</v>
      </c>
      <c r="I70" s="2"/>
      <c r="J70" s="7">
        <f t="shared" si="63"/>
        <v>1.6274619694731363E-3</v>
      </c>
      <c r="K70" s="2"/>
      <c r="L70" s="6">
        <f t="shared" si="64"/>
        <v>-190.64</v>
      </c>
      <c r="M70" s="2"/>
      <c r="N70" s="7">
        <f t="shared" si="65"/>
        <v>-1</v>
      </c>
      <c r="O70" s="11"/>
      <c r="P70" s="6"/>
      <c r="Q70" s="2"/>
      <c r="R70" s="7">
        <f t="shared" si="66"/>
        <v>0</v>
      </c>
      <c r="S70" s="2"/>
      <c r="T70" s="6">
        <v>4537.51</v>
      </c>
      <c r="U70" s="2"/>
      <c r="V70" s="7">
        <f t="shared" si="67"/>
        <v>6.7329842764130062E-3</v>
      </c>
      <c r="W70" s="2"/>
      <c r="X70" s="6">
        <f t="shared" si="68"/>
        <v>-4537.51</v>
      </c>
      <c r="Y70" s="2"/>
      <c r="Z70" s="7">
        <f t="shared" si="69"/>
        <v>-1</v>
      </c>
    </row>
    <row r="71" spans="1:26" s="24" customFormat="1" hidden="1" outlineLevel="2" x14ac:dyDescent="0.25">
      <c r="A71" s="26"/>
      <c r="B71" s="11" t="str">
        <f>CONCATENATE("          ", "6245", " - ", "PRINTING")</f>
        <v xml:space="preserve">          6245 - PRINTING</v>
      </c>
      <c r="C71" s="11"/>
      <c r="D71" s="6"/>
      <c r="E71" s="2"/>
      <c r="F71" s="7">
        <f t="shared" si="62"/>
        <v>0</v>
      </c>
      <c r="G71" s="2"/>
      <c r="H71" s="6"/>
      <c r="I71" s="2"/>
      <c r="J71" s="7">
        <f t="shared" si="63"/>
        <v>0</v>
      </c>
      <c r="K71" s="2"/>
      <c r="L71" s="6">
        <f t="shared" si="64"/>
        <v>0</v>
      </c>
      <c r="M71" s="2"/>
      <c r="N71" s="7">
        <f t="shared" si="65"/>
        <v>0</v>
      </c>
      <c r="O71" s="11"/>
      <c r="P71" s="6"/>
      <c r="Q71" s="2"/>
      <c r="R71" s="7">
        <f t="shared" si="66"/>
        <v>0</v>
      </c>
      <c r="S71" s="2"/>
      <c r="T71" s="6">
        <v>66.930000000000007</v>
      </c>
      <c r="U71" s="2"/>
      <c r="V71" s="7">
        <f t="shared" si="67"/>
        <v>9.9314081427990793E-5</v>
      </c>
      <c r="W71" s="2"/>
      <c r="X71" s="6">
        <f t="shared" si="68"/>
        <v>-66.930000000000007</v>
      </c>
      <c r="Y71" s="2"/>
      <c r="Z71" s="7">
        <f t="shared" si="69"/>
        <v>-1</v>
      </c>
    </row>
    <row r="72" spans="1:26" s="24" customFormat="1" hidden="1" outlineLevel="2" x14ac:dyDescent="0.25">
      <c r="A72" s="26"/>
      <c r="B72" s="11" t="str">
        <f>CONCATENATE("          ", "6247", " - ", "STORE SUPPLIES")</f>
        <v xml:space="preserve">          6247 - STORE SUPPLIES</v>
      </c>
      <c r="C72" s="11"/>
      <c r="D72" s="6"/>
      <c r="E72" s="2"/>
      <c r="F72" s="7">
        <f t="shared" si="62"/>
        <v>0</v>
      </c>
      <c r="G72" s="2"/>
      <c r="H72" s="6"/>
      <c r="I72" s="2"/>
      <c r="J72" s="7">
        <f t="shared" si="63"/>
        <v>0</v>
      </c>
      <c r="K72" s="2"/>
      <c r="L72" s="6">
        <f t="shared" si="64"/>
        <v>0</v>
      </c>
      <c r="M72" s="2"/>
      <c r="N72" s="7">
        <f t="shared" si="65"/>
        <v>0</v>
      </c>
      <c r="O72" s="11"/>
      <c r="P72" s="6"/>
      <c r="Q72" s="2"/>
      <c r="R72" s="7">
        <f t="shared" si="66"/>
        <v>0</v>
      </c>
      <c r="S72" s="2"/>
      <c r="T72" s="6">
        <v>-1466.56</v>
      </c>
      <c r="U72" s="2"/>
      <c r="V72" s="7">
        <f t="shared" si="67"/>
        <v>-2.1761550763339933E-3</v>
      </c>
      <c r="W72" s="2"/>
      <c r="X72" s="6">
        <f t="shared" si="68"/>
        <v>1466.56</v>
      </c>
      <c r="Y72" s="2"/>
      <c r="Z72" s="7">
        <f t="shared" si="69"/>
        <v>-1</v>
      </c>
    </row>
    <row r="73" spans="1:26" s="24" customFormat="1" hidden="1" outlineLevel="2" x14ac:dyDescent="0.25">
      <c r="A73" s="26"/>
      <c r="B73" s="11" t="str">
        <f>CONCATENATE("          ", "6248", " - ", "UNIFORMS")</f>
        <v xml:space="preserve">          6248 - UNIFORMS</v>
      </c>
      <c r="C73" s="11"/>
      <c r="D73" s="6"/>
      <c r="E73" s="2"/>
      <c r="F73" s="7">
        <f t="shared" si="62"/>
        <v>0</v>
      </c>
      <c r="G73" s="2"/>
      <c r="H73" s="6"/>
      <c r="I73" s="2"/>
      <c r="J73" s="7">
        <f t="shared" si="63"/>
        <v>0</v>
      </c>
      <c r="K73" s="2"/>
      <c r="L73" s="6">
        <f t="shared" si="64"/>
        <v>0</v>
      </c>
      <c r="M73" s="2"/>
      <c r="N73" s="7">
        <f t="shared" si="65"/>
        <v>0</v>
      </c>
      <c r="O73" s="11"/>
      <c r="P73" s="6"/>
      <c r="Q73" s="2"/>
      <c r="R73" s="7">
        <f t="shared" si="66"/>
        <v>0</v>
      </c>
      <c r="S73" s="2"/>
      <c r="T73" s="6">
        <v>134.08000000000001</v>
      </c>
      <c r="U73" s="2"/>
      <c r="V73" s="7">
        <f t="shared" si="67"/>
        <v>1.9895460985903192E-4</v>
      </c>
      <c r="W73" s="2"/>
      <c r="X73" s="6">
        <f t="shared" si="68"/>
        <v>-134.08000000000001</v>
      </c>
      <c r="Y73" s="2"/>
      <c r="Z73" s="7">
        <f t="shared" si="69"/>
        <v>-1</v>
      </c>
    </row>
    <row r="74" spans="1:26" s="25" customFormat="1" outlineLevel="1" collapsed="1" x14ac:dyDescent="0.25">
      <c r="A74" s="27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SUM(OSRRefD22_15x_0)</f>
        <v>0</v>
      </c>
      <c r="E74" s="1"/>
      <c r="F74" s="5">
        <f t="shared" ref="F74:F79" si="70">IF(D$12=0,0,D74/D$12)</f>
        <v>0</v>
      </c>
      <c r="G74" s="1"/>
      <c r="H74" s="1">
        <f>SUM(OSRRefH22_15x_0)</f>
        <v>73.150000000000006</v>
      </c>
      <c r="I74" s="1"/>
      <c r="J74" s="5">
        <f t="shared" ref="J74:J79" si="71">IF(H$12=0,0,H74/H$12)</f>
        <v>6.2446938243264762E-4</v>
      </c>
      <c r="K74" s="1"/>
      <c r="L74" s="1">
        <f t="shared" ref="L74:L79" si="72">+D74-H74</f>
        <v>-73.150000000000006</v>
      </c>
      <c r="M74" s="1"/>
      <c r="N74" s="5">
        <f t="shared" ref="N74:N79" si="73">IF(H74=0,0,L74/H74)</f>
        <v>-1</v>
      </c>
      <c r="O74" s="13"/>
      <c r="P74" s="1">
        <f>SUM(OSRRefP22_15x_0)</f>
        <v>77.430000000000007</v>
      </c>
      <c r="Q74" s="1"/>
      <c r="R74" s="5">
        <f t="shared" ref="R74:R79" si="74">IF(P$12=0,0,P74/P$12)</f>
        <v>0</v>
      </c>
      <c r="S74" s="1"/>
      <c r="T74" s="1">
        <f>SUM(OSRRefT22_15x_0)</f>
        <v>1388.65</v>
      </c>
      <c r="U74" s="1"/>
      <c r="V74" s="5">
        <f t="shared" ref="V74:V79" si="75">IF(T$12=0,0,T74/T$12)</f>
        <v>2.060548321753764E-3</v>
      </c>
      <c r="W74" s="1"/>
      <c r="X74" s="1">
        <f t="shared" ref="X74:X79" si="76">+P74-T74</f>
        <v>-1311.22</v>
      </c>
      <c r="Y74" s="1"/>
      <c r="Z74" s="5">
        <f t="shared" ref="Z74:Z79" si="77">IF(T74=0,0,X74/T74)</f>
        <v>-0.94424080941922006</v>
      </c>
    </row>
    <row r="75" spans="1:26" s="24" customFormat="1" hidden="1" outlineLevel="2" x14ac:dyDescent="0.25">
      <c r="A75" s="26"/>
      <c r="B75" s="11" t="str">
        <f>CONCATENATE("          ", "6309", " - ", "TELEPHONE")</f>
        <v xml:space="preserve">          6309 - TELEPHONE</v>
      </c>
      <c r="C75" s="11"/>
      <c r="D75" s="6"/>
      <c r="E75" s="2"/>
      <c r="F75" s="7">
        <f t="shared" si="70"/>
        <v>0</v>
      </c>
      <c r="G75" s="2"/>
      <c r="H75" s="6">
        <v>73.150000000000006</v>
      </c>
      <c r="I75" s="2"/>
      <c r="J75" s="7">
        <f t="shared" si="71"/>
        <v>6.2446938243264762E-4</v>
      </c>
      <c r="K75" s="2"/>
      <c r="L75" s="6">
        <f t="shared" si="72"/>
        <v>-73.150000000000006</v>
      </c>
      <c r="M75" s="2"/>
      <c r="N75" s="7">
        <f t="shared" si="73"/>
        <v>-1</v>
      </c>
      <c r="O75" s="11"/>
      <c r="P75" s="6">
        <v>77.430000000000007</v>
      </c>
      <c r="Q75" s="2"/>
      <c r="R75" s="7">
        <f t="shared" si="74"/>
        <v>0</v>
      </c>
      <c r="S75" s="2"/>
      <c r="T75" s="6">
        <v>1388.65</v>
      </c>
      <c r="U75" s="2"/>
      <c r="V75" s="7">
        <f t="shared" si="75"/>
        <v>2.060548321753764E-3</v>
      </c>
      <c r="W75" s="2"/>
      <c r="X75" s="6">
        <f t="shared" si="76"/>
        <v>-1311.22</v>
      </c>
      <c r="Y75" s="2"/>
      <c r="Z75" s="7">
        <f t="shared" si="77"/>
        <v>-0.94424080941922006</v>
      </c>
    </row>
    <row r="76" spans="1:26" s="25" customFormat="1" outlineLevel="1" collapsed="1" x14ac:dyDescent="0.25">
      <c r="A76" s="27"/>
      <c r="B76" s="13" t="str">
        <f>CONCATENATE("     ","Training                                          ")</f>
        <v xml:space="preserve">     Training                                          </v>
      </c>
      <c r="C76" s="13"/>
      <c r="D76" s="1">
        <f>SUM(OSRRefD22_16x_0)</f>
        <v>0</v>
      </c>
      <c r="E76" s="1"/>
      <c r="F76" s="5">
        <f t="shared" si="70"/>
        <v>0</v>
      </c>
      <c r="G76" s="1"/>
      <c r="H76" s="1">
        <f>SUM(OSRRefH22_16x_0)</f>
        <v>0</v>
      </c>
      <c r="I76" s="1"/>
      <c r="J76" s="5">
        <f t="shared" si="71"/>
        <v>0</v>
      </c>
      <c r="K76" s="1"/>
      <c r="L76" s="1">
        <f t="shared" si="72"/>
        <v>0</v>
      </c>
      <c r="M76" s="1"/>
      <c r="N76" s="5">
        <f t="shared" si="73"/>
        <v>0</v>
      </c>
      <c r="O76" s="13"/>
      <c r="P76" s="1">
        <f>SUM(OSRRefP22_16x_0)</f>
        <v>0</v>
      </c>
      <c r="Q76" s="1"/>
      <c r="R76" s="5">
        <f t="shared" si="74"/>
        <v>0</v>
      </c>
      <c r="S76" s="1"/>
      <c r="T76" s="1">
        <f>SUM(OSRRefT22_16x_0)</f>
        <v>465.65</v>
      </c>
      <c r="U76" s="1"/>
      <c r="V76" s="5">
        <f t="shared" si="75"/>
        <v>6.9095475895628131E-4</v>
      </c>
      <c r="W76" s="1"/>
      <c r="X76" s="1">
        <f t="shared" si="76"/>
        <v>-465.65</v>
      </c>
      <c r="Y76" s="1"/>
      <c r="Z76" s="5">
        <f t="shared" si="77"/>
        <v>-1</v>
      </c>
    </row>
    <row r="77" spans="1:26" s="24" customFormat="1" hidden="1" outlineLevel="2" x14ac:dyDescent="0.25">
      <c r="A77" s="26"/>
      <c r="B77" s="11" t="str">
        <f>CONCATENATE("          ", "6376", " - ", "TRAINING")</f>
        <v xml:space="preserve">          6376 - TRAINING</v>
      </c>
      <c r="C77" s="11"/>
      <c r="D77" s="6"/>
      <c r="E77" s="2"/>
      <c r="F77" s="7">
        <f t="shared" si="70"/>
        <v>0</v>
      </c>
      <c r="G77" s="2"/>
      <c r="H77" s="6"/>
      <c r="I77" s="2"/>
      <c r="J77" s="7">
        <f t="shared" si="71"/>
        <v>0</v>
      </c>
      <c r="K77" s="2"/>
      <c r="L77" s="6">
        <f t="shared" si="72"/>
        <v>0</v>
      </c>
      <c r="M77" s="2"/>
      <c r="N77" s="7">
        <f t="shared" si="73"/>
        <v>0</v>
      </c>
      <c r="O77" s="11"/>
      <c r="P77" s="6"/>
      <c r="Q77" s="2"/>
      <c r="R77" s="7">
        <f t="shared" si="74"/>
        <v>0</v>
      </c>
      <c r="S77" s="2"/>
      <c r="T77" s="6">
        <v>465.65</v>
      </c>
      <c r="U77" s="2"/>
      <c r="V77" s="7">
        <f t="shared" si="75"/>
        <v>6.9095475895628131E-4</v>
      </c>
      <c r="W77" s="2"/>
      <c r="X77" s="6">
        <f t="shared" si="76"/>
        <v>-465.65</v>
      </c>
      <c r="Y77" s="2"/>
      <c r="Z77" s="7">
        <f t="shared" si="77"/>
        <v>-1</v>
      </c>
    </row>
    <row r="78" spans="1:26" s="25" customFormat="1" outlineLevel="1" collapsed="1" x14ac:dyDescent="0.25">
      <c r="A78" s="27"/>
      <c r="B78" s="13" t="str">
        <f>CONCATENATE("     ","Utilities                                         ")</f>
        <v xml:space="preserve">     Utilities                                         </v>
      </c>
      <c r="C78" s="13"/>
      <c r="D78" s="1">
        <f>SUM(OSRRefD22_17x_0)</f>
        <v>348</v>
      </c>
      <c r="E78" s="1"/>
      <c r="F78" s="5">
        <f t="shared" si="70"/>
        <v>0</v>
      </c>
      <c r="G78" s="1"/>
      <c r="H78" s="1">
        <f>SUM(OSRRefH22_17x_0)</f>
        <v>348</v>
      </c>
      <c r="I78" s="1"/>
      <c r="J78" s="5">
        <f t="shared" si="71"/>
        <v>2.9708181146488222E-3</v>
      </c>
      <c r="K78" s="1"/>
      <c r="L78" s="1">
        <f t="shared" si="72"/>
        <v>0</v>
      </c>
      <c r="M78" s="1"/>
      <c r="N78" s="5">
        <f t="shared" si="73"/>
        <v>0</v>
      </c>
      <c r="O78" s="13"/>
      <c r="P78" s="1">
        <f>SUM(OSRRefP22_17x_0)</f>
        <v>1740</v>
      </c>
      <c r="Q78" s="1"/>
      <c r="R78" s="5">
        <f t="shared" si="74"/>
        <v>0</v>
      </c>
      <c r="S78" s="1"/>
      <c r="T78" s="1">
        <f>SUM(OSRRefT22_17x_0)</f>
        <v>2780</v>
      </c>
      <c r="U78" s="1"/>
      <c r="V78" s="5">
        <f t="shared" si="75"/>
        <v>4.125103038544963E-3</v>
      </c>
      <c r="W78" s="1"/>
      <c r="X78" s="1">
        <f t="shared" si="76"/>
        <v>-1040</v>
      </c>
      <c r="Y78" s="1"/>
      <c r="Z78" s="5">
        <f t="shared" si="77"/>
        <v>-0.37410071942446044</v>
      </c>
    </row>
    <row r="79" spans="1:26" s="24" customFormat="1" hidden="1" outlineLevel="2" x14ac:dyDescent="0.25">
      <c r="A79" s="26"/>
      <c r="B79" s="11" t="str">
        <f>CONCATENATE("          ", "6274", " - ", "UTILITIES")</f>
        <v xml:space="preserve">          6274 - UTILITIES</v>
      </c>
      <c r="C79" s="11"/>
      <c r="D79" s="6">
        <v>348</v>
      </c>
      <c r="E79" s="2"/>
      <c r="F79" s="7">
        <f t="shared" si="70"/>
        <v>0</v>
      </c>
      <c r="G79" s="2"/>
      <c r="H79" s="6">
        <v>348</v>
      </c>
      <c r="I79" s="2"/>
      <c r="J79" s="7">
        <f t="shared" si="71"/>
        <v>2.9708181146488222E-3</v>
      </c>
      <c r="K79" s="2"/>
      <c r="L79" s="6">
        <f t="shared" si="72"/>
        <v>0</v>
      </c>
      <c r="M79" s="2"/>
      <c r="N79" s="7">
        <f t="shared" si="73"/>
        <v>0</v>
      </c>
      <c r="O79" s="11"/>
      <c r="P79" s="6">
        <v>1740</v>
      </c>
      <c r="Q79" s="2"/>
      <c r="R79" s="7">
        <f t="shared" si="74"/>
        <v>0</v>
      </c>
      <c r="S79" s="2"/>
      <c r="T79" s="6">
        <v>2780</v>
      </c>
      <c r="U79" s="2"/>
      <c r="V79" s="7">
        <f t="shared" si="75"/>
        <v>4.125103038544963E-3</v>
      </c>
      <c r="W79" s="2"/>
      <c r="X79" s="6">
        <f t="shared" si="76"/>
        <v>-1040</v>
      </c>
      <c r="Y79" s="2"/>
      <c r="Z79" s="7">
        <f t="shared" si="77"/>
        <v>-0.37410071942446044</v>
      </c>
    </row>
    <row r="80" spans="1:26" s="52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8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9" t="s">
        <v>3</v>
      </c>
      <c r="C83" s="29"/>
      <c r="D83" s="22">
        <f>+D20-D22+D81</f>
        <v>-3326.46</v>
      </c>
      <c r="E83" s="14"/>
      <c r="F83" s="20">
        <f>IF(D$12=0,0,D83/D$12)</f>
        <v>0</v>
      </c>
      <c r="G83" s="14"/>
      <c r="H83" s="22">
        <f>+H20-H22+H81</f>
        <v>15716.85000000002</v>
      </c>
      <c r="I83" s="14"/>
      <c r="J83" s="20">
        <f>IF(H$12=0,0,H83/H$12)</f>
        <v>0.13417213415292645</v>
      </c>
      <c r="K83" s="16"/>
      <c r="L83" s="22">
        <f>+D83-H83</f>
        <v>-19043.310000000019</v>
      </c>
      <c r="M83" s="16"/>
      <c r="N83" s="20">
        <f>IF(H83=0,0,L83/H83)</f>
        <v>-1.2116492808673491</v>
      </c>
      <c r="O83" s="28"/>
      <c r="P83" s="22">
        <f>+P20-P22+P81</f>
        <v>-54212.51</v>
      </c>
      <c r="Q83" s="14"/>
      <c r="R83" s="20">
        <f>IF(P$12=0,0,P83/P$12)</f>
        <v>0</v>
      </c>
      <c r="S83" s="14"/>
      <c r="T83" s="22">
        <f>+T20-T22+T81</f>
        <v>-37297.090000000026</v>
      </c>
      <c r="U83" s="14"/>
      <c r="V83" s="20">
        <f>IF(T$12=0,0,T83/T$12)</f>
        <v>-5.5343287513627722E-2</v>
      </c>
      <c r="W83" s="16"/>
      <c r="X83" s="22">
        <f>+P83-T83</f>
        <v>-16915.419999999976</v>
      </c>
      <c r="Y83" s="16"/>
      <c r="Z83" s="20">
        <f>IF(T83=0,0,X83/T83)</f>
        <v>0.45353189752873385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1"/>
      <c r="B85" s="10" t="s">
        <v>13</v>
      </c>
      <c r="C85" s="10"/>
      <c r="D85" s="4"/>
      <c r="E85" s="4"/>
      <c r="F85" s="12">
        <f>IF(D$12=0,0,D85/D$12)</f>
        <v>0</v>
      </c>
      <c r="G85" s="4"/>
      <c r="H85" s="4">
        <v>10621.45</v>
      </c>
      <c r="I85" s="4"/>
      <c r="J85" s="12">
        <f>IF(H$12=0,0,H85/H$12)</f>
        <v>9.0673551907576824E-2</v>
      </c>
      <c r="K85" s="4"/>
      <c r="L85" s="4">
        <f>+D85-H85</f>
        <v>-10621.45</v>
      </c>
      <c r="M85" s="4"/>
      <c r="N85" s="12">
        <f>IF(H85=0,0,L85/H85)</f>
        <v>-1</v>
      </c>
      <c r="O85" s="10"/>
      <c r="P85" s="4"/>
      <c r="Q85" s="4"/>
      <c r="R85" s="12">
        <f>IF(P$12=0,0,P85/P$12)</f>
        <v>0</v>
      </c>
      <c r="S85" s="4"/>
      <c r="T85" s="4">
        <v>68686.040000000008</v>
      </c>
      <c r="U85" s="4"/>
      <c r="V85" s="12">
        <f>IF(T$12=0,0,T85/T$12)</f>
        <v>0.10191978140633846</v>
      </c>
      <c r="W85" s="4"/>
      <c r="X85" s="4">
        <f>+P85-T85</f>
        <v>-68686.040000000008</v>
      </c>
      <c r="Y85" s="4"/>
      <c r="Z85" s="12">
        <f>IF(T85=0,0,X85/T85)</f>
        <v>-1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9" t="s">
        <v>4</v>
      </c>
      <c r="C87" s="29"/>
      <c r="D87" s="35">
        <f>+D83-D85</f>
        <v>-3326.46</v>
      </c>
      <c r="E87" s="14"/>
      <c r="F87" s="36">
        <f>IF(D$12=0,0,D87/D$12)</f>
        <v>0</v>
      </c>
      <c r="G87" s="14"/>
      <c r="H87" s="35">
        <f>+H83-H85</f>
        <v>5095.4000000000196</v>
      </c>
      <c r="I87" s="14"/>
      <c r="J87" s="36">
        <f>IF(H$12=0,0,H87/H$12)</f>
        <v>4.3498582245349617E-2</v>
      </c>
      <c r="K87" s="16"/>
      <c r="L87" s="35">
        <f>D87-H87</f>
        <v>-8421.8600000000188</v>
      </c>
      <c r="M87" s="16"/>
      <c r="N87" s="36">
        <f>IF(H87=0,0,L87/H87)</f>
        <v>-1.652835891195978</v>
      </c>
      <c r="O87" s="28"/>
      <c r="P87" s="35">
        <f>+P83-P85</f>
        <v>-54212.51</v>
      </c>
      <c r="Q87" s="14"/>
      <c r="R87" s="36">
        <f>IF(P$12=0,0,P87/P$12)</f>
        <v>0</v>
      </c>
      <c r="S87" s="14"/>
      <c r="T87" s="35">
        <f>+T83-T85</f>
        <v>-105983.13000000003</v>
      </c>
      <c r="U87" s="14"/>
      <c r="V87" s="36">
        <f>IF(T$12=0,0,T87/T$12)</f>
        <v>-0.15726306891996619</v>
      </c>
      <c r="W87" s="16"/>
      <c r="X87" s="35">
        <f>P87-T87</f>
        <v>51770.620000000032</v>
      </c>
      <c r="Y87" s="16"/>
      <c r="Z87" s="36">
        <f>IF(T87=0,0,X87/T87)</f>
        <v>-0.48847981749548269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9" t="s">
        <v>5</v>
      </c>
      <c r="C90" s="29"/>
      <c r="D90" s="31">
        <f>SUM(D87:D89)</f>
        <v>-3326.46</v>
      </c>
      <c r="E90" s="14"/>
      <c r="F90" s="33">
        <f>IF(D$12=0,0,D90/D$12)</f>
        <v>0</v>
      </c>
      <c r="G90" s="14"/>
      <c r="H90" s="31">
        <f>SUM(H87:H89)</f>
        <v>5095.4000000000196</v>
      </c>
      <c r="I90" s="14"/>
      <c r="J90" s="33">
        <f>IF(H$12=0,0,H90/H$12)</f>
        <v>4.3498582245349617E-2</v>
      </c>
      <c r="K90" s="16"/>
      <c r="L90" s="31">
        <f>+D90-H90</f>
        <v>-8421.8600000000188</v>
      </c>
      <c r="M90" s="16"/>
      <c r="N90" s="33">
        <f>IF(H90=0,0,L90/H90)</f>
        <v>-1.652835891195978</v>
      </c>
      <c r="O90" s="28"/>
      <c r="P90" s="31">
        <f>SUM(P87:P89)</f>
        <v>-54212.51</v>
      </c>
      <c r="Q90" s="14"/>
      <c r="R90" s="33">
        <f>IF(P$12=0,0,P90/P$12)</f>
        <v>0</v>
      </c>
      <c r="S90" s="14"/>
      <c r="T90" s="31">
        <f>SUM(T87:T89)</f>
        <v>-105983.13000000003</v>
      </c>
      <c r="U90" s="14"/>
      <c r="V90" s="33">
        <f>IF(T$12=0,0,T90/T$12)</f>
        <v>-0.15726306891996619</v>
      </c>
      <c r="W90" s="16"/>
      <c r="X90" s="31">
        <f>+P90-T90</f>
        <v>51770.620000000032</v>
      </c>
      <c r="Y90" s="16"/>
      <c r="Z90" s="33">
        <f>IF(T90=0,0,X90/T90)</f>
        <v>-0.48847981749548269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56">
        <v>44267.668456134263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4" t="s">
        <v>313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58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","406", " - ", "OPA! Greek")</f>
        <v>Department 406 - OPA! Greek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27083.920000000002</v>
      </c>
      <c r="I12" s="4"/>
      <c r="J12" s="12"/>
      <c r="K12" s="4"/>
      <c r="L12" s="4">
        <f t="shared" ref="L12:L14" si="0">+D12-H12</f>
        <v>-27083.920000000002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178629.31</v>
      </c>
      <c r="U12" s="4"/>
      <c r="V12" s="12"/>
      <c r="W12" s="4"/>
      <c r="X12" s="4">
        <f t="shared" ref="X12:X14" si="2">+P12-T12</f>
        <v>-178629.31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--5199.02</f>
        <v>5199.0200000000004</v>
      </c>
      <c r="I13" s="2"/>
      <c r="J13" s="19"/>
      <c r="K13" s="2"/>
      <c r="L13" s="2">
        <f t="shared" si="0"/>
        <v>-5199.0200000000004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--41649.65</f>
        <v>41649.65</v>
      </c>
      <c r="U13" s="2"/>
      <c r="V13" s="19"/>
      <c r="W13" s="2"/>
      <c r="X13" s="2">
        <f t="shared" si="2"/>
        <v>-41649.65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--21884.9</f>
        <v>21884.9</v>
      </c>
      <c r="I14" s="2"/>
      <c r="J14" s="19"/>
      <c r="K14" s="2"/>
      <c r="L14" s="2">
        <f t="shared" si="0"/>
        <v>-21884.9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--136979.66</f>
        <v>136979.66</v>
      </c>
      <c r="U14" s="2"/>
      <c r="V14" s="19"/>
      <c r="W14" s="2"/>
      <c r="X14" s="2">
        <f t="shared" si="2"/>
        <v>-136979.66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10343.74</v>
      </c>
      <c r="I16" s="4"/>
      <c r="J16" s="12">
        <f t="shared" ref="J16:J18" si="7">IF(H$12=0,0,H16/H$12)</f>
        <v>0.3819144348380884</v>
      </c>
      <c r="K16" s="4"/>
      <c r="L16" s="4">
        <f t="shared" ref="L16:L18" si="8">+D16-H16</f>
        <v>-10343.74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63042.3</v>
      </c>
      <c r="U16" s="4"/>
      <c r="V16" s="12">
        <f t="shared" ref="V16:V18" si="11">IF(T$12=0,0,T16/T$12)</f>
        <v>0.35292248511736402</v>
      </c>
      <c r="W16" s="4"/>
      <c r="X16" s="4">
        <f t="shared" ref="X16:X18" si="12">+P16-T16</f>
        <v>-63042.3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8239.74</v>
      </c>
      <c r="I17" s="2"/>
      <c r="J17" s="19">
        <f t="shared" si="7"/>
        <v>0.30422996375709271</v>
      </c>
      <c r="K17" s="2"/>
      <c r="L17" s="2">
        <f t="shared" si="8"/>
        <v>-8239.74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64300.920000000006</v>
      </c>
      <c r="U17" s="2"/>
      <c r="V17" s="19">
        <f t="shared" si="11"/>
        <v>0.35996847325895176</v>
      </c>
      <c r="W17" s="2"/>
      <c r="X17" s="2">
        <f t="shared" si="12"/>
        <v>-64300.920000000006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2104</v>
      </c>
      <c r="I18" s="2"/>
      <c r="J18" s="19">
        <f t="shared" si="7"/>
        <v>7.768447108099566E-2</v>
      </c>
      <c r="K18" s="2"/>
      <c r="L18" s="2">
        <f t="shared" si="8"/>
        <v>-2104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-1258.6199999999999</v>
      </c>
      <c r="U18" s="2"/>
      <c r="V18" s="19">
        <f t="shared" si="11"/>
        <v>-7.0459881415877376E-3</v>
      </c>
      <c r="W18" s="2"/>
      <c r="X18" s="2">
        <f t="shared" si="12"/>
        <v>1258.6199999999999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2">
        <f>D12-D16</f>
        <v>0</v>
      </c>
      <c r="E20" s="14"/>
      <c r="F20" s="20">
        <f>IF(D$12=0,0,D20/D$12)</f>
        <v>0</v>
      </c>
      <c r="G20" s="14"/>
      <c r="H20" s="22">
        <f>H12-H16</f>
        <v>16740.18</v>
      </c>
      <c r="I20" s="14"/>
      <c r="J20" s="20">
        <f>IF(H$12=0,0,H20/H$12)</f>
        <v>0.61808556516191149</v>
      </c>
      <c r="K20" s="16"/>
      <c r="L20" s="22">
        <f>+D20-H20</f>
        <v>-16740.18</v>
      </c>
      <c r="M20" s="16"/>
      <c r="N20" s="20">
        <f>IF(H20=0,0,L20/H20)</f>
        <v>-1</v>
      </c>
      <c r="O20" s="28"/>
      <c r="P20" s="22">
        <f>P12-P16</f>
        <v>0</v>
      </c>
      <c r="Q20" s="14"/>
      <c r="R20" s="20">
        <f>IF(P$12=0,0,P20/P$12)</f>
        <v>0</v>
      </c>
      <c r="S20" s="14"/>
      <c r="T20" s="22">
        <f>T12-T16</f>
        <v>115587.01</v>
      </c>
      <c r="U20" s="14"/>
      <c r="V20" s="20">
        <f>IF(T$12=0,0,T20/T$12)</f>
        <v>0.64707751488263598</v>
      </c>
      <c r="W20" s="16"/>
      <c r="X20" s="22">
        <f>+P20-T20</f>
        <v>-115587.01</v>
      </c>
      <c r="Y20" s="16"/>
      <c r="Z20" s="20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1">
        <f>SUM(OSRRefD22x_0)</f>
        <v>119.55</v>
      </c>
      <c r="E22" s="21"/>
      <c r="F22" s="32">
        <f t="shared" ref="F22:F31" si="14">IF(D$12=0,0,D22/D$12)</f>
        <v>0</v>
      </c>
      <c r="G22" s="21"/>
      <c r="H22" s="21">
        <f>SUM(OSRRefH22x_0)</f>
        <v>20061.830000000002</v>
      </c>
      <c r="I22" s="21"/>
      <c r="J22" s="32">
        <f t="shared" ref="J22:J31" si="15">IF(H$12=0,0,H22/H$12)</f>
        <v>0.74072844698994833</v>
      </c>
      <c r="K22" s="4"/>
      <c r="L22" s="21">
        <f t="shared" ref="L22:L31" si="16">+D22-H22</f>
        <v>-19942.280000000002</v>
      </c>
      <c r="M22" s="4"/>
      <c r="N22" s="32">
        <f t="shared" ref="N22:N31" si="17">IF(H22=0,0,L22/H22)</f>
        <v>-0.99404092248812803</v>
      </c>
      <c r="O22" s="10"/>
      <c r="P22" s="21">
        <f>SUM(OSRRefP22x_0)</f>
        <v>1983.6</v>
      </c>
      <c r="Q22" s="21"/>
      <c r="R22" s="32">
        <f t="shared" ref="R22:R31" si="18">IF(P$12=0,0,P22/P$12)</f>
        <v>0</v>
      </c>
      <c r="S22" s="21"/>
      <c r="T22" s="21">
        <f>SUM(OSRRefT22x_0)</f>
        <v>164811.84000000003</v>
      </c>
      <c r="U22" s="21"/>
      <c r="V22" s="32">
        <f t="shared" ref="V22:V31" si="19">IF(T$12=0,0,T22/T$12)</f>
        <v>0.92264724081395166</v>
      </c>
      <c r="W22" s="4"/>
      <c r="X22" s="21">
        <f t="shared" ref="X22:X31" si="20">+P22-T22</f>
        <v>-162828.24000000002</v>
      </c>
      <c r="Y22" s="4"/>
      <c r="Z22" s="32">
        <f t="shared" ref="Z22:Z31" si="21">IF(T22=0,0,X22/T22)</f>
        <v>-0.98796445692251234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2388.7400000000002</v>
      </c>
      <c r="I23" s="1"/>
      <c r="J23" s="5">
        <f t="shared" si="15"/>
        <v>8.8197720270920904E-2</v>
      </c>
      <c r="K23" s="1"/>
      <c r="L23" s="1">
        <f t="shared" si="16"/>
        <v>-2388.7400000000002</v>
      </c>
      <c r="M23" s="1"/>
      <c r="N23" s="5">
        <f t="shared" si="17"/>
        <v>-1</v>
      </c>
      <c r="O23" s="13"/>
      <c r="P23" s="1">
        <f>SUM(OSRRefP22_0x_0)</f>
        <v>660.8</v>
      </c>
      <c r="Q23" s="1"/>
      <c r="R23" s="5">
        <f t="shared" si="18"/>
        <v>0</v>
      </c>
      <c r="S23" s="1"/>
      <c r="T23" s="1">
        <f>SUM(OSRRefT22_0x_0)</f>
        <v>17539.670000000002</v>
      </c>
      <c r="U23" s="1"/>
      <c r="V23" s="5">
        <f t="shared" si="19"/>
        <v>9.819032498082203E-2</v>
      </c>
      <c r="W23" s="1"/>
      <c r="X23" s="1">
        <f t="shared" si="20"/>
        <v>-16878.870000000003</v>
      </c>
      <c r="Y23" s="1"/>
      <c r="Z23" s="5">
        <f t="shared" si="21"/>
        <v>-0.96232540292947366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884.63</v>
      </c>
      <c r="I24" s="2"/>
      <c r="J24" s="7">
        <f t="shared" si="15"/>
        <v>3.2662554017291436E-2</v>
      </c>
      <c r="K24" s="2"/>
      <c r="L24" s="6">
        <f t="shared" si="16"/>
        <v>-884.63</v>
      </c>
      <c r="M24" s="2"/>
      <c r="N24" s="7">
        <f t="shared" si="17"/>
        <v>-1</v>
      </c>
      <c r="O24" s="11"/>
      <c r="P24" s="6"/>
      <c r="Q24" s="2"/>
      <c r="R24" s="7">
        <f t="shared" si="18"/>
        <v>0</v>
      </c>
      <c r="S24" s="2"/>
      <c r="T24" s="6">
        <v>5942.28</v>
      </c>
      <c r="U24" s="2"/>
      <c r="V24" s="7">
        <f t="shared" si="19"/>
        <v>3.3265985296589903E-2</v>
      </c>
      <c r="W24" s="2"/>
      <c r="X24" s="6">
        <f t="shared" si="20"/>
        <v>-5942.28</v>
      </c>
      <c r="Y24" s="2"/>
      <c r="Z24" s="7">
        <f t="shared" si="21"/>
        <v>-1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560.87</v>
      </c>
      <c r="I25" s="2"/>
      <c r="J25" s="7">
        <f t="shared" si="15"/>
        <v>2.0708597573763324E-2</v>
      </c>
      <c r="K25" s="2"/>
      <c r="L25" s="6">
        <f t="shared" si="16"/>
        <v>-560.87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3480.18</v>
      </c>
      <c r="U25" s="2"/>
      <c r="V25" s="7">
        <f t="shared" si="19"/>
        <v>1.9482692957835418E-2</v>
      </c>
      <c r="W25" s="2"/>
      <c r="X25" s="6">
        <f t="shared" si="20"/>
        <v>-3480.18</v>
      </c>
      <c r="Y25" s="2"/>
      <c r="Z25" s="7">
        <f t="shared" si="21"/>
        <v>-1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36.049999999999997</v>
      </c>
      <c r="I26" s="2"/>
      <c r="J26" s="7">
        <f t="shared" si="15"/>
        <v>1.3310480905275159E-3</v>
      </c>
      <c r="K26" s="2"/>
      <c r="L26" s="6">
        <f t="shared" si="16"/>
        <v>-36.049999999999997</v>
      </c>
      <c r="M26" s="2"/>
      <c r="N26" s="7">
        <f t="shared" si="17"/>
        <v>-1</v>
      </c>
      <c r="O26" s="11"/>
      <c r="P26" s="6">
        <v>660.8</v>
      </c>
      <c r="Q26" s="2"/>
      <c r="R26" s="7">
        <f t="shared" si="18"/>
        <v>0</v>
      </c>
      <c r="S26" s="2"/>
      <c r="T26" s="6">
        <v>281.92</v>
      </c>
      <c r="U26" s="2"/>
      <c r="V26" s="7">
        <f t="shared" si="19"/>
        <v>1.5782404354582125E-3</v>
      </c>
      <c r="W26" s="2"/>
      <c r="X26" s="6">
        <f t="shared" si="20"/>
        <v>378.87999999999994</v>
      </c>
      <c r="Y26" s="2"/>
      <c r="Z26" s="7">
        <f t="shared" si="21"/>
        <v>1.3439273552780928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37.58</v>
      </c>
      <c r="I27" s="2"/>
      <c r="J27" s="7">
        <f t="shared" si="15"/>
        <v>1.3875391745360344E-3</v>
      </c>
      <c r="K27" s="2"/>
      <c r="L27" s="6">
        <f t="shared" si="16"/>
        <v>-37.58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283.7</v>
      </c>
      <c r="U27" s="2"/>
      <c r="V27" s="7">
        <f t="shared" si="19"/>
        <v>1.5882052055175044E-3</v>
      </c>
      <c r="W27" s="2"/>
      <c r="X27" s="6">
        <f t="shared" si="20"/>
        <v>-283.7</v>
      </c>
      <c r="Y27" s="2"/>
      <c r="Z27" s="7">
        <f t="shared" si="21"/>
        <v>-1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315.45</v>
      </c>
      <c r="I28" s="2"/>
      <c r="J28" s="7">
        <f t="shared" si="15"/>
        <v>1.1647132320579885E-2</v>
      </c>
      <c r="K28" s="2"/>
      <c r="L28" s="6">
        <f t="shared" si="16"/>
        <v>-315.45</v>
      </c>
      <c r="M28" s="2"/>
      <c r="N28" s="7">
        <f t="shared" si="17"/>
        <v>-1</v>
      </c>
      <c r="O28" s="11"/>
      <c r="P28" s="6"/>
      <c r="Q28" s="2"/>
      <c r="R28" s="7">
        <f t="shared" si="18"/>
        <v>0</v>
      </c>
      <c r="S28" s="2"/>
      <c r="T28" s="6">
        <v>2681.33</v>
      </c>
      <c r="U28" s="2"/>
      <c r="V28" s="7">
        <f t="shared" si="19"/>
        <v>1.5010582529821114E-2</v>
      </c>
      <c r="W28" s="2"/>
      <c r="X28" s="6">
        <f t="shared" si="20"/>
        <v>-2681.33</v>
      </c>
      <c r="Y28" s="2"/>
      <c r="Z28" s="7">
        <f t="shared" si="21"/>
        <v>-1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173.88</v>
      </c>
      <c r="I29" s="2"/>
      <c r="J29" s="7">
        <f t="shared" si="15"/>
        <v>6.420045547321067E-3</v>
      </c>
      <c r="K29" s="2"/>
      <c r="L29" s="6">
        <f t="shared" si="16"/>
        <v>-173.88</v>
      </c>
      <c r="M29" s="2"/>
      <c r="N29" s="7">
        <f t="shared" si="17"/>
        <v>-1</v>
      </c>
      <c r="O29" s="11"/>
      <c r="P29" s="6"/>
      <c r="Q29" s="2"/>
      <c r="R29" s="7">
        <f t="shared" si="18"/>
        <v>0</v>
      </c>
      <c r="S29" s="2"/>
      <c r="T29" s="6">
        <v>1547.93</v>
      </c>
      <c r="U29" s="2"/>
      <c r="V29" s="7">
        <f t="shared" si="19"/>
        <v>8.6655991673482927E-3</v>
      </c>
      <c r="W29" s="2"/>
      <c r="X29" s="6">
        <f t="shared" si="20"/>
        <v>-1547.93</v>
      </c>
      <c r="Y29" s="2"/>
      <c r="Z29" s="7">
        <f t="shared" si="21"/>
        <v>-1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208.3</v>
      </c>
      <c r="I30" s="2"/>
      <c r="J30" s="7">
        <f t="shared" si="15"/>
        <v>7.6909103261270893E-3</v>
      </c>
      <c r="K30" s="2"/>
      <c r="L30" s="6">
        <f t="shared" si="16"/>
        <v>-208.3</v>
      </c>
      <c r="M30" s="2"/>
      <c r="N30" s="7">
        <f t="shared" si="17"/>
        <v>-1</v>
      </c>
      <c r="O30" s="11"/>
      <c r="P30" s="6"/>
      <c r="Q30" s="2"/>
      <c r="R30" s="7">
        <f t="shared" si="18"/>
        <v>0</v>
      </c>
      <c r="S30" s="2"/>
      <c r="T30" s="6">
        <v>1892.38</v>
      </c>
      <c r="U30" s="2"/>
      <c r="V30" s="7">
        <f t="shared" si="19"/>
        <v>1.0593894137529838E-2</v>
      </c>
      <c r="W30" s="2"/>
      <c r="X30" s="6">
        <f t="shared" si="20"/>
        <v>-1892.38</v>
      </c>
      <c r="Y30" s="2"/>
      <c r="Z30" s="7">
        <f t="shared" si="21"/>
        <v>-1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171.98</v>
      </c>
      <c r="I31" s="2"/>
      <c r="J31" s="7">
        <f t="shared" si="15"/>
        <v>6.3498932207745398E-3</v>
      </c>
      <c r="K31" s="2"/>
      <c r="L31" s="6">
        <f t="shared" si="16"/>
        <v>-171.98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1429.95</v>
      </c>
      <c r="U31" s="2"/>
      <c r="V31" s="7">
        <f t="shared" si="19"/>
        <v>8.0051252507217317E-3</v>
      </c>
      <c r="W31" s="2"/>
      <c r="X31" s="6">
        <f t="shared" si="20"/>
        <v>-1429.95</v>
      </c>
      <c r="Y31" s="2"/>
      <c r="Z31" s="7">
        <f t="shared" si="21"/>
        <v>-1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8" si="22">IF(D$12=0,0,D32/D$12)</f>
        <v>0</v>
      </c>
      <c r="G32" s="1"/>
      <c r="H32" s="1">
        <f>SUM(OSRRefH22_1x_0)</f>
        <v>13650.77</v>
      </c>
      <c r="I32" s="1"/>
      <c r="J32" s="5">
        <f t="shared" ref="J32:J38" si="23">IF(H$12=0,0,H32/H$12)</f>
        <v>0.50401751297448816</v>
      </c>
      <c r="K32" s="1"/>
      <c r="L32" s="1">
        <f t="shared" ref="L32:L38" si="24">+D32-H32</f>
        <v>-13650.77</v>
      </c>
      <c r="M32" s="1"/>
      <c r="N32" s="5">
        <f t="shared" ref="N32:N38" si="25">IF(H32=0,0,L32/H32)</f>
        <v>-1</v>
      </c>
      <c r="O32" s="13"/>
      <c r="P32" s="1">
        <f>SUM(OSRRefP22_1x_0)</f>
        <v>0</v>
      </c>
      <c r="Q32" s="1"/>
      <c r="R32" s="5">
        <f t="shared" ref="R32:R38" si="26">IF(P$12=0,0,P32/P$12)</f>
        <v>0</v>
      </c>
      <c r="S32" s="1"/>
      <c r="T32" s="1">
        <f>SUM(OSRRefT22_1x_0)</f>
        <v>99815.12999999999</v>
      </c>
      <c r="U32" s="1"/>
      <c r="V32" s="5">
        <f t="shared" ref="V32:V38" si="27">IF(T$12=0,0,T32/T$12)</f>
        <v>0.55878360611704758</v>
      </c>
      <c r="W32" s="1"/>
      <c r="X32" s="1">
        <f t="shared" ref="X32:X38" si="28">+P32-T32</f>
        <v>-99815.12999999999</v>
      </c>
      <c r="Y32" s="1"/>
      <c r="Z32" s="5">
        <f t="shared" ref="Z32:Z38" si="29">IF(T32=0,0,X32/T32)</f>
        <v>-1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4419.59</v>
      </c>
      <c r="I33" s="2"/>
      <c r="J33" s="7">
        <f t="shared" si="23"/>
        <v>0.16318132677987529</v>
      </c>
      <c r="K33" s="2"/>
      <c r="L33" s="6">
        <f t="shared" si="24"/>
        <v>-4419.59</v>
      </c>
      <c r="M33" s="2"/>
      <c r="N33" s="7">
        <f t="shared" si="25"/>
        <v>-1</v>
      </c>
      <c r="O33" s="11"/>
      <c r="P33" s="6"/>
      <c r="Q33" s="2"/>
      <c r="R33" s="7">
        <f t="shared" si="26"/>
        <v>0</v>
      </c>
      <c r="S33" s="2"/>
      <c r="T33" s="6">
        <v>36493.870000000003</v>
      </c>
      <c r="U33" s="2"/>
      <c r="V33" s="7">
        <f t="shared" si="27"/>
        <v>0.20429945119308809</v>
      </c>
      <c r="W33" s="2"/>
      <c r="X33" s="6">
        <f t="shared" si="28"/>
        <v>-36493.870000000003</v>
      </c>
      <c r="Y33" s="2"/>
      <c r="Z33" s="7">
        <f t="shared" si="29"/>
        <v>-1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2"/>
        <v>0</v>
      </c>
      <c r="G34" s="2"/>
      <c r="H34" s="6">
        <v>689.1</v>
      </c>
      <c r="I34" s="2"/>
      <c r="J34" s="7">
        <f t="shared" si="23"/>
        <v>2.5443141170111268E-2</v>
      </c>
      <c r="K34" s="2"/>
      <c r="L34" s="6">
        <f t="shared" si="24"/>
        <v>-689.1</v>
      </c>
      <c r="M34" s="2"/>
      <c r="N34" s="7">
        <f t="shared" si="25"/>
        <v>-1</v>
      </c>
      <c r="O34" s="11"/>
      <c r="P34" s="6"/>
      <c r="Q34" s="2"/>
      <c r="R34" s="7">
        <f t="shared" si="26"/>
        <v>0</v>
      </c>
      <c r="S34" s="2"/>
      <c r="T34" s="6">
        <v>689.1</v>
      </c>
      <c r="U34" s="2"/>
      <c r="V34" s="7">
        <f t="shared" si="27"/>
        <v>3.8577095774484042E-3</v>
      </c>
      <c r="W34" s="2"/>
      <c r="X34" s="6">
        <f t="shared" si="28"/>
        <v>-689.1</v>
      </c>
      <c r="Y34" s="2"/>
      <c r="Z34" s="7">
        <f t="shared" si="29"/>
        <v>-1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2"/>
        <v>0</v>
      </c>
      <c r="G35" s="2"/>
      <c r="H35" s="6">
        <v>5703.13</v>
      </c>
      <c r="I35" s="2"/>
      <c r="J35" s="7">
        <f t="shared" si="23"/>
        <v>0.2105725463669956</v>
      </c>
      <c r="K35" s="2"/>
      <c r="L35" s="6">
        <f t="shared" si="24"/>
        <v>-5703.13</v>
      </c>
      <c r="M35" s="2"/>
      <c r="N35" s="7">
        <f t="shared" si="25"/>
        <v>-1</v>
      </c>
      <c r="O35" s="11"/>
      <c r="P35" s="6"/>
      <c r="Q35" s="2"/>
      <c r="R35" s="7">
        <f t="shared" si="26"/>
        <v>0</v>
      </c>
      <c r="S35" s="2"/>
      <c r="T35" s="6">
        <v>33202.21</v>
      </c>
      <c r="U35" s="2"/>
      <c r="V35" s="7">
        <f t="shared" si="27"/>
        <v>0.18587212815186938</v>
      </c>
      <c r="W35" s="2"/>
      <c r="X35" s="6">
        <f t="shared" si="28"/>
        <v>-33202.21</v>
      </c>
      <c r="Y35" s="2"/>
      <c r="Z35" s="7">
        <f t="shared" si="29"/>
        <v>-1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2"/>
        <v>0</v>
      </c>
      <c r="G36" s="2"/>
      <c r="H36" s="6">
        <v>526.11</v>
      </c>
      <c r="I36" s="2"/>
      <c r="J36" s="7">
        <f t="shared" si="23"/>
        <v>1.9425179220733186E-2</v>
      </c>
      <c r="K36" s="2"/>
      <c r="L36" s="6">
        <f t="shared" si="24"/>
        <v>-526.11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704.86</v>
      </c>
      <c r="U36" s="2"/>
      <c r="V36" s="7">
        <f t="shared" si="27"/>
        <v>3.9459369797711251E-3</v>
      </c>
      <c r="W36" s="2"/>
      <c r="X36" s="6">
        <f t="shared" si="28"/>
        <v>-704.86</v>
      </c>
      <c r="Y36" s="2"/>
      <c r="Z36" s="7">
        <f t="shared" si="29"/>
        <v>-1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22"/>
        <v>0</v>
      </c>
      <c r="G37" s="2"/>
      <c r="H37" s="6">
        <v>1951.44</v>
      </c>
      <c r="I37" s="2"/>
      <c r="J37" s="7">
        <f t="shared" si="23"/>
        <v>7.2051608482080878E-2</v>
      </c>
      <c r="K37" s="2"/>
      <c r="L37" s="6">
        <f t="shared" si="24"/>
        <v>-1951.44</v>
      </c>
      <c r="M37" s="2"/>
      <c r="N37" s="7">
        <f t="shared" si="25"/>
        <v>-1</v>
      </c>
      <c r="O37" s="11"/>
      <c r="P37" s="6"/>
      <c r="Q37" s="2"/>
      <c r="R37" s="7">
        <f t="shared" si="26"/>
        <v>0</v>
      </c>
      <c r="S37" s="2"/>
      <c r="T37" s="6">
        <v>26666.69</v>
      </c>
      <c r="U37" s="2"/>
      <c r="V37" s="7">
        <f t="shared" si="27"/>
        <v>0.14928507533282193</v>
      </c>
      <c r="W37" s="2"/>
      <c r="X37" s="6">
        <f t="shared" si="28"/>
        <v>-26666.69</v>
      </c>
      <c r="Y37" s="2"/>
      <c r="Z37" s="7">
        <f t="shared" si="29"/>
        <v>-1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2"/>
        <v>0</v>
      </c>
      <c r="G38" s="2"/>
      <c r="H38" s="6">
        <v>361.4</v>
      </c>
      <c r="I38" s="2"/>
      <c r="J38" s="7">
        <f t="shared" si="23"/>
        <v>1.3343710954691933E-2</v>
      </c>
      <c r="K38" s="2"/>
      <c r="L38" s="6">
        <f t="shared" si="24"/>
        <v>-361.4</v>
      </c>
      <c r="M38" s="2"/>
      <c r="N38" s="7">
        <f t="shared" si="25"/>
        <v>-1</v>
      </c>
      <c r="O38" s="11"/>
      <c r="P38" s="6"/>
      <c r="Q38" s="2"/>
      <c r="R38" s="7">
        <f t="shared" si="26"/>
        <v>0</v>
      </c>
      <c r="S38" s="2"/>
      <c r="T38" s="6">
        <v>2058.4</v>
      </c>
      <c r="U38" s="2"/>
      <c r="V38" s="7">
        <f t="shared" si="27"/>
        <v>1.1523304882048753E-2</v>
      </c>
      <c r="W38" s="2"/>
      <c r="X38" s="6">
        <f t="shared" si="28"/>
        <v>-2058.4</v>
      </c>
      <c r="Y38" s="2"/>
      <c r="Z38" s="7">
        <f t="shared" si="29"/>
        <v>-1</v>
      </c>
    </row>
    <row r="39" spans="1:26" s="25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0</v>
      </c>
      <c r="E39" s="1"/>
      <c r="F39" s="5">
        <f t="shared" ref="F39:F56" si="30">IF(D$12=0,0,D39/D$12)</f>
        <v>0</v>
      </c>
      <c r="G39" s="1"/>
      <c r="H39" s="1">
        <f>SUM(OSRRefH22_2x_0)</f>
        <v>111.99</v>
      </c>
      <c r="I39" s="1"/>
      <c r="J39" s="5">
        <f t="shared" ref="J39:J56" si="31">IF(H$12=0,0,H39/H$12)</f>
        <v>4.1349258157607907E-3</v>
      </c>
      <c r="K39" s="1"/>
      <c r="L39" s="1">
        <f t="shared" ref="L39:L56" si="32">+D39-H39</f>
        <v>-111.99</v>
      </c>
      <c r="M39" s="1"/>
      <c r="N39" s="5">
        <f t="shared" ref="N39:N56" si="33">IF(H39=0,0,L39/H39)</f>
        <v>-1</v>
      </c>
      <c r="O39" s="13"/>
      <c r="P39" s="1">
        <f>SUM(OSRRefP22_2x_0)</f>
        <v>0</v>
      </c>
      <c r="Q39" s="1"/>
      <c r="R39" s="5">
        <f t="shared" ref="R39:R56" si="34">IF(P$12=0,0,P39/P$12)</f>
        <v>0</v>
      </c>
      <c r="S39" s="1"/>
      <c r="T39" s="1">
        <f>SUM(OSRRefT22_2x_0)</f>
        <v>3228.7</v>
      </c>
      <c r="U39" s="1"/>
      <c r="V39" s="5">
        <f t="shared" ref="V39:V56" si="35">IF(T$12=0,0,T39/T$12)</f>
        <v>1.8074861286761952E-2</v>
      </c>
      <c r="W39" s="1"/>
      <c r="X39" s="1">
        <f t="shared" ref="X39:X56" si="36">+P39-T39</f>
        <v>-3228.7</v>
      </c>
      <c r="Y39" s="1"/>
      <c r="Z39" s="5">
        <f t="shared" ref="Z39:Z56" si="37">IF(T39=0,0,X39/T39)</f>
        <v>-1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/>
      <c r="E40" s="2"/>
      <c r="F40" s="7">
        <f t="shared" si="30"/>
        <v>0</v>
      </c>
      <c r="G40" s="2"/>
      <c r="H40" s="6">
        <v>111.99</v>
      </c>
      <c r="I40" s="2"/>
      <c r="J40" s="7">
        <f t="shared" si="31"/>
        <v>4.1349258157607907E-3</v>
      </c>
      <c r="K40" s="2"/>
      <c r="L40" s="6">
        <f t="shared" si="32"/>
        <v>-111.99</v>
      </c>
      <c r="M40" s="2"/>
      <c r="N40" s="7">
        <f t="shared" si="33"/>
        <v>-1</v>
      </c>
      <c r="O40" s="11"/>
      <c r="P40" s="6"/>
      <c r="Q40" s="2"/>
      <c r="R40" s="7">
        <f t="shared" si="34"/>
        <v>0</v>
      </c>
      <c r="S40" s="2"/>
      <c r="T40" s="6">
        <v>3228.7</v>
      </c>
      <c r="U40" s="2"/>
      <c r="V40" s="7">
        <f t="shared" si="35"/>
        <v>1.8074861286761952E-2</v>
      </c>
      <c r="W40" s="2"/>
      <c r="X40" s="6">
        <f t="shared" si="36"/>
        <v>-3228.7</v>
      </c>
      <c r="Y40" s="2"/>
      <c r="Z40" s="7">
        <f t="shared" si="37"/>
        <v>-1</v>
      </c>
    </row>
    <row r="41" spans="1:26" s="25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0</v>
      </c>
      <c r="E41" s="1"/>
      <c r="F41" s="5">
        <f t="shared" si="30"/>
        <v>0</v>
      </c>
      <c r="G41" s="1"/>
      <c r="H41" s="1">
        <f>SUM(OSRRefH22_3x_0)</f>
        <v>-15.39</v>
      </c>
      <c r="I41" s="1"/>
      <c r="J41" s="5">
        <f t="shared" si="31"/>
        <v>-5.6823384502686458E-4</v>
      </c>
      <c r="K41" s="1"/>
      <c r="L41" s="1">
        <f t="shared" si="32"/>
        <v>15.39</v>
      </c>
      <c r="M41" s="1"/>
      <c r="N41" s="5">
        <f t="shared" si="33"/>
        <v>-1</v>
      </c>
      <c r="O41" s="13"/>
      <c r="P41" s="1">
        <f>SUM(OSRRefP22_3x_0)</f>
        <v>0</v>
      </c>
      <c r="Q41" s="1"/>
      <c r="R41" s="5">
        <f t="shared" si="34"/>
        <v>0</v>
      </c>
      <c r="S41" s="1"/>
      <c r="T41" s="1">
        <f>SUM(OSRRefT22_3x_0)</f>
        <v>-36.369999999999997</v>
      </c>
      <c r="U41" s="1"/>
      <c r="V41" s="5">
        <f t="shared" si="35"/>
        <v>-2.0360600396429902E-4</v>
      </c>
      <c r="W41" s="1"/>
      <c r="X41" s="1">
        <f t="shared" si="36"/>
        <v>36.369999999999997</v>
      </c>
      <c r="Y41" s="1"/>
      <c r="Z41" s="5">
        <f t="shared" si="37"/>
        <v>-1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6"/>
      <c r="E42" s="2"/>
      <c r="F42" s="7">
        <f t="shared" si="30"/>
        <v>0</v>
      </c>
      <c r="G42" s="2"/>
      <c r="H42" s="6">
        <v>-15.39</v>
      </c>
      <c r="I42" s="2"/>
      <c r="J42" s="7">
        <f t="shared" si="31"/>
        <v>-5.6823384502686458E-4</v>
      </c>
      <c r="K42" s="2"/>
      <c r="L42" s="6">
        <f t="shared" si="32"/>
        <v>15.39</v>
      </c>
      <c r="M42" s="2"/>
      <c r="N42" s="7">
        <f t="shared" si="33"/>
        <v>-1</v>
      </c>
      <c r="O42" s="11"/>
      <c r="P42" s="6"/>
      <c r="Q42" s="2"/>
      <c r="R42" s="7">
        <f t="shared" si="34"/>
        <v>0</v>
      </c>
      <c r="S42" s="2"/>
      <c r="T42" s="6">
        <v>-36.369999999999997</v>
      </c>
      <c r="U42" s="2"/>
      <c r="V42" s="7">
        <f t="shared" si="35"/>
        <v>-2.0360600396429902E-4</v>
      </c>
      <c r="W42" s="2"/>
      <c r="X42" s="6">
        <f t="shared" si="36"/>
        <v>36.369999999999997</v>
      </c>
      <c r="Y42" s="2"/>
      <c r="Z42" s="7">
        <f t="shared" si="37"/>
        <v>-1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0</v>
      </c>
      <c r="E43" s="1"/>
      <c r="F43" s="5">
        <f t="shared" si="30"/>
        <v>0</v>
      </c>
      <c r="G43" s="1"/>
      <c r="H43" s="1">
        <f>SUM(OSRRefH22_4x_0)</f>
        <v>755.19</v>
      </c>
      <c r="I43" s="1"/>
      <c r="J43" s="5">
        <f t="shared" si="31"/>
        <v>2.7883334465616499E-2</v>
      </c>
      <c r="K43" s="1"/>
      <c r="L43" s="1">
        <f t="shared" si="32"/>
        <v>-755.19</v>
      </c>
      <c r="M43" s="1"/>
      <c r="N43" s="5">
        <f t="shared" si="33"/>
        <v>-1</v>
      </c>
      <c r="O43" s="13"/>
      <c r="P43" s="1">
        <f>SUM(OSRRefP22_4x_0)</f>
        <v>0</v>
      </c>
      <c r="Q43" s="1"/>
      <c r="R43" s="5">
        <f t="shared" si="34"/>
        <v>0</v>
      </c>
      <c r="S43" s="1"/>
      <c r="T43" s="1">
        <f>SUM(OSRRefT22_4x_0)</f>
        <v>6514.81</v>
      </c>
      <c r="U43" s="1"/>
      <c r="V43" s="5">
        <f t="shared" si="35"/>
        <v>3.6471114398863212E-2</v>
      </c>
      <c r="W43" s="1"/>
      <c r="X43" s="1">
        <f t="shared" si="36"/>
        <v>-6514.81</v>
      </c>
      <c r="Y43" s="1"/>
      <c r="Z43" s="5">
        <f t="shared" si="37"/>
        <v>-1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/>
      <c r="E44" s="2"/>
      <c r="F44" s="7">
        <f t="shared" si="30"/>
        <v>0</v>
      </c>
      <c r="G44" s="2"/>
      <c r="H44" s="6">
        <v>755.19</v>
      </c>
      <c r="I44" s="2"/>
      <c r="J44" s="7">
        <f t="shared" si="31"/>
        <v>2.7883334465616499E-2</v>
      </c>
      <c r="K44" s="2"/>
      <c r="L44" s="6">
        <f t="shared" si="32"/>
        <v>-755.19</v>
      </c>
      <c r="M44" s="2"/>
      <c r="N44" s="7">
        <f t="shared" si="33"/>
        <v>-1</v>
      </c>
      <c r="O44" s="11"/>
      <c r="P44" s="6"/>
      <c r="Q44" s="2"/>
      <c r="R44" s="7">
        <f t="shared" si="34"/>
        <v>0</v>
      </c>
      <c r="S44" s="2"/>
      <c r="T44" s="6">
        <v>6514.81</v>
      </c>
      <c r="U44" s="2"/>
      <c r="V44" s="7">
        <f t="shared" si="35"/>
        <v>3.6471114398863212E-2</v>
      </c>
      <c r="W44" s="2"/>
      <c r="X44" s="6">
        <f t="shared" si="36"/>
        <v>-6514.81</v>
      </c>
      <c r="Y44" s="2"/>
      <c r="Z44" s="7">
        <f t="shared" si="37"/>
        <v>-1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119.55</v>
      </c>
      <c r="E45" s="1"/>
      <c r="F45" s="5">
        <f t="shared" si="30"/>
        <v>0</v>
      </c>
      <c r="G45" s="1"/>
      <c r="H45" s="1">
        <f>SUM(OSRRefH22_5x_0)</f>
        <v>2775.32</v>
      </c>
      <c r="I45" s="1"/>
      <c r="J45" s="5">
        <f t="shared" si="31"/>
        <v>0.10247113416373996</v>
      </c>
      <c r="K45" s="1"/>
      <c r="L45" s="1">
        <f t="shared" si="32"/>
        <v>-2655.77</v>
      </c>
      <c r="M45" s="1"/>
      <c r="N45" s="5">
        <f t="shared" si="33"/>
        <v>-0.95692388625455793</v>
      </c>
      <c r="O45" s="13"/>
      <c r="P45" s="1">
        <f>SUM(OSRRefP22_5x_0)</f>
        <v>956.4</v>
      </c>
      <c r="Q45" s="1"/>
      <c r="R45" s="5">
        <f t="shared" si="34"/>
        <v>0</v>
      </c>
      <c r="S45" s="1"/>
      <c r="T45" s="1">
        <f>SUM(OSRRefT22_5x_0)</f>
        <v>22202.560000000001</v>
      </c>
      <c r="U45" s="1"/>
      <c r="V45" s="5">
        <f t="shared" si="35"/>
        <v>0.12429404782451436</v>
      </c>
      <c r="W45" s="1"/>
      <c r="X45" s="1">
        <f t="shared" si="36"/>
        <v>-21246.16</v>
      </c>
      <c r="Y45" s="1"/>
      <c r="Z45" s="5">
        <f t="shared" si="37"/>
        <v>-0.95692388625455793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119.55</v>
      </c>
      <c r="E46" s="2"/>
      <c r="F46" s="7">
        <f t="shared" si="30"/>
        <v>0</v>
      </c>
      <c r="G46" s="2"/>
      <c r="H46" s="6">
        <v>2775.32</v>
      </c>
      <c r="I46" s="2"/>
      <c r="J46" s="7">
        <f t="shared" si="31"/>
        <v>0.10247113416373996</v>
      </c>
      <c r="K46" s="2"/>
      <c r="L46" s="6">
        <f t="shared" si="32"/>
        <v>-2655.77</v>
      </c>
      <c r="M46" s="2"/>
      <c r="N46" s="7">
        <f t="shared" si="33"/>
        <v>-0.95692388625455793</v>
      </c>
      <c r="O46" s="11"/>
      <c r="P46" s="6">
        <v>956.4</v>
      </c>
      <c r="Q46" s="2"/>
      <c r="R46" s="7">
        <f t="shared" si="34"/>
        <v>0</v>
      </c>
      <c r="S46" s="2"/>
      <c r="T46" s="6">
        <v>22202.560000000001</v>
      </c>
      <c r="U46" s="2"/>
      <c r="V46" s="7">
        <f t="shared" si="35"/>
        <v>0.12429404782451436</v>
      </c>
      <c r="W46" s="2"/>
      <c r="X46" s="6">
        <f t="shared" si="36"/>
        <v>-21246.16</v>
      </c>
      <c r="Y46" s="2"/>
      <c r="Z46" s="7">
        <f t="shared" si="37"/>
        <v>-0.95692388625455793</v>
      </c>
    </row>
    <row r="47" spans="1:26" s="25" customFormat="1" outlineLevel="1" collapsed="1" x14ac:dyDescent="0.25">
      <c r="A47" s="27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0</v>
      </c>
      <c r="E47" s="1"/>
      <c r="F47" s="5">
        <f t="shared" si="30"/>
        <v>0</v>
      </c>
      <c r="G47" s="1"/>
      <c r="H47" s="1">
        <f>SUM(OSRRefH22_6x_0)</f>
        <v>0</v>
      </c>
      <c r="I47" s="1"/>
      <c r="J47" s="5">
        <f t="shared" si="31"/>
        <v>0</v>
      </c>
      <c r="K47" s="1"/>
      <c r="L47" s="1">
        <f t="shared" si="32"/>
        <v>0</v>
      </c>
      <c r="M47" s="1"/>
      <c r="N47" s="5">
        <f t="shared" si="33"/>
        <v>0</v>
      </c>
      <c r="O47" s="13"/>
      <c r="P47" s="1">
        <f>SUM(OSRRefP22_6x_0)</f>
        <v>0</v>
      </c>
      <c r="Q47" s="1"/>
      <c r="R47" s="5">
        <f t="shared" si="34"/>
        <v>0</v>
      </c>
      <c r="S47" s="1"/>
      <c r="T47" s="1">
        <f>SUM(OSRRefT22_6x_0)</f>
        <v>107.51</v>
      </c>
      <c r="U47" s="1"/>
      <c r="V47" s="5">
        <f t="shared" si="35"/>
        <v>6.0186091521038736E-4</v>
      </c>
      <c r="W47" s="1"/>
      <c r="X47" s="1">
        <f t="shared" si="36"/>
        <v>-107.51</v>
      </c>
      <c r="Y47" s="1"/>
      <c r="Z47" s="5">
        <f t="shared" si="37"/>
        <v>-1</v>
      </c>
    </row>
    <row r="48" spans="1:26" s="24" customFormat="1" hidden="1" outlineLevel="2" x14ac:dyDescent="0.25">
      <c r="A48" s="26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30"/>
        <v>0</v>
      </c>
      <c r="G48" s="2"/>
      <c r="H48" s="6"/>
      <c r="I48" s="2"/>
      <c r="J48" s="7">
        <f t="shared" si="31"/>
        <v>0</v>
      </c>
      <c r="K48" s="2"/>
      <c r="L48" s="6">
        <f t="shared" si="32"/>
        <v>0</v>
      </c>
      <c r="M48" s="2"/>
      <c r="N48" s="7">
        <f t="shared" si="33"/>
        <v>0</v>
      </c>
      <c r="O48" s="11"/>
      <c r="P48" s="6"/>
      <c r="Q48" s="2"/>
      <c r="R48" s="7">
        <f t="shared" si="34"/>
        <v>0</v>
      </c>
      <c r="S48" s="2"/>
      <c r="T48" s="6">
        <v>107.51</v>
      </c>
      <c r="U48" s="2"/>
      <c r="V48" s="7">
        <f t="shared" si="35"/>
        <v>6.0186091521038736E-4</v>
      </c>
      <c r="W48" s="2"/>
      <c r="X48" s="6">
        <f t="shared" si="36"/>
        <v>-107.51</v>
      </c>
      <c r="Y48" s="2"/>
      <c r="Z48" s="7">
        <f t="shared" si="37"/>
        <v>-1</v>
      </c>
    </row>
    <row r="49" spans="1:26" s="25" customFormat="1" outlineLevel="1" collapsed="1" x14ac:dyDescent="0.25">
      <c r="A49" s="27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SUM(OSRRefD22_7x_0)</f>
        <v>0</v>
      </c>
      <c r="E49" s="1"/>
      <c r="F49" s="5">
        <f t="shared" si="30"/>
        <v>0</v>
      </c>
      <c r="G49" s="1"/>
      <c r="H49" s="1">
        <f>SUM(OSRRefH22_7x_0)</f>
        <v>64.02</v>
      </c>
      <c r="I49" s="1"/>
      <c r="J49" s="5">
        <f t="shared" si="31"/>
        <v>2.3637641818466453E-3</v>
      </c>
      <c r="K49" s="1"/>
      <c r="L49" s="1">
        <f t="shared" si="32"/>
        <v>-64.02</v>
      </c>
      <c r="M49" s="1"/>
      <c r="N49" s="5">
        <f t="shared" si="33"/>
        <v>-1</v>
      </c>
      <c r="O49" s="13"/>
      <c r="P49" s="1">
        <f>SUM(OSRRefP22_7x_0)</f>
        <v>64.02</v>
      </c>
      <c r="Q49" s="1"/>
      <c r="R49" s="5">
        <f t="shared" si="34"/>
        <v>0</v>
      </c>
      <c r="S49" s="1"/>
      <c r="T49" s="1">
        <f>SUM(OSRRefT22_7x_0)</f>
        <v>1337.22</v>
      </c>
      <c r="U49" s="1"/>
      <c r="V49" s="5">
        <f t="shared" si="35"/>
        <v>7.4860055161160288E-3</v>
      </c>
      <c r="W49" s="1"/>
      <c r="X49" s="1">
        <f t="shared" si="36"/>
        <v>-1273.2</v>
      </c>
      <c r="Y49" s="1"/>
      <c r="Z49" s="5">
        <f t="shared" si="37"/>
        <v>-0.95212455691658815</v>
      </c>
    </row>
    <row r="50" spans="1:26" s="24" customFormat="1" hidden="1" outlineLevel="2" x14ac:dyDescent="0.25">
      <c r="A50" s="26"/>
      <c r="B50" s="11" t="str">
        <f>CONCATENATE("          ", "6351", " - ", "EQUIPMENT RENTAL")</f>
        <v xml:space="preserve">          6351 - EQUIPMENT RENTAL</v>
      </c>
      <c r="C50" s="11"/>
      <c r="D50" s="6"/>
      <c r="E50" s="2"/>
      <c r="F50" s="7">
        <f t="shared" si="30"/>
        <v>0</v>
      </c>
      <c r="G50" s="2"/>
      <c r="H50" s="6">
        <v>64.02</v>
      </c>
      <c r="I50" s="2"/>
      <c r="J50" s="7">
        <f t="shared" si="31"/>
        <v>2.3637641818466453E-3</v>
      </c>
      <c r="K50" s="2"/>
      <c r="L50" s="6">
        <f t="shared" si="32"/>
        <v>-64.02</v>
      </c>
      <c r="M50" s="2"/>
      <c r="N50" s="7">
        <f t="shared" si="33"/>
        <v>-1</v>
      </c>
      <c r="O50" s="11"/>
      <c r="P50" s="6">
        <v>64.02</v>
      </c>
      <c r="Q50" s="2"/>
      <c r="R50" s="7">
        <f t="shared" si="34"/>
        <v>0</v>
      </c>
      <c r="S50" s="2"/>
      <c r="T50" s="6">
        <v>1337.22</v>
      </c>
      <c r="U50" s="2"/>
      <c r="V50" s="7">
        <f t="shared" si="35"/>
        <v>7.4860055161160288E-3</v>
      </c>
      <c r="W50" s="2"/>
      <c r="X50" s="6">
        <f t="shared" si="36"/>
        <v>-1273.2</v>
      </c>
      <c r="Y50" s="2"/>
      <c r="Z50" s="7">
        <f t="shared" si="37"/>
        <v>-0.95212455691658815</v>
      </c>
    </row>
    <row r="51" spans="1:26" s="25" customFormat="1" outlineLevel="1" collapsed="1" x14ac:dyDescent="0.25">
      <c r="A51" s="27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SUM(OSRRefD22_8x_0)</f>
        <v>0</v>
      </c>
      <c r="E51" s="1"/>
      <c r="F51" s="5">
        <f t="shared" si="30"/>
        <v>0</v>
      </c>
      <c r="G51" s="1"/>
      <c r="H51" s="1">
        <f>SUM(OSRRefH22_8x_0)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3"/>
      <c r="P51" s="1">
        <f>SUM(OSRRefP22_8x_0)</f>
        <v>0</v>
      </c>
      <c r="Q51" s="1"/>
      <c r="R51" s="5">
        <f t="shared" si="34"/>
        <v>0</v>
      </c>
      <c r="S51" s="1"/>
      <c r="T51" s="1">
        <f>SUM(OSRRefT22_8x_0)</f>
        <v>761.55</v>
      </c>
      <c r="U51" s="1"/>
      <c r="V51" s="5">
        <f t="shared" si="35"/>
        <v>4.2632981116032974E-3</v>
      </c>
      <c r="W51" s="1"/>
      <c r="X51" s="1">
        <f t="shared" si="36"/>
        <v>-761.55</v>
      </c>
      <c r="Y51" s="1"/>
      <c r="Z51" s="5">
        <f t="shared" si="37"/>
        <v>-1</v>
      </c>
    </row>
    <row r="52" spans="1:26" s="24" customFormat="1" hidden="1" outlineLevel="2" x14ac:dyDescent="0.25">
      <c r="A52" s="26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30"/>
        <v>0</v>
      </c>
      <c r="G52" s="2"/>
      <c r="H52" s="6"/>
      <c r="I52" s="2"/>
      <c r="J52" s="7">
        <f t="shared" si="31"/>
        <v>0</v>
      </c>
      <c r="K52" s="2"/>
      <c r="L52" s="6">
        <f t="shared" si="32"/>
        <v>0</v>
      </c>
      <c r="M52" s="2"/>
      <c r="N52" s="7">
        <f t="shared" si="33"/>
        <v>0</v>
      </c>
      <c r="O52" s="11"/>
      <c r="P52" s="6"/>
      <c r="Q52" s="2"/>
      <c r="R52" s="7">
        <f t="shared" si="34"/>
        <v>0</v>
      </c>
      <c r="S52" s="2"/>
      <c r="T52" s="6">
        <v>761.55</v>
      </c>
      <c r="U52" s="2"/>
      <c r="V52" s="7">
        <f t="shared" si="35"/>
        <v>4.2632981116032974E-3</v>
      </c>
      <c r="W52" s="2"/>
      <c r="X52" s="6">
        <f t="shared" si="36"/>
        <v>-761.55</v>
      </c>
      <c r="Y52" s="2"/>
      <c r="Z52" s="7">
        <f t="shared" si="37"/>
        <v>-1</v>
      </c>
    </row>
    <row r="53" spans="1:26" s="25" customFormat="1" outlineLevel="1" collapsed="1" x14ac:dyDescent="0.25">
      <c r="A53" s="27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SUM(OSRRefD22_9x_0)</f>
        <v>0</v>
      </c>
      <c r="E53" s="1"/>
      <c r="F53" s="5">
        <f t="shared" si="30"/>
        <v>0</v>
      </c>
      <c r="G53" s="1"/>
      <c r="H53" s="1">
        <f>SUM(OSRRefH22_9x_0)</f>
        <v>0</v>
      </c>
      <c r="I53" s="1"/>
      <c r="J53" s="5">
        <f t="shared" si="31"/>
        <v>0</v>
      </c>
      <c r="K53" s="1"/>
      <c r="L53" s="1">
        <f t="shared" si="32"/>
        <v>0</v>
      </c>
      <c r="M53" s="1"/>
      <c r="N53" s="5">
        <f t="shared" si="33"/>
        <v>0</v>
      </c>
      <c r="O53" s="13"/>
      <c r="P53" s="1">
        <f>SUM(OSRRefP22_9x_0)</f>
        <v>217.18</v>
      </c>
      <c r="Q53" s="1"/>
      <c r="R53" s="5">
        <f t="shared" si="34"/>
        <v>0</v>
      </c>
      <c r="S53" s="1"/>
      <c r="T53" s="1">
        <f>SUM(OSRRefT22_9x_0)</f>
        <v>5425.2999999999993</v>
      </c>
      <c r="U53" s="1"/>
      <c r="V53" s="5">
        <f t="shared" si="35"/>
        <v>3.0371835394762479E-2</v>
      </c>
      <c r="W53" s="1"/>
      <c r="X53" s="1">
        <f t="shared" si="36"/>
        <v>-5208.119999999999</v>
      </c>
      <c r="Y53" s="1"/>
      <c r="Z53" s="5">
        <f t="shared" si="37"/>
        <v>-0.95996903397047162</v>
      </c>
    </row>
    <row r="54" spans="1:26" s="24" customFormat="1" hidden="1" outlineLevel="2" x14ac:dyDescent="0.25">
      <c r="A54" s="26"/>
      <c r="B54" s="11" t="str">
        <f>CONCATENATE("          ", "6371", " - ", "COMPUTER SOFTWARE MAINTENANCE")</f>
        <v xml:space="preserve">          6371 - COMPUTER SOFTWARE MAINTENANCE</v>
      </c>
      <c r="C54" s="11"/>
      <c r="D54" s="6"/>
      <c r="E54" s="2"/>
      <c r="F54" s="7">
        <f t="shared" si="30"/>
        <v>0</v>
      </c>
      <c r="G54" s="2"/>
      <c r="H54" s="6"/>
      <c r="I54" s="2"/>
      <c r="J54" s="7">
        <f t="shared" si="31"/>
        <v>0</v>
      </c>
      <c r="K54" s="2"/>
      <c r="L54" s="6">
        <f t="shared" si="32"/>
        <v>0</v>
      </c>
      <c r="M54" s="2"/>
      <c r="N54" s="7">
        <f t="shared" si="33"/>
        <v>0</v>
      </c>
      <c r="O54" s="11"/>
      <c r="P54" s="6"/>
      <c r="Q54" s="2"/>
      <c r="R54" s="7">
        <f t="shared" si="34"/>
        <v>0</v>
      </c>
      <c r="S54" s="2"/>
      <c r="T54" s="6">
        <v>2186.54</v>
      </c>
      <c r="U54" s="2"/>
      <c r="V54" s="7">
        <f t="shared" si="35"/>
        <v>1.2240656362609249E-2</v>
      </c>
      <c r="W54" s="2"/>
      <c r="X54" s="6">
        <f t="shared" si="36"/>
        <v>-2186.54</v>
      </c>
      <c r="Y54" s="2"/>
      <c r="Z54" s="7">
        <f t="shared" si="37"/>
        <v>-1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6"/>
      <c r="E55" s="2"/>
      <c r="F55" s="7">
        <f t="shared" si="30"/>
        <v>0</v>
      </c>
      <c r="G55" s="2"/>
      <c r="H55" s="6"/>
      <c r="I55" s="2"/>
      <c r="J55" s="7">
        <f t="shared" si="31"/>
        <v>0</v>
      </c>
      <c r="K55" s="2"/>
      <c r="L55" s="6">
        <f t="shared" si="32"/>
        <v>0</v>
      </c>
      <c r="M55" s="2"/>
      <c r="N55" s="7">
        <f t="shared" si="33"/>
        <v>0</v>
      </c>
      <c r="O55" s="11"/>
      <c r="P55" s="6">
        <v>217.18</v>
      </c>
      <c r="Q55" s="2"/>
      <c r="R55" s="7">
        <f t="shared" si="34"/>
        <v>0</v>
      </c>
      <c r="S55" s="2"/>
      <c r="T55" s="6">
        <v>840.28</v>
      </c>
      <c r="U55" s="2"/>
      <c r="V55" s="7">
        <f t="shared" si="35"/>
        <v>4.7040432502370409E-3</v>
      </c>
      <c r="W55" s="2"/>
      <c r="X55" s="6">
        <f t="shared" si="36"/>
        <v>-623.09999999999991</v>
      </c>
      <c r="Y55" s="2"/>
      <c r="Z55" s="7">
        <f t="shared" si="37"/>
        <v>-0.74153853477412279</v>
      </c>
    </row>
    <row r="56" spans="1:26" s="24" customFormat="1" hidden="1" outlineLevel="2" x14ac:dyDescent="0.25">
      <c r="A56" s="26"/>
      <c r="B56" s="11" t="str">
        <f>CONCATENATE("          ", "6375", " - ", "OUTSIDE REPAIRS &amp; MAINTENANCE")</f>
        <v xml:space="preserve">          6375 - OUTSIDE REPAIRS &amp; MAINTENANCE</v>
      </c>
      <c r="C56" s="11"/>
      <c r="D56" s="6"/>
      <c r="E56" s="2"/>
      <c r="F56" s="7">
        <f t="shared" si="30"/>
        <v>0</v>
      </c>
      <c r="G56" s="2"/>
      <c r="H56" s="6"/>
      <c r="I56" s="2"/>
      <c r="J56" s="7">
        <f t="shared" si="31"/>
        <v>0</v>
      </c>
      <c r="K56" s="2"/>
      <c r="L56" s="6">
        <f t="shared" si="32"/>
        <v>0</v>
      </c>
      <c r="M56" s="2"/>
      <c r="N56" s="7">
        <f t="shared" si="33"/>
        <v>0</v>
      </c>
      <c r="O56" s="11"/>
      <c r="P56" s="6"/>
      <c r="Q56" s="2"/>
      <c r="R56" s="7">
        <f t="shared" si="34"/>
        <v>0</v>
      </c>
      <c r="S56" s="2"/>
      <c r="T56" s="6">
        <v>2398.48</v>
      </c>
      <c r="U56" s="2"/>
      <c r="V56" s="7">
        <f t="shared" si="35"/>
        <v>1.3427135781916193E-2</v>
      </c>
      <c r="W56" s="2"/>
      <c r="X56" s="6">
        <f t="shared" si="36"/>
        <v>-2398.48</v>
      </c>
      <c r="Y56" s="2"/>
      <c r="Z56" s="7">
        <f t="shared" si="37"/>
        <v>-1</v>
      </c>
    </row>
    <row r="57" spans="1:26" s="25" customFormat="1" outlineLevel="1" collapsed="1" x14ac:dyDescent="0.25">
      <c r="A57" s="27"/>
      <c r="B57" s="13" t="str">
        <f>CONCATENATE("     ","Services                                          ")</f>
        <v xml:space="preserve">     Services                                          </v>
      </c>
      <c r="C57" s="13"/>
      <c r="D57" s="1">
        <f>SUM(OSRRefD22_10x_0)</f>
        <v>0</v>
      </c>
      <c r="E57" s="1"/>
      <c r="F57" s="5">
        <f t="shared" ref="F57:F59" si="38">IF(D$12=0,0,D57/D$12)</f>
        <v>0</v>
      </c>
      <c r="G57" s="1"/>
      <c r="H57" s="1">
        <f>SUM(OSRRefH22_10x_0)</f>
        <v>65.599999999999994</v>
      </c>
      <c r="I57" s="1"/>
      <c r="J57" s="5">
        <f t="shared" ref="J57:J59" si="39">IF(H$12=0,0,H57/H$12)</f>
        <v>2.4221013797116513E-3</v>
      </c>
      <c r="K57" s="1"/>
      <c r="L57" s="1">
        <f t="shared" ref="L57:L59" si="40">+D57-H57</f>
        <v>-65.599999999999994</v>
      </c>
      <c r="M57" s="1"/>
      <c r="N57" s="5">
        <f t="shared" ref="N57:N59" si="41">IF(H57=0,0,L57/H57)</f>
        <v>-1</v>
      </c>
      <c r="O57" s="13"/>
      <c r="P57" s="1">
        <f>SUM(OSRRefP22_10x_0)</f>
        <v>0</v>
      </c>
      <c r="Q57" s="1"/>
      <c r="R57" s="5">
        <f t="shared" ref="R57:R59" si="42">IF(P$12=0,0,P57/P$12)</f>
        <v>0</v>
      </c>
      <c r="S57" s="1"/>
      <c r="T57" s="1">
        <f>SUM(OSRRefT22_10x_0)</f>
        <v>1038.57</v>
      </c>
      <c r="U57" s="1"/>
      <c r="V57" s="5">
        <f t="shared" ref="V57:V59" si="43">IF(T$12=0,0,T57/T$12)</f>
        <v>5.8141074384713233E-3</v>
      </c>
      <c r="W57" s="1"/>
      <c r="X57" s="1">
        <f t="shared" ref="X57:X59" si="44">+P57-T57</f>
        <v>-1038.57</v>
      </c>
      <c r="Y57" s="1"/>
      <c r="Z57" s="5">
        <f t="shared" ref="Z57:Z59" si="45">IF(T57=0,0,X57/T57)</f>
        <v>-1</v>
      </c>
    </row>
    <row r="58" spans="1:26" s="24" customFormat="1" hidden="1" outlineLevel="2" x14ac:dyDescent="0.25">
      <c r="A58" s="26"/>
      <c r="B58" s="11" t="str">
        <f>CONCATENATE("          ", "6285", " - ", "JANITORIAL SERVICES")</f>
        <v xml:space="preserve">          6285 - JANITORIAL SERVICES</v>
      </c>
      <c r="C58" s="11"/>
      <c r="D58" s="6"/>
      <c r="E58" s="2"/>
      <c r="F58" s="7">
        <f t="shared" si="38"/>
        <v>0</v>
      </c>
      <c r="G58" s="2"/>
      <c r="H58" s="6"/>
      <c r="I58" s="2"/>
      <c r="J58" s="7">
        <f t="shared" si="39"/>
        <v>0</v>
      </c>
      <c r="K58" s="2"/>
      <c r="L58" s="6">
        <f t="shared" si="40"/>
        <v>0</v>
      </c>
      <c r="M58" s="2"/>
      <c r="N58" s="7">
        <f t="shared" si="41"/>
        <v>0</v>
      </c>
      <c r="O58" s="11"/>
      <c r="P58" s="6"/>
      <c r="Q58" s="2"/>
      <c r="R58" s="7">
        <f t="shared" si="42"/>
        <v>0</v>
      </c>
      <c r="S58" s="2"/>
      <c r="T58" s="6">
        <v>637</v>
      </c>
      <c r="U58" s="2"/>
      <c r="V58" s="7">
        <f t="shared" si="43"/>
        <v>3.5660441167241815E-3</v>
      </c>
      <c r="W58" s="2"/>
      <c r="X58" s="6">
        <f t="shared" si="44"/>
        <v>-637</v>
      </c>
      <c r="Y58" s="2"/>
      <c r="Z58" s="7">
        <f t="shared" si="45"/>
        <v>-1</v>
      </c>
    </row>
    <row r="59" spans="1:26" s="24" customFormat="1" hidden="1" outlineLevel="2" x14ac:dyDescent="0.25">
      <c r="A59" s="26"/>
      <c r="B59" s="11" t="str">
        <f>CONCATENATE("          ", "6286", " - ", "LAUNDRY EXPENSE")</f>
        <v xml:space="preserve">          6286 - LAUNDRY EXPENSE</v>
      </c>
      <c r="C59" s="11"/>
      <c r="D59" s="6"/>
      <c r="E59" s="2"/>
      <c r="F59" s="7">
        <f t="shared" si="38"/>
        <v>0</v>
      </c>
      <c r="G59" s="2"/>
      <c r="H59" s="6">
        <v>65.599999999999994</v>
      </c>
      <c r="I59" s="2"/>
      <c r="J59" s="7">
        <f t="shared" si="39"/>
        <v>2.4221013797116513E-3</v>
      </c>
      <c r="K59" s="2"/>
      <c r="L59" s="6">
        <f t="shared" si="40"/>
        <v>-65.599999999999994</v>
      </c>
      <c r="M59" s="2"/>
      <c r="N59" s="7">
        <f t="shared" si="41"/>
        <v>-1</v>
      </c>
      <c r="O59" s="11"/>
      <c r="P59" s="6"/>
      <c r="Q59" s="2"/>
      <c r="R59" s="7">
        <f t="shared" si="42"/>
        <v>0</v>
      </c>
      <c r="S59" s="2"/>
      <c r="T59" s="6">
        <v>401.57</v>
      </c>
      <c r="U59" s="2"/>
      <c r="V59" s="7">
        <f t="shared" si="43"/>
        <v>2.2480633217471422E-3</v>
      </c>
      <c r="W59" s="2"/>
      <c r="X59" s="6">
        <f t="shared" si="44"/>
        <v>-401.57</v>
      </c>
      <c r="Y59" s="2"/>
      <c r="Z59" s="7">
        <f t="shared" si="45"/>
        <v>-1</v>
      </c>
    </row>
    <row r="60" spans="1:26" s="25" customFormat="1" outlineLevel="1" collapsed="1" x14ac:dyDescent="0.25">
      <c r="A60" s="27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SUM(OSRRefD22_11x_0)</f>
        <v>0</v>
      </c>
      <c r="E60" s="1"/>
      <c r="F60" s="5">
        <f t="shared" ref="F60:F65" si="46">IF(D$12=0,0,D60/D$12)</f>
        <v>0</v>
      </c>
      <c r="G60" s="1"/>
      <c r="H60" s="1">
        <f>SUM(OSRRefH22_11x_0)</f>
        <v>161.59</v>
      </c>
      <c r="I60" s="1"/>
      <c r="J60" s="5">
        <f t="shared" ref="J60:J65" si="47">IF(H$12=0,0,H60/H$12)</f>
        <v>5.9662707613964295E-3</v>
      </c>
      <c r="K60" s="1"/>
      <c r="L60" s="1">
        <f t="shared" ref="L60:L65" si="48">+D60-H60</f>
        <v>-161.59</v>
      </c>
      <c r="M60" s="1"/>
      <c r="N60" s="5">
        <f t="shared" ref="N60:N65" si="49">IF(H60=0,0,L60/H60)</f>
        <v>-1</v>
      </c>
      <c r="O60" s="13"/>
      <c r="P60" s="1">
        <f>SUM(OSRRefP22_11x_0)</f>
        <v>0</v>
      </c>
      <c r="Q60" s="1"/>
      <c r="R60" s="5">
        <f t="shared" ref="R60:R65" si="50">IF(P$12=0,0,P60/P$12)</f>
        <v>0</v>
      </c>
      <c r="S60" s="1"/>
      <c r="T60" s="1">
        <f>SUM(OSRRefT22_11x_0)</f>
        <v>6012.74</v>
      </c>
      <c r="U60" s="1"/>
      <c r="V60" s="5">
        <f t="shared" ref="V60:V65" si="51">IF(T$12=0,0,T60/T$12)</f>
        <v>3.3660433441745928E-2</v>
      </c>
      <c r="W60" s="1"/>
      <c r="X60" s="1">
        <f t="shared" ref="X60:X65" si="52">+P60-T60</f>
        <v>-6012.74</v>
      </c>
      <c r="Y60" s="1"/>
      <c r="Z60" s="5">
        <f t="shared" ref="Z60:Z65" si="53">IF(T60=0,0,X60/T60)</f>
        <v>-1</v>
      </c>
    </row>
    <row r="61" spans="1:26" s="24" customFormat="1" hidden="1" outlineLevel="2" x14ac:dyDescent="0.25">
      <c r="A61" s="26"/>
      <c r="B61" s="11" t="str">
        <f>CONCATENATE("          ", "6239", " - ", "KITCHEN SUPPLIES")</f>
        <v xml:space="preserve">          6239 - KITCHEN SUPPLIES</v>
      </c>
      <c r="C61" s="11"/>
      <c r="D61" s="6"/>
      <c r="E61" s="2"/>
      <c r="F61" s="7">
        <f t="shared" si="46"/>
        <v>0</v>
      </c>
      <c r="G61" s="2"/>
      <c r="H61" s="6"/>
      <c r="I61" s="2"/>
      <c r="J61" s="7">
        <f t="shared" si="47"/>
        <v>0</v>
      </c>
      <c r="K61" s="2"/>
      <c r="L61" s="6">
        <f t="shared" si="48"/>
        <v>0</v>
      </c>
      <c r="M61" s="2"/>
      <c r="N61" s="7">
        <f t="shared" si="49"/>
        <v>0</v>
      </c>
      <c r="O61" s="11"/>
      <c r="P61" s="6"/>
      <c r="Q61" s="2"/>
      <c r="R61" s="7">
        <f t="shared" si="50"/>
        <v>0</v>
      </c>
      <c r="S61" s="2"/>
      <c r="T61" s="6">
        <v>2898.22</v>
      </c>
      <c r="U61" s="2"/>
      <c r="V61" s="7">
        <f t="shared" si="51"/>
        <v>1.622477296698957E-2</v>
      </c>
      <c r="W61" s="2"/>
      <c r="X61" s="6">
        <f t="shared" si="52"/>
        <v>-2898.22</v>
      </c>
      <c r="Y61" s="2"/>
      <c r="Z61" s="7">
        <f t="shared" si="53"/>
        <v>-1</v>
      </c>
    </row>
    <row r="62" spans="1:26" s="24" customFormat="1" hidden="1" outlineLevel="2" x14ac:dyDescent="0.25">
      <c r="A62" s="26"/>
      <c r="B62" s="11" t="str">
        <f>CONCATENATE("          ", "6241", " - ", "OFFICE EXPENSE")</f>
        <v xml:space="preserve">          6241 - OFFICE EXPENSE</v>
      </c>
      <c r="C62" s="11"/>
      <c r="D62" s="6"/>
      <c r="E62" s="2"/>
      <c r="F62" s="7">
        <f t="shared" si="46"/>
        <v>0</v>
      </c>
      <c r="G62" s="2"/>
      <c r="H62" s="6"/>
      <c r="I62" s="2"/>
      <c r="J62" s="7">
        <f t="shared" si="47"/>
        <v>0</v>
      </c>
      <c r="K62" s="2"/>
      <c r="L62" s="6">
        <f t="shared" si="48"/>
        <v>0</v>
      </c>
      <c r="M62" s="2"/>
      <c r="N62" s="7">
        <f t="shared" si="49"/>
        <v>0</v>
      </c>
      <c r="O62" s="11"/>
      <c r="P62" s="6"/>
      <c r="Q62" s="2"/>
      <c r="R62" s="7">
        <f t="shared" si="50"/>
        <v>0</v>
      </c>
      <c r="S62" s="2"/>
      <c r="T62" s="6">
        <v>649.99</v>
      </c>
      <c r="U62" s="2"/>
      <c r="V62" s="7">
        <f t="shared" si="51"/>
        <v>3.6387645454153072E-3</v>
      </c>
      <c r="W62" s="2"/>
      <c r="X62" s="6">
        <f t="shared" si="52"/>
        <v>-649.99</v>
      </c>
      <c r="Y62" s="2"/>
      <c r="Z62" s="7">
        <f t="shared" si="53"/>
        <v>-1</v>
      </c>
    </row>
    <row r="63" spans="1:26" s="24" customFormat="1" hidden="1" outlineLevel="2" x14ac:dyDescent="0.25">
      <c r="A63" s="26"/>
      <c r="B63" s="11" t="str">
        <f>CONCATENATE("          ", "6243", " - ", "PAPER SUPPLIES")</f>
        <v xml:space="preserve">          6243 - PAPER SUPPLIES</v>
      </c>
      <c r="C63" s="11"/>
      <c r="D63" s="6"/>
      <c r="E63" s="2"/>
      <c r="F63" s="7">
        <f t="shared" si="46"/>
        <v>0</v>
      </c>
      <c r="G63" s="2"/>
      <c r="H63" s="6">
        <v>161.59</v>
      </c>
      <c r="I63" s="2"/>
      <c r="J63" s="7">
        <f t="shared" si="47"/>
        <v>5.9662707613964295E-3</v>
      </c>
      <c r="K63" s="2"/>
      <c r="L63" s="6">
        <f t="shared" si="48"/>
        <v>-161.59</v>
      </c>
      <c r="M63" s="2"/>
      <c r="N63" s="7">
        <f t="shared" si="49"/>
        <v>-1</v>
      </c>
      <c r="O63" s="11"/>
      <c r="P63" s="6"/>
      <c r="Q63" s="2"/>
      <c r="R63" s="7">
        <f t="shared" si="50"/>
        <v>0</v>
      </c>
      <c r="S63" s="2"/>
      <c r="T63" s="6">
        <v>1724.86</v>
      </c>
      <c r="U63" s="2"/>
      <c r="V63" s="7">
        <f t="shared" si="51"/>
        <v>9.6560861148710705E-3</v>
      </c>
      <c r="W63" s="2"/>
      <c r="X63" s="6">
        <f t="shared" si="52"/>
        <v>-1724.86</v>
      </c>
      <c r="Y63" s="2"/>
      <c r="Z63" s="7">
        <f t="shared" si="53"/>
        <v>-1</v>
      </c>
    </row>
    <row r="64" spans="1:26" s="24" customFormat="1" hidden="1" outlineLevel="2" x14ac:dyDescent="0.25">
      <c r="A64" s="26"/>
      <c r="B64" s="11" t="str">
        <f>CONCATENATE("          ", "6247", " - ", "STORE SUPPLIES")</f>
        <v xml:space="preserve">          6247 - STORE SUPPLIES</v>
      </c>
      <c r="C64" s="11"/>
      <c r="D64" s="6"/>
      <c r="E64" s="2"/>
      <c r="F64" s="7">
        <f t="shared" si="46"/>
        <v>0</v>
      </c>
      <c r="G64" s="2"/>
      <c r="H64" s="6"/>
      <c r="I64" s="2"/>
      <c r="J64" s="7">
        <f t="shared" si="47"/>
        <v>0</v>
      </c>
      <c r="K64" s="2"/>
      <c r="L64" s="6">
        <f t="shared" si="48"/>
        <v>0</v>
      </c>
      <c r="M64" s="2"/>
      <c r="N64" s="7">
        <f t="shared" si="49"/>
        <v>0</v>
      </c>
      <c r="O64" s="11"/>
      <c r="P64" s="6"/>
      <c r="Q64" s="2"/>
      <c r="R64" s="7">
        <f t="shared" si="50"/>
        <v>0</v>
      </c>
      <c r="S64" s="2"/>
      <c r="T64" s="6">
        <v>102.64</v>
      </c>
      <c r="U64" s="2"/>
      <c r="V64" s="7">
        <f t="shared" si="51"/>
        <v>5.7459775218299844E-4</v>
      </c>
      <c r="W64" s="2"/>
      <c r="X64" s="6">
        <f t="shared" si="52"/>
        <v>-102.64</v>
      </c>
      <c r="Y64" s="2"/>
      <c r="Z64" s="7">
        <f t="shared" si="53"/>
        <v>-1</v>
      </c>
    </row>
    <row r="65" spans="1:26" s="24" customFormat="1" hidden="1" outlineLevel="2" x14ac:dyDescent="0.25">
      <c r="A65" s="26"/>
      <c r="B65" s="11" t="str">
        <f>CONCATENATE("          ", "6248", " - ", "UNIFORMS")</f>
        <v xml:space="preserve">          6248 - UNIFORMS</v>
      </c>
      <c r="C65" s="11"/>
      <c r="D65" s="6"/>
      <c r="E65" s="2"/>
      <c r="F65" s="7">
        <f t="shared" si="46"/>
        <v>0</v>
      </c>
      <c r="G65" s="2"/>
      <c r="H65" s="6"/>
      <c r="I65" s="2"/>
      <c r="J65" s="7">
        <f t="shared" si="47"/>
        <v>0</v>
      </c>
      <c r="K65" s="2"/>
      <c r="L65" s="6">
        <f t="shared" si="48"/>
        <v>0</v>
      </c>
      <c r="M65" s="2"/>
      <c r="N65" s="7">
        <f t="shared" si="49"/>
        <v>0</v>
      </c>
      <c r="O65" s="11"/>
      <c r="P65" s="6"/>
      <c r="Q65" s="2"/>
      <c r="R65" s="7">
        <f t="shared" si="50"/>
        <v>0</v>
      </c>
      <c r="S65" s="2"/>
      <c r="T65" s="6">
        <v>637.03</v>
      </c>
      <c r="U65" s="2"/>
      <c r="V65" s="7">
        <f t="shared" si="51"/>
        <v>3.5662120622869786E-3</v>
      </c>
      <c r="W65" s="2"/>
      <c r="X65" s="6">
        <f t="shared" si="52"/>
        <v>-637.03</v>
      </c>
      <c r="Y65" s="2"/>
      <c r="Z65" s="7">
        <f t="shared" si="53"/>
        <v>-1</v>
      </c>
    </row>
    <row r="66" spans="1:26" s="25" customFormat="1" outlineLevel="1" collapsed="1" x14ac:dyDescent="0.25">
      <c r="A66" s="27"/>
      <c r="B66" s="13" t="str">
        <f>CONCATENATE("     ","Telephone/Data Lines                              ")</f>
        <v xml:space="preserve">     Telephone/Data Lines                              </v>
      </c>
      <c r="C66" s="13"/>
      <c r="D66" s="1">
        <f>SUM(OSRRefD22_12x_0)</f>
        <v>0</v>
      </c>
      <c r="E66" s="1"/>
      <c r="F66" s="5">
        <f t="shared" ref="F66:F69" si="54">IF(D$12=0,0,D66/D$12)</f>
        <v>0</v>
      </c>
      <c r="G66" s="1"/>
      <c r="H66" s="1">
        <f>SUM(OSRRefH22_12x_0)</f>
        <v>86</v>
      </c>
      <c r="I66" s="1"/>
      <c r="J66" s="5">
        <f t="shared" ref="J66:J69" si="55">IF(H$12=0,0,H66/H$12)</f>
        <v>3.1753158331585675E-3</v>
      </c>
      <c r="K66" s="1"/>
      <c r="L66" s="1">
        <f t="shared" ref="L66:L69" si="56">+D66-H66</f>
        <v>-86</v>
      </c>
      <c r="M66" s="1"/>
      <c r="N66" s="5">
        <f t="shared" ref="N66:N69" si="57">IF(H66=0,0,L66/H66)</f>
        <v>-1</v>
      </c>
      <c r="O66" s="13"/>
      <c r="P66" s="1">
        <f>SUM(OSRRefP22_12x_0)</f>
        <v>85.2</v>
      </c>
      <c r="Q66" s="1"/>
      <c r="R66" s="5">
        <f t="shared" ref="R66:R69" si="58">IF(P$12=0,0,P66/P$12)</f>
        <v>0</v>
      </c>
      <c r="S66" s="1"/>
      <c r="T66" s="1">
        <f>SUM(OSRRefT22_12x_0)</f>
        <v>693.5</v>
      </c>
      <c r="U66" s="1"/>
      <c r="V66" s="5">
        <f t="shared" ref="V66:V69" si="59">IF(T$12=0,0,T66/T$12)</f>
        <v>3.8823415933253061E-3</v>
      </c>
      <c r="W66" s="1"/>
      <c r="X66" s="1">
        <f t="shared" ref="X66:X69" si="60">+P66-T66</f>
        <v>-608.29999999999995</v>
      </c>
      <c r="Y66" s="1"/>
      <c r="Z66" s="5">
        <f t="shared" ref="Z66:Z69" si="61">IF(T66=0,0,X66/T66)</f>
        <v>-0.87714491708723863</v>
      </c>
    </row>
    <row r="67" spans="1:26" s="24" customFormat="1" hidden="1" outlineLevel="2" x14ac:dyDescent="0.25">
      <c r="A67" s="26"/>
      <c r="B67" s="11" t="str">
        <f>CONCATENATE("          ", "6309", " - ", "TELEPHONE")</f>
        <v xml:space="preserve">          6309 - TELEPHONE</v>
      </c>
      <c r="C67" s="11"/>
      <c r="D67" s="6"/>
      <c r="E67" s="2"/>
      <c r="F67" s="7">
        <f t="shared" si="54"/>
        <v>0</v>
      </c>
      <c r="G67" s="2"/>
      <c r="H67" s="6">
        <v>86</v>
      </c>
      <c r="I67" s="2"/>
      <c r="J67" s="7">
        <f t="shared" si="55"/>
        <v>3.1753158331585675E-3</v>
      </c>
      <c r="K67" s="2"/>
      <c r="L67" s="6">
        <f t="shared" si="56"/>
        <v>-86</v>
      </c>
      <c r="M67" s="2"/>
      <c r="N67" s="7">
        <f t="shared" si="57"/>
        <v>-1</v>
      </c>
      <c r="O67" s="11"/>
      <c r="P67" s="6">
        <v>85.2</v>
      </c>
      <c r="Q67" s="2"/>
      <c r="R67" s="7">
        <f t="shared" si="58"/>
        <v>0</v>
      </c>
      <c r="S67" s="2"/>
      <c r="T67" s="6">
        <v>693.5</v>
      </c>
      <c r="U67" s="2"/>
      <c r="V67" s="7">
        <f t="shared" si="59"/>
        <v>3.8823415933253061E-3</v>
      </c>
      <c r="W67" s="2"/>
      <c r="X67" s="6">
        <f t="shared" si="60"/>
        <v>-608.29999999999995</v>
      </c>
      <c r="Y67" s="2"/>
      <c r="Z67" s="7">
        <f t="shared" si="61"/>
        <v>-0.87714491708723863</v>
      </c>
    </row>
    <row r="68" spans="1:26" s="25" customFormat="1" outlineLevel="1" collapsed="1" x14ac:dyDescent="0.25">
      <c r="A68" s="27"/>
      <c r="B68" s="13" t="str">
        <f>CONCATENATE("     ","Training                                          ")</f>
        <v xml:space="preserve">     Training                                          </v>
      </c>
      <c r="C68" s="13"/>
      <c r="D68" s="1">
        <f>SUM(OSRRefD22_13x_0)</f>
        <v>0</v>
      </c>
      <c r="E68" s="1"/>
      <c r="F68" s="5">
        <f t="shared" si="54"/>
        <v>0</v>
      </c>
      <c r="G68" s="1"/>
      <c r="H68" s="1">
        <f>SUM(OSRRefH22_13x_0)</f>
        <v>18</v>
      </c>
      <c r="I68" s="1"/>
      <c r="J68" s="5">
        <f t="shared" si="55"/>
        <v>6.6460098833551412E-4</v>
      </c>
      <c r="K68" s="1"/>
      <c r="L68" s="1">
        <f t="shared" si="56"/>
        <v>-18</v>
      </c>
      <c r="M68" s="1"/>
      <c r="N68" s="5">
        <f t="shared" si="57"/>
        <v>-1</v>
      </c>
      <c r="O68" s="13"/>
      <c r="P68" s="1">
        <f>SUM(OSRRefP22_13x_0)</f>
        <v>0</v>
      </c>
      <c r="Q68" s="1"/>
      <c r="R68" s="5">
        <f t="shared" si="58"/>
        <v>0</v>
      </c>
      <c r="S68" s="1"/>
      <c r="T68" s="1">
        <f>SUM(OSRRefT22_13x_0)</f>
        <v>170.95</v>
      </c>
      <c r="U68" s="1"/>
      <c r="V68" s="5">
        <f t="shared" si="59"/>
        <v>9.5700979867189759E-4</v>
      </c>
      <c r="W68" s="1"/>
      <c r="X68" s="1">
        <f t="shared" si="60"/>
        <v>-170.95</v>
      </c>
      <c r="Y68" s="1"/>
      <c r="Z68" s="5">
        <f t="shared" si="61"/>
        <v>-1</v>
      </c>
    </row>
    <row r="69" spans="1:26" s="24" customFormat="1" hidden="1" outlineLevel="2" x14ac:dyDescent="0.25">
      <c r="A69" s="26"/>
      <c r="B69" s="11" t="str">
        <f>CONCATENATE("          ", "6376", " - ", "TRAINING")</f>
        <v xml:space="preserve">          6376 - TRAINING</v>
      </c>
      <c r="C69" s="11"/>
      <c r="D69" s="6"/>
      <c r="E69" s="2"/>
      <c r="F69" s="7">
        <f t="shared" si="54"/>
        <v>0</v>
      </c>
      <c r="G69" s="2"/>
      <c r="H69" s="6">
        <v>18</v>
      </c>
      <c r="I69" s="2"/>
      <c r="J69" s="7">
        <f t="shared" si="55"/>
        <v>6.6460098833551412E-4</v>
      </c>
      <c r="K69" s="2"/>
      <c r="L69" s="6">
        <f t="shared" si="56"/>
        <v>-18</v>
      </c>
      <c r="M69" s="2"/>
      <c r="N69" s="7">
        <f t="shared" si="57"/>
        <v>-1</v>
      </c>
      <c r="O69" s="11"/>
      <c r="P69" s="6"/>
      <c r="Q69" s="2"/>
      <c r="R69" s="7">
        <f t="shared" si="58"/>
        <v>0</v>
      </c>
      <c r="S69" s="2"/>
      <c r="T69" s="6">
        <v>170.95</v>
      </c>
      <c r="U69" s="2"/>
      <c r="V69" s="7">
        <f t="shared" si="59"/>
        <v>9.5700979867189759E-4</v>
      </c>
      <c r="W69" s="2"/>
      <c r="X69" s="6">
        <f t="shared" si="60"/>
        <v>-170.95</v>
      </c>
      <c r="Y69" s="2"/>
      <c r="Z69" s="7">
        <f t="shared" si="61"/>
        <v>-1</v>
      </c>
    </row>
    <row r="70" spans="1:26" s="52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8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9" t="s">
        <v>3</v>
      </c>
      <c r="C73" s="29"/>
      <c r="D73" s="22">
        <f>+D20-D22+D71</f>
        <v>-119.55</v>
      </c>
      <c r="E73" s="14"/>
      <c r="F73" s="20">
        <f>IF(D$12=0,0,D73/D$12)</f>
        <v>0</v>
      </c>
      <c r="G73" s="14"/>
      <c r="H73" s="22">
        <f>+H20-H22+H71</f>
        <v>-3321.6500000000015</v>
      </c>
      <c r="I73" s="14"/>
      <c r="J73" s="20">
        <f>IF(H$12=0,0,H73/H$12)</f>
        <v>-0.12264288182803676</v>
      </c>
      <c r="K73" s="16"/>
      <c r="L73" s="22">
        <f>+D73-H73</f>
        <v>3202.1000000000013</v>
      </c>
      <c r="M73" s="16"/>
      <c r="N73" s="20">
        <f>IF(H73=0,0,L73/H73)</f>
        <v>-0.96400885102283496</v>
      </c>
      <c r="O73" s="28"/>
      <c r="P73" s="22">
        <f>+P20-P22+P71</f>
        <v>-1983.6</v>
      </c>
      <c r="Q73" s="14"/>
      <c r="R73" s="20">
        <f>IF(P$12=0,0,P73/P$12)</f>
        <v>0</v>
      </c>
      <c r="S73" s="14"/>
      <c r="T73" s="22">
        <f>+T20-T22+T71</f>
        <v>-49224.830000000031</v>
      </c>
      <c r="U73" s="14"/>
      <c r="V73" s="20">
        <f>IF(T$12=0,0,T73/T$12)</f>
        <v>-0.27556972593131568</v>
      </c>
      <c r="W73" s="16"/>
      <c r="X73" s="22">
        <f>+P73-T73</f>
        <v>47241.230000000032</v>
      </c>
      <c r="Y73" s="16"/>
      <c r="Z73" s="20">
        <f>IF(T73=0,0,X73/T73)</f>
        <v>-0.95970326357653246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/>
      <c r="E75" s="4"/>
      <c r="F75" s="12">
        <f>IF(D$12=0,0,D75/D$12)</f>
        <v>0</v>
      </c>
      <c r="G75" s="4"/>
      <c r="H75" s="4">
        <v>2401.8200000000002</v>
      </c>
      <c r="I75" s="4"/>
      <c r="J75" s="12">
        <f>IF(H$12=0,0,H75/H$12)</f>
        <v>8.8680663655778036E-2</v>
      </c>
      <c r="K75" s="4"/>
      <c r="L75" s="4">
        <f>+D75-H75</f>
        <v>-2401.8200000000002</v>
      </c>
      <c r="M75" s="4"/>
      <c r="N75" s="12">
        <f>IF(H75=0,0,L75/H75)</f>
        <v>-1</v>
      </c>
      <c r="O75" s="10"/>
      <c r="P75" s="4"/>
      <c r="Q75" s="4"/>
      <c r="R75" s="12">
        <f>IF(P$12=0,0,P75/P$12)</f>
        <v>0</v>
      </c>
      <c r="S75" s="4"/>
      <c r="T75" s="4">
        <v>18205.86</v>
      </c>
      <c r="U75" s="4"/>
      <c r="V75" s="12">
        <f>IF(T$12=0,0,T75/T$12)</f>
        <v>0.10191978013014774</v>
      </c>
      <c r="W75" s="4"/>
      <c r="X75" s="4">
        <f>+P75-T75</f>
        <v>-18205.86</v>
      </c>
      <c r="Y75" s="4"/>
      <c r="Z75" s="12">
        <f>IF(T75=0,0,X75/T75)</f>
        <v>-1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4</v>
      </c>
      <c r="C77" s="29"/>
      <c r="D77" s="35">
        <f>+D73-D75</f>
        <v>-119.55</v>
      </c>
      <c r="E77" s="14"/>
      <c r="F77" s="36">
        <f>IF(D$12=0,0,D77/D$12)</f>
        <v>0</v>
      </c>
      <c r="G77" s="14"/>
      <c r="H77" s="35">
        <f>+H73-H75</f>
        <v>-5723.4700000000012</v>
      </c>
      <c r="I77" s="14"/>
      <c r="J77" s="36">
        <f>IF(H$12=0,0,H77/H$12)</f>
        <v>-0.21132354548381477</v>
      </c>
      <c r="K77" s="16"/>
      <c r="L77" s="35">
        <f>D77-H77</f>
        <v>5603.920000000001</v>
      </c>
      <c r="M77" s="16"/>
      <c r="N77" s="36">
        <f>IF(H77=0,0,L77/H77)</f>
        <v>-0.979112321720914</v>
      </c>
      <c r="O77" s="28"/>
      <c r="P77" s="35">
        <f>+P73-P75</f>
        <v>-1983.6</v>
      </c>
      <c r="Q77" s="14"/>
      <c r="R77" s="36">
        <f>IF(P$12=0,0,P77/P$12)</f>
        <v>0</v>
      </c>
      <c r="S77" s="14"/>
      <c r="T77" s="35">
        <f>+T73-T75</f>
        <v>-67430.690000000031</v>
      </c>
      <c r="U77" s="14"/>
      <c r="V77" s="36">
        <f>IF(T$12=0,0,T77/T$12)</f>
        <v>-0.37748950606146342</v>
      </c>
      <c r="W77" s="16"/>
      <c r="X77" s="35">
        <f>P77-T77</f>
        <v>65447.090000000033</v>
      </c>
      <c r="Y77" s="16"/>
      <c r="Z77" s="36">
        <f>IF(T77=0,0,X77/T77)</f>
        <v>-0.97058312765300192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5</v>
      </c>
      <c r="C80" s="29"/>
      <c r="D80" s="31">
        <f>SUM(D77:D79)</f>
        <v>-119.55</v>
      </c>
      <c r="E80" s="14"/>
      <c r="F80" s="33">
        <f>IF(D$12=0,0,D80/D$12)</f>
        <v>0</v>
      </c>
      <c r="G80" s="14"/>
      <c r="H80" s="31">
        <f>SUM(H77:H79)</f>
        <v>-5723.4700000000012</v>
      </c>
      <c r="I80" s="14"/>
      <c r="J80" s="33">
        <f>IF(H$12=0,0,H80/H$12)</f>
        <v>-0.21132354548381477</v>
      </c>
      <c r="K80" s="16"/>
      <c r="L80" s="31">
        <f>+D80-H80</f>
        <v>5603.920000000001</v>
      </c>
      <c r="M80" s="16"/>
      <c r="N80" s="33">
        <f>IF(H80=0,0,L80/H80)</f>
        <v>-0.979112321720914</v>
      </c>
      <c r="O80" s="28"/>
      <c r="P80" s="31">
        <f>SUM(P77:P79)</f>
        <v>-1983.6</v>
      </c>
      <c r="Q80" s="14"/>
      <c r="R80" s="33">
        <f>IF(P$12=0,0,P80/P$12)</f>
        <v>0</v>
      </c>
      <c r="S80" s="14"/>
      <c r="T80" s="31">
        <f>SUM(T77:T79)</f>
        <v>-67430.690000000031</v>
      </c>
      <c r="U80" s="14"/>
      <c r="V80" s="33">
        <f>IF(T$12=0,0,T80/T$12)</f>
        <v>-0.37748950606146342</v>
      </c>
      <c r="W80" s="16"/>
      <c r="X80" s="31">
        <f>+P80-T80</f>
        <v>65447.090000000033</v>
      </c>
      <c r="Y80" s="16"/>
      <c r="Z80" s="33">
        <f>IF(T80=0,0,X80/T80)</f>
        <v>-0.97058312765300192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6">
        <v>44267.668469444441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54" t="s">
        <v>313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A84" s="9"/>
      <c r="B84" s="58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4" x14ac:dyDescent="0.25"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","411", " - ", "University Dining")</f>
        <v>Department 411 - University Dining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35083.659999999996</v>
      </c>
      <c r="E18" s="21"/>
      <c r="F18" s="32">
        <f t="shared" ref="F18:F28" si="0">IF(D$12=0,0,D18/D$12)</f>
        <v>0</v>
      </c>
      <c r="G18" s="21"/>
      <c r="H18" s="21">
        <f>SUM(OSRRefH22x_0)</f>
        <v>100821.31</v>
      </c>
      <c r="I18" s="21"/>
      <c r="J18" s="32">
        <f t="shared" ref="J18:J28" si="1">IF(H$12=0,0,H18/H$12)</f>
        <v>0</v>
      </c>
      <c r="K18" s="4"/>
      <c r="L18" s="21">
        <f t="shared" ref="L18:L28" si="2">+D18-H18</f>
        <v>-65737.649999999994</v>
      </c>
      <c r="M18" s="4"/>
      <c r="N18" s="32">
        <f t="shared" ref="N18:N28" si="3">IF(H18=0,0,L18/H18)</f>
        <v>-0.65202138317782221</v>
      </c>
      <c r="O18" s="10"/>
      <c r="P18" s="21">
        <f>SUM(OSRRefP22x_0)</f>
        <v>224936.50000000006</v>
      </c>
      <c r="Q18" s="21"/>
      <c r="R18" s="32">
        <f t="shared" ref="R18:R28" si="4">IF(P$12=0,0,P18/P$12)</f>
        <v>0</v>
      </c>
      <c r="S18" s="21"/>
      <c r="T18" s="21">
        <f>SUM(OSRRefT22x_0)</f>
        <v>815706.39</v>
      </c>
      <c r="U18" s="21"/>
      <c r="V18" s="32">
        <f t="shared" ref="V18:V28" si="5">IF(T$12=0,0,T18/T$12)</f>
        <v>0</v>
      </c>
      <c r="W18" s="4"/>
      <c r="X18" s="21">
        <f t="shared" ref="X18:X28" si="6">+P18-T18</f>
        <v>-590769.8899999999</v>
      </c>
      <c r="Y18" s="4"/>
      <c r="Z18" s="32">
        <f t="shared" ref="Z18:Z28" si="7">IF(T18=0,0,X18/T18)</f>
        <v>-0.72424330278937732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5593.32</v>
      </c>
      <c r="E19" s="1"/>
      <c r="F19" s="5">
        <f t="shared" si="0"/>
        <v>0</v>
      </c>
      <c r="G19" s="1"/>
      <c r="H19" s="1">
        <f>SUM(OSRRefH22_0x_0)</f>
        <v>10029.949999999999</v>
      </c>
      <c r="I19" s="1"/>
      <c r="J19" s="5">
        <f t="shared" si="1"/>
        <v>0</v>
      </c>
      <c r="K19" s="1"/>
      <c r="L19" s="1">
        <f t="shared" si="2"/>
        <v>-4436.6299999999992</v>
      </c>
      <c r="M19" s="1"/>
      <c r="N19" s="5">
        <f t="shared" si="3"/>
        <v>-0.44233819709968641</v>
      </c>
      <c r="O19" s="13"/>
      <c r="P19" s="1">
        <f>SUM(OSRRefP22_0x_0)</f>
        <v>47967.13</v>
      </c>
      <c r="Q19" s="1"/>
      <c r="R19" s="5">
        <f t="shared" si="4"/>
        <v>0</v>
      </c>
      <c r="S19" s="1"/>
      <c r="T19" s="1">
        <f>SUM(OSRRefT22_0x_0)</f>
        <v>87596.159999999989</v>
      </c>
      <c r="U19" s="1"/>
      <c r="V19" s="5">
        <f t="shared" si="5"/>
        <v>0</v>
      </c>
      <c r="W19" s="1"/>
      <c r="X19" s="1">
        <f t="shared" si="6"/>
        <v>-39629.029999999992</v>
      </c>
      <c r="Y19" s="1"/>
      <c r="Z19" s="5">
        <f t="shared" si="7"/>
        <v>-0.45240601871132247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852.54</v>
      </c>
      <c r="E20" s="2"/>
      <c r="F20" s="7">
        <f t="shared" si="0"/>
        <v>0</v>
      </c>
      <c r="G20" s="2"/>
      <c r="H20" s="6">
        <v>2069.89</v>
      </c>
      <c r="I20" s="2"/>
      <c r="J20" s="7">
        <f t="shared" si="1"/>
        <v>0</v>
      </c>
      <c r="K20" s="2"/>
      <c r="L20" s="6">
        <f t="shared" si="2"/>
        <v>-1217.3499999999999</v>
      </c>
      <c r="M20" s="2"/>
      <c r="N20" s="7">
        <f t="shared" si="3"/>
        <v>-0.58812304035480145</v>
      </c>
      <c r="O20" s="11"/>
      <c r="P20" s="6">
        <v>7041.17</v>
      </c>
      <c r="Q20" s="2"/>
      <c r="R20" s="7">
        <f t="shared" si="4"/>
        <v>0</v>
      </c>
      <c r="S20" s="2"/>
      <c r="T20" s="6">
        <v>17937.62</v>
      </c>
      <c r="U20" s="2"/>
      <c r="V20" s="7">
        <f t="shared" si="5"/>
        <v>0</v>
      </c>
      <c r="W20" s="2"/>
      <c r="X20" s="6">
        <f t="shared" si="6"/>
        <v>-10896.449999999999</v>
      </c>
      <c r="Y20" s="2"/>
      <c r="Z20" s="7">
        <f t="shared" si="7"/>
        <v>-0.60746353195128444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36.78</v>
      </c>
      <c r="E21" s="2"/>
      <c r="F21" s="7">
        <f t="shared" si="0"/>
        <v>0</v>
      </c>
      <c r="G21" s="2"/>
      <c r="H21" s="6">
        <v>931.16</v>
      </c>
      <c r="I21" s="2"/>
      <c r="J21" s="7">
        <f t="shared" si="1"/>
        <v>0</v>
      </c>
      <c r="K21" s="2"/>
      <c r="L21" s="6">
        <f t="shared" si="2"/>
        <v>-894.38</v>
      </c>
      <c r="M21" s="2"/>
      <c r="N21" s="7">
        <f t="shared" si="3"/>
        <v>-0.96050088062201988</v>
      </c>
      <c r="O21" s="11"/>
      <c r="P21" s="6">
        <v>440.3</v>
      </c>
      <c r="Q21" s="2"/>
      <c r="R21" s="7">
        <f t="shared" si="4"/>
        <v>0</v>
      </c>
      <c r="S21" s="2"/>
      <c r="T21" s="6">
        <v>6499.56</v>
      </c>
      <c r="U21" s="2"/>
      <c r="V21" s="7">
        <f t="shared" si="5"/>
        <v>0</v>
      </c>
      <c r="W21" s="2"/>
      <c r="X21" s="6">
        <f t="shared" si="6"/>
        <v>-6059.26</v>
      </c>
      <c r="Y21" s="2"/>
      <c r="Z21" s="7">
        <f t="shared" si="7"/>
        <v>-0.93225695277834186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1920.87</v>
      </c>
      <c r="E22" s="2"/>
      <c r="F22" s="7">
        <f t="shared" si="0"/>
        <v>0</v>
      </c>
      <c r="G22" s="2"/>
      <c r="H22" s="6">
        <v>3028.71</v>
      </c>
      <c r="I22" s="2"/>
      <c r="J22" s="7">
        <f t="shared" si="1"/>
        <v>0</v>
      </c>
      <c r="K22" s="2"/>
      <c r="L22" s="6">
        <f t="shared" si="2"/>
        <v>-1107.8400000000001</v>
      </c>
      <c r="M22" s="2"/>
      <c r="N22" s="7">
        <f t="shared" si="3"/>
        <v>-0.36577949027803919</v>
      </c>
      <c r="O22" s="11"/>
      <c r="P22" s="6">
        <v>14412.21</v>
      </c>
      <c r="Q22" s="2"/>
      <c r="R22" s="7">
        <f t="shared" si="4"/>
        <v>0</v>
      </c>
      <c r="S22" s="2"/>
      <c r="T22" s="6">
        <v>27986.7</v>
      </c>
      <c r="U22" s="2"/>
      <c r="V22" s="7">
        <f t="shared" si="5"/>
        <v>0</v>
      </c>
      <c r="W22" s="2"/>
      <c r="X22" s="6">
        <f t="shared" si="6"/>
        <v>-13574.490000000002</v>
      </c>
      <c r="Y22" s="2"/>
      <c r="Z22" s="7">
        <f t="shared" si="7"/>
        <v>-0.48503360524820721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28.98</v>
      </c>
      <c r="E23" s="2"/>
      <c r="F23" s="7">
        <f t="shared" si="0"/>
        <v>0</v>
      </c>
      <c r="G23" s="2"/>
      <c r="H23" s="6">
        <v>76.92</v>
      </c>
      <c r="I23" s="2"/>
      <c r="J23" s="7">
        <f t="shared" si="1"/>
        <v>0</v>
      </c>
      <c r="K23" s="2"/>
      <c r="L23" s="6">
        <f t="shared" si="2"/>
        <v>-47.94</v>
      </c>
      <c r="M23" s="2"/>
      <c r="N23" s="7">
        <f t="shared" si="3"/>
        <v>-0.62324492979719182</v>
      </c>
      <c r="O23" s="11"/>
      <c r="P23" s="6">
        <v>282.01</v>
      </c>
      <c r="Q23" s="2"/>
      <c r="R23" s="7">
        <f t="shared" si="4"/>
        <v>0</v>
      </c>
      <c r="S23" s="2"/>
      <c r="T23" s="6">
        <v>624.45000000000005</v>
      </c>
      <c r="U23" s="2"/>
      <c r="V23" s="7">
        <f t="shared" si="5"/>
        <v>0</v>
      </c>
      <c r="W23" s="2"/>
      <c r="X23" s="6">
        <f t="shared" si="6"/>
        <v>-342.44000000000005</v>
      </c>
      <c r="Y23" s="2"/>
      <c r="Z23" s="7">
        <f t="shared" si="7"/>
        <v>-0.54838658019056774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1221.05</v>
      </c>
      <c r="E24" s="2"/>
      <c r="F24" s="7">
        <f t="shared" si="0"/>
        <v>0</v>
      </c>
      <c r="G24" s="2"/>
      <c r="H24" s="6">
        <v>1249.6300000000001</v>
      </c>
      <c r="I24" s="2"/>
      <c r="J24" s="7">
        <f t="shared" si="1"/>
        <v>0</v>
      </c>
      <c r="K24" s="2"/>
      <c r="L24" s="6">
        <f t="shared" si="2"/>
        <v>-28.580000000000155</v>
      </c>
      <c r="M24" s="2"/>
      <c r="N24" s="7">
        <f t="shared" si="3"/>
        <v>-2.2870769747845483E-2</v>
      </c>
      <c r="O24" s="11"/>
      <c r="P24" s="6">
        <v>12039.84</v>
      </c>
      <c r="Q24" s="2"/>
      <c r="R24" s="7">
        <f t="shared" si="4"/>
        <v>0</v>
      </c>
      <c r="S24" s="2"/>
      <c r="T24" s="6">
        <v>11573.25</v>
      </c>
      <c r="U24" s="2"/>
      <c r="V24" s="7">
        <f t="shared" si="5"/>
        <v>0</v>
      </c>
      <c r="W24" s="2"/>
      <c r="X24" s="6">
        <f t="shared" si="6"/>
        <v>466.59000000000015</v>
      </c>
      <c r="Y24" s="2"/>
      <c r="Z24" s="7">
        <f t="shared" si="7"/>
        <v>4.0316246516752002E-2</v>
      </c>
    </row>
    <row r="25" spans="1:26" s="24" customFormat="1" hidden="1" outlineLevel="2" x14ac:dyDescent="0.25">
      <c r="A25" s="26"/>
      <c r="B25" s="11" t="str">
        <f>CONCATENATE("          ", "6117", " - ", "RETIREMENT STAFF HOURLY")</f>
        <v xml:space="preserve">          6117 - RETIREMENT STAFF HOURLY</v>
      </c>
      <c r="C25" s="11"/>
      <c r="D25" s="6"/>
      <c r="E25" s="2"/>
      <c r="F25" s="7">
        <f t="shared" si="0"/>
        <v>0</v>
      </c>
      <c r="G25" s="2"/>
      <c r="H25" s="6">
        <v>28</v>
      </c>
      <c r="I25" s="2"/>
      <c r="J25" s="7">
        <f t="shared" si="1"/>
        <v>0</v>
      </c>
      <c r="K25" s="2"/>
      <c r="L25" s="6">
        <f t="shared" si="2"/>
        <v>-28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476</v>
      </c>
      <c r="U25" s="2"/>
      <c r="V25" s="7">
        <f t="shared" si="5"/>
        <v>0</v>
      </c>
      <c r="W25" s="2"/>
      <c r="X25" s="6">
        <f t="shared" si="6"/>
        <v>-476</v>
      </c>
      <c r="Y25" s="2"/>
      <c r="Z25" s="7">
        <f t="shared" si="7"/>
        <v>-1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1022.52</v>
      </c>
      <c r="E26" s="2"/>
      <c r="F26" s="7">
        <f t="shared" si="0"/>
        <v>0</v>
      </c>
      <c r="G26" s="2"/>
      <c r="H26" s="6">
        <v>1432.54</v>
      </c>
      <c r="I26" s="2"/>
      <c r="J26" s="7">
        <f t="shared" si="1"/>
        <v>0</v>
      </c>
      <c r="K26" s="2"/>
      <c r="L26" s="6">
        <f t="shared" si="2"/>
        <v>-410.02</v>
      </c>
      <c r="M26" s="2"/>
      <c r="N26" s="7">
        <f t="shared" si="3"/>
        <v>-0.2862188839404135</v>
      </c>
      <c r="O26" s="11"/>
      <c r="P26" s="6">
        <v>8883.56</v>
      </c>
      <c r="Q26" s="2"/>
      <c r="R26" s="7">
        <f t="shared" si="4"/>
        <v>0</v>
      </c>
      <c r="S26" s="2"/>
      <c r="T26" s="6">
        <v>11982.01</v>
      </c>
      <c r="U26" s="2"/>
      <c r="V26" s="7">
        <f t="shared" si="5"/>
        <v>0</v>
      </c>
      <c r="W26" s="2"/>
      <c r="X26" s="6">
        <f t="shared" si="6"/>
        <v>-3098.4500000000007</v>
      </c>
      <c r="Y26" s="2"/>
      <c r="Z26" s="7">
        <f t="shared" si="7"/>
        <v>-0.25859183893186544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510.58</v>
      </c>
      <c r="E27" s="2"/>
      <c r="F27" s="7">
        <f t="shared" si="0"/>
        <v>0</v>
      </c>
      <c r="G27" s="2"/>
      <c r="H27" s="6">
        <v>732.14</v>
      </c>
      <c r="I27" s="2"/>
      <c r="J27" s="7">
        <f t="shared" si="1"/>
        <v>0</v>
      </c>
      <c r="K27" s="2"/>
      <c r="L27" s="6">
        <f t="shared" si="2"/>
        <v>-221.56</v>
      </c>
      <c r="M27" s="2"/>
      <c r="N27" s="7">
        <f t="shared" si="3"/>
        <v>-0.30261971754036116</v>
      </c>
      <c r="O27" s="11"/>
      <c r="P27" s="6">
        <v>4435.87</v>
      </c>
      <c r="Q27" s="2"/>
      <c r="R27" s="7">
        <f t="shared" si="4"/>
        <v>0</v>
      </c>
      <c r="S27" s="2"/>
      <c r="T27" s="6">
        <v>7366.68</v>
      </c>
      <c r="U27" s="2"/>
      <c r="V27" s="7">
        <f t="shared" si="5"/>
        <v>0</v>
      </c>
      <c r="W27" s="2"/>
      <c r="X27" s="6">
        <f t="shared" si="6"/>
        <v>-2930.8100000000004</v>
      </c>
      <c r="Y27" s="2"/>
      <c r="Z27" s="7">
        <f t="shared" si="7"/>
        <v>-0.39784679122752725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0"/>
        <v>0</v>
      </c>
      <c r="G28" s="2"/>
      <c r="H28" s="6">
        <v>480.96</v>
      </c>
      <c r="I28" s="2"/>
      <c r="J28" s="7">
        <f t="shared" si="1"/>
        <v>0</v>
      </c>
      <c r="K28" s="2"/>
      <c r="L28" s="6">
        <f t="shared" si="2"/>
        <v>-480.96</v>
      </c>
      <c r="M28" s="2"/>
      <c r="N28" s="7">
        <f t="shared" si="3"/>
        <v>-1</v>
      </c>
      <c r="O28" s="11"/>
      <c r="P28" s="6">
        <v>432.17</v>
      </c>
      <c r="Q28" s="2"/>
      <c r="R28" s="7">
        <f t="shared" si="4"/>
        <v>0</v>
      </c>
      <c r="S28" s="2"/>
      <c r="T28" s="6">
        <v>3149.89</v>
      </c>
      <c r="U28" s="2"/>
      <c r="V28" s="7">
        <f t="shared" si="5"/>
        <v>0</v>
      </c>
      <c r="W28" s="2"/>
      <c r="X28" s="6">
        <f t="shared" si="6"/>
        <v>-2717.72</v>
      </c>
      <c r="Y28" s="2"/>
      <c r="Z28" s="7">
        <f t="shared" si="7"/>
        <v>-0.86279838343561199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10590.82</v>
      </c>
      <c r="E29" s="1"/>
      <c r="F29" s="5">
        <f t="shared" ref="F29:F35" si="8">IF(D$12=0,0,D29/D$12)</f>
        <v>0</v>
      </c>
      <c r="G29" s="1"/>
      <c r="H29" s="1">
        <f>SUM(OSRRefH22_1x_0)</f>
        <v>27439.379999999997</v>
      </c>
      <c r="I29" s="1"/>
      <c r="J29" s="5">
        <f t="shared" ref="J29:J35" si="9">IF(H$12=0,0,H29/H$12)</f>
        <v>0</v>
      </c>
      <c r="K29" s="1"/>
      <c r="L29" s="1">
        <f t="shared" ref="L29:L35" si="10">+D29-H29</f>
        <v>-16848.559999999998</v>
      </c>
      <c r="M29" s="1"/>
      <c r="N29" s="5">
        <f t="shared" ref="N29:N35" si="11">IF(H29=0,0,L29/H29)</f>
        <v>-0.61402845108016291</v>
      </c>
      <c r="O29" s="13"/>
      <c r="P29" s="1">
        <f>SUM(OSRRefP22_1x_0)</f>
        <v>89566.900000000009</v>
      </c>
      <c r="Q29" s="1"/>
      <c r="R29" s="5">
        <f t="shared" ref="R29:R35" si="12">IF(P$12=0,0,P29/P$12)</f>
        <v>0</v>
      </c>
      <c r="S29" s="1"/>
      <c r="T29" s="1">
        <f>SUM(OSRRefT22_1x_0)</f>
        <v>220457.33000000002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-130890.43000000001</v>
      </c>
      <c r="Y29" s="1"/>
      <c r="Z29" s="5">
        <f t="shared" ref="Z29:Z35" si="15">IF(T29=0,0,X29/T29)</f>
        <v>-0.59372228630365798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6">
        <v>10590.82</v>
      </c>
      <c r="E30" s="2"/>
      <c r="F30" s="7">
        <f t="shared" si="8"/>
        <v>0</v>
      </c>
      <c r="G30" s="2"/>
      <c r="H30" s="6">
        <v>7932.49</v>
      </c>
      <c r="I30" s="2"/>
      <c r="J30" s="7">
        <f t="shared" si="9"/>
        <v>0</v>
      </c>
      <c r="K30" s="2"/>
      <c r="L30" s="6">
        <f t="shared" si="10"/>
        <v>2658.33</v>
      </c>
      <c r="M30" s="2"/>
      <c r="N30" s="7">
        <f t="shared" si="11"/>
        <v>0.33511923746515909</v>
      </c>
      <c r="O30" s="11"/>
      <c r="P30" s="6">
        <v>87181.900000000009</v>
      </c>
      <c r="Q30" s="2"/>
      <c r="R30" s="7">
        <f t="shared" si="12"/>
        <v>0</v>
      </c>
      <c r="S30" s="2"/>
      <c r="T30" s="6">
        <v>66103.62999999999</v>
      </c>
      <c r="U30" s="2"/>
      <c r="V30" s="7">
        <f t="shared" si="13"/>
        <v>0</v>
      </c>
      <c r="W30" s="2"/>
      <c r="X30" s="6">
        <f t="shared" si="14"/>
        <v>21078.270000000019</v>
      </c>
      <c r="Y30" s="2"/>
      <c r="Z30" s="7">
        <f t="shared" si="15"/>
        <v>0.31886705767898105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4492.78</v>
      </c>
      <c r="I31" s="2"/>
      <c r="J31" s="7">
        <f t="shared" si="9"/>
        <v>0</v>
      </c>
      <c r="K31" s="2"/>
      <c r="L31" s="6">
        <f t="shared" si="10"/>
        <v>-4492.78</v>
      </c>
      <c r="M31" s="2"/>
      <c r="N31" s="7">
        <f t="shared" si="11"/>
        <v>-1</v>
      </c>
      <c r="O31" s="11"/>
      <c r="P31" s="6">
        <v>2080</v>
      </c>
      <c r="Q31" s="2"/>
      <c r="R31" s="7">
        <f t="shared" si="12"/>
        <v>0</v>
      </c>
      <c r="S31" s="2"/>
      <c r="T31" s="6">
        <v>36185.75</v>
      </c>
      <c r="U31" s="2"/>
      <c r="V31" s="7">
        <f t="shared" si="13"/>
        <v>0</v>
      </c>
      <c r="W31" s="2"/>
      <c r="X31" s="6">
        <f t="shared" si="14"/>
        <v>-34105.75</v>
      </c>
      <c r="Y31" s="2"/>
      <c r="Z31" s="7">
        <f t="shared" si="15"/>
        <v>-0.94251880919975406</v>
      </c>
    </row>
    <row r="32" spans="1:26" s="24" customFormat="1" hidden="1" outlineLevel="2" x14ac:dyDescent="0.25">
      <c r="A32" s="26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8"/>
        <v>0</v>
      </c>
      <c r="G32" s="2"/>
      <c r="H32" s="6">
        <v>2213.12</v>
      </c>
      <c r="I32" s="2"/>
      <c r="J32" s="7">
        <f t="shared" si="9"/>
        <v>0</v>
      </c>
      <c r="K32" s="2"/>
      <c r="L32" s="6">
        <f t="shared" si="10"/>
        <v>-2213.12</v>
      </c>
      <c r="M32" s="2"/>
      <c r="N32" s="7">
        <f t="shared" si="11"/>
        <v>-1</v>
      </c>
      <c r="O32" s="11"/>
      <c r="P32" s="6"/>
      <c r="Q32" s="2"/>
      <c r="R32" s="7">
        <f t="shared" si="12"/>
        <v>0</v>
      </c>
      <c r="S32" s="2"/>
      <c r="T32" s="6">
        <v>18124.96</v>
      </c>
      <c r="U32" s="2"/>
      <c r="V32" s="7">
        <f t="shared" si="13"/>
        <v>0</v>
      </c>
      <c r="W32" s="2"/>
      <c r="X32" s="6">
        <f t="shared" si="14"/>
        <v>-18124.96</v>
      </c>
      <c r="Y32" s="2"/>
      <c r="Z32" s="7">
        <f t="shared" si="15"/>
        <v>-1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8"/>
        <v>0</v>
      </c>
      <c r="G33" s="2"/>
      <c r="H33" s="6">
        <v>11318.13</v>
      </c>
      <c r="I33" s="2"/>
      <c r="J33" s="7">
        <f t="shared" si="9"/>
        <v>0</v>
      </c>
      <c r="K33" s="2"/>
      <c r="L33" s="6">
        <f t="shared" si="10"/>
        <v>-11318.13</v>
      </c>
      <c r="M33" s="2"/>
      <c r="N33" s="7">
        <f t="shared" si="11"/>
        <v>-1</v>
      </c>
      <c r="O33" s="11"/>
      <c r="P33" s="6">
        <v>305</v>
      </c>
      <c r="Q33" s="2"/>
      <c r="R33" s="7">
        <f t="shared" si="12"/>
        <v>0</v>
      </c>
      <c r="S33" s="2"/>
      <c r="T33" s="6">
        <v>81385.25</v>
      </c>
      <c r="U33" s="2"/>
      <c r="V33" s="7">
        <f t="shared" si="13"/>
        <v>0</v>
      </c>
      <c r="W33" s="2"/>
      <c r="X33" s="6">
        <f t="shared" si="14"/>
        <v>-81080.25</v>
      </c>
      <c r="Y33" s="2"/>
      <c r="Z33" s="7">
        <f t="shared" si="15"/>
        <v>-0.99625239217180017</v>
      </c>
    </row>
    <row r="34" spans="1:26" s="24" customFormat="1" hidden="1" outlineLevel="2" x14ac:dyDescent="0.25">
      <c r="A34" s="26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1236.8800000000001</v>
      </c>
      <c r="U34" s="2"/>
      <c r="V34" s="7">
        <f t="shared" si="13"/>
        <v>0</v>
      </c>
      <c r="W34" s="2"/>
      <c r="X34" s="6">
        <f t="shared" si="14"/>
        <v>-1236.8800000000001</v>
      </c>
      <c r="Y34" s="2"/>
      <c r="Z34" s="7">
        <f t="shared" si="15"/>
        <v>-1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8"/>
        <v>0</v>
      </c>
      <c r="G35" s="2"/>
      <c r="H35" s="6">
        <v>1482.86</v>
      </c>
      <c r="I35" s="2"/>
      <c r="J35" s="7">
        <f t="shared" si="9"/>
        <v>0</v>
      </c>
      <c r="K35" s="2"/>
      <c r="L35" s="6">
        <f t="shared" si="10"/>
        <v>-1482.86</v>
      </c>
      <c r="M35" s="2"/>
      <c r="N35" s="7">
        <f t="shared" si="11"/>
        <v>-1</v>
      </c>
      <c r="O35" s="11"/>
      <c r="P35" s="6"/>
      <c r="Q35" s="2"/>
      <c r="R35" s="7">
        <f t="shared" si="12"/>
        <v>0</v>
      </c>
      <c r="S35" s="2"/>
      <c r="T35" s="6">
        <v>17420.86</v>
      </c>
      <c r="U35" s="2"/>
      <c r="V35" s="7">
        <f t="shared" si="13"/>
        <v>0</v>
      </c>
      <c r="W35" s="2"/>
      <c r="X35" s="6">
        <f t="shared" si="14"/>
        <v>-17420.86</v>
      </c>
      <c r="Y35" s="2"/>
      <c r="Z35" s="7">
        <f t="shared" si="15"/>
        <v>-1</v>
      </c>
    </row>
    <row r="36" spans="1:26" s="25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3" si="16">IF(D$12=0,0,D36/D$12)</f>
        <v>0</v>
      </c>
      <c r="G36" s="1"/>
      <c r="H36" s="1">
        <f>SUM(OSRRefH22_2x_0)</f>
        <v>138.52000000000001</v>
      </c>
      <c r="I36" s="1"/>
      <c r="J36" s="5">
        <f t="shared" ref="J36:J43" si="17">IF(H$12=0,0,H36/H$12)</f>
        <v>0</v>
      </c>
      <c r="K36" s="1"/>
      <c r="L36" s="1">
        <f t="shared" ref="L36:L43" si="18">+D36-H36</f>
        <v>-138.52000000000001</v>
      </c>
      <c r="M36" s="1"/>
      <c r="N36" s="5">
        <f t="shared" ref="N36:N43" si="19">IF(H36=0,0,L36/H36)</f>
        <v>-1</v>
      </c>
      <c r="O36" s="13"/>
      <c r="P36" s="1">
        <f>SUM(OSRRefP22_2x_0)</f>
        <v>0</v>
      </c>
      <c r="Q36" s="1"/>
      <c r="R36" s="5">
        <f t="shared" ref="R36:R43" si="20">IF(P$12=0,0,P36/P$12)</f>
        <v>0</v>
      </c>
      <c r="S36" s="1"/>
      <c r="T36" s="1">
        <f>SUM(OSRRefT22_2x_0)</f>
        <v>3466.53</v>
      </c>
      <c r="U36" s="1"/>
      <c r="V36" s="5">
        <f t="shared" ref="V36:V43" si="21">IF(T$12=0,0,T36/T$12)</f>
        <v>0</v>
      </c>
      <c r="W36" s="1"/>
      <c r="X36" s="1">
        <f t="shared" ref="X36:X43" si="22">+P36-T36</f>
        <v>-3466.53</v>
      </c>
      <c r="Y36" s="1"/>
      <c r="Z36" s="5">
        <f t="shared" ref="Z36:Z43" si="23">IF(T36=0,0,X36/T36)</f>
        <v>-1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16"/>
        <v>0</v>
      </c>
      <c r="G37" s="2"/>
      <c r="H37" s="6">
        <v>138.52000000000001</v>
      </c>
      <c r="I37" s="2"/>
      <c r="J37" s="7">
        <f t="shared" si="17"/>
        <v>0</v>
      </c>
      <c r="K37" s="2"/>
      <c r="L37" s="6">
        <f t="shared" si="18"/>
        <v>-138.52000000000001</v>
      </c>
      <c r="M37" s="2"/>
      <c r="N37" s="7">
        <f t="shared" si="19"/>
        <v>-1</v>
      </c>
      <c r="O37" s="11"/>
      <c r="P37" s="6"/>
      <c r="Q37" s="2"/>
      <c r="R37" s="7">
        <f t="shared" si="20"/>
        <v>0</v>
      </c>
      <c r="S37" s="2"/>
      <c r="T37" s="6">
        <v>3466.53</v>
      </c>
      <c r="U37" s="2"/>
      <c r="V37" s="7">
        <f t="shared" si="21"/>
        <v>0</v>
      </c>
      <c r="W37" s="2"/>
      <c r="X37" s="6">
        <f t="shared" si="22"/>
        <v>-3466.53</v>
      </c>
      <c r="Y37" s="2"/>
      <c r="Z37" s="7">
        <f t="shared" si="23"/>
        <v>-1</v>
      </c>
    </row>
    <row r="38" spans="1:26" s="25" customFormat="1" outlineLevel="1" collapsed="1" x14ac:dyDescent="0.25">
      <c r="A38" s="27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706.91</v>
      </c>
      <c r="E38" s="1"/>
      <c r="F38" s="5">
        <f t="shared" si="16"/>
        <v>0</v>
      </c>
      <c r="G38" s="1"/>
      <c r="H38" s="1">
        <f>SUM(OSRRefH22_3x_0)</f>
        <v>0</v>
      </c>
      <c r="I38" s="1"/>
      <c r="J38" s="5">
        <f t="shared" si="17"/>
        <v>0</v>
      </c>
      <c r="K38" s="1"/>
      <c r="L38" s="1">
        <f t="shared" si="18"/>
        <v>706.91</v>
      </c>
      <c r="M38" s="1"/>
      <c r="N38" s="5">
        <f t="shared" si="19"/>
        <v>0</v>
      </c>
      <c r="O38" s="13"/>
      <c r="P38" s="1">
        <f>SUM(OSRRefP22_3x_0)</f>
        <v>3387.49</v>
      </c>
      <c r="Q38" s="1"/>
      <c r="R38" s="5">
        <f t="shared" si="20"/>
        <v>0</v>
      </c>
      <c r="S38" s="1"/>
      <c r="T38" s="1">
        <f>SUM(OSRRefT22_3x_0)</f>
        <v>0</v>
      </c>
      <c r="U38" s="1"/>
      <c r="V38" s="5">
        <f t="shared" si="21"/>
        <v>0</v>
      </c>
      <c r="W38" s="1"/>
      <c r="X38" s="1">
        <f t="shared" si="22"/>
        <v>3387.49</v>
      </c>
      <c r="Y38" s="1"/>
      <c r="Z38" s="5">
        <f t="shared" si="23"/>
        <v>0</v>
      </c>
    </row>
    <row r="39" spans="1:26" s="24" customFormat="1" hidden="1" outlineLevel="2" x14ac:dyDescent="0.25">
      <c r="A39" s="26"/>
      <c r="B39" s="11" t="str">
        <f>CONCATENATE("          ", "6381", " - ", "BANK/CREDIT CARD FEES")</f>
        <v xml:space="preserve">          6381 - BANK/CREDIT CARD FEES</v>
      </c>
      <c r="C39" s="11"/>
      <c r="D39" s="6">
        <v>706.91</v>
      </c>
      <c r="E39" s="2"/>
      <c r="F39" s="7">
        <f t="shared" si="16"/>
        <v>0</v>
      </c>
      <c r="G39" s="2"/>
      <c r="H39" s="6"/>
      <c r="I39" s="2"/>
      <c r="J39" s="7">
        <f t="shared" si="17"/>
        <v>0</v>
      </c>
      <c r="K39" s="2"/>
      <c r="L39" s="6">
        <f t="shared" si="18"/>
        <v>706.91</v>
      </c>
      <c r="M39" s="2"/>
      <c r="N39" s="7">
        <f t="shared" si="19"/>
        <v>0</v>
      </c>
      <c r="O39" s="11"/>
      <c r="P39" s="6">
        <v>3387.49</v>
      </c>
      <c r="Q39" s="2"/>
      <c r="R39" s="7">
        <f t="shared" si="20"/>
        <v>0</v>
      </c>
      <c r="S39" s="2"/>
      <c r="T39" s="6"/>
      <c r="U39" s="2"/>
      <c r="V39" s="7">
        <f t="shared" si="21"/>
        <v>0</v>
      </c>
      <c r="W39" s="2"/>
      <c r="X39" s="6">
        <f t="shared" si="22"/>
        <v>3387.49</v>
      </c>
      <c r="Y39" s="2"/>
      <c r="Z39" s="7">
        <f t="shared" si="23"/>
        <v>0</v>
      </c>
    </row>
    <row r="40" spans="1:26" s="25" customFormat="1" outlineLevel="1" collapsed="1" x14ac:dyDescent="0.25">
      <c r="A40" s="27"/>
      <c r="B40" s="13" t="str">
        <f>CONCATENATE("     ","Depreciation                                      ")</f>
        <v xml:space="preserve">     Depreciation                                      </v>
      </c>
      <c r="C40" s="13"/>
      <c r="D40" s="1">
        <f>SUM(OSRRefD22_4x_0)</f>
        <v>6779.8600000000006</v>
      </c>
      <c r="E40" s="1"/>
      <c r="F40" s="5">
        <f t="shared" si="16"/>
        <v>0</v>
      </c>
      <c r="G40" s="1"/>
      <c r="H40" s="1">
        <f>SUM(OSRRefH22_4x_0)</f>
        <v>7262.6799999999994</v>
      </c>
      <c r="I40" s="1"/>
      <c r="J40" s="5">
        <f t="shared" si="17"/>
        <v>0</v>
      </c>
      <c r="K40" s="1"/>
      <c r="L40" s="1">
        <f t="shared" si="18"/>
        <v>-482.8199999999988</v>
      </c>
      <c r="M40" s="1"/>
      <c r="N40" s="5">
        <f t="shared" si="19"/>
        <v>-6.6479591555734088E-2</v>
      </c>
      <c r="O40" s="13"/>
      <c r="P40" s="1">
        <f>SUM(OSRRefP22_4x_0)</f>
        <v>55023.070000000007</v>
      </c>
      <c r="Q40" s="1"/>
      <c r="R40" s="5">
        <f t="shared" si="20"/>
        <v>0</v>
      </c>
      <c r="S40" s="1"/>
      <c r="T40" s="1">
        <f>SUM(OSRRefT22_4x_0)</f>
        <v>55896.24</v>
      </c>
      <c r="U40" s="1"/>
      <c r="V40" s="5">
        <f t="shared" si="21"/>
        <v>0</v>
      </c>
      <c r="W40" s="1"/>
      <c r="X40" s="1">
        <f t="shared" si="22"/>
        <v>-873.16999999999098</v>
      </c>
      <c r="Y40" s="1"/>
      <c r="Z40" s="5">
        <f t="shared" si="23"/>
        <v>-1.5621265401751371E-2</v>
      </c>
    </row>
    <row r="41" spans="1:26" s="24" customFormat="1" hidden="1" outlineLevel="2" x14ac:dyDescent="0.25">
      <c r="A41" s="26"/>
      <c r="B41" s="11" t="str">
        <f>CONCATENATE("          ", "6321", " - ", "BUILDING DEPRECIATION")</f>
        <v xml:space="preserve">          6321 - BUILDING DEPRECIATION</v>
      </c>
      <c r="C41" s="11"/>
      <c r="D41" s="6">
        <v>1822.68</v>
      </c>
      <c r="E41" s="2"/>
      <c r="F41" s="7">
        <f t="shared" si="16"/>
        <v>0</v>
      </c>
      <c r="G41" s="2"/>
      <c r="H41" s="6">
        <v>2266.9499999999998</v>
      </c>
      <c r="I41" s="2"/>
      <c r="J41" s="7">
        <f t="shared" si="17"/>
        <v>0</v>
      </c>
      <c r="K41" s="2"/>
      <c r="L41" s="6">
        <f t="shared" si="18"/>
        <v>-444.26999999999975</v>
      </c>
      <c r="M41" s="2"/>
      <c r="N41" s="7">
        <f t="shared" si="19"/>
        <v>-0.19597697346655188</v>
      </c>
      <c r="O41" s="11"/>
      <c r="P41" s="6">
        <v>15365.630000000001</v>
      </c>
      <c r="Q41" s="2"/>
      <c r="R41" s="7">
        <f t="shared" si="20"/>
        <v>0</v>
      </c>
      <c r="S41" s="2"/>
      <c r="T41" s="6">
        <v>18135.599999999999</v>
      </c>
      <c r="U41" s="2"/>
      <c r="V41" s="7">
        <f t="shared" si="21"/>
        <v>0</v>
      </c>
      <c r="W41" s="2"/>
      <c r="X41" s="6">
        <f t="shared" si="22"/>
        <v>-2769.9699999999975</v>
      </c>
      <c r="Y41" s="2"/>
      <c r="Z41" s="7">
        <f t="shared" si="23"/>
        <v>-0.15273660645360493</v>
      </c>
    </row>
    <row r="42" spans="1:26" s="24" customFormat="1" hidden="1" outlineLevel="2" x14ac:dyDescent="0.25">
      <c r="A42" s="26"/>
      <c r="B42" s="11" t="str">
        <f>CONCATENATE("          ", "6322", " - ", "EQUIPMENT DEPRECIATION EXPENSE")</f>
        <v xml:space="preserve">          6322 - EQUIPMENT DEPRECIATION EXPENSE</v>
      </c>
      <c r="C42" s="11"/>
      <c r="D42" s="6">
        <v>4957.18</v>
      </c>
      <c r="E42" s="2"/>
      <c r="F42" s="7">
        <f t="shared" si="16"/>
        <v>0</v>
      </c>
      <c r="G42" s="2"/>
      <c r="H42" s="6">
        <v>4571.4799999999996</v>
      </c>
      <c r="I42" s="2"/>
      <c r="J42" s="7">
        <f t="shared" si="17"/>
        <v>0</v>
      </c>
      <c r="K42" s="2"/>
      <c r="L42" s="6">
        <f t="shared" si="18"/>
        <v>385.70000000000073</v>
      </c>
      <c r="M42" s="2"/>
      <c r="N42" s="7">
        <f t="shared" si="19"/>
        <v>8.4370925827084609E-2</v>
      </c>
      <c r="O42" s="11"/>
      <c r="P42" s="6">
        <v>39657.440000000002</v>
      </c>
      <c r="Q42" s="2"/>
      <c r="R42" s="7">
        <f t="shared" si="20"/>
        <v>0</v>
      </c>
      <c r="S42" s="2"/>
      <c r="T42" s="6">
        <v>34366.639999999999</v>
      </c>
      <c r="U42" s="2"/>
      <c r="V42" s="7">
        <f t="shared" si="21"/>
        <v>0</v>
      </c>
      <c r="W42" s="2"/>
      <c r="X42" s="6">
        <f t="shared" si="22"/>
        <v>5290.8000000000029</v>
      </c>
      <c r="Y42" s="2"/>
      <c r="Z42" s="7">
        <f t="shared" si="23"/>
        <v>0.15395162285285971</v>
      </c>
    </row>
    <row r="43" spans="1:26" s="24" customFormat="1" hidden="1" outlineLevel="2" x14ac:dyDescent="0.25">
      <c r="A43" s="26"/>
      <c r="B43" s="11" t="str">
        <f>CONCATENATE("          ", "6326", " - ", "VEHICLES DEPRECIATION EXPENSE")</f>
        <v xml:space="preserve">          6326 - VEHICLES DEPRECIATION EXPENSE</v>
      </c>
      <c r="C43" s="11"/>
      <c r="D43" s="6"/>
      <c r="E43" s="2"/>
      <c r="F43" s="7">
        <f t="shared" si="16"/>
        <v>0</v>
      </c>
      <c r="G43" s="2"/>
      <c r="H43" s="6">
        <v>424.25</v>
      </c>
      <c r="I43" s="2"/>
      <c r="J43" s="7">
        <f t="shared" si="17"/>
        <v>0</v>
      </c>
      <c r="K43" s="2"/>
      <c r="L43" s="6">
        <f t="shared" si="18"/>
        <v>-424.25</v>
      </c>
      <c r="M43" s="2"/>
      <c r="N43" s="7">
        <f t="shared" si="19"/>
        <v>-1</v>
      </c>
      <c r="O43" s="11"/>
      <c r="P43" s="6"/>
      <c r="Q43" s="2"/>
      <c r="R43" s="7">
        <f t="shared" si="20"/>
        <v>0</v>
      </c>
      <c r="S43" s="2"/>
      <c r="T43" s="6">
        <v>3394</v>
      </c>
      <c r="U43" s="2"/>
      <c r="V43" s="7">
        <f t="shared" si="21"/>
        <v>0</v>
      </c>
      <c r="W43" s="2"/>
      <c r="X43" s="6">
        <f t="shared" si="22"/>
        <v>-3394</v>
      </c>
      <c r="Y43" s="2"/>
      <c r="Z43" s="7">
        <f t="shared" si="23"/>
        <v>-1</v>
      </c>
    </row>
    <row r="44" spans="1:26" s="25" customFormat="1" outlineLevel="1" collapsed="1" x14ac:dyDescent="0.25">
      <c r="A44" s="27"/>
      <c r="B44" s="13" t="str">
        <f>CONCATENATE("     ","Donations                                         ")</f>
        <v xml:space="preserve">     Donations                                         </v>
      </c>
      <c r="C44" s="13"/>
      <c r="D44" s="1">
        <f>SUM(OSRRefD22_5x_0)</f>
        <v>0</v>
      </c>
      <c r="E44" s="1"/>
      <c r="F44" s="5">
        <f t="shared" ref="F44:F61" si="24">IF(D$12=0,0,D44/D$12)</f>
        <v>0</v>
      </c>
      <c r="G44" s="1"/>
      <c r="H44" s="1">
        <f>SUM(OSRRefH22_5x_0)</f>
        <v>0</v>
      </c>
      <c r="I44" s="1"/>
      <c r="J44" s="5">
        <f t="shared" ref="J44:J61" si="25">IF(H$12=0,0,H44/H$12)</f>
        <v>0</v>
      </c>
      <c r="K44" s="1"/>
      <c r="L44" s="1">
        <f t="shared" ref="L44:L61" si="26">+D44-H44</f>
        <v>0</v>
      </c>
      <c r="M44" s="1"/>
      <c r="N44" s="5">
        <f t="shared" ref="N44:N61" si="27">IF(H44=0,0,L44/H44)</f>
        <v>0</v>
      </c>
      <c r="O44" s="13"/>
      <c r="P44" s="1">
        <f>SUM(OSRRefP22_5x_0)</f>
        <v>0</v>
      </c>
      <c r="Q44" s="1"/>
      <c r="R44" s="5">
        <f t="shared" ref="R44:R61" si="28">IF(P$12=0,0,P44/P$12)</f>
        <v>0</v>
      </c>
      <c r="S44" s="1"/>
      <c r="T44" s="1">
        <f>SUM(OSRRefT22_5x_0)</f>
        <v>163.68</v>
      </c>
      <c r="U44" s="1"/>
      <c r="V44" s="5">
        <f t="shared" ref="V44:V61" si="29">IF(T$12=0,0,T44/T$12)</f>
        <v>0</v>
      </c>
      <c r="W44" s="1"/>
      <c r="X44" s="1">
        <f t="shared" ref="X44:X61" si="30">+P44-T44</f>
        <v>-163.68</v>
      </c>
      <c r="Y44" s="1"/>
      <c r="Z44" s="5">
        <f t="shared" ref="Z44:Z61" si="31">IF(T44=0,0,X44/T44)</f>
        <v>-1</v>
      </c>
    </row>
    <row r="45" spans="1:26" s="24" customFormat="1" hidden="1" outlineLevel="2" x14ac:dyDescent="0.25">
      <c r="A45" s="26"/>
      <c r="B45" s="11" t="str">
        <f>CONCATENATE("          ", "6399", " - ", "DONATION-ON CAMPUS")</f>
        <v xml:space="preserve">          6399 - DONATION-ON CAMPUS</v>
      </c>
      <c r="C45" s="11"/>
      <c r="D45" s="6"/>
      <c r="E45" s="2"/>
      <c r="F45" s="7">
        <f t="shared" si="24"/>
        <v>0</v>
      </c>
      <c r="G45" s="2"/>
      <c r="H45" s="6"/>
      <c r="I45" s="2"/>
      <c r="J45" s="7">
        <f t="shared" si="25"/>
        <v>0</v>
      </c>
      <c r="K45" s="2"/>
      <c r="L45" s="6">
        <f t="shared" si="26"/>
        <v>0</v>
      </c>
      <c r="M45" s="2"/>
      <c r="N45" s="7">
        <f t="shared" si="27"/>
        <v>0</v>
      </c>
      <c r="O45" s="11"/>
      <c r="P45" s="6"/>
      <c r="Q45" s="2"/>
      <c r="R45" s="7">
        <f t="shared" si="28"/>
        <v>0</v>
      </c>
      <c r="S45" s="2"/>
      <c r="T45" s="6">
        <v>163.68</v>
      </c>
      <c r="U45" s="2"/>
      <c r="V45" s="7">
        <f t="shared" si="29"/>
        <v>0</v>
      </c>
      <c r="W45" s="2"/>
      <c r="X45" s="6">
        <f t="shared" si="30"/>
        <v>-163.68</v>
      </c>
      <c r="Y45" s="2"/>
      <c r="Z45" s="7">
        <f t="shared" si="31"/>
        <v>-1</v>
      </c>
    </row>
    <row r="46" spans="1:26" s="25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24"/>
        <v>0</v>
      </c>
      <c r="G46" s="1"/>
      <c r="H46" s="1">
        <f>SUM(OSRRefH22_6x_0)</f>
        <v>0</v>
      </c>
      <c r="I46" s="1"/>
      <c r="J46" s="5">
        <f t="shared" si="25"/>
        <v>0</v>
      </c>
      <c r="K46" s="1"/>
      <c r="L46" s="1">
        <f t="shared" si="26"/>
        <v>0</v>
      </c>
      <c r="M46" s="1"/>
      <c r="N46" s="5">
        <f t="shared" si="27"/>
        <v>0</v>
      </c>
      <c r="O46" s="13"/>
      <c r="P46" s="1">
        <f>SUM(OSRRefP22_6x_0)</f>
        <v>0</v>
      </c>
      <c r="Q46" s="1"/>
      <c r="R46" s="5">
        <f t="shared" si="28"/>
        <v>0</v>
      </c>
      <c r="S46" s="1"/>
      <c r="T46" s="1">
        <f>SUM(OSRRefT22_6x_0)</f>
        <v>366.16</v>
      </c>
      <c r="U46" s="1"/>
      <c r="V46" s="5">
        <f t="shared" si="29"/>
        <v>0</v>
      </c>
      <c r="W46" s="1"/>
      <c r="X46" s="1">
        <f t="shared" si="30"/>
        <v>-366.16</v>
      </c>
      <c r="Y46" s="1"/>
      <c r="Z46" s="5">
        <f t="shared" si="31"/>
        <v>-1</v>
      </c>
    </row>
    <row r="47" spans="1:26" s="24" customFormat="1" hidden="1" outlineLevel="2" x14ac:dyDescent="0.25">
      <c r="A47" s="26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4"/>
        <v>0</v>
      </c>
      <c r="G47" s="2"/>
      <c r="H47" s="6"/>
      <c r="I47" s="2"/>
      <c r="J47" s="7">
        <f t="shared" si="25"/>
        <v>0</v>
      </c>
      <c r="K47" s="2"/>
      <c r="L47" s="6">
        <f t="shared" si="26"/>
        <v>0</v>
      </c>
      <c r="M47" s="2"/>
      <c r="N47" s="7">
        <f t="shared" si="27"/>
        <v>0</v>
      </c>
      <c r="O47" s="11"/>
      <c r="P47" s="6"/>
      <c r="Q47" s="2"/>
      <c r="R47" s="7">
        <f t="shared" si="28"/>
        <v>0</v>
      </c>
      <c r="S47" s="2"/>
      <c r="T47" s="6">
        <v>366.16</v>
      </c>
      <c r="U47" s="2"/>
      <c r="V47" s="7">
        <f t="shared" si="29"/>
        <v>0</v>
      </c>
      <c r="W47" s="2"/>
      <c r="X47" s="6">
        <f t="shared" si="30"/>
        <v>-366.16</v>
      </c>
      <c r="Y47" s="2"/>
      <c r="Z47" s="7">
        <f t="shared" si="31"/>
        <v>-1</v>
      </c>
    </row>
    <row r="48" spans="1:26" s="25" customFormat="1" outlineLevel="1" collapsed="1" x14ac:dyDescent="0.25">
      <c r="A48" s="27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0</v>
      </c>
      <c r="E48" s="1"/>
      <c r="F48" s="5">
        <f t="shared" si="24"/>
        <v>0</v>
      </c>
      <c r="G48" s="1"/>
      <c r="H48" s="1">
        <f>SUM(OSRRefH22_7x_0)</f>
        <v>1204.83</v>
      </c>
      <c r="I48" s="1"/>
      <c r="J48" s="5">
        <f t="shared" si="25"/>
        <v>0</v>
      </c>
      <c r="K48" s="1"/>
      <c r="L48" s="1">
        <f t="shared" si="26"/>
        <v>-1204.83</v>
      </c>
      <c r="M48" s="1"/>
      <c r="N48" s="5">
        <f t="shared" si="27"/>
        <v>-1</v>
      </c>
      <c r="O48" s="13"/>
      <c r="P48" s="1">
        <f>SUM(OSRRefP22_7x_0)</f>
        <v>2928.23</v>
      </c>
      <c r="Q48" s="1"/>
      <c r="R48" s="5">
        <f t="shared" si="28"/>
        <v>0</v>
      </c>
      <c r="S48" s="1"/>
      <c r="T48" s="1">
        <f>SUM(OSRRefT22_7x_0)</f>
        <v>8717.07</v>
      </c>
      <c r="U48" s="1"/>
      <c r="V48" s="5">
        <f t="shared" si="29"/>
        <v>0</v>
      </c>
      <c r="W48" s="1"/>
      <c r="X48" s="1">
        <f t="shared" si="30"/>
        <v>-5788.84</v>
      </c>
      <c r="Y48" s="1"/>
      <c r="Z48" s="5">
        <f t="shared" si="31"/>
        <v>-0.66408093545193514</v>
      </c>
    </row>
    <row r="49" spans="1:26" s="24" customFormat="1" hidden="1" outlineLevel="2" x14ac:dyDescent="0.25">
      <c r="A49" s="26"/>
      <c r="B49" s="11" t="str">
        <f>CONCATENATE("          ", "6351", " - ", "EQUIPMENT RENTAL")</f>
        <v xml:space="preserve">          6351 - EQUIPMENT RENTAL</v>
      </c>
      <c r="C49" s="11"/>
      <c r="D49" s="6"/>
      <c r="E49" s="2"/>
      <c r="F49" s="7">
        <f t="shared" si="24"/>
        <v>0</v>
      </c>
      <c r="G49" s="2"/>
      <c r="H49" s="6">
        <v>1204.83</v>
      </c>
      <c r="I49" s="2"/>
      <c r="J49" s="7">
        <f t="shared" si="25"/>
        <v>0</v>
      </c>
      <c r="K49" s="2"/>
      <c r="L49" s="6">
        <f t="shared" si="26"/>
        <v>-1204.83</v>
      </c>
      <c r="M49" s="2"/>
      <c r="N49" s="7">
        <f t="shared" si="27"/>
        <v>-1</v>
      </c>
      <c r="O49" s="11"/>
      <c r="P49" s="6">
        <v>2928.23</v>
      </c>
      <c r="Q49" s="2"/>
      <c r="R49" s="7">
        <f t="shared" si="28"/>
        <v>0</v>
      </c>
      <c r="S49" s="2"/>
      <c r="T49" s="6">
        <v>8717.07</v>
      </c>
      <c r="U49" s="2"/>
      <c r="V49" s="7">
        <f t="shared" si="29"/>
        <v>0</v>
      </c>
      <c r="W49" s="2"/>
      <c r="X49" s="6">
        <f t="shared" si="30"/>
        <v>-5788.84</v>
      </c>
      <c r="Y49" s="2"/>
      <c r="Z49" s="7">
        <f t="shared" si="31"/>
        <v>-0.66408093545193514</v>
      </c>
    </row>
    <row r="50" spans="1:26" s="25" customFormat="1" outlineLevel="1" collapsed="1" x14ac:dyDescent="0.25">
      <c r="A50" s="27"/>
      <c r="B50" s="13" t="str">
        <f>CONCATENATE("     ","Freight out/Postage                               ")</f>
        <v xml:space="preserve">     Freight out/Postage                               </v>
      </c>
      <c r="C50" s="13"/>
      <c r="D50" s="1">
        <f>SUM(OSRRefD22_8x_0)</f>
        <v>0</v>
      </c>
      <c r="E50" s="1"/>
      <c r="F50" s="5">
        <f t="shared" si="24"/>
        <v>0</v>
      </c>
      <c r="G50" s="1"/>
      <c r="H50" s="1">
        <f>SUM(OSRRefH22_8x_0)</f>
        <v>0</v>
      </c>
      <c r="I50" s="1"/>
      <c r="J50" s="5">
        <f t="shared" si="25"/>
        <v>0</v>
      </c>
      <c r="K50" s="1"/>
      <c r="L50" s="1">
        <f t="shared" si="26"/>
        <v>0</v>
      </c>
      <c r="M50" s="1"/>
      <c r="N50" s="5">
        <f t="shared" si="27"/>
        <v>0</v>
      </c>
      <c r="O50" s="13"/>
      <c r="P50" s="1">
        <f>SUM(OSRRefP22_8x_0)</f>
        <v>-5.41</v>
      </c>
      <c r="Q50" s="1"/>
      <c r="R50" s="5">
        <f t="shared" si="28"/>
        <v>0</v>
      </c>
      <c r="S50" s="1"/>
      <c r="T50" s="1">
        <f>SUM(OSRRefT22_8x_0)</f>
        <v>0</v>
      </c>
      <c r="U50" s="1"/>
      <c r="V50" s="5">
        <f t="shared" si="29"/>
        <v>0</v>
      </c>
      <c r="W50" s="1"/>
      <c r="X50" s="1">
        <f t="shared" si="30"/>
        <v>-5.41</v>
      </c>
      <c r="Y50" s="1"/>
      <c r="Z50" s="5">
        <f t="shared" si="31"/>
        <v>0</v>
      </c>
    </row>
    <row r="51" spans="1:26" s="24" customFormat="1" hidden="1" outlineLevel="2" x14ac:dyDescent="0.25">
      <c r="A51" s="26"/>
      <c r="B51" s="11" t="str">
        <f>CONCATENATE("          ", "6307", " - ", "POSTAGE")</f>
        <v xml:space="preserve">          6307 - POSTAGE</v>
      </c>
      <c r="C51" s="11"/>
      <c r="D51" s="6"/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0</v>
      </c>
      <c r="M51" s="2"/>
      <c r="N51" s="7">
        <f t="shared" si="27"/>
        <v>0</v>
      </c>
      <c r="O51" s="11"/>
      <c r="P51" s="6">
        <v>-5.41</v>
      </c>
      <c r="Q51" s="2"/>
      <c r="R51" s="7">
        <f t="shared" si="28"/>
        <v>0</v>
      </c>
      <c r="S51" s="2"/>
      <c r="T51" s="6"/>
      <c r="U51" s="2"/>
      <c r="V51" s="7">
        <f t="shared" si="29"/>
        <v>0</v>
      </c>
      <c r="W51" s="2"/>
      <c r="X51" s="6">
        <f t="shared" si="30"/>
        <v>-5.41</v>
      </c>
      <c r="Y51" s="2"/>
      <c r="Z51" s="7">
        <f t="shared" si="31"/>
        <v>0</v>
      </c>
    </row>
    <row r="52" spans="1:26" s="25" customFormat="1" outlineLevel="1" collapsed="1" x14ac:dyDescent="0.25">
      <c r="A52" s="27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SUM(OSRRefD22_9x_0)</f>
        <v>119.41</v>
      </c>
      <c r="E52" s="1"/>
      <c r="F52" s="5">
        <f t="shared" si="24"/>
        <v>0</v>
      </c>
      <c r="G52" s="1"/>
      <c r="H52" s="1">
        <f>SUM(OSRRefH22_9x_0)</f>
        <v>426</v>
      </c>
      <c r="I52" s="1"/>
      <c r="J52" s="5">
        <f t="shared" si="25"/>
        <v>0</v>
      </c>
      <c r="K52" s="1"/>
      <c r="L52" s="1">
        <f t="shared" si="26"/>
        <v>-306.59000000000003</v>
      </c>
      <c r="M52" s="1"/>
      <c r="N52" s="5">
        <f t="shared" si="27"/>
        <v>-0.71969483568075121</v>
      </c>
      <c r="O52" s="13"/>
      <c r="P52" s="1">
        <f>SUM(OSRRefP22_9x_0)</f>
        <v>516.41</v>
      </c>
      <c r="Q52" s="1"/>
      <c r="R52" s="5">
        <f t="shared" si="28"/>
        <v>0</v>
      </c>
      <c r="S52" s="1"/>
      <c r="T52" s="1">
        <f>SUM(OSRRefT22_9x_0)</f>
        <v>23117.710000000003</v>
      </c>
      <c r="U52" s="1"/>
      <c r="V52" s="5">
        <f t="shared" si="29"/>
        <v>0</v>
      </c>
      <c r="W52" s="1"/>
      <c r="X52" s="1">
        <f t="shared" si="30"/>
        <v>-22601.300000000003</v>
      </c>
      <c r="Y52" s="1"/>
      <c r="Z52" s="5">
        <f t="shared" si="31"/>
        <v>-0.97766171476327024</v>
      </c>
    </row>
    <row r="53" spans="1:26" s="24" customFormat="1" hidden="1" outlineLevel="2" x14ac:dyDescent="0.25">
      <c r="A53" s="26"/>
      <c r="B53" s="11" t="str">
        <f>CONCATENATE("          ", "6279", " - ", "GENERAL EXPENSE")</f>
        <v xml:space="preserve">          6279 - GENERAL EXPENSE</v>
      </c>
      <c r="C53" s="11"/>
      <c r="D53" s="6">
        <v>119.41</v>
      </c>
      <c r="E53" s="2"/>
      <c r="F53" s="7">
        <f t="shared" si="24"/>
        <v>0</v>
      </c>
      <c r="G53" s="2"/>
      <c r="H53" s="6">
        <v>426</v>
      </c>
      <c r="I53" s="2"/>
      <c r="J53" s="7">
        <f t="shared" si="25"/>
        <v>0</v>
      </c>
      <c r="K53" s="2"/>
      <c r="L53" s="6">
        <f t="shared" si="26"/>
        <v>-306.59000000000003</v>
      </c>
      <c r="M53" s="2"/>
      <c r="N53" s="7">
        <f t="shared" si="27"/>
        <v>-0.71969483568075121</v>
      </c>
      <c r="O53" s="11"/>
      <c r="P53" s="6">
        <v>516.41</v>
      </c>
      <c r="Q53" s="2"/>
      <c r="R53" s="7">
        <f t="shared" si="28"/>
        <v>0</v>
      </c>
      <c r="S53" s="2"/>
      <c r="T53" s="6">
        <v>23117.710000000003</v>
      </c>
      <c r="U53" s="2"/>
      <c r="V53" s="7">
        <f t="shared" si="29"/>
        <v>0</v>
      </c>
      <c r="W53" s="2"/>
      <c r="X53" s="6">
        <f t="shared" si="30"/>
        <v>-22601.300000000003</v>
      </c>
      <c r="Y53" s="2"/>
      <c r="Z53" s="7">
        <f t="shared" si="31"/>
        <v>-0.97766171476327024</v>
      </c>
    </row>
    <row r="54" spans="1:26" s="25" customFormat="1" outlineLevel="1" collapsed="1" x14ac:dyDescent="0.25">
      <c r="A54" s="27"/>
      <c r="B54" s="13" t="str">
        <f>CONCATENATE("     ","Insurance                                         ")</f>
        <v xml:space="preserve">     Insurance                                         </v>
      </c>
      <c r="C54" s="13"/>
      <c r="D54" s="1">
        <f>SUM(OSRRefD22_10x_0)</f>
        <v>3598.85</v>
      </c>
      <c r="E54" s="1"/>
      <c r="F54" s="5">
        <f t="shared" si="24"/>
        <v>0</v>
      </c>
      <c r="G54" s="1"/>
      <c r="H54" s="1">
        <f>SUM(OSRRefH22_10x_0)</f>
        <v>9359.85</v>
      </c>
      <c r="I54" s="1"/>
      <c r="J54" s="5">
        <f t="shared" si="25"/>
        <v>0</v>
      </c>
      <c r="K54" s="1"/>
      <c r="L54" s="1">
        <f t="shared" si="26"/>
        <v>-5761</v>
      </c>
      <c r="M54" s="1"/>
      <c r="N54" s="5">
        <f t="shared" si="27"/>
        <v>-0.61550131679460673</v>
      </c>
      <c r="O54" s="13"/>
      <c r="P54" s="1">
        <f>SUM(OSRRefP22_10x_0)</f>
        <v>34902.800000000003</v>
      </c>
      <c r="Q54" s="1"/>
      <c r="R54" s="5">
        <f t="shared" si="28"/>
        <v>0</v>
      </c>
      <c r="S54" s="1"/>
      <c r="T54" s="1">
        <f>SUM(OSRRefT22_10x_0)</f>
        <v>34551.800000000003</v>
      </c>
      <c r="U54" s="1"/>
      <c r="V54" s="5">
        <f t="shared" si="29"/>
        <v>0</v>
      </c>
      <c r="W54" s="1"/>
      <c r="X54" s="1">
        <f t="shared" si="30"/>
        <v>351</v>
      </c>
      <c r="Y54" s="1"/>
      <c r="Z54" s="5">
        <f t="shared" si="31"/>
        <v>1.0158660330286699E-2</v>
      </c>
    </row>
    <row r="55" spans="1:26" s="24" customFormat="1" hidden="1" outlineLevel="2" x14ac:dyDescent="0.25">
      <c r="A55" s="26"/>
      <c r="B55" s="11" t="str">
        <f>CONCATENATE("          ", "6314", " - ", "LIABILITY INSURANCE")</f>
        <v xml:space="preserve">          6314 - LIABILITY INSURANCE</v>
      </c>
      <c r="C55" s="11"/>
      <c r="D55" s="6">
        <v>3598.85</v>
      </c>
      <c r="E55" s="2"/>
      <c r="F55" s="7">
        <f t="shared" si="24"/>
        <v>0</v>
      </c>
      <c r="G55" s="2"/>
      <c r="H55" s="6">
        <v>9359.85</v>
      </c>
      <c r="I55" s="2"/>
      <c r="J55" s="7">
        <f t="shared" si="25"/>
        <v>0</v>
      </c>
      <c r="K55" s="2"/>
      <c r="L55" s="6">
        <f t="shared" si="26"/>
        <v>-5761</v>
      </c>
      <c r="M55" s="2"/>
      <c r="N55" s="7">
        <f t="shared" si="27"/>
        <v>-0.61550131679460673</v>
      </c>
      <c r="O55" s="11"/>
      <c r="P55" s="6">
        <v>34902.800000000003</v>
      </c>
      <c r="Q55" s="2"/>
      <c r="R55" s="7">
        <f t="shared" si="28"/>
        <v>0</v>
      </c>
      <c r="S55" s="2"/>
      <c r="T55" s="6">
        <v>34551.800000000003</v>
      </c>
      <c r="U55" s="2"/>
      <c r="V55" s="7">
        <f t="shared" si="29"/>
        <v>0</v>
      </c>
      <c r="W55" s="2"/>
      <c r="X55" s="6">
        <f t="shared" si="30"/>
        <v>351</v>
      </c>
      <c r="Y55" s="2"/>
      <c r="Z55" s="7">
        <f t="shared" si="31"/>
        <v>1.0158660330286699E-2</v>
      </c>
    </row>
    <row r="56" spans="1:26" s="25" customFormat="1" outlineLevel="1" collapsed="1" x14ac:dyDescent="0.25">
      <c r="A56" s="27"/>
      <c r="B56" s="13" t="str">
        <f>CONCATENATE("     ","Professional Services                             ")</f>
        <v xml:space="preserve">     Professional Services                             </v>
      </c>
      <c r="C56" s="13"/>
      <c r="D56" s="1">
        <f>SUM(OSRRefD22_11x_0)</f>
        <v>0</v>
      </c>
      <c r="E56" s="1"/>
      <c r="F56" s="5">
        <f t="shared" si="24"/>
        <v>0</v>
      </c>
      <c r="G56" s="1"/>
      <c r="H56" s="1">
        <f>SUM(OSRRefH22_11x_0)</f>
        <v>0</v>
      </c>
      <c r="I56" s="1"/>
      <c r="J56" s="5">
        <f t="shared" si="25"/>
        <v>0</v>
      </c>
      <c r="K56" s="1"/>
      <c r="L56" s="1">
        <f t="shared" si="26"/>
        <v>0</v>
      </c>
      <c r="M56" s="1"/>
      <c r="N56" s="5">
        <f t="shared" si="27"/>
        <v>0</v>
      </c>
      <c r="O56" s="13"/>
      <c r="P56" s="1">
        <f>SUM(OSRRefP22_11x_0)</f>
        <v>0</v>
      </c>
      <c r="Q56" s="1"/>
      <c r="R56" s="5">
        <f t="shared" si="28"/>
        <v>0</v>
      </c>
      <c r="S56" s="1"/>
      <c r="T56" s="1">
        <f>SUM(OSRRefT22_11x_0)</f>
        <v>125</v>
      </c>
      <c r="U56" s="1"/>
      <c r="V56" s="5">
        <f t="shared" si="29"/>
        <v>0</v>
      </c>
      <c r="W56" s="1"/>
      <c r="X56" s="1">
        <f t="shared" si="30"/>
        <v>-125</v>
      </c>
      <c r="Y56" s="1"/>
      <c r="Z56" s="5">
        <f t="shared" si="31"/>
        <v>-1</v>
      </c>
    </row>
    <row r="57" spans="1:26" s="24" customFormat="1" hidden="1" outlineLevel="2" x14ac:dyDescent="0.25">
      <c r="A57" s="26"/>
      <c r="B57" s="11" t="str">
        <f>CONCATENATE("          ", "6336", " - ", "PROFESSIONAL SERVICES")</f>
        <v xml:space="preserve">          6336 - PROFESSIONAL SERVICES</v>
      </c>
      <c r="C57" s="11"/>
      <c r="D57" s="6"/>
      <c r="E57" s="2"/>
      <c r="F57" s="7">
        <f t="shared" si="24"/>
        <v>0</v>
      </c>
      <c r="G57" s="2"/>
      <c r="H57" s="6"/>
      <c r="I57" s="2"/>
      <c r="J57" s="7">
        <f t="shared" si="25"/>
        <v>0</v>
      </c>
      <c r="K57" s="2"/>
      <c r="L57" s="6">
        <f t="shared" si="26"/>
        <v>0</v>
      </c>
      <c r="M57" s="2"/>
      <c r="N57" s="7">
        <f t="shared" si="27"/>
        <v>0</v>
      </c>
      <c r="O57" s="11"/>
      <c r="P57" s="6"/>
      <c r="Q57" s="2"/>
      <c r="R57" s="7">
        <f t="shared" si="28"/>
        <v>0</v>
      </c>
      <c r="S57" s="2"/>
      <c r="T57" s="6">
        <v>125</v>
      </c>
      <c r="U57" s="2"/>
      <c r="V57" s="7">
        <f t="shared" si="29"/>
        <v>0</v>
      </c>
      <c r="W57" s="2"/>
      <c r="X57" s="6">
        <f t="shared" si="30"/>
        <v>-125</v>
      </c>
      <c r="Y57" s="2"/>
      <c r="Z57" s="7">
        <f t="shared" si="31"/>
        <v>-1</v>
      </c>
    </row>
    <row r="58" spans="1:26" s="25" customFormat="1" outlineLevel="1" collapsed="1" x14ac:dyDescent="0.25">
      <c r="A58" s="27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SUM(OSRRefD22_12x_0)</f>
        <v>1721.13</v>
      </c>
      <c r="E58" s="1"/>
      <c r="F58" s="5">
        <f t="shared" si="24"/>
        <v>0</v>
      </c>
      <c r="G58" s="1"/>
      <c r="H58" s="1">
        <f>SUM(OSRRefH22_12x_0)</f>
        <v>8089.63</v>
      </c>
      <c r="I58" s="1"/>
      <c r="J58" s="5">
        <f t="shared" si="25"/>
        <v>0</v>
      </c>
      <c r="K58" s="1"/>
      <c r="L58" s="1">
        <f t="shared" si="26"/>
        <v>-6368.5</v>
      </c>
      <c r="M58" s="1"/>
      <c r="N58" s="5">
        <f t="shared" si="27"/>
        <v>-0.78724243259580473</v>
      </c>
      <c r="O58" s="13"/>
      <c r="P58" s="1">
        <f>SUM(OSRRefP22_12x_0)</f>
        <v>4666.3599999999997</v>
      </c>
      <c r="Q58" s="1"/>
      <c r="R58" s="5">
        <f t="shared" si="28"/>
        <v>0</v>
      </c>
      <c r="S58" s="1"/>
      <c r="T58" s="1">
        <f>SUM(OSRRefT22_12x_0)</f>
        <v>93810.1</v>
      </c>
      <c r="U58" s="1"/>
      <c r="V58" s="5">
        <f t="shared" si="29"/>
        <v>0</v>
      </c>
      <c r="W58" s="1"/>
      <c r="X58" s="1">
        <f t="shared" si="30"/>
        <v>-89143.74</v>
      </c>
      <c r="Y58" s="1"/>
      <c r="Z58" s="5">
        <f t="shared" si="31"/>
        <v>-0.95025738166785878</v>
      </c>
    </row>
    <row r="59" spans="1:26" s="24" customFormat="1" hidden="1" outlineLevel="2" x14ac:dyDescent="0.25">
      <c r="A59" s="26"/>
      <c r="B59" s="11" t="str">
        <f>CONCATENATE("          ", "6371", " - ", "COMPUTER SOFTWARE MAINTENANCE")</f>
        <v xml:space="preserve">          6371 - COMPUTER SOFTWARE MAINTENANCE</v>
      </c>
      <c r="C59" s="11"/>
      <c r="D59" s="6">
        <v>702.27</v>
      </c>
      <c r="E59" s="2"/>
      <c r="F59" s="7">
        <f t="shared" si="24"/>
        <v>0</v>
      </c>
      <c r="G59" s="2"/>
      <c r="H59" s="6"/>
      <c r="I59" s="2"/>
      <c r="J59" s="7">
        <f t="shared" si="25"/>
        <v>0</v>
      </c>
      <c r="K59" s="2"/>
      <c r="L59" s="6">
        <f t="shared" si="26"/>
        <v>702.27</v>
      </c>
      <c r="M59" s="2"/>
      <c r="N59" s="7">
        <f t="shared" si="27"/>
        <v>0</v>
      </c>
      <c r="O59" s="11"/>
      <c r="P59" s="6">
        <v>702.27</v>
      </c>
      <c r="Q59" s="2"/>
      <c r="R59" s="7">
        <f t="shared" si="28"/>
        <v>0</v>
      </c>
      <c r="S59" s="2"/>
      <c r="T59" s="6"/>
      <c r="U59" s="2"/>
      <c r="V59" s="7">
        <f t="shared" si="29"/>
        <v>0</v>
      </c>
      <c r="W59" s="2"/>
      <c r="X59" s="6">
        <f t="shared" si="30"/>
        <v>702.27</v>
      </c>
      <c r="Y59" s="2"/>
      <c r="Z59" s="7">
        <f t="shared" si="31"/>
        <v>0</v>
      </c>
    </row>
    <row r="60" spans="1:26" s="24" customFormat="1" hidden="1" outlineLevel="2" x14ac:dyDescent="0.25">
      <c r="A60" s="26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24"/>
        <v>0</v>
      </c>
      <c r="G60" s="2"/>
      <c r="H60" s="6">
        <v>5033.25</v>
      </c>
      <c r="I60" s="2"/>
      <c r="J60" s="7">
        <f t="shared" si="25"/>
        <v>0</v>
      </c>
      <c r="K60" s="2"/>
      <c r="L60" s="6">
        <f t="shared" si="26"/>
        <v>-5033.25</v>
      </c>
      <c r="M60" s="2"/>
      <c r="N60" s="7">
        <f t="shared" si="27"/>
        <v>-1</v>
      </c>
      <c r="O60" s="11"/>
      <c r="P60" s="6">
        <v>2131.1999999999998</v>
      </c>
      <c r="Q60" s="2"/>
      <c r="R60" s="7">
        <f t="shared" si="28"/>
        <v>0</v>
      </c>
      <c r="S60" s="2"/>
      <c r="T60" s="6">
        <v>48532.83</v>
      </c>
      <c r="U60" s="2"/>
      <c r="V60" s="7">
        <f t="shared" si="29"/>
        <v>0</v>
      </c>
      <c r="W60" s="2"/>
      <c r="X60" s="6">
        <f t="shared" si="30"/>
        <v>-46401.630000000005</v>
      </c>
      <c r="Y60" s="2"/>
      <c r="Z60" s="7">
        <f t="shared" si="31"/>
        <v>-0.9560874566762334</v>
      </c>
    </row>
    <row r="61" spans="1:26" s="24" customFormat="1" hidden="1" outlineLevel="2" x14ac:dyDescent="0.25">
      <c r="A61" s="26"/>
      <c r="B61" s="11" t="str">
        <f>CONCATENATE("          ", "6375", " - ", "OUTSIDE REPAIRS &amp; MAINTENANCE")</f>
        <v xml:space="preserve">          6375 - OUTSIDE REPAIRS &amp; MAINTENANCE</v>
      </c>
      <c r="C61" s="11"/>
      <c r="D61" s="6">
        <v>1018.86</v>
      </c>
      <c r="E61" s="2"/>
      <c r="F61" s="7">
        <f t="shared" si="24"/>
        <v>0</v>
      </c>
      <c r="G61" s="2"/>
      <c r="H61" s="6">
        <v>3056.38</v>
      </c>
      <c r="I61" s="2"/>
      <c r="J61" s="7">
        <f t="shared" si="25"/>
        <v>0</v>
      </c>
      <c r="K61" s="2"/>
      <c r="L61" s="6">
        <f t="shared" si="26"/>
        <v>-2037.52</v>
      </c>
      <c r="M61" s="2"/>
      <c r="N61" s="7">
        <f t="shared" si="27"/>
        <v>-0.6666448543702026</v>
      </c>
      <c r="O61" s="11"/>
      <c r="P61" s="6">
        <v>1832.89</v>
      </c>
      <c r="Q61" s="2"/>
      <c r="R61" s="7">
        <f t="shared" si="28"/>
        <v>0</v>
      </c>
      <c r="S61" s="2"/>
      <c r="T61" s="6">
        <v>45277.270000000004</v>
      </c>
      <c r="U61" s="2"/>
      <c r="V61" s="7">
        <f t="shared" si="29"/>
        <v>0</v>
      </c>
      <c r="W61" s="2"/>
      <c r="X61" s="6">
        <f t="shared" si="30"/>
        <v>-43444.380000000005</v>
      </c>
      <c r="Y61" s="2"/>
      <c r="Z61" s="7">
        <f t="shared" si="31"/>
        <v>-0.95951853987663127</v>
      </c>
    </row>
    <row r="62" spans="1:26" s="25" customFormat="1" outlineLevel="1" collapsed="1" x14ac:dyDescent="0.25">
      <c r="A62" s="27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SUM(OSRRefD22_13x_0)</f>
        <v>4880.26</v>
      </c>
      <c r="E62" s="1"/>
      <c r="F62" s="5">
        <f t="shared" ref="F62:F67" si="32">IF(D$12=0,0,D62/D$12)</f>
        <v>0</v>
      </c>
      <c r="G62" s="1"/>
      <c r="H62" s="1">
        <f>SUM(OSRRefH22_13x_0)</f>
        <v>15566.619999999999</v>
      </c>
      <c r="I62" s="1"/>
      <c r="J62" s="5">
        <f t="shared" ref="J62:J67" si="33">IF(H$12=0,0,H62/H$12)</f>
        <v>0</v>
      </c>
      <c r="K62" s="1"/>
      <c r="L62" s="1">
        <f t="shared" ref="L62:L67" si="34">+D62-H62</f>
        <v>-10686.359999999999</v>
      </c>
      <c r="M62" s="1"/>
      <c r="N62" s="5">
        <f t="shared" ref="N62:N67" si="35">IF(H62=0,0,L62/H62)</f>
        <v>-0.68649199376614833</v>
      </c>
      <c r="O62" s="13"/>
      <c r="P62" s="1">
        <f>SUM(OSRRefP22_13x_0)</f>
        <v>25027.56</v>
      </c>
      <c r="Q62" s="1"/>
      <c r="R62" s="5">
        <f t="shared" ref="R62:R67" si="36">IF(P$12=0,0,P62/P$12)</f>
        <v>0</v>
      </c>
      <c r="S62" s="1"/>
      <c r="T62" s="1">
        <f>SUM(OSRRefT22_13x_0)</f>
        <v>114612.13999999998</v>
      </c>
      <c r="U62" s="1"/>
      <c r="V62" s="5">
        <f t="shared" ref="V62:V67" si="37">IF(T$12=0,0,T62/T$12)</f>
        <v>0</v>
      </c>
      <c r="W62" s="1"/>
      <c r="X62" s="1">
        <f t="shared" ref="X62:X67" si="38">+P62-T62</f>
        <v>-89584.579999999987</v>
      </c>
      <c r="Y62" s="1"/>
      <c r="Z62" s="5">
        <f t="shared" ref="Z62:Z67" si="39">IF(T62=0,0,X62/T62)</f>
        <v>-0.78163255655116459</v>
      </c>
    </row>
    <row r="63" spans="1:26" s="24" customFormat="1" hidden="1" outlineLevel="2" x14ac:dyDescent="0.25">
      <c r="A63" s="26"/>
      <c r="B63" s="11" t="str">
        <f>CONCATENATE("          ", "6282", " - ", "JANITORIAL/EXTERMINATOR EXPENS")</f>
        <v xml:space="preserve">          6282 - JANITORIAL/EXTERMINATOR EXPENS</v>
      </c>
      <c r="C63" s="11"/>
      <c r="D63" s="6">
        <v>626.26</v>
      </c>
      <c r="E63" s="2"/>
      <c r="F63" s="7">
        <f t="shared" si="32"/>
        <v>0</v>
      </c>
      <c r="G63" s="2"/>
      <c r="H63" s="6">
        <v>626.26</v>
      </c>
      <c r="I63" s="2"/>
      <c r="J63" s="7">
        <f t="shared" si="33"/>
        <v>0</v>
      </c>
      <c r="K63" s="2"/>
      <c r="L63" s="6">
        <f t="shared" si="34"/>
        <v>0</v>
      </c>
      <c r="M63" s="2"/>
      <c r="N63" s="7">
        <f t="shared" si="35"/>
        <v>0</v>
      </c>
      <c r="O63" s="11"/>
      <c r="P63" s="6">
        <v>3757.56</v>
      </c>
      <c r="Q63" s="2"/>
      <c r="R63" s="7">
        <f t="shared" si="36"/>
        <v>0</v>
      </c>
      <c r="S63" s="2"/>
      <c r="T63" s="6">
        <v>5636.34</v>
      </c>
      <c r="U63" s="2"/>
      <c r="V63" s="7">
        <f t="shared" si="37"/>
        <v>0</v>
      </c>
      <c r="W63" s="2"/>
      <c r="X63" s="6">
        <f t="shared" si="38"/>
        <v>-1878.7800000000002</v>
      </c>
      <c r="Y63" s="2"/>
      <c r="Z63" s="7">
        <f t="shared" si="39"/>
        <v>-0.33333333333333337</v>
      </c>
    </row>
    <row r="64" spans="1:26" s="24" customFormat="1" hidden="1" outlineLevel="2" x14ac:dyDescent="0.25">
      <c r="A64" s="26"/>
      <c r="B64" s="11" t="str">
        <f>CONCATENATE("          ", "6283", " - ", "PLANT SERVICE")</f>
        <v xml:space="preserve">          6283 - PLANT SERVICE</v>
      </c>
      <c r="C64" s="11"/>
      <c r="D64" s="6"/>
      <c r="E64" s="2"/>
      <c r="F64" s="7">
        <f t="shared" si="32"/>
        <v>0</v>
      </c>
      <c r="G64" s="2"/>
      <c r="H64" s="6">
        <v>35.53</v>
      </c>
      <c r="I64" s="2"/>
      <c r="J64" s="7">
        <f t="shared" si="33"/>
        <v>0</v>
      </c>
      <c r="K64" s="2"/>
      <c r="L64" s="6">
        <f t="shared" si="34"/>
        <v>-35.53</v>
      </c>
      <c r="M64" s="2"/>
      <c r="N64" s="7">
        <f t="shared" si="35"/>
        <v>-1</v>
      </c>
      <c r="O64" s="11"/>
      <c r="P64" s="6"/>
      <c r="Q64" s="2"/>
      <c r="R64" s="7">
        <f t="shared" si="36"/>
        <v>0</v>
      </c>
      <c r="S64" s="2"/>
      <c r="T64" s="6">
        <v>177.65</v>
      </c>
      <c r="U64" s="2"/>
      <c r="V64" s="7">
        <f t="shared" si="37"/>
        <v>0</v>
      </c>
      <c r="W64" s="2"/>
      <c r="X64" s="6">
        <f t="shared" si="38"/>
        <v>-177.65</v>
      </c>
      <c r="Y64" s="2"/>
      <c r="Z64" s="7">
        <f t="shared" si="39"/>
        <v>-1</v>
      </c>
    </row>
    <row r="65" spans="1:26" s="24" customFormat="1" hidden="1" outlineLevel="2" x14ac:dyDescent="0.25">
      <c r="A65" s="26"/>
      <c r="B65" s="11" t="str">
        <f>CONCATENATE("          ", "6284", " - ", "TRASH REMOVAL EXPENSE")</f>
        <v xml:space="preserve">          6284 - TRASH REMOVAL EXPENSE</v>
      </c>
      <c r="C65" s="11"/>
      <c r="D65" s="6">
        <v>4254</v>
      </c>
      <c r="E65" s="2"/>
      <c r="F65" s="7">
        <f t="shared" si="32"/>
        <v>0</v>
      </c>
      <c r="G65" s="2"/>
      <c r="H65" s="6">
        <v>4254</v>
      </c>
      <c r="I65" s="2"/>
      <c r="J65" s="7">
        <f t="shared" si="33"/>
        <v>0</v>
      </c>
      <c r="K65" s="2"/>
      <c r="L65" s="6">
        <f t="shared" si="34"/>
        <v>0</v>
      </c>
      <c r="M65" s="2"/>
      <c r="N65" s="7">
        <f t="shared" si="35"/>
        <v>0</v>
      </c>
      <c r="O65" s="11"/>
      <c r="P65" s="6">
        <v>21270</v>
      </c>
      <c r="Q65" s="2"/>
      <c r="R65" s="7">
        <f t="shared" si="36"/>
        <v>0</v>
      </c>
      <c r="S65" s="2"/>
      <c r="T65" s="6">
        <v>26249</v>
      </c>
      <c r="U65" s="2"/>
      <c r="V65" s="7">
        <f t="shared" si="37"/>
        <v>0</v>
      </c>
      <c r="W65" s="2"/>
      <c r="X65" s="6">
        <f t="shared" si="38"/>
        <v>-4979</v>
      </c>
      <c r="Y65" s="2"/>
      <c r="Z65" s="7">
        <f t="shared" si="39"/>
        <v>-0.18968341651110518</v>
      </c>
    </row>
    <row r="66" spans="1:26" s="24" customFormat="1" hidden="1" outlineLevel="2" x14ac:dyDescent="0.25">
      <c r="A66" s="26"/>
      <c r="B66" s="11" t="str">
        <f>CONCATENATE("          ", "6285", " - ", "JANITORIAL SERVICES")</f>
        <v xml:space="preserve">          6285 - JANITORIAL SERVICES</v>
      </c>
      <c r="C66" s="11"/>
      <c r="D66" s="6"/>
      <c r="E66" s="2"/>
      <c r="F66" s="7">
        <f t="shared" si="32"/>
        <v>0</v>
      </c>
      <c r="G66" s="2"/>
      <c r="H66" s="6">
        <v>10551.47</v>
      </c>
      <c r="I66" s="2"/>
      <c r="J66" s="7">
        <f t="shared" si="33"/>
        <v>0</v>
      </c>
      <c r="K66" s="2"/>
      <c r="L66" s="6">
        <f t="shared" si="34"/>
        <v>-10551.47</v>
      </c>
      <c r="M66" s="2"/>
      <c r="N66" s="7">
        <f t="shared" si="35"/>
        <v>-1</v>
      </c>
      <c r="O66" s="11"/>
      <c r="P66" s="6"/>
      <c r="Q66" s="2"/>
      <c r="R66" s="7">
        <f t="shared" si="36"/>
        <v>0</v>
      </c>
      <c r="S66" s="2"/>
      <c r="T66" s="6">
        <v>81854</v>
      </c>
      <c r="U66" s="2"/>
      <c r="V66" s="7">
        <f t="shared" si="37"/>
        <v>0</v>
      </c>
      <c r="W66" s="2"/>
      <c r="X66" s="6">
        <f t="shared" si="38"/>
        <v>-81854</v>
      </c>
      <c r="Y66" s="2"/>
      <c r="Z66" s="7">
        <f t="shared" si="39"/>
        <v>-1</v>
      </c>
    </row>
    <row r="67" spans="1:26" s="24" customFormat="1" hidden="1" outlineLevel="2" x14ac:dyDescent="0.25">
      <c r="A67" s="26"/>
      <c r="B67" s="11" t="str">
        <f>CONCATENATE("          ", "6286", " - ", "LAUNDRY EXPENSE")</f>
        <v xml:space="preserve">          6286 - LAUNDRY EXPENSE</v>
      </c>
      <c r="C67" s="11"/>
      <c r="D67" s="6"/>
      <c r="E67" s="2"/>
      <c r="F67" s="7">
        <f t="shared" si="32"/>
        <v>0</v>
      </c>
      <c r="G67" s="2"/>
      <c r="H67" s="6">
        <v>99.36</v>
      </c>
      <c r="I67" s="2"/>
      <c r="J67" s="7">
        <f t="shared" si="33"/>
        <v>0</v>
      </c>
      <c r="K67" s="2"/>
      <c r="L67" s="6">
        <f t="shared" si="34"/>
        <v>-99.36</v>
      </c>
      <c r="M67" s="2"/>
      <c r="N67" s="7">
        <f t="shared" si="35"/>
        <v>-1</v>
      </c>
      <c r="O67" s="11"/>
      <c r="P67" s="6"/>
      <c r="Q67" s="2"/>
      <c r="R67" s="7">
        <f t="shared" si="36"/>
        <v>0</v>
      </c>
      <c r="S67" s="2"/>
      <c r="T67" s="6">
        <v>695.15</v>
      </c>
      <c r="U67" s="2"/>
      <c r="V67" s="7">
        <f t="shared" si="37"/>
        <v>0</v>
      </c>
      <c r="W67" s="2"/>
      <c r="X67" s="6">
        <f t="shared" si="38"/>
        <v>-695.15</v>
      </c>
      <c r="Y67" s="2"/>
      <c r="Z67" s="7">
        <f t="shared" si="39"/>
        <v>-1</v>
      </c>
    </row>
    <row r="68" spans="1:26" s="25" customFormat="1" outlineLevel="1" collapsed="1" x14ac:dyDescent="0.25">
      <c r="A68" s="27"/>
      <c r="B68" s="13" t="str">
        <f>CONCATENATE("     ","Subscriptions &amp; Dues                              ")</f>
        <v xml:space="preserve">     Subscriptions &amp; Dues                              </v>
      </c>
      <c r="C68" s="13"/>
      <c r="D68" s="1">
        <f>SUM(OSRRefD22_14x_0)</f>
        <v>0</v>
      </c>
      <c r="E68" s="1"/>
      <c r="F68" s="5">
        <f t="shared" ref="F68:F79" si="40">IF(D$12=0,0,D68/D$12)</f>
        <v>0</v>
      </c>
      <c r="G68" s="1"/>
      <c r="H68" s="1">
        <f>SUM(OSRRefH22_14x_0)</f>
        <v>0</v>
      </c>
      <c r="I68" s="1"/>
      <c r="J68" s="5">
        <f t="shared" ref="J68:J79" si="41">IF(H$12=0,0,H68/H$12)</f>
        <v>0</v>
      </c>
      <c r="K68" s="1"/>
      <c r="L68" s="1">
        <f t="shared" ref="L68:L79" si="42">+D68-H68</f>
        <v>0</v>
      </c>
      <c r="M68" s="1"/>
      <c r="N68" s="5">
        <f t="shared" ref="N68:N79" si="43">IF(H68=0,0,L68/H68)</f>
        <v>0</v>
      </c>
      <c r="O68" s="13"/>
      <c r="P68" s="1">
        <f>SUM(OSRRefP22_14x_0)</f>
        <v>0</v>
      </c>
      <c r="Q68" s="1"/>
      <c r="R68" s="5">
        <f t="shared" ref="R68:R79" si="44">IF(P$12=0,0,P68/P$12)</f>
        <v>0</v>
      </c>
      <c r="S68" s="1"/>
      <c r="T68" s="1">
        <f>SUM(OSRRefT22_14x_0)</f>
        <v>795</v>
      </c>
      <c r="U68" s="1"/>
      <c r="V68" s="5">
        <f t="shared" ref="V68:V79" si="45">IF(T$12=0,0,T68/T$12)</f>
        <v>0</v>
      </c>
      <c r="W68" s="1"/>
      <c r="X68" s="1">
        <f t="shared" ref="X68:X79" si="46">+P68-T68</f>
        <v>-795</v>
      </c>
      <c r="Y68" s="1"/>
      <c r="Z68" s="5">
        <f t="shared" ref="Z68:Z79" si="47">IF(T68=0,0,X68/T68)</f>
        <v>-1</v>
      </c>
    </row>
    <row r="69" spans="1:26" s="24" customFormat="1" hidden="1" outlineLevel="2" x14ac:dyDescent="0.25">
      <c r="A69" s="26"/>
      <c r="B69" s="11" t="str">
        <f>CONCATENATE("          ", "6258", " - ", "MEMBERSHIP DUES")</f>
        <v xml:space="preserve">          6258 - MEMBERSHIP DUES</v>
      </c>
      <c r="C69" s="11"/>
      <c r="D69" s="6"/>
      <c r="E69" s="2"/>
      <c r="F69" s="7">
        <f t="shared" si="40"/>
        <v>0</v>
      </c>
      <c r="G69" s="2"/>
      <c r="H69" s="6"/>
      <c r="I69" s="2"/>
      <c r="J69" s="7">
        <f t="shared" si="41"/>
        <v>0</v>
      </c>
      <c r="K69" s="2"/>
      <c r="L69" s="6">
        <f t="shared" si="42"/>
        <v>0</v>
      </c>
      <c r="M69" s="2"/>
      <c r="N69" s="7">
        <f t="shared" si="43"/>
        <v>0</v>
      </c>
      <c r="O69" s="11"/>
      <c r="P69" s="6"/>
      <c r="Q69" s="2"/>
      <c r="R69" s="7">
        <f t="shared" si="44"/>
        <v>0</v>
      </c>
      <c r="S69" s="2"/>
      <c r="T69" s="6">
        <v>795</v>
      </c>
      <c r="U69" s="2"/>
      <c r="V69" s="7">
        <f t="shared" si="45"/>
        <v>0</v>
      </c>
      <c r="W69" s="2"/>
      <c r="X69" s="6">
        <f t="shared" si="46"/>
        <v>-795</v>
      </c>
      <c r="Y69" s="2"/>
      <c r="Z69" s="7">
        <f t="shared" si="47"/>
        <v>-1</v>
      </c>
    </row>
    <row r="70" spans="1:26" s="25" customFormat="1" outlineLevel="1" collapsed="1" x14ac:dyDescent="0.25">
      <c r="A70" s="27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SUM(OSRRefD22_15x_0)</f>
        <v>0</v>
      </c>
      <c r="E70" s="1"/>
      <c r="F70" s="5">
        <f t="shared" si="40"/>
        <v>0</v>
      </c>
      <c r="G70" s="1"/>
      <c r="H70" s="1">
        <f>SUM(OSRRefH22_15x_0)</f>
        <v>7888.79</v>
      </c>
      <c r="I70" s="1"/>
      <c r="J70" s="5">
        <f t="shared" si="41"/>
        <v>0</v>
      </c>
      <c r="K70" s="1"/>
      <c r="L70" s="1">
        <f t="shared" si="42"/>
        <v>-7888.79</v>
      </c>
      <c r="M70" s="1"/>
      <c r="N70" s="5">
        <f t="shared" si="43"/>
        <v>-1</v>
      </c>
      <c r="O70" s="13"/>
      <c r="P70" s="1">
        <f>SUM(OSRRefP22_15x_0)</f>
        <v>-29072.879999999997</v>
      </c>
      <c r="Q70" s="1"/>
      <c r="R70" s="5">
        <f t="shared" si="44"/>
        <v>0</v>
      </c>
      <c r="S70" s="1"/>
      <c r="T70" s="1">
        <f>SUM(OSRRefT22_15x_0)</f>
        <v>59158.43</v>
      </c>
      <c r="U70" s="1"/>
      <c r="V70" s="5">
        <f t="shared" si="45"/>
        <v>0</v>
      </c>
      <c r="W70" s="1"/>
      <c r="X70" s="1">
        <f t="shared" si="46"/>
        <v>-88231.31</v>
      </c>
      <c r="Y70" s="1"/>
      <c r="Z70" s="5">
        <f t="shared" si="47"/>
        <v>-1.4914410338475852</v>
      </c>
    </row>
    <row r="71" spans="1:26" s="24" customFormat="1" hidden="1" outlineLevel="2" x14ac:dyDescent="0.25">
      <c r="A71" s="26"/>
      <c r="B71" s="11" t="str">
        <f>CONCATENATE("          ", "6234", " - ", "EXPENDABLE SUPPLIES &amp; EQUIPMEN")</f>
        <v xml:space="preserve">          6234 - EXPENDABLE SUPPLIES &amp; EQUIPMEN</v>
      </c>
      <c r="C71" s="11"/>
      <c r="D71" s="6"/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0</v>
      </c>
      <c r="M71" s="2"/>
      <c r="N71" s="7">
        <f t="shared" si="43"/>
        <v>0</v>
      </c>
      <c r="O71" s="11"/>
      <c r="P71" s="6"/>
      <c r="Q71" s="2"/>
      <c r="R71" s="7">
        <f t="shared" si="44"/>
        <v>0</v>
      </c>
      <c r="S71" s="2"/>
      <c r="T71" s="6">
        <v>8091.25</v>
      </c>
      <c r="U71" s="2"/>
      <c r="V71" s="7">
        <f t="shared" si="45"/>
        <v>0</v>
      </c>
      <c r="W71" s="2"/>
      <c r="X71" s="6">
        <f t="shared" si="46"/>
        <v>-8091.25</v>
      </c>
      <c r="Y71" s="2"/>
      <c r="Z71" s="7">
        <f t="shared" si="47"/>
        <v>-1</v>
      </c>
    </row>
    <row r="72" spans="1:26" s="24" customFormat="1" hidden="1" outlineLevel="2" x14ac:dyDescent="0.25">
      <c r="A72" s="26"/>
      <c r="B72" s="11" t="str">
        <f>CONCATENATE("          ", "6235", " - ", "COVID-19 EXPENSES")</f>
        <v xml:space="preserve">          6235 - COVID-19 EXPENSES</v>
      </c>
      <c r="C72" s="11"/>
      <c r="D72" s="6"/>
      <c r="E72" s="2"/>
      <c r="F72" s="7">
        <f t="shared" si="40"/>
        <v>0</v>
      </c>
      <c r="G72" s="2"/>
      <c r="H72" s="6"/>
      <c r="I72" s="2"/>
      <c r="J72" s="7">
        <f t="shared" si="41"/>
        <v>0</v>
      </c>
      <c r="K72" s="2"/>
      <c r="L72" s="6">
        <f t="shared" si="42"/>
        <v>0</v>
      </c>
      <c r="M72" s="2"/>
      <c r="N72" s="7">
        <f t="shared" si="43"/>
        <v>0</v>
      </c>
      <c r="O72" s="11"/>
      <c r="P72" s="6">
        <v>127.89</v>
      </c>
      <c r="Q72" s="2"/>
      <c r="R72" s="7">
        <f t="shared" si="44"/>
        <v>0</v>
      </c>
      <c r="S72" s="2"/>
      <c r="T72" s="6"/>
      <c r="U72" s="2"/>
      <c r="V72" s="7">
        <f t="shared" si="45"/>
        <v>0</v>
      </c>
      <c r="W72" s="2"/>
      <c r="X72" s="6">
        <f t="shared" si="46"/>
        <v>127.89</v>
      </c>
      <c r="Y72" s="2"/>
      <c r="Z72" s="7">
        <f t="shared" si="47"/>
        <v>0</v>
      </c>
    </row>
    <row r="73" spans="1:26" s="24" customFormat="1" hidden="1" outlineLevel="2" x14ac:dyDescent="0.25">
      <c r="A73" s="26"/>
      <c r="B73" s="11" t="str">
        <f>CONCATENATE("          ", "6237", " - ", "JANITORIAL SUPPLIES")</f>
        <v xml:space="preserve">          6237 - JANITORIAL SUPPLIES</v>
      </c>
      <c r="C73" s="11"/>
      <c r="D73" s="6"/>
      <c r="E73" s="2"/>
      <c r="F73" s="7">
        <f t="shared" si="40"/>
        <v>0</v>
      </c>
      <c r="G73" s="2"/>
      <c r="H73" s="6">
        <v>4992.68</v>
      </c>
      <c r="I73" s="2"/>
      <c r="J73" s="7">
        <f t="shared" si="41"/>
        <v>0</v>
      </c>
      <c r="K73" s="2"/>
      <c r="L73" s="6">
        <f t="shared" si="42"/>
        <v>-4992.68</v>
      </c>
      <c r="M73" s="2"/>
      <c r="N73" s="7">
        <f t="shared" si="43"/>
        <v>-1</v>
      </c>
      <c r="O73" s="11"/>
      <c r="P73" s="6"/>
      <c r="Q73" s="2"/>
      <c r="R73" s="7">
        <f t="shared" si="44"/>
        <v>0</v>
      </c>
      <c r="S73" s="2"/>
      <c r="T73" s="6">
        <v>31472.030000000002</v>
      </c>
      <c r="U73" s="2"/>
      <c r="V73" s="7">
        <f t="shared" si="45"/>
        <v>0</v>
      </c>
      <c r="W73" s="2"/>
      <c r="X73" s="6">
        <f t="shared" si="46"/>
        <v>-31472.030000000002</v>
      </c>
      <c r="Y73" s="2"/>
      <c r="Z73" s="7">
        <f t="shared" si="47"/>
        <v>-1</v>
      </c>
    </row>
    <row r="74" spans="1:26" s="24" customFormat="1" hidden="1" outlineLevel="2" x14ac:dyDescent="0.25">
      <c r="A74" s="26"/>
      <c r="B74" s="11" t="str">
        <f>CONCATENATE("          ", "6239", " - ", "KITCHEN SUPPLIES")</f>
        <v xml:space="preserve">          6239 - KITCHEN SUPPLIES</v>
      </c>
      <c r="C74" s="11"/>
      <c r="D74" s="6"/>
      <c r="E74" s="2"/>
      <c r="F74" s="7">
        <f t="shared" si="40"/>
        <v>0</v>
      </c>
      <c r="G74" s="2"/>
      <c r="H74" s="6">
        <v>2275.1999999999998</v>
      </c>
      <c r="I74" s="2"/>
      <c r="J74" s="7">
        <f t="shared" si="41"/>
        <v>0</v>
      </c>
      <c r="K74" s="2"/>
      <c r="L74" s="6">
        <f t="shared" si="42"/>
        <v>-2275.1999999999998</v>
      </c>
      <c r="M74" s="2"/>
      <c r="N74" s="7">
        <f t="shared" si="43"/>
        <v>-1</v>
      </c>
      <c r="O74" s="11"/>
      <c r="P74" s="6"/>
      <c r="Q74" s="2"/>
      <c r="R74" s="7">
        <f t="shared" si="44"/>
        <v>0</v>
      </c>
      <c r="S74" s="2"/>
      <c r="T74" s="6">
        <v>17613.870000000003</v>
      </c>
      <c r="U74" s="2"/>
      <c r="V74" s="7">
        <f t="shared" si="45"/>
        <v>0</v>
      </c>
      <c r="W74" s="2"/>
      <c r="X74" s="6">
        <f t="shared" si="46"/>
        <v>-17613.870000000003</v>
      </c>
      <c r="Y74" s="2"/>
      <c r="Z74" s="7">
        <f t="shared" si="47"/>
        <v>-1</v>
      </c>
    </row>
    <row r="75" spans="1:26" s="24" customFormat="1" hidden="1" outlineLevel="2" x14ac:dyDescent="0.25">
      <c r="A75" s="26"/>
      <c r="B75" s="11" t="str">
        <f>CONCATENATE("          ", "6241", " - ", "OFFICE EXPENSE")</f>
        <v xml:space="preserve">          6241 - OFFICE EXPENSE</v>
      </c>
      <c r="C75" s="11"/>
      <c r="D75" s="6"/>
      <c r="E75" s="2"/>
      <c r="F75" s="7">
        <f t="shared" si="40"/>
        <v>0</v>
      </c>
      <c r="G75" s="2"/>
      <c r="H75" s="6">
        <v>113.58</v>
      </c>
      <c r="I75" s="2"/>
      <c r="J75" s="7">
        <f t="shared" si="41"/>
        <v>0</v>
      </c>
      <c r="K75" s="2"/>
      <c r="L75" s="6">
        <f t="shared" si="42"/>
        <v>-113.58</v>
      </c>
      <c r="M75" s="2"/>
      <c r="N75" s="7">
        <f t="shared" si="43"/>
        <v>-1</v>
      </c>
      <c r="O75" s="11"/>
      <c r="P75" s="6">
        <v>-29200.769999999997</v>
      </c>
      <c r="Q75" s="2"/>
      <c r="R75" s="7">
        <f t="shared" si="44"/>
        <v>0</v>
      </c>
      <c r="S75" s="2"/>
      <c r="T75" s="6">
        <v>1159.06</v>
      </c>
      <c r="U75" s="2"/>
      <c r="V75" s="7">
        <f t="shared" si="45"/>
        <v>0</v>
      </c>
      <c r="W75" s="2"/>
      <c r="X75" s="6">
        <f t="shared" si="46"/>
        <v>-30359.829999999998</v>
      </c>
      <c r="Y75" s="2"/>
      <c r="Z75" s="7">
        <f t="shared" si="47"/>
        <v>-26.193493002950667</v>
      </c>
    </row>
    <row r="76" spans="1:26" s="24" customFormat="1" hidden="1" outlineLevel="2" x14ac:dyDescent="0.25">
      <c r="A76" s="26"/>
      <c r="B76" s="11" t="str">
        <f>CONCATENATE("          ", "6243", " - ", "PAPER SUPPLIES")</f>
        <v xml:space="preserve">          6243 - PAPER SUPPLIES</v>
      </c>
      <c r="C76" s="11"/>
      <c r="D76" s="6"/>
      <c r="E76" s="2"/>
      <c r="F76" s="7">
        <f t="shared" si="40"/>
        <v>0</v>
      </c>
      <c r="G76" s="2"/>
      <c r="H76" s="6">
        <v>396.76</v>
      </c>
      <c r="I76" s="2"/>
      <c r="J76" s="7">
        <f t="shared" si="41"/>
        <v>0</v>
      </c>
      <c r="K76" s="2"/>
      <c r="L76" s="6">
        <f t="shared" si="42"/>
        <v>-396.76</v>
      </c>
      <c r="M76" s="2"/>
      <c r="N76" s="7">
        <f t="shared" si="43"/>
        <v>-1</v>
      </c>
      <c r="O76" s="11"/>
      <c r="P76" s="6"/>
      <c r="Q76" s="2"/>
      <c r="R76" s="7">
        <f t="shared" si="44"/>
        <v>0</v>
      </c>
      <c r="S76" s="2"/>
      <c r="T76" s="6">
        <v>396.76</v>
      </c>
      <c r="U76" s="2"/>
      <c r="V76" s="7">
        <f t="shared" si="45"/>
        <v>0</v>
      </c>
      <c r="W76" s="2"/>
      <c r="X76" s="6">
        <f t="shared" si="46"/>
        <v>-396.76</v>
      </c>
      <c r="Y76" s="2"/>
      <c r="Z76" s="7">
        <f t="shared" si="47"/>
        <v>-1</v>
      </c>
    </row>
    <row r="77" spans="1:26" s="24" customFormat="1" hidden="1" outlineLevel="2" x14ac:dyDescent="0.25">
      <c r="A77" s="26"/>
      <c r="B77" s="11" t="str">
        <f>CONCATENATE("          ", "6245", " - ", "PRINTING")</f>
        <v xml:space="preserve">          6245 - PRINTING</v>
      </c>
      <c r="C77" s="11"/>
      <c r="D77" s="6"/>
      <c r="E77" s="2"/>
      <c r="F77" s="7">
        <f t="shared" si="40"/>
        <v>0</v>
      </c>
      <c r="G77" s="2"/>
      <c r="H77" s="6"/>
      <c r="I77" s="2"/>
      <c r="J77" s="7">
        <f t="shared" si="41"/>
        <v>0</v>
      </c>
      <c r="K77" s="2"/>
      <c r="L77" s="6">
        <f t="shared" si="42"/>
        <v>0</v>
      </c>
      <c r="M77" s="2"/>
      <c r="N77" s="7">
        <f t="shared" si="43"/>
        <v>0</v>
      </c>
      <c r="O77" s="11"/>
      <c r="P77" s="6"/>
      <c r="Q77" s="2"/>
      <c r="R77" s="7">
        <f t="shared" si="44"/>
        <v>0</v>
      </c>
      <c r="S77" s="2"/>
      <c r="T77" s="6">
        <v>15.99</v>
      </c>
      <c r="U77" s="2"/>
      <c r="V77" s="7">
        <f t="shared" si="45"/>
        <v>0</v>
      </c>
      <c r="W77" s="2"/>
      <c r="X77" s="6">
        <f t="shared" si="46"/>
        <v>-15.99</v>
      </c>
      <c r="Y77" s="2"/>
      <c r="Z77" s="7">
        <f t="shared" si="47"/>
        <v>-1</v>
      </c>
    </row>
    <row r="78" spans="1:26" s="24" customFormat="1" hidden="1" outlineLevel="2" x14ac:dyDescent="0.25">
      <c r="A78" s="26"/>
      <c r="B78" s="11" t="str">
        <f>CONCATENATE("          ", "6247", " - ", "STORE SUPPLIES")</f>
        <v xml:space="preserve">          6247 - STORE SUPPLIES</v>
      </c>
      <c r="C78" s="11"/>
      <c r="D78" s="6"/>
      <c r="E78" s="2"/>
      <c r="F78" s="7">
        <f t="shared" si="40"/>
        <v>0</v>
      </c>
      <c r="G78" s="2"/>
      <c r="H78" s="6">
        <v>110.57</v>
      </c>
      <c r="I78" s="2"/>
      <c r="J78" s="7">
        <f t="shared" si="41"/>
        <v>0</v>
      </c>
      <c r="K78" s="2"/>
      <c r="L78" s="6">
        <f t="shared" si="42"/>
        <v>-110.57</v>
      </c>
      <c r="M78" s="2"/>
      <c r="N78" s="7">
        <f t="shared" si="43"/>
        <v>-1</v>
      </c>
      <c r="O78" s="11"/>
      <c r="P78" s="6"/>
      <c r="Q78" s="2"/>
      <c r="R78" s="7">
        <f t="shared" si="44"/>
        <v>0</v>
      </c>
      <c r="S78" s="2"/>
      <c r="T78" s="6">
        <v>110.57</v>
      </c>
      <c r="U78" s="2"/>
      <c r="V78" s="7">
        <f t="shared" si="45"/>
        <v>0</v>
      </c>
      <c r="W78" s="2"/>
      <c r="X78" s="6">
        <f t="shared" si="46"/>
        <v>-110.57</v>
      </c>
      <c r="Y78" s="2"/>
      <c r="Z78" s="7">
        <f t="shared" si="47"/>
        <v>-1</v>
      </c>
    </row>
    <row r="79" spans="1:26" s="24" customFormat="1" hidden="1" outlineLevel="2" x14ac:dyDescent="0.25">
      <c r="A79" s="26"/>
      <c r="B79" s="11" t="str">
        <f>CONCATENATE("          ", "6248", " - ", "UNIFORMS")</f>
        <v xml:space="preserve">          6248 - UNIFORMS</v>
      </c>
      <c r="C79" s="11"/>
      <c r="D79" s="6"/>
      <c r="E79" s="2"/>
      <c r="F79" s="7">
        <f t="shared" si="40"/>
        <v>0</v>
      </c>
      <c r="G79" s="2"/>
      <c r="H79" s="6"/>
      <c r="I79" s="2"/>
      <c r="J79" s="7">
        <f t="shared" si="41"/>
        <v>0</v>
      </c>
      <c r="K79" s="2"/>
      <c r="L79" s="6">
        <f t="shared" si="42"/>
        <v>0</v>
      </c>
      <c r="M79" s="2"/>
      <c r="N79" s="7">
        <f t="shared" si="43"/>
        <v>0</v>
      </c>
      <c r="O79" s="11"/>
      <c r="P79" s="6"/>
      <c r="Q79" s="2"/>
      <c r="R79" s="7">
        <f t="shared" si="44"/>
        <v>0</v>
      </c>
      <c r="S79" s="2"/>
      <c r="T79" s="6">
        <v>298.89999999999998</v>
      </c>
      <c r="U79" s="2"/>
      <c r="V79" s="7">
        <f t="shared" si="45"/>
        <v>0</v>
      </c>
      <c r="W79" s="2"/>
      <c r="X79" s="6">
        <f t="shared" si="46"/>
        <v>-298.89999999999998</v>
      </c>
      <c r="Y79" s="2"/>
      <c r="Z79" s="7">
        <f t="shared" si="47"/>
        <v>-1</v>
      </c>
    </row>
    <row r="80" spans="1:26" s="25" customFormat="1" outlineLevel="1" collapsed="1" x14ac:dyDescent="0.25">
      <c r="A80" s="27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SUM(OSRRefD22_16x_0)</f>
        <v>93.1</v>
      </c>
      <c r="E80" s="1"/>
      <c r="F80" s="5">
        <f t="shared" ref="F80:F87" si="48">IF(D$12=0,0,D80/D$12)</f>
        <v>0</v>
      </c>
      <c r="G80" s="1"/>
      <c r="H80" s="1">
        <f>SUM(OSRRefH22_16x_0)</f>
        <v>346.57</v>
      </c>
      <c r="I80" s="1"/>
      <c r="J80" s="5">
        <f t="shared" ref="J80:J87" si="49">IF(H$12=0,0,H80/H$12)</f>
        <v>0</v>
      </c>
      <c r="K80" s="1"/>
      <c r="L80" s="1">
        <f t="shared" ref="L80:L87" si="50">+D80-H80</f>
        <v>-253.47</v>
      </c>
      <c r="M80" s="1"/>
      <c r="N80" s="5">
        <f t="shared" ref="N80:N87" si="51">IF(H80=0,0,L80/H80)</f>
        <v>-0.73136740052514648</v>
      </c>
      <c r="O80" s="13"/>
      <c r="P80" s="1">
        <f>SUM(OSRRefP22_16x_0)</f>
        <v>1572.63</v>
      </c>
      <c r="Q80" s="1"/>
      <c r="R80" s="5">
        <f t="shared" ref="R80:R87" si="52">IF(P$12=0,0,P80/P$12)</f>
        <v>0</v>
      </c>
      <c r="S80" s="1"/>
      <c r="T80" s="1">
        <f>SUM(OSRRefT22_16x_0)</f>
        <v>3250.35</v>
      </c>
      <c r="U80" s="1"/>
      <c r="V80" s="5">
        <f t="shared" ref="V80:V87" si="53">IF(T$12=0,0,T80/T$12)</f>
        <v>0</v>
      </c>
      <c r="W80" s="1"/>
      <c r="X80" s="1">
        <f t="shared" ref="X80:X87" si="54">+P80-T80</f>
        <v>-1677.7199999999998</v>
      </c>
      <c r="Y80" s="1"/>
      <c r="Z80" s="5">
        <f t="shared" ref="Z80:Z87" si="55">IF(T80=0,0,X80/T80)</f>
        <v>-0.51616595135908439</v>
      </c>
    </row>
    <row r="81" spans="1:26" s="24" customFormat="1" hidden="1" outlineLevel="2" x14ac:dyDescent="0.25">
      <c r="A81" s="26"/>
      <c r="B81" s="11" t="str">
        <f>CONCATENATE("          ", "6309", " - ", "TELEPHONE")</f>
        <v xml:space="preserve">          6309 - TELEPHONE</v>
      </c>
      <c r="C81" s="11"/>
      <c r="D81" s="6">
        <v>93.1</v>
      </c>
      <c r="E81" s="2"/>
      <c r="F81" s="7">
        <f t="shared" si="48"/>
        <v>0</v>
      </c>
      <c r="G81" s="2"/>
      <c r="H81" s="6">
        <v>346.57</v>
      </c>
      <c r="I81" s="2"/>
      <c r="J81" s="7">
        <f t="shared" si="49"/>
        <v>0</v>
      </c>
      <c r="K81" s="2"/>
      <c r="L81" s="6">
        <f t="shared" si="50"/>
        <v>-253.47</v>
      </c>
      <c r="M81" s="2"/>
      <c r="N81" s="7">
        <f t="shared" si="51"/>
        <v>-0.73136740052514648</v>
      </c>
      <c r="O81" s="11"/>
      <c r="P81" s="6">
        <v>1572.63</v>
      </c>
      <c r="Q81" s="2"/>
      <c r="R81" s="7">
        <f t="shared" si="52"/>
        <v>0</v>
      </c>
      <c r="S81" s="2"/>
      <c r="T81" s="6">
        <v>3250.35</v>
      </c>
      <c r="U81" s="2"/>
      <c r="V81" s="7">
        <f t="shared" si="53"/>
        <v>0</v>
      </c>
      <c r="W81" s="2"/>
      <c r="X81" s="6">
        <f t="shared" si="54"/>
        <v>-1677.7199999999998</v>
      </c>
      <c r="Y81" s="2"/>
      <c r="Z81" s="7">
        <f t="shared" si="55"/>
        <v>-0.51616595135908439</v>
      </c>
    </row>
    <row r="82" spans="1:26" s="25" customFormat="1" outlineLevel="1" collapsed="1" x14ac:dyDescent="0.25">
      <c r="A82" s="27"/>
      <c r="B82" s="13" t="str">
        <f>CONCATENATE("     ","Training                                          ")</f>
        <v xml:space="preserve">     Training                                          </v>
      </c>
      <c r="C82" s="13"/>
      <c r="D82" s="1">
        <f>SUM(OSRRefD22_17x_0)</f>
        <v>0</v>
      </c>
      <c r="E82" s="1"/>
      <c r="F82" s="5">
        <f t="shared" si="48"/>
        <v>0</v>
      </c>
      <c r="G82" s="1"/>
      <c r="H82" s="1">
        <f>SUM(OSRRefH22_17x_0)</f>
        <v>0</v>
      </c>
      <c r="I82" s="1"/>
      <c r="J82" s="5">
        <f t="shared" si="49"/>
        <v>0</v>
      </c>
      <c r="K82" s="1"/>
      <c r="L82" s="1">
        <f t="shared" si="50"/>
        <v>0</v>
      </c>
      <c r="M82" s="1"/>
      <c r="N82" s="5">
        <f t="shared" si="51"/>
        <v>0</v>
      </c>
      <c r="O82" s="13"/>
      <c r="P82" s="1">
        <f>SUM(OSRRefP22_17x_0)</f>
        <v>0</v>
      </c>
      <c r="Q82" s="1"/>
      <c r="R82" s="5">
        <f t="shared" si="52"/>
        <v>0</v>
      </c>
      <c r="S82" s="1"/>
      <c r="T82" s="1">
        <f>SUM(OSRRefT22_17x_0)</f>
        <v>240</v>
      </c>
      <c r="U82" s="1"/>
      <c r="V82" s="5">
        <f t="shared" si="53"/>
        <v>0</v>
      </c>
      <c r="W82" s="1"/>
      <c r="X82" s="1">
        <f t="shared" si="54"/>
        <v>-240</v>
      </c>
      <c r="Y82" s="1"/>
      <c r="Z82" s="5">
        <f t="shared" si="55"/>
        <v>-1</v>
      </c>
    </row>
    <row r="83" spans="1:26" s="24" customFormat="1" hidden="1" outlineLevel="2" x14ac:dyDescent="0.25">
      <c r="A83" s="26"/>
      <c r="B83" s="11" t="str">
        <f>CONCATENATE("          ", "6376", " - ", "TRAINING")</f>
        <v xml:space="preserve">          6376 - TRAINING</v>
      </c>
      <c r="C83" s="11"/>
      <c r="D83" s="6"/>
      <c r="E83" s="2"/>
      <c r="F83" s="7">
        <f t="shared" si="48"/>
        <v>0</v>
      </c>
      <c r="G83" s="2"/>
      <c r="H83" s="6"/>
      <c r="I83" s="2"/>
      <c r="J83" s="7">
        <f t="shared" si="49"/>
        <v>0</v>
      </c>
      <c r="K83" s="2"/>
      <c r="L83" s="6">
        <f t="shared" si="50"/>
        <v>0</v>
      </c>
      <c r="M83" s="2"/>
      <c r="N83" s="7">
        <f t="shared" si="51"/>
        <v>0</v>
      </c>
      <c r="O83" s="11"/>
      <c r="P83" s="6"/>
      <c r="Q83" s="2"/>
      <c r="R83" s="7">
        <f t="shared" si="52"/>
        <v>0</v>
      </c>
      <c r="S83" s="2"/>
      <c r="T83" s="6">
        <v>240</v>
      </c>
      <c r="U83" s="2"/>
      <c r="V83" s="7">
        <f t="shared" si="53"/>
        <v>0</v>
      </c>
      <c r="W83" s="2"/>
      <c r="X83" s="6">
        <f t="shared" si="54"/>
        <v>-240</v>
      </c>
      <c r="Y83" s="2"/>
      <c r="Z83" s="7">
        <f t="shared" si="55"/>
        <v>-1</v>
      </c>
    </row>
    <row r="84" spans="1:26" s="25" customFormat="1" outlineLevel="1" collapsed="1" x14ac:dyDescent="0.25">
      <c r="A84" s="27"/>
      <c r="B84" s="13" t="str">
        <f>CONCATENATE("     ","Travel                                            ")</f>
        <v xml:space="preserve">     Travel                                            </v>
      </c>
      <c r="C84" s="13"/>
      <c r="D84" s="1">
        <f>SUM(OSRRefD22_18x_0)</f>
        <v>0</v>
      </c>
      <c r="E84" s="1"/>
      <c r="F84" s="5">
        <f t="shared" si="48"/>
        <v>0</v>
      </c>
      <c r="G84" s="1"/>
      <c r="H84" s="1">
        <f>SUM(OSRRefH22_18x_0)</f>
        <v>145.49</v>
      </c>
      <c r="I84" s="1"/>
      <c r="J84" s="5">
        <f t="shared" si="49"/>
        <v>0</v>
      </c>
      <c r="K84" s="1"/>
      <c r="L84" s="1">
        <f t="shared" si="50"/>
        <v>-145.49</v>
      </c>
      <c r="M84" s="1"/>
      <c r="N84" s="5">
        <f t="shared" si="51"/>
        <v>-1</v>
      </c>
      <c r="O84" s="13"/>
      <c r="P84" s="1">
        <f>SUM(OSRRefP22_18x_0)</f>
        <v>332.21</v>
      </c>
      <c r="Q84" s="1"/>
      <c r="R84" s="5">
        <f t="shared" si="52"/>
        <v>0</v>
      </c>
      <c r="S84" s="1"/>
      <c r="T84" s="1">
        <f>SUM(OSRRefT22_18x_0)</f>
        <v>1945.69</v>
      </c>
      <c r="U84" s="1"/>
      <c r="V84" s="5">
        <f t="shared" si="53"/>
        <v>0</v>
      </c>
      <c r="W84" s="1"/>
      <c r="X84" s="1">
        <f t="shared" si="54"/>
        <v>-1613.48</v>
      </c>
      <c r="Y84" s="1"/>
      <c r="Z84" s="5">
        <f t="shared" si="55"/>
        <v>-0.82925851497412228</v>
      </c>
    </row>
    <row r="85" spans="1:26" s="24" customFormat="1" hidden="1" outlineLevel="2" x14ac:dyDescent="0.25">
      <c r="A85" s="26"/>
      <c r="B85" s="11" t="str">
        <f>CONCATENATE("          ", "6292", " - ", "TRAVEL/CONFERENCE")</f>
        <v xml:space="preserve">          6292 - TRAVEL/CONFERENCE</v>
      </c>
      <c r="C85" s="11"/>
      <c r="D85" s="6"/>
      <c r="E85" s="2"/>
      <c r="F85" s="7">
        <f t="shared" si="48"/>
        <v>0</v>
      </c>
      <c r="G85" s="2"/>
      <c r="H85" s="6">
        <v>88.83</v>
      </c>
      <c r="I85" s="2"/>
      <c r="J85" s="7">
        <f t="shared" si="49"/>
        <v>0</v>
      </c>
      <c r="K85" s="2"/>
      <c r="L85" s="6">
        <f t="shared" si="50"/>
        <v>-88.83</v>
      </c>
      <c r="M85" s="2"/>
      <c r="N85" s="7">
        <f t="shared" si="51"/>
        <v>-1</v>
      </c>
      <c r="O85" s="11"/>
      <c r="P85" s="6"/>
      <c r="Q85" s="2"/>
      <c r="R85" s="7">
        <f t="shared" si="52"/>
        <v>0</v>
      </c>
      <c r="S85" s="2"/>
      <c r="T85" s="6">
        <v>966.72</v>
      </c>
      <c r="U85" s="2"/>
      <c r="V85" s="7">
        <f t="shared" si="53"/>
        <v>0</v>
      </c>
      <c r="W85" s="2"/>
      <c r="X85" s="6">
        <f t="shared" si="54"/>
        <v>-966.72</v>
      </c>
      <c r="Y85" s="2"/>
      <c r="Z85" s="7">
        <f t="shared" si="55"/>
        <v>-1</v>
      </c>
    </row>
    <row r="86" spans="1:26" s="24" customFormat="1" hidden="1" outlineLevel="2" x14ac:dyDescent="0.25">
      <c r="A86" s="26"/>
      <c r="B86" s="11" t="str">
        <f>CONCATENATE("          ", "6294", " - ", "TRAVEL OPERATIONAL")</f>
        <v xml:space="preserve">          6294 - TRAVEL OPERATIONAL</v>
      </c>
      <c r="C86" s="11"/>
      <c r="D86" s="6"/>
      <c r="E86" s="2"/>
      <c r="F86" s="7">
        <f t="shared" si="48"/>
        <v>0</v>
      </c>
      <c r="G86" s="2"/>
      <c r="H86" s="6"/>
      <c r="I86" s="2"/>
      <c r="J86" s="7">
        <f t="shared" si="49"/>
        <v>0</v>
      </c>
      <c r="K86" s="2"/>
      <c r="L86" s="6">
        <f t="shared" si="50"/>
        <v>0</v>
      </c>
      <c r="M86" s="2"/>
      <c r="N86" s="7">
        <f t="shared" si="51"/>
        <v>0</v>
      </c>
      <c r="O86" s="11"/>
      <c r="P86" s="6"/>
      <c r="Q86" s="2"/>
      <c r="R86" s="7">
        <f t="shared" si="52"/>
        <v>0</v>
      </c>
      <c r="S86" s="2"/>
      <c r="T86" s="6">
        <v>45.49</v>
      </c>
      <c r="U86" s="2"/>
      <c r="V86" s="7">
        <f t="shared" si="53"/>
        <v>0</v>
      </c>
      <c r="W86" s="2"/>
      <c r="X86" s="6">
        <f t="shared" si="54"/>
        <v>-45.49</v>
      </c>
      <c r="Y86" s="2"/>
      <c r="Z86" s="7">
        <f t="shared" si="55"/>
        <v>-1</v>
      </c>
    </row>
    <row r="87" spans="1:26" s="24" customFormat="1" hidden="1" outlineLevel="2" x14ac:dyDescent="0.25">
      <c r="A87" s="26"/>
      <c r="B87" s="11" t="str">
        <f>CONCATENATE("          ", "6298", " - ", "VEHICLE MILEAGE")</f>
        <v xml:space="preserve">          6298 - VEHICLE MILEAGE</v>
      </c>
      <c r="C87" s="11"/>
      <c r="D87" s="6"/>
      <c r="E87" s="2"/>
      <c r="F87" s="7">
        <f t="shared" si="48"/>
        <v>0</v>
      </c>
      <c r="G87" s="2"/>
      <c r="H87" s="6">
        <v>56.66</v>
      </c>
      <c r="I87" s="2"/>
      <c r="J87" s="7">
        <f t="shared" si="49"/>
        <v>0</v>
      </c>
      <c r="K87" s="2"/>
      <c r="L87" s="6">
        <f t="shared" si="50"/>
        <v>-56.66</v>
      </c>
      <c r="M87" s="2"/>
      <c r="N87" s="7">
        <f t="shared" si="51"/>
        <v>-1</v>
      </c>
      <c r="O87" s="11"/>
      <c r="P87" s="6">
        <v>332.21</v>
      </c>
      <c r="Q87" s="2"/>
      <c r="R87" s="7">
        <f t="shared" si="52"/>
        <v>0</v>
      </c>
      <c r="S87" s="2"/>
      <c r="T87" s="6">
        <v>933.48</v>
      </c>
      <c r="U87" s="2"/>
      <c r="V87" s="7">
        <f t="shared" si="53"/>
        <v>0</v>
      </c>
      <c r="W87" s="2"/>
      <c r="X87" s="6">
        <f t="shared" si="54"/>
        <v>-601.27</v>
      </c>
      <c r="Y87" s="2"/>
      <c r="Z87" s="7">
        <f t="shared" si="55"/>
        <v>-0.64411663881390069</v>
      </c>
    </row>
    <row r="88" spans="1:26" s="25" customFormat="1" outlineLevel="1" collapsed="1" x14ac:dyDescent="0.25">
      <c r="A88" s="27"/>
      <c r="B88" s="13" t="str">
        <f>CONCATENATE("     ","Utilities                                         ")</f>
        <v xml:space="preserve">     Utilities                                         </v>
      </c>
      <c r="C88" s="13"/>
      <c r="D88" s="1">
        <f>SUM(OSRRefD22_19x_0)</f>
        <v>1000</v>
      </c>
      <c r="E88" s="1"/>
      <c r="F88" s="5">
        <f t="shared" ref="F88:F89" si="56">IF(D$12=0,0,D88/D$12)</f>
        <v>0</v>
      </c>
      <c r="G88" s="1"/>
      <c r="H88" s="1">
        <f>SUM(OSRRefH22_19x_0)</f>
        <v>12923</v>
      </c>
      <c r="I88" s="1"/>
      <c r="J88" s="5">
        <f t="shared" ref="J88:J89" si="57">IF(H$12=0,0,H88/H$12)</f>
        <v>0</v>
      </c>
      <c r="K88" s="1"/>
      <c r="L88" s="1">
        <f t="shared" ref="L88:L89" si="58">+D88-H88</f>
        <v>-11923</v>
      </c>
      <c r="M88" s="1"/>
      <c r="N88" s="5">
        <f t="shared" ref="N88:N89" si="59">IF(H88=0,0,L88/H88)</f>
        <v>-0.92261858701539889</v>
      </c>
      <c r="O88" s="13"/>
      <c r="P88" s="1">
        <f>SUM(OSRRefP22_19x_0)</f>
        <v>-11876</v>
      </c>
      <c r="Q88" s="1"/>
      <c r="R88" s="5">
        <f t="shared" ref="R88:R89" si="60">IF(P$12=0,0,P88/P$12)</f>
        <v>0</v>
      </c>
      <c r="S88" s="1"/>
      <c r="T88" s="1">
        <f>SUM(OSRRefT22_19x_0)</f>
        <v>107437</v>
      </c>
      <c r="U88" s="1"/>
      <c r="V88" s="5">
        <f t="shared" ref="V88:V89" si="61">IF(T$12=0,0,T88/T$12)</f>
        <v>0</v>
      </c>
      <c r="W88" s="1"/>
      <c r="X88" s="1">
        <f t="shared" ref="X88:X89" si="62">+P88-T88</f>
        <v>-119313</v>
      </c>
      <c r="Y88" s="1"/>
      <c r="Z88" s="5">
        <f t="shared" ref="Z88:Z89" si="63">IF(T88=0,0,X88/T88)</f>
        <v>-1.1105391997170435</v>
      </c>
    </row>
    <row r="89" spans="1:26" s="24" customFormat="1" hidden="1" outlineLevel="2" x14ac:dyDescent="0.25">
      <c r="A89" s="26"/>
      <c r="B89" s="11" t="str">
        <f>CONCATENATE("          ", "6274", " - ", "UTILITIES")</f>
        <v xml:space="preserve">          6274 - UTILITIES</v>
      </c>
      <c r="C89" s="11"/>
      <c r="D89" s="6">
        <v>1000</v>
      </c>
      <c r="E89" s="2"/>
      <c r="F89" s="7">
        <f t="shared" si="56"/>
        <v>0</v>
      </c>
      <c r="G89" s="2"/>
      <c r="H89" s="6">
        <v>12923</v>
      </c>
      <c r="I89" s="2"/>
      <c r="J89" s="7">
        <f t="shared" si="57"/>
        <v>0</v>
      </c>
      <c r="K89" s="2"/>
      <c r="L89" s="6">
        <f t="shared" si="58"/>
        <v>-11923</v>
      </c>
      <c r="M89" s="2"/>
      <c r="N89" s="7">
        <f t="shared" si="59"/>
        <v>-0.92261858701539889</v>
      </c>
      <c r="O89" s="11"/>
      <c r="P89" s="6">
        <v>-11876</v>
      </c>
      <c r="Q89" s="2"/>
      <c r="R89" s="7">
        <f t="shared" si="60"/>
        <v>0</v>
      </c>
      <c r="S89" s="2"/>
      <c r="T89" s="6">
        <v>107437</v>
      </c>
      <c r="U89" s="2"/>
      <c r="V89" s="7">
        <f t="shared" si="61"/>
        <v>0</v>
      </c>
      <c r="W89" s="2"/>
      <c r="X89" s="6">
        <f t="shared" si="62"/>
        <v>-119313</v>
      </c>
      <c r="Y89" s="2"/>
      <c r="Z89" s="7">
        <f t="shared" si="63"/>
        <v>-1.1105391997170435</v>
      </c>
    </row>
    <row r="90" spans="1:26" s="52" customFormat="1" x14ac:dyDescent="0.25">
      <c r="A90" s="37"/>
      <c r="B90" s="37"/>
      <c r="C90" s="37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7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collapsed="1" x14ac:dyDescent="0.25">
      <c r="A91" s="10"/>
      <c r="B91" s="28" t="s">
        <v>0</v>
      </c>
      <c r="C91" s="10"/>
      <c r="D91" s="4">
        <f>SUM(OSRRefD25x_0)</f>
        <v>0</v>
      </c>
      <c r="E91" s="4"/>
      <c r="F91" s="12">
        <f t="shared" ref="F91:F93" si="64">IF(D$12=0,0,D91/D$12)</f>
        <v>0</v>
      </c>
      <c r="G91" s="4"/>
      <c r="H91" s="4">
        <f>SUM(OSRRefH25x_0)</f>
        <v>4415.8100000000004</v>
      </c>
      <c r="I91" s="4"/>
      <c r="J91" s="12">
        <f t="shared" ref="J91:J93" si="65">IF(H$12=0,0,H91/H$12)</f>
        <v>0</v>
      </c>
      <c r="K91" s="4"/>
      <c r="L91" s="4">
        <f t="shared" ref="L91:L93" si="66">+D91-H91</f>
        <v>-4415.8100000000004</v>
      </c>
      <c r="M91" s="4"/>
      <c r="N91" s="12">
        <f t="shared" ref="N91:N93" si="67">IF(H91=0,0,L91/H91)</f>
        <v>-1</v>
      </c>
      <c r="O91" s="10"/>
      <c r="P91" s="4">
        <f>SUM(OSRRefP25x_0)</f>
        <v>2432.98</v>
      </c>
      <c r="Q91" s="4"/>
      <c r="R91" s="12">
        <f t="shared" ref="R91:R93" si="68">IF(P$12=0,0,P91/P$12)</f>
        <v>0</v>
      </c>
      <c r="S91" s="4"/>
      <c r="T91" s="4">
        <f>SUM(OSRRefT25x_0)</f>
        <v>83727.240000000005</v>
      </c>
      <c r="U91" s="4"/>
      <c r="V91" s="12">
        <f t="shared" ref="V91:V93" si="69">IF(T$12=0,0,T91/T$12)</f>
        <v>0</v>
      </c>
      <c r="W91" s="4"/>
      <c r="X91" s="4">
        <f t="shared" ref="X91:X93" si="70">+P91-T91</f>
        <v>-81294.260000000009</v>
      </c>
      <c r="Y91" s="4"/>
      <c r="Z91" s="12">
        <f t="shared" ref="Z91:Z93" si="71">IF(T91=0,0,X91/T91)</f>
        <v>-0.97094159559063464</v>
      </c>
    </row>
    <row r="92" spans="1:26" s="24" customFormat="1" hidden="1" outlineLevel="1" x14ac:dyDescent="0.25">
      <c r="A92" s="44"/>
      <c r="B92" s="11" t="str">
        <f>CONCATENATE("          ", "9150", " - ", "MISC. INCOME")</f>
        <v xml:space="preserve">          9150 - MISC. INCOME</v>
      </c>
      <c r="C92" s="11"/>
      <c r="D92" s="2">
        <f t="shared" ref="D92:D93" si="72">0</f>
        <v>0</v>
      </c>
      <c r="E92" s="2"/>
      <c r="F92" s="19">
        <f t="shared" si="64"/>
        <v>0</v>
      </c>
      <c r="G92" s="2"/>
      <c r="H92" s="2">
        <f>--4415.81</f>
        <v>4415.8100000000004</v>
      </c>
      <c r="I92" s="2"/>
      <c r="J92" s="19">
        <f t="shared" si="65"/>
        <v>0</v>
      </c>
      <c r="K92" s="2"/>
      <c r="L92" s="2">
        <f t="shared" si="66"/>
        <v>-4415.8100000000004</v>
      </c>
      <c r="M92" s="2"/>
      <c r="N92" s="19">
        <f t="shared" si="67"/>
        <v>-1</v>
      </c>
      <c r="O92" s="11"/>
      <c r="P92" s="2">
        <f>--1616.63</f>
        <v>1616.63</v>
      </c>
      <c r="Q92" s="2"/>
      <c r="R92" s="19">
        <f t="shared" si="68"/>
        <v>0</v>
      </c>
      <c r="S92" s="2"/>
      <c r="T92" s="2">
        <f>--81677.21</f>
        <v>81677.210000000006</v>
      </c>
      <c r="U92" s="2"/>
      <c r="V92" s="19">
        <f t="shared" si="69"/>
        <v>0</v>
      </c>
      <c r="W92" s="2"/>
      <c r="X92" s="2">
        <f t="shared" si="70"/>
        <v>-80060.58</v>
      </c>
      <c r="Y92" s="2"/>
      <c r="Z92" s="19">
        <f t="shared" si="71"/>
        <v>-0.98020708591784655</v>
      </c>
    </row>
    <row r="93" spans="1:26" s="24" customFormat="1" hidden="1" outlineLevel="1" x14ac:dyDescent="0.25">
      <c r="A93" s="44"/>
      <c r="B93" s="11" t="str">
        <f>CONCATENATE("          ", "9160", " - ", "MISC. INCOME")</f>
        <v xml:space="preserve">          9160 - MISC. INCOME</v>
      </c>
      <c r="C93" s="11"/>
      <c r="D93" s="2">
        <f t="shared" si="72"/>
        <v>0</v>
      </c>
      <c r="E93" s="2"/>
      <c r="F93" s="19">
        <f t="shared" si="64"/>
        <v>0</v>
      </c>
      <c r="G93" s="2"/>
      <c r="H93" s="2">
        <f>0</f>
        <v>0</v>
      </c>
      <c r="I93" s="2"/>
      <c r="J93" s="19">
        <f t="shared" si="65"/>
        <v>0</v>
      </c>
      <c r="K93" s="2"/>
      <c r="L93" s="2">
        <f t="shared" si="66"/>
        <v>0</v>
      </c>
      <c r="M93" s="2"/>
      <c r="N93" s="19">
        <f t="shared" si="67"/>
        <v>0</v>
      </c>
      <c r="O93" s="11"/>
      <c r="P93" s="2">
        <f>--816.35</f>
        <v>816.35</v>
      </c>
      <c r="Q93" s="2"/>
      <c r="R93" s="19">
        <f t="shared" si="68"/>
        <v>0</v>
      </c>
      <c r="S93" s="2"/>
      <c r="T93" s="2">
        <f>--2050.03</f>
        <v>2050.0300000000002</v>
      </c>
      <c r="U93" s="2"/>
      <c r="V93" s="19">
        <f t="shared" si="69"/>
        <v>0</v>
      </c>
      <c r="W93" s="2"/>
      <c r="X93" s="2">
        <f t="shared" si="70"/>
        <v>-1233.6800000000003</v>
      </c>
      <c r="Y93" s="2"/>
      <c r="Z93" s="19">
        <f t="shared" si="71"/>
        <v>-0.60178631532221483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10"/>
      <c r="B95" s="29" t="s">
        <v>3</v>
      </c>
      <c r="C95" s="29"/>
      <c r="D95" s="22">
        <f>+D16-D18+D91</f>
        <v>-35083.659999999996</v>
      </c>
      <c r="E95" s="14"/>
      <c r="F95" s="20">
        <f>IF(D$12=0,0,D95/D$12)</f>
        <v>0</v>
      </c>
      <c r="G95" s="14"/>
      <c r="H95" s="22">
        <f>+H16-H18+H91</f>
        <v>-96405.5</v>
      </c>
      <c r="I95" s="14"/>
      <c r="J95" s="20">
        <f>IF(H$12=0,0,H95/H$12)</f>
        <v>0</v>
      </c>
      <c r="K95" s="16"/>
      <c r="L95" s="22">
        <f>+D95-H95</f>
        <v>61321.840000000004</v>
      </c>
      <c r="M95" s="16"/>
      <c r="N95" s="20">
        <f>IF(H95=0,0,L95/H95)</f>
        <v>-0.63608238119194449</v>
      </c>
      <c r="O95" s="28"/>
      <c r="P95" s="22">
        <f>+P16-P18+P91</f>
        <v>-222503.52000000005</v>
      </c>
      <c r="Q95" s="14"/>
      <c r="R95" s="20">
        <f>IF(P$12=0,0,P95/P$12)</f>
        <v>0</v>
      </c>
      <c r="S95" s="14"/>
      <c r="T95" s="22">
        <f>+T16-T18+T91</f>
        <v>-731979.15</v>
      </c>
      <c r="U95" s="14"/>
      <c r="V95" s="20">
        <f>IF(T$12=0,0,T95/T$12)</f>
        <v>0</v>
      </c>
      <c r="W95" s="16"/>
      <c r="X95" s="22">
        <f>+P95-T95</f>
        <v>509475.63</v>
      </c>
      <c r="Y95" s="16"/>
      <c r="Z95" s="20">
        <f>IF(T95=0,0,X95/T95)</f>
        <v>-0.69602478431250392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51"/>
      <c r="B97" s="10" t="s">
        <v>13</v>
      </c>
      <c r="C97" s="10"/>
      <c r="D97" s="4"/>
      <c r="E97" s="4"/>
      <c r="F97" s="12">
        <f>IF(D$12=0,0,D97/D$12)</f>
        <v>0</v>
      </c>
      <c r="G97" s="4"/>
      <c r="H97" s="4"/>
      <c r="I97" s="4"/>
      <c r="J97" s="12">
        <f>IF(H$12=0,0,H97/H$12)</f>
        <v>0</v>
      </c>
      <c r="K97" s="4"/>
      <c r="L97" s="4">
        <f>+D97-H97</f>
        <v>0</v>
      </c>
      <c r="M97" s="4"/>
      <c r="N97" s="12">
        <f>IF(H97=0,0,L97/H97)</f>
        <v>0</v>
      </c>
      <c r="O97" s="10"/>
      <c r="P97" s="4"/>
      <c r="Q97" s="4"/>
      <c r="R97" s="12">
        <f>IF(P$12=0,0,P97/P$12)</f>
        <v>0</v>
      </c>
      <c r="S97" s="4"/>
      <c r="T97" s="4"/>
      <c r="U97" s="4"/>
      <c r="V97" s="12">
        <f>IF(T$12=0,0,T97/T$12)</f>
        <v>0</v>
      </c>
      <c r="W97" s="4"/>
      <c r="X97" s="4">
        <f>+P97-T97</f>
        <v>0</v>
      </c>
      <c r="Y97" s="4"/>
      <c r="Z97" s="12">
        <f>IF(T97=0,0,X97/T97)</f>
        <v>0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4</v>
      </c>
      <c r="C99" s="29"/>
      <c r="D99" s="35">
        <f>+D95-D97</f>
        <v>-35083.659999999996</v>
      </c>
      <c r="E99" s="14"/>
      <c r="F99" s="36">
        <f>IF(D$12=0,0,D99/D$12)</f>
        <v>0</v>
      </c>
      <c r="G99" s="14"/>
      <c r="H99" s="35">
        <f>+H95-H97</f>
        <v>-96405.5</v>
      </c>
      <c r="I99" s="14"/>
      <c r="J99" s="36">
        <f>IF(H$12=0,0,H99/H$12)</f>
        <v>0</v>
      </c>
      <c r="K99" s="16"/>
      <c r="L99" s="35">
        <f>D99-H99</f>
        <v>61321.840000000004</v>
      </c>
      <c r="M99" s="16"/>
      <c r="N99" s="36">
        <f>IF(H99=0,0,L99/H99)</f>
        <v>-0.63608238119194449</v>
      </c>
      <c r="O99" s="28"/>
      <c r="P99" s="35">
        <f>+P95-P97</f>
        <v>-222503.52000000005</v>
      </c>
      <c r="Q99" s="14"/>
      <c r="R99" s="36">
        <f>IF(P$12=0,0,P99/P$12)</f>
        <v>0</v>
      </c>
      <c r="S99" s="14"/>
      <c r="T99" s="35">
        <f>+T95-T97</f>
        <v>-731979.15</v>
      </c>
      <c r="U99" s="14"/>
      <c r="V99" s="36">
        <f>IF(T$12=0,0,T99/T$12)</f>
        <v>0</v>
      </c>
      <c r="W99" s="16"/>
      <c r="X99" s="35">
        <f>P99-T99</f>
        <v>509475.63</v>
      </c>
      <c r="Y99" s="16"/>
      <c r="Z99" s="36">
        <f>IF(T99=0,0,X99/T99)</f>
        <v>-0.69602478431250392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9" t="s">
        <v>5</v>
      </c>
      <c r="C102" s="29"/>
      <c r="D102" s="31">
        <f>SUM(D99:D101)</f>
        <v>-35083.659999999996</v>
      </c>
      <c r="E102" s="14"/>
      <c r="F102" s="33">
        <f>IF(D$12=0,0,D102/D$12)</f>
        <v>0</v>
      </c>
      <c r="G102" s="14"/>
      <c r="H102" s="31">
        <f>SUM(H99:H101)</f>
        <v>-96405.5</v>
      </c>
      <c r="I102" s="14"/>
      <c r="J102" s="33">
        <f>IF(H$12=0,0,H102/H$12)</f>
        <v>0</v>
      </c>
      <c r="K102" s="16"/>
      <c r="L102" s="31">
        <f>+D102-H102</f>
        <v>61321.840000000004</v>
      </c>
      <c r="M102" s="16"/>
      <c r="N102" s="33">
        <f>IF(H102=0,0,L102/H102)</f>
        <v>-0.63608238119194449</v>
      </c>
      <c r="O102" s="28"/>
      <c r="P102" s="31">
        <f>SUM(P99:P101)</f>
        <v>-222503.52000000005</v>
      </c>
      <c r="Q102" s="14"/>
      <c r="R102" s="33">
        <f>IF(P$12=0,0,P102/P$12)</f>
        <v>0</v>
      </c>
      <c r="S102" s="14"/>
      <c r="T102" s="31">
        <f>SUM(T99:T101)</f>
        <v>-731979.15</v>
      </c>
      <c r="U102" s="14"/>
      <c r="V102" s="33">
        <f>IF(T$12=0,0,T102/T$12)</f>
        <v>0</v>
      </c>
      <c r="W102" s="16"/>
      <c r="X102" s="31">
        <f>+P102-T102</f>
        <v>509475.63</v>
      </c>
      <c r="Y102" s="16"/>
      <c r="Z102" s="33">
        <f>IF(T102=0,0,X102/T102)</f>
        <v>-0.69602478431250392</v>
      </c>
    </row>
    <row r="103" spans="1:26" ht="15.75" thickTop="1" x14ac:dyDescent="0.25">
      <c r="A103" s="9"/>
      <c r="C103" s="9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A104" s="9"/>
      <c r="B104" s="56">
        <v>44267.668526817128</v>
      </c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A105" s="9"/>
      <c r="B105" s="54" t="s">
        <v>313</v>
      </c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58"/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298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","412", " - ", "Chartroom")</f>
        <v>Department 412 - Chartroom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23082.29</v>
      </c>
      <c r="I12" s="4"/>
      <c r="J12" s="12"/>
      <c r="K12" s="4"/>
      <c r="L12" s="4">
        <f t="shared" ref="L12:L14" si="0">+D12-H12</f>
        <v>-23082.29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370768.64000000001</v>
      </c>
      <c r="U12" s="4"/>
      <c r="V12" s="12"/>
      <c r="W12" s="4"/>
      <c r="X12" s="4">
        <f t="shared" ref="X12:X14" si="2">+P12-T12</f>
        <v>-370768.64000000001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 t="shared" ref="D13:D14" si="4">0</f>
        <v>0</v>
      </c>
      <c r="E13" s="2"/>
      <c r="F13" s="19"/>
      <c r="G13" s="2"/>
      <c r="H13" s="2">
        <f>--15526.62</f>
        <v>15526.62</v>
      </c>
      <c r="I13" s="2"/>
      <c r="J13" s="19"/>
      <c r="K13" s="2"/>
      <c r="L13" s="2">
        <f t="shared" si="0"/>
        <v>-15526.62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--324157.58</f>
        <v>324157.58</v>
      </c>
      <c r="U13" s="2"/>
      <c r="V13" s="19"/>
      <c r="W13" s="2"/>
      <c r="X13" s="2">
        <f t="shared" si="2"/>
        <v>-324157.58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 t="shared" si="4"/>
        <v>0</v>
      </c>
      <c r="E14" s="2"/>
      <c r="F14" s="19"/>
      <c r="G14" s="2"/>
      <c r="H14" s="2">
        <f>--7555.67</f>
        <v>7555.67</v>
      </c>
      <c r="I14" s="2"/>
      <c r="J14" s="19"/>
      <c r="K14" s="2"/>
      <c r="L14" s="2">
        <f t="shared" si="0"/>
        <v>-7555.67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--46611.06</f>
        <v>46611.06</v>
      </c>
      <c r="U14" s="2"/>
      <c r="V14" s="19"/>
      <c r="W14" s="2"/>
      <c r="X14" s="2">
        <f t="shared" si="2"/>
        <v>-46611.06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24582.84</v>
      </c>
      <c r="I16" s="4"/>
      <c r="J16" s="12">
        <f t="shared" ref="J16:J17" si="7">IF(H$12=0,0,H16/H$12)</f>
        <v>1.065008714473304</v>
      </c>
      <c r="K16" s="4"/>
      <c r="L16" s="4">
        <f t="shared" ref="L16:L17" si="8">+D16-H16</f>
        <v>-24582.84</v>
      </c>
      <c r="M16" s="4"/>
      <c r="N16" s="12">
        <f t="shared" ref="N16:N17" si="9">IF(H16=0,0,L16/H16)</f>
        <v>-1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186341.88999999998</v>
      </c>
      <c r="U16" s="4"/>
      <c r="V16" s="12">
        <f t="shared" ref="V16:V17" si="11">IF(T$12=0,0,T16/T$12)</f>
        <v>0.50258266179146105</v>
      </c>
      <c r="W16" s="4"/>
      <c r="X16" s="4">
        <f t="shared" ref="X16:X17" si="12">+P16-T16</f>
        <v>-186341.88999999998</v>
      </c>
      <c r="Y16" s="4"/>
      <c r="Z16" s="12">
        <f t="shared" ref="Z16:Z17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24582.84</v>
      </c>
      <c r="I17" s="2"/>
      <c r="J17" s="19">
        <f t="shared" si="7"/>
        <v>1.065008714473304</v>
      </c>
      <c r="K17" s="2"/>
      <c r="L17" s="2">
        <f t="shared" si="8"/>
        <v>-24582.84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186341.88999999998</v>
      </c>
      <c r="U17" s="2"/>
      <c r="V17" s="19">
        <f t="shared" si="11"/>
        <v>0.50258266179146105</v>
      </c>
      <c r="W17" s="2"/>
      <c r="X17" s="2">
        <f t="shared" si="12"/>
        <v>-186341.88999999998</v>
      </c>
      <c r="Y17" s="2"/>
      <c r="Z17" s="19">
        <f t="shared" si="13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9" t="s">
        <v>6</v>
      </c>
      <c r="C19" s="29"/>
      <c r="D19" s="22">
        <f>D12-D16</f>
        <v>0</v>
      </c>
      <c r="E19" s="14"/>
      <c r="F19" s="20">
        <f>IF(D$12=0,0,D19/D$12)</f>
        <v>0</v>
      </c>
      <c r="G19" s="14"/>
      <c r="H19" s="22">
        <f>H12-H16</f>
        <v>-1500.5499999999993</v>
      </c>
      <c r="I19" s="14"/>
      <c r="J19" s="20">
        <f>IF(H$12=0,0,H19/H$12)</f>
        <v>-6.5008714473303961E-2</v>
      </c>
      <c r="K19" s="16"/>
      <c r="L19" s="22">
        <f>+D19-H19</f>
        <v>1500.5499999999993</v>
      </c>
      <c r="M19" s="16"/>
      <c r="N19" s="20">
        <f>IF(H19=0,0,L19/H19)</f>
        <v>-1</v>
      </c>
      <c r="O19" s="28"/>
      <c r="P19" s="22">
        <f>P12-P16</f>
        <v>0</v>
      </c>
      <c r="Q19" s="14"/>
      <c r="R19" s="20">
        <f>IF(P$12=0,0,P19/P$12)</f>
        <v>0</v>
      </c>
      <c r="S19" s="14"/>
      <c r="T19" s="22">
        <f>T12-T16</f>
        <v>184426.75000000003</v>
      </c>
      <c r="U19" s="14"/>
      <c r="V19" s="20">
        <f>IF(T$12=0,0,T19/T$12)</f>
        <v>0.49741733820853895</v>
      </c>
      <c r="W19" s="16"/>
      <c r="X19" s="22">
        <f>+P19-T19</f>
        <v>-184426.75000000003</v>
      </c>
      <c r="Y19" s="16"/>
      <c r="Z19" s="20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8" t="s">
        <v>9</v>
      </c>
      <c r="C21" s="10"/>
      <c r="D21" s="21">
        <f>SUM(OSRRefD22x_0)</f>
        <v>613.36</v>
      </c>
      <c r="E21" s="21"/>
      <c r="F21" s="32">
        <f t="shared" ref="F21:F30" si="14">IF(D$12=0,0,D21/D$12)</f>
        <v>0</v>
      </c>
      <c r="G21" s="21"/>
      <c r="H21" s="21">
        <f>SUM(OSRRefH22x_0)</f>
        <v>29325.750000000004</v>
      </c>
      <c r="I21" s="21"/>
      <c r="J21" s="32">
        <f t="shared" ref="J21:J30" si="15">IF(H$12=0,0,H21/H$12)</f>
        <v>1.2704870270670718</v>
      </c>
      <c r="K21" s="4"/>
      <c r="L21" s="21">
        <f t="shared" ref="L21:L30" si="16">+D21-H21</f>
        <v>-28712.390000000003</v>
      </c>
      <c r="M21" s="4"/>
      <c r="N21" s="32">
        <f t="shared" ref="N21:N30" si="17">IF(H21=0,0,L21/H21)</f>
        <v>-0.97908459289191241</v>
      </c>
      <c r="O21" s="10"/>
      <c r="P21" s="21">
        <f>SUM(OSRRefP22x_0)</f>
        <v>7276.2499999999991</v>
      </c>
      <c r="Q21" s="21"/>
      <c r="R21" s="32">
        <f t="shared" ref="R21:R30" si="18">IF(P$12=0,0,P21/P$12)</f>
        <v>0</v>
      </c>
      <c r="S21" s="21"/>
      <c r="T21" s="21">
        <f>SUM(OSRRefT22x_0)</f>
        <v>312411.33999999997</v>
      </c>
      <c r="U21" s="21"/>
      <c r="V21" s="32">
        <f t="shared" ref="V21:V30" si="19">IF(T$12=0,0,T21/T$12)</f>
        <v>0.8426045417433361</v>
      </c>
      <c r="W21" s="4"/>
      <c r="X21" s="21">
        <f t="shared" ref="X21:X30" si="20">+P21-T21</f>
        <v>-305135.08999999997</v>
      </c>
      <c r="Y21" s="4"/>
      <c r="Z21" s="32">
        <f t="shared" ref="Z21:Z30" si="21">IF(T21=0,0,X21/T21)</f>
        <v>-0.9767093921750728</v>
      </c>
    </row>
    <row r="22" spans="1:26" s="25" customFormat="1" outlineLevel="1" collapsed="1" x14ac:dyDescent="0.25">
      <c r="A22" s="27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4583.7900000000009</v>
      </c>
      <c r="I22" s="1"/>
      <c r="J22" s="5">
        <f t="shared" si="15"/>
        <v>0.19858471581459208</v>
      </c>
      <c r="K22" s="1"/>
      <c r="L22" s="1">
        <f t="shared" si="16"/>
        <v>-4583.7900000000009</v>
      </c>
      <c r="M22" s="1"/>
      <c r="N22" s="5">
        <f t="shared" si="17"/>
        <v>-1</v>
      </c>
      <c r="O22" s="13"/>
      <c r="P22" s="1">
        <f>SUM(OSRRefP22_0x_0)</f>
        <v>0</v>
      </c>
      <c r="Q22" s="1"/>
      <c r="R22" s="5">
        <f t="shared" si="18"/>
        <v>0</v>
      </c>
      <c r="S22" s="1"/>
      <c r="T22" s="1">
        <f>SUM(OSRRefT22_0x_0)</f>
        <v>77676.83</v>
      </c>
      <c r="U22" s="1"/>
      <c r="V22" s="5">
        <f t="shared" si="19"/>
        <v>0.20950215746401854</v>
      </c>
      <c r="W22" s="1"/>
      <c r="X22" s="1">
        <f t="shared" si="20"/>
        <v>-77676.83</v>
      </c>
      <c r="Y22" s="1"/>
      <c r="Z22" s="5">
        <f t="shared" si="21"/>
        <v>-1</v>
      </c>
    </row>
    <row r="23" spans="1:26" s="24" customFormat="1" hidden="1" outlineLevel="2" x14ac:dyDescent="0.25">
      <c r="A23" s="26"/>
      <c r="B23" s="11" t="str">
        <f>CONCATENATE("          ", "6111", " - ", "F.I.C.A.")</f>
        <v xml:space="preserve">          6111 - F.I.C.A.</v>
      </c>
      <c r="C23" s="11"/>
      <c r="D23" s="6"/>
      <c r="E23" s="2"/>
      <c r="F23" s="7">
        <f t="shared" si="14"/>
        <v>0</v>
      </c>
      <c r="G23" s="2"/>
      <c r="H23" s="6">
        <v>1423.67</v>
      </c>
      <c r="I23" s="2"/>
      <c r="J23" s="7">
        <f t="shared" si="15"/>
        <v>6.1678022414587114E-2</v>
      </c>
      <c r="K23" s="2"/>
      <c r="L23" s="6">
        <f t="shared" si="16"/>
        <v>-1423.67</v>
      </c>
      <c r="M23" s="2"/>
      <c r="N23" s="7">
        <f t="shared" si="17"/>
        <v>-1</v>
      </c>
      <c r="O23" s="11"/>
      <c r="P23" s="6"/>
      <c r="Q23" s="2"/>
      <c r="R23" s="7">
        <f t="shared" si="18"/>
        <v>0</v>
      </c>
      <c r="S23" s="2"/>
      <c r="T23" s="6">
        <v>12437.96</v>
      </c>
      <c r="U23" s="2"/>
      <c r="V23" s="7">
        <f t="shared" si="19"/>
        <v>3.3546418596783152E-2</v>
      </c>
      <c r="W23" s="2"/>
      <c r="X23" s="6">
        <f t="shared" si="20"/>
        <v>-12437.96</v>
      </c>
      <c r="Y23" s="2"/>
      <c r="Z23" s="7">
        <f t="shared" si="21"/>
        <v>-1</v>
      </c>
    </row>
    <row r="24" spans="1:26" s="24" customFormat="1" hidden="1" outlineLevel="2" x14ac:dyDescent="0.25">
      <c r="A24" s="26"/>
      <c r="B24" s="11" t="str">
        <f>CONCATENATE("          ", "6112", " - ", "COMPENSATION INSURANCE")</f>
        <v xml:space="preserve">          6112 - COMPENSATION INSURANCE</v>
      </c>
      <c r="C24" s="11"/>
      <c r="D24" s="6"/>
      <c r="E24" s="2"/>
      <c r="F24" s="7">
        <f t="shared" si="14"/>
        <v>0</v>
      </c>
      <c r="G24" s="2"/>
      <c r="H24" s="6">
        <v>713.05</v>
      </c>
      <c r="I24" s="2"/>
      <c r="J24" s="7">
        <f t="shared" si="15"/>
        <v>3.0891648965505586E-2</v>
      </c>
      <c r="K24" s="2"/>
      <c r="L24" s="6">
        <f t="shared" si="16"/>
        <v>-713.05</v>
      </c>
      <c r="M24" s="2"/>
      <c r="N24" s="7">
        <f t="shared" si="17"/>
        <v>-1</v>
      </c>
      <c r="O24" s="11"/>
      <c r="P24" s="6"/>
      <c r="Q24" s="2"/>
      <c r="R24" s="7">
        <f t="shared" si="18"/>
        <v>0</v>
      </c>
      <c r="S24" s="2"/>
      <c r="T24" s="6">
        <v>4251.6400000000003</v>
      </c>
      <c r="U24" s="2"/>
      <c r="V24" s="7">
        <f t="shared" si="19"/>
        <v>1.1467097109399544E-2</v>
      </c>
      <c r="W24" s="2"/>
      <c r="X24" s="6">
        <f t="shared" si="20"/>
        <v>-4251.6400000000003</v>
      </c>
      <c r="Y24" s="2"/>
      <c r="Z24" s="7">
        <f t="shared" si="21"/>
        <v>-1</v>
      </c>
    </row>
    <row r="25" spans="1:26" s="24" customFormat="1" hidden="1" outlineLevel="2" x14ac:dyDescent="0.25">
      <c r="A25" s="26"/>
      <c r="B25" s="11" t="str">
        <f>CONCATENATE("          ", "6113", " - ", "GROUP INSURANCE")</f>
        <v xml:space="preserve">          6113 - GROUP INSURANCE</v>
      </c>
      <c r="C25" s="11"/>
      <c r="D25" s="6"/>
      <c r="E25" s="2"/>
      <c r="F25" s="7">
        <f t="shared" si="14"/>
        <v>0</v>
      </c>
      <c r="G25" s="2"/>
      <c r="H25" s="6">
        <v>1037.1400000000001</v>
      </c>
      <c r="I25" s="2"/>
      <c r="J25" s="7">
        <f t="shared" si="15"/>
        <v>4.4932283581914971E-2</v>
      </c>
      <c r="K25" s="2"/>
      <c r="L25" s="6">
        <f t="shared" si="16"/>
        <v>-1037.1400000000001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33791.219999999994</v>
      </c>
      <c r="U25" s="2"/>
      <c r="V25" s="7">
        <f t="shared" si="19"/>
        <v>9.1138290444412975E-2</v>
      </c>
      <c r="W25" s="2"/>
      <c r="X25" s="6">
        <f t="shared" si="20"/>
        <v>-33791.219999999994</v>
      </c>
      <c r="Y25" s="2"/>
      <c r="Z25" s="7">
        <f t="shared" si="21"/>
        <v>-1</v>
      </c>
    </row>
    <row r="26" spans="1:26" s="24" customFormat="1" hidden="1" outlineLevel="2" x14ac:dyDescent="0.25">
      <c r="A26" s="26"/>
      <c r="B26" s="11" t="str">
        <f>CONCATENATE("          ", "6114", " - ", "STATE UNEMPLOYMENT INSURANCE")</f>
        <v xml:space="preserve">          6114 - STATE UNEMPLOYMENT INSURANCE</v>
      </c>
      <c r="C26" s="11"/>
      <c r="D26" s="6"/>
      <c r="E26" s="2"/>
      <c r="F26" s="7">
        <f t="shared" si="14"/>
        <v>0</v>
      </c>
      <c r="G26" s="2"/>
      <c r="H26" s="6">
        <v>52.76</v>
      </c>
      <c r="I26" s="2"/>
      <c r="J26" s="7">
        <f t="shared" si="15"/>
        <v>2.2857350808780236E-3</v>
      </c>
      <c r="K26" s="2"/>
      <c r="L26" s="6">
        <f t="shared" si="16"/>
        <v>-52.76</v>
      </c>
      <c r="M26" s="2"/>
      <c r="N26" s="7">
        <f t="shared" si="17"/>
        <v>-1</v>
      </c>
      <c r="O26" s="11"/>
      <c r="P26" s="6"/>
      <c r="Q26" s="2"/>
      <c r="R26" s="7">
        <f t="shared" si="18"/>
        <v>0</v>
      </c>
      <c r="S26" s="2"/>
      <c r="T26" s="6">
        <v>465.39</v>
      </c>
      <c r="U26" s="2"/>
      <c r="V26" s="7">
        <f t="shared" si="19"/>
        <v>1.2552032448051702E-3</v>
      </c>
      <c r="W26" s="2"/>
      <c r="X26" s="6">
        <f t="shared" si="20"/>
        <v>-465.39</v>
      </c>
      <c r="Y26" s="2"/>
      <c r="Z26" s="7">
        <f t="shared" si="21"/>
        <v>-1</v>
      </c>
    </row>
    <row r="27" spans="1:26" s="24" customFormat="1" hidden="1" outlineLevel="2" x14ac:dyDescent="0.25">
      <c r="A27" s="26"/>
      <c r="B27" s="11" t="str">
        <f>CONCATENATE("          ", "6115", " - ", "P.E.R.S.")</f>
        <v xml:space="preserve">          6115 - P.E.R.S.</v>
      </c>
      <c r="C27" s="11"/>
      <c r="D27" s="6"/>
      <c r="E27" s="2"/>
      <c r="F27" s="7">
        <f t="shared" si="14"/>
        <v>0</v>
      </c>
      <c r="G27" s="2"/>
      <c r="H27" s="6">
        <v>214.92</v>
      </c>
      <c r="I27" s="2"/>
      <c r="J27" s="7">
        <f t="shared" si="15"/>
        <v>9.3110345637282942E-3</v>
      </c>
      <c r="K27" s="2"/>
      <c r="L27" s="6">
        <f t="shared" si="16"/>
        <v>-214.92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6000.63</v>
      </c>
      <c r="U27" s="2"/>
      <c r="V27" s="7">
        <f t="shared" si="19"/>
        <v>1.6184297571660861E-2</v>
      </c>
      <c r="W27" s="2"/>
      <c r="X27" s="6">
        <f t="shared" si="20"/>
        <v>-6000.63</v>
      </c>
      <c r="Y27" s="2"/>
      <c r="Z27" s="7">
        <f t="shared" si="21"/>
        <v>-1</v>
      </c>
    </row>
    <row r="28" spans="1:26" s="24" customFormat="1" hidden="1" outlineLevel="2" x14ac:dyDescent="0.25">
      <c r="A28" s="26"/>
      <c r="B28" s="11" t="str">
        <f>CONCATENATE("          ", "6118", " - ", "VACATION")</f>
        <v xml:space="preserve">          6118 - VACATION</v>
      </c>
      <c r="C28" s="11"/>
      <c r="D28" s="6"/>
      <c r="E28" s="2"/>
      <c r="F28" s="7">
        <f t="shared" si="14"/>
        <v>0</v>
      </c>
      <c r="G28" s="2"/>
      <c r="H28" s="6">
        <v>411.6</v>
      </c>
      <c r="I28" s="2"/>
      <c r="J28" s="7">
        <f t="shared" si="15"/>
        <v>1.7831852905409298E-2</v>
      </c>
      <c r="K28" s="2"/>
      <c r="L28" s="6">
        <f t="shared" si="16"/>
        <v>-411.6</v>
      </c>
      <c r="M28" s="2"/>
      <c r="N28" s="7">
        <f t="shared" si="17"/>
        <v>-1</v>
      </c>
      <c r="O28" s="11"/>
      <c r="P28" s="6"/>
      <c r="Q28" s="2"/>
      <c r="R28" s="7">
        <f t="shared" si="18"/>
        <v>0</v>
      </c>
      <c r="S28" s="2"/>
      <c r="T28" s="6">
        <v>7394.08</v>
      </c>
      <c r="U28" s="2"/>
      <c r="V28" s="7">
        <f t="shared" si="19"/>
        <v>1.9942571194802236E-2</v>
      </c>
      <c r="W28" s="2"/>
      <c r="X28" s="6">
        <f t="shared" si="20"/>
        <v>-7394.08</v>
      </c>
      <c r="Y28" s="2"/>
      <c r="Z28" s="7">
        <f t="shared" si="21"/>
        <v>-1</v>
      </c>
    </row>
    <row r="29" spans="1:26" s="24" customFormat="1" hidden="1" outlineLevel="2" x14ac:dyDescent="0.25">
      <c r="A29" s="26"/>
      <c r="B29" s="11" t="str">
        <f>CONCATENATE("          ", "6119", " - ", "SICK LEAVE")</f>
        <v xml:space="preserve">          6119 - SICK LEAVE</v>
      </c>
      <c r="C29" s="11"/>
      <c r="D29" s="6"/>
      <c r="E29" s="2"/>
      <c r="F29" s="7">
        <f t="shared" si="14"/>
        <v>0</v>
      </c>
      <c r="G29" s="2"/>
      <c r="H29" s="6">
        <v>423.1</v>
      </c>
      <c r="I29" s="2"/>
      <c r="J29" s="7">
        <f t="shared" si="15"/>
        <v>1.8330070369967626E-2</v>
      </c>
      <c r="K29" s="2"/>
      <c r="L29" s="6">
        <f t="shared" si="16"/>
        <v>-423.1</v>
      </c>
      <c r="M29" s="2"/>
      <c r="N29" s="7">
        <f t="shared" si="17"/>
        <v>-1</v>
      </c>
      <c r="O29" s="11"/>
      <c r="P29" s="6"/>
      <c r="Q29" s="2"/>
      <c r="R29" s="7">
        <f t="shared" si="18"/>
        <v>0</v>
      </c>
      <c r="S29" s="2"/>
      <c r="T29" s="6">
        <v>9735.17</v>
      </c>
      <c r="U29" s="2"/>
      <c r="V29" s="7">
        <f t="shared" si="19"/>
        <v>2.625672440905466E-2</v>
      </c>
      <c r="W29" s="2"/>
      <c r="X29" s="6">
        <f t="shared" si="20"/>
        <v>-9735.17</v>
      </c>
      <c r="Y29" s="2"/>
      <c r="Z29" s="7">
        <f t="shared" si="21"/>
        <v>-1</v>
      </c>
    </row>
    <row r="30" spans="1:26" s="24" customFormat="1" hidden="1" outlineLevel="2" x14ac:dyDescent="0.25">
      <c r="A30" s="26"/>
      <c r="B30" s="11" t="str">
        <f>CONCATENATE("          ", "6156", " - ", "EMPLOYEE MEALS")</f>
        <v xml:space="preserve">          6156 - EMPLOYEE MEALS</v>
      </c>
      <c r="C30" s="11"/>
      <c r="D30" s="6"/>
      <c r="E30" s="2"/>
      <c r="F30" s="7">
        <f t="shared" si="14"/>
        <v>0</v>
      </c>
      <c r="G30" s="2"/>
      <c r="H30" s="6">
        <v>307.55</v>
      </c>
      <c r="I30" s="2"/>
      <c r="J30" s="7">
        <f t="shared" si="15"/>
        <v>1.3324067932601141E-2</v>
      </c>
      <c r="K30" s="2"/>
      <c r="L30" s="6">
        <f t="shared" si="16"/>
        <v>-307.55</v>
      </c>
      <c r="M30" s="2"/>
      <c r="N30" s="7">
        <f t="shared" si="17"/>
        <v>-1</v>
      </c>
      <c r="O30" s="11"/>
      <c r="P30" s="6"/>
      <c r="Q30" s="2"/>
      <c r="R30" s="7">
        <f t="shared" si="18"/>
        <v>0</v>
      </c>
      <c r="S30" s="2"/>
      <c r="T30" s="6">
        <v>3600.74</v>
      </c>
      <c r="U30" s="2"/>
      <c r="V30" s="7">
        <f t="shared" si="19"/>
        <v>9.7115548930999124E-3</v>
      </c>
      <c r="W30" s="2"/>
      <c r="X30" s="6">
        <f t="shared" si="20"/>
        <v>-3600.74</v>
      </c>
      <c r="Y30" s="2"/>
      <c r="Z30" s="7">
        <f t="shared" si="21"/>
        <v>-1</v>
      </c>
    </row>
    <row r="31" spans="1:26" s="25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0</v>
      </c>
      <c r="E31" s="1"/>
      <c r="F31" s="5">
        <f t="shared" ref="F31:F37" si="22">IF(D$12=0,0,D31/D$12)</f>
        <v>0</v>
      </c>
      <c r="G31" s="1"/>
      <c r="H31" s="1">
        <f>SUM(OSRRefH22_1x_0)</f>
        <v>18855.02</v>
      </c>
      <c r="I31" s="1"/>
      <c r="J31" s="5">
        <f t="shared" ref="J31:J37" si="23">IF(H$12=0,0,H31/H$12)</f>
        <v>0.81686089205187185</v>
      </c>
      <c r="K31" s="1"/>
      <c r="L31" s="1">
        <f t="shared" ref="L31:L37" si="24">+D31-H31</f>
        <v>-18855.02</v>
      </c>
      <c r="M31" s="1"/>
      <c r="N31" s="5">
        <f t="shared" ref="N31:N37" si="25">IF(H31=0,0,L31/H31)</f>
        <v>-1</v>
      </c>
      <c r="O31" s="13"/>
      <c r="P31" s="1">
        <f>SUM(OSRRefP22_1x_0)</f>
        <v>0</v>
      </c>
      <c r="Q31" s="1"/>
      <c r="R31" s="5">
        <f t="shared" ref="R31:R37" si="26">IF(P$12=0,0,P31/P$12)</f>
        <v>0</v>
      </c>
      <c r="S31" s="1"/>
      <c r="T31" s="1">
        <f>SUM(OSRRefT22_1x_0)</f>
        <v>185934.97</v>
      </c>
      <c r="U31" s="1"/>
      <c r="V31" s="5">
        <f t="shared" ref="V31:V37" si="27">IF(T$12=0,0,T31/T$12)</f>
        <v>0.50148515796805249</v>
      </c>
      <c r="W31" s="1"/>
      <c r="X31" s="1">
        <f t="shared" ref="X31:X37" si="28">+P31-T31</f>
        <v>-185934.97</v>
      </c>
      <c r="Y31" s="1"/>
      <c r="Z31" s="5">
        <f t="shared" ref="Z31:Z37" si="29">IF(T31=0,0,X31/T31)</f>
        <v>-1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22"/>
        <v>0</v>
      </c>
      <c r="G32" s="2"/>
      <c r="H32" s="6">
        <v>3076.94</v>
      </c>
      <c r="I32" s="2"/>
      <c r="J32" s="7">
        <f t="shared" si="23"/>
        <v>0.13330306481722567</v>
      </c>
      <c r="K32" s="2"/>
      <c r="L32" s="6">
        <f t="shared" si="24"/>
        <v>-3076.94</v>
      </c>
      <c r="M32" s="2"/>
      <c r="N32" s="7">
        <f t="shared" si="25"/>
        <v>-1</v>
      </c>
      <c r="O32" s="11"/>
      <c r="P32" s="6"/>
      <c r="Q32" s="2"/>
      <c r="R32" s="7">
        <f t="shared" si="26"/>
        <v>0</v>
      </c>
      <c r="S32" s="2"/>
      <c r="T32" s="6">
        <v>57053.049999999996</v>
      </c>
      <c r="U32" s="2"/>
      <c r="V32" s="7">
        <f t="shared" si="27"/>
        <v>0.1538777659297183</v>
      </c>
      <c r="W32" s="2"/>
      <c r="X32" s="6">
        <f t="shared" si="28"/>
        <v>-57053.049999999996</v>
      </c>
      <c r="Y32" s="2"/>
      <c r="Z32" s="7">
        <f t="shared" si="29"/>
        <v>-1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22"/>
        <v>0</v>
      </c>
      <c r="G33" s="2"/>
      <c r="H33" s="6">
        <v>5716.66</v>
      </c>
      <c r="I33" s="2"/>
      <c r="J33" s="7">
        <f t="shared" si="23"/>
        <v>0.24766433486452166</v>
      </c>
      <c r="K33" s="2"/>
      <c r="L33" s="6">
        <f t="shared" si="24"/>
        <v>-5716.66</v>
      </c>
      <c r="M33" s="2"/>
      <c r="N33" s="7">
        <f t="shared" si="25"/>
        <v>-1</v>
      </c>
      <c r="O33" s="11"/>
      <c r="P33" s="6"/>
      <c r="Q33" s="2"/>
      <c r="R33" s="7">
        <f t="shared" si="26"/>
        <v>0</v>
      </c>
      <c r="S33" s="2"/>
      <c r="T33" s="6">
        <v>42689.38</v>
      </c>
      <c r="U33" s="2"/>
      <c r="V33" s="7">
        <f t="shared" si="27"/>
        <v>0.11513751540583367</v>
      </c>
      <c r="W33" s="2"/>
      <c r="X33" s="6">
        <f t="shared" si="28"/>
        <v>-42689.38</v>
      </c>
      <c r="Y33" s="2"/>
      <c r="Z33" s="7">
        <f t="shared" si="29"/>
        <v>-1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2"/>
        <v>0</v>
      </c>
      <c r="G34" s="2"/>
      <c r="H34" s="6">
        <v>5593.22</v>
      </c>
      <c r="I34" s="2"/>
      <c r="J34" s="7">
        <f t="shared" si="23"/>
        <v>0.24231651192321038</v>
      </c>
      <c r="K34" s="2"/>
      <c r="L34" s="6">
        <f t="shared" si="24"/>
        <v>-5593.22</v>
      </c>
      <c r="M34" s="2"/>
      <c r="N34" s="7">
        <f t="shared" si="25"/>
        <v>-1</v>
      </c>
      <c r="O34" s="11"/>
      <c r="P34" s="6"/>
      <c r="Q34" s="2"/>
      <c r="R34" s="7">
        <f t="shared" si="26"/>
        <v>0</v>
      </c>
      <c r="S34" s="2"/>
      <c r="T34" s="6">
        <v>41912.310000000005</v>
      </c>
      <c r="U34" s="2"/>
      <c r="V34" s="7">
        <f t="shared" si="27"/>
        <v>0.11304168011620401</v>
      </c>
      <c r="W34" s="2"/>
      <c r="X34" s="6">
        <f t="shared" si="28"/>
        <v>-41912.310000000005</v>
      </c>
      <c r="Y34" s="2"/>
      <c r="Z34" s="7">
        <f t="shared" si="29"/>
        <v>-1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2"/>
        <v>0</v>
      </c>
      <c r="G35" s="2"/>
      <c r="H35" s="6"/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1299.6300000000001</v>
      </c>
      <c r="U35" s="2"/>
      <c r="V35" s="7">
        <f t="shared" si="27"/>
        <v>3.5052317261783524E-3</v>
      </c>
      <c r="W35" s="2"/>
      <c r="X35" s="6">
        <f t="shared" si="28"/>
        <v>-1299.6300000000001</v>
      </c>
      <c r="Y35" s="2"/>
      <c r="Z35" s="7">
        <f t="shared" si="29"/>
        <v>-1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2"/>
        <v>0</v>
      </c>
      <c r="G36" s="2"/>
      <c r="H36" s="6">
        <v>4468.2</v>
      </c>
      <c r="I36" s="2"/>
      <c r="J36" s="7">
        <f t="shared" si="23"/>
        <v>0.19357698044691404</v>
      </c>
      <c r="K36" s="2"/>
      <c r="L36" s="6">
        <f t="shared" si="24"/>
        <v>-4468.2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39575.379999999997</v>
      </c>
      <c r="U36" s="2"/>
      <c r="V36" s="7">
        <f t="shared" si="27"/>
        <v>0.10673874683684142</v>
      </c>
      <c r="W36" s="2"/>
      <c r="X36" s="6">
        <f t="shared" si="28"/>
        <v>-39575.379999999997</v>
      </c>
      <c r="Y36" s="2"/>
      <c r="Z36" s="7">
        <f t="shared" si="29"/>
        <v>-1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2"/>
        <v>0</v>
      </c>
      <c r="G37" s="2"/>
      <c r="H37" s="6"/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3405.22</v>
      </c>
      <c r="U37" s="2"/>
      <c r="V37" s="7">
        <f t="shared" si="27"/>
        <v>9.1842179532767385E-3</v>
      </c>
      <c r="W37" s="2"/>
      <c r="X37" s="6">
        <f t="shared" si="28"/>
        <v>-3405.22</v>
      </c>
      <c r="Y37" s="2"/>
      <c r="Z37" s="7">
        <f t="shared" si="29"/>
        <v>-1</v>
      </c>
    </row>
    <row r="38" spans="1:26" s="25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54" si="30">IF(D$12=0,0,D38/D$12)</f>
        <v>0</v>
      </c>
      <c r="G38" s="1"/>
      <c r="H38" s="1">
        <f>SUM(OSRRefH22_2x_0)</f>
        <v>12.96</v>
      </c>
      <c r="I38" s="1"/>
      <c r="J38" s="5">
        <f t="shared" ref="J38:J54" si="31">IF(H$12=0,0,H38/H$12)</f>
        <v>5.6146942092833948E-4</v>
      </c>
      <c r="K38" s="1"/>
      <c r="L38" s="1">
        <f t="shared" ref="L38:L54" si="32">+D38-H38</f>
        <v>-12.96</v>
      </c>
      <c r="M38" s="1"/>
      <c r="N38" s="5">
        <f t="shared" ref="N38:N54" si="33">IF(H38=0,0,L38/H38)</f>
        <v>-1</v>
      </c>
      <c r="O38" s="13"/>
      <c r="P38" s="1">
        <f>SUM(OSRRefP22_2x_0)</f>
        <v>0</v>
      </c>
      <c r="Q38" s="1"/>
      <c r="R38" s="5">
        <f t="shared" ref="R38:R54" si="34">IF(P$12=0,0,P38/P$12)</f>
        <v>0</v>
      </c>
      <c r="S38" s="1"/>
      <c r="T38" s="1">
        <f>SUM(OSRRefT22_2x_0)</f>
        <v>418.48</v>
      </c>
      <c r="U38" s="1"/>
      <c r="V38" s="5">
        <f t="shared" ref="V38:V54" si="35">IF(T$12=0,0,T38/T$12)</f>
        <v>1.128682296323659E-3</v>
      </c>
      <c r="W38" s="1"/>
      <c r="X38" s="1">
        <f t="shared" ref="X38:X54" si="36">+P38-T38</f>
        <v>-418.48</v>
      </c>
      <c r="Y38" s="1"/>
      <c r="Z38" s="5">
        <f t="shared" ref="Z38:Z54" si="37">IF(T38=0,0,X38/T38)</f>
        <v>-1</v>
      </c>
    </row>
    <row r="39" spans="1:26" s="24" customFormat="1" hidden="1" outlineLevel="2" x14ac:dyDescent="0.25">
      <c r="A39" s="26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30"/>
        <v>0</v>
      </c>
      <c r="G39" s="2"/>
      <c r="H39" s="6">
        <v>12.96</v>
      </c>
      <c r="I39" s="2"/>
      <c r="J39" s="7">
        <f t="shared" si="31"/>
        <v>5.6146942092833948E-4</v>
      </c>
      <c r="K39" s="2"/>
      <c r="L39" s="6">
        <f t="shared" si="32"/>
        <v>-12.96</v>
      </c>
      <c r="M39" s="2"/>
      <c r="N39" s="7">
        <f t="shared" si="33"/>
        <v>-1</v>
      </c>
      <c r="O39" s="11"/>
      <c r="P39" s="6"/>
      <c r="Q39" s="2"/>
      <c r="R39" s="7">
        <f t="shared" si="34"/>
        <v>0</v>
      </c>
      <c r="S39" s="2"/>
      <c r="T39" s="6">
        <v>418.48</v>
      </c>
      <c r="U39" s="2"/>
      <c r="V39" s="7">
        <f t="shared" si="35"/>
        <v>1.128682296323659E-3</v>
      </c>
      <c r="W39" s="2"/>
      <c r="X39" s="6">
        <f t="shared" si="36"/>
        <v>-418.48</v>
      </c>
      <c r="Y39" s="2"/>
      <c r="Z39" s="7">
        <f t="shared" si="37"/>
        <v>-1</v>
      </c>
    </row>
    <row r="40" spans="1:26" s="25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0.45</v>
      </c>
      <c r="I40" s="1"/>
      <c r="J40" s="5">
        <f t="shared" si="31"/>
        <v>1.949546600445623E-5</v>
      </c>
      <c r="K40" s="1"/>
      <c r="L40" s="1">
        <f t="shared" si="32"/>
        <v>-0.45</v>
      </c>
      <c r="M40" s="1"/>
      <c r="N40" s="5">
        <f t="shared" si="33"/>
        <v>-1</v>
      </c>
      <c r="O40" s="13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-0.23</v>
      </c>
      <c r="U40" s="1"/>
      <c r="V40" s="5">
        <f t="shared" si="35"/>
        <v>-6.2033293862177773E-7</v>
      </c>
      <c r="W40" s="1"/>
      <c r="X40" s="1">
        <f t="shared" si="36"/>
        <v>0.23</v>
      </c>
      <c r="Y40" s="1"/>
      <c r="Z40" s="5">
        <f t="shared" si="37"/>
        <v>-1</v>
      </c>
    </row>
    <row r="41" spans="1:26" s="24" customFormat="1" hidden="1" outlineLevel="2" x14ac:dyDescent="0.25">
      <c r="A41" s="26"/>
      <c r="B41" s="11" t="str">
        <f>CONCATENATE("          ", "6272", " - ", "CASH (OVER/SHORT)")</f>
        <v xml:space="preserve">          6272 - CASH (OVER/SHORT)</v>
      </c>
      <c r="C41" s="11"/>
      <c r="D41" s="6"/>
      <c r="E41" s="2"/>
      <c r="F41" s="7">
        <f t="shared" si="30"/>
        <v>0</v>
      </c>
      <c r="G41" s="2"/>
      <c r="H41" s="6">
        <v>0.45</v>
      </c>
      <c r="I41" s="2"/>
      <c r="J41" s="7">
        <f t="shared" si="31"/>
        <v>1.949546600445623E-5</v>
      </c>
      <c r="K41" s="2"/>
      <c r="L41" s="6">
        <f t="shared" si="32"/>
        <v>-0.45</v>
      </c>
      <c r="M41" s="2"/>
      <c r="N41" s="7">
        <f t="shared" si="33"/>
        <v>-1</v>
      </c>
      <c r="O41" s="11"/>
      <c r="P41" s="6"/>
      <c r="Q41" s="2"/>
      <c r="R41" s="7">
        <f t="shared" si="34"/>
        <v>0</v>
      </c>
      <c r="S41" s="2"/>
      <c r="T41" s="6">
        <v>-0.23</v>
      </c>
      <c r="U41" s="2"/>
      <c r="V41" s="7">
        <f t="shared" si="35"/>
        <v>-6.2033293862177773E-7</v>
      </c>
      <c r="W41" s="2"/>
      <c r="X41" s="6">
        <f t="shared" si="36"/>
        <v>0.23</v>
      </c>
      <c r="Y41" s="2"/>
      <c r="Z41" s="7">
        <f t="shared" si="37"/>
        <v>-1</v>
      </c>
    </row>
    <row r="42" spans="1:26" s="25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560.49</v>
      </c>
      <c r="I42" s="1"/>
      <c r="J42" s="5">
        <f t="shared" si="31"/>
        <v>2.428225275741705E-2</v>
      </c>
      <c r="K42" s="1"/>
      <c r="L42" s="1">
        <f t="shared" si="32"/>
        <v>-560.49</v>
      </c>
      <c r="M42" s="1"/>
      <c r="N42" s="5">
        <f t="shared" si="33"/>
        <v>-1</v>
      </c>
      <c r="O42" s="13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5459.6</v>
      </c>
      <c r="U42" s="1"/>
      <c r="V42" s="5">
        <f t="shared" si="35"/>
        <v>1.4725085703041121E-2</v>
      </c>
      <c r="W42" s="1"/>
      <c r="X42" s="1">
        <f t="shared" si="36"/>
        <v>-5459.6</v>
      </c>
      <c r="Y42" s="1"/>
      <c r="Z42" s="5">
        <f t="shared" si="37"/>
        <v>-1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6"/>
      <c r="E43" s="2"/>
      <c r="F43" s="7">
        <f t="shared" si="30"/>
        <v>0</v>
      </c>
      <c r="G43" s="2"/>
      <c r="H43" s="6">
        <v>560.49</v>
      </c>
      <c r="I43" s="2"/>
      <c r="J43" s="7">
        <f t="shared" si="31"/>
        <v>2.428225275741705E-2</v>
      </c>
      <c r="K43" s="2"/>
      <c r="L43" s="6">
        <f t="shared" si="32"/>
        <v>-560.49</v>
      </c>
      <c r="M43" s="2"/>
      <c r="N43" s="7">
        <f t="shared" si="33"/>
        <v>-1</v>
      </c>
      <c r="O43" s="11"/>
      <c r="P43" s="6"/>
      <c r="Q43" s="2"/>
      <c r="R43" s="7">
        <f t="shared" si="34"/>
        <v>0</v>
      </c>
      <c r="S43" s="2"/>
      <c r="T43" s="6">
        <v>5459.6</v>
      </c>
      <c r="U43" s="2"/>
      <c r="V43" s="7">
        <f t="shared" si="35"/>
        <v>1.4725085703041121E-2</v>
      </c>
      <c r="W43" s="2"/>
      <c r="X43" s="6">
        <f t="shared" si="36"/>
        <v>-5459.6</v>
      </c>
      <c r="Y43" s="2"/>
      <c r="Z43" s="7">
        <f t="shared" si="37"/>
        <v>-1</v>
      </c>
    </row>
    <row r="44" spans="1:26" s="25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577.36</v>
      </c>
      <c r="E44" s="1"/>
      <c r="F44" s="5">
        <f t="shared" si="30"/>
        <v>0</v>
      </c>
      <c r="G44" s="1"/>
      <c r="H44" s="1">
        <f>SUM(OSRRefH22_5x_0)</f>
        <v>535.89</v>
      </c>
      <c r="I44" s="1"/>
      <c r="J44" s="5">
        <f t="shared" si="31"/>
        <v>2.3216500615840109E-2</v>
      </c>
      <c r="K44" s="1"/>
      <c r="L44" s="1">
        <f t="shared" si="32"/>
        <v>41.470000000000027</v>
      </c>
      <c r="M44" s="1"/>
      <c r="N44" s="5">
        <f t="shared" si="33"/>
        <v>7.7385284293418483E-2</v>
      </c>
      <c r="O44" s="13"/>
      <c r="P44" s="1">
        <f>SUM(OSRRefP22_5x_0)</f>
        <v>4957.87</v>
      </c>
      <c r="Q44" s="1"/>
      <c r="R44" s="5">
        <f t="shared" si="34"/>
        <v>0</v>
      </c>
      <c r="S44" s="1"/>
      <c r="T44" s="1">
        <f>SUM(OSRRefT22_5x_0)</f>
        <v>2621.82</v>
      </c>
      <c r="U44" s="1"/>
      <c r="V44" s="5">
        <f t="shared" si="35"/>
        <v>7.0713100223363011E-3</v>
      </c>
      <c r="W44" s="1"/>
      <c r="X44" s="1">
        <f t="shared" si="36"/>
        <v>2336.0499999999997</v>
      </c>
      <c r="Y44" s="1"/>
      <c r="Z44" s="5">
        <f t="shared" si="37"/>
        <v>0.89100319625298441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577.36</v>
      </c>
      <c r="E45" s="2"/>
      <c r="F45" s="7">
        <f t="shared" si="30"/>
        <v>0</v>
      </c>
      <c r="G45" s="2"/>
      <c r="H45" s="6">
        <v>535.89</v>
      </c>
      <c r="I45" s="2"/>
      <c r="J45" s="7">
        <f t="shared" si="31"/>
        <v>2.3216500615840109E-2</v>
      </c>
      <c r="K45" s="2"/>
      <c r="L45" s="6">
        <f t="shared" si="32"/>
        <v>41.470000000000027</v>
      </c>
      <c r="M45" s="2"/>
      <c r="N45" s="7">
        <f t="shared" si="33"/>
        <v>7.7385284293418483E-2</v>
      </c>
      <c r="O45" s="11"/>
      <c r="P45" s="6">
        <v>4957.87</v>
      </c>
      <c r="Q45" s="2"/>
      <c r="R45" s="7">
        <f t="shared" si="34"/>
        <v>0</v>
      </c>
      <c r="S45" s="2"/>
      <c r="T45" s="6">
        <v>2621.82</v>
      </c>
      <c r="U45" s="2"/>
      <c r="V45" s="7">
        <f t="shared" si="35"/>
        <v>7.0713100223363011E-3</v>
      </c>
      <c r="W45" s="2"/>
      <c r="X45" s="6">
        <f t="shared" si="36"/>
        <v>2336.0499999999997</v>
      </c>
      <c r="Y45" s="2"/>
      <c r="Z45" s="7">
        <f t="shared" si="37"/>
        <v>0.89100319625298441</v>
      </c>
    </row>
    <row r="46" spans="1:26" s="25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0</v>
      </c>
      <c r="I46" s="1"/>
      <c r="J46" s="5">
        <f t="shared" si="31"/>
        <v>0</v>
      </c>
      <c r="K46" s="1"/>
      <c r="L46" s="1">
        <f t="shared" si="32"/>
        <v>0</v>
      </c>
      <c r="M46" s="1"/>
      <c r="N46" s="5">
        <f t="shared" si="33"/>
        <v>0</v>
      </c>
      <c r="O46" s="13"/>
      <c r="P46" s="1">
        <f>SUM(OSRRefP22_6x_0)</f>
        <v>0</v>
      </c>
      <c r="Q46" s="1"/>
      <c r="R46" s="5">
        <f t="shared" si="34"/>
        <v>0</v>
      </c>
      <c r="S46" s="1"/>
      <c r="T46" s="1">
        <f>SUM(OSRRefT22_6x_0)</f>
        <v>60</v>
      </c>
      <c r="U46" s="1"/>
      <c r="V46" s="5">
        <f t="shared" si="35"/>
        <v>1.6182598398828985E-4</v>
      </c>
      <c r="W46" s="1"/>
      <c r="X46" s="1">
        <f t="shared" si="36"/>
        <v>-60</v>
      </c>
      <c r="Y46" s="1"/>
      <c r="Z46" s="5">
        <f t="shared" si="37"/>
        <v>-1</v>
      </c>
    </row>
    <row r="47" spans="1:26" s="24" customFormat="1" hidden="1" outlineLevel="2" x14ac:dyDescent="0.25">
      <c r="A47" s="26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30"/>
        <v>0</v>
      </c>
      <c r="G47" s="2"/>
      <c r="H47" s="6"/>
      <c r="I47" s="2"/>
      <c r="J47" s="7">
        <f t="shared" si="31"/>
        <v>0</v>
      </c>
      <c r="K47" s="2"/>
      <c r="L47" s="6">
        <f t="shared" si="32"/>
        <v>0</v>
      </c>
      <c r="M47" s="2"/>
      <c r="N47" s="7">
        <f t="shared" si="33"/>
        <v>0</v>
      </c>
      <c r="O47" s="11"/>
      <c r="P47" s="6"/>
      <c r="Q47" s="2"/>
      <c r="R47" s="7">
        <f t="shared" si="34"/>
        <v>0</v>
      </c>
      <c r="S47" s="2"/>
      <c r="T47" s="6">
        <v>60</v>
      </c>
      <c r="U47" s="2"/>
      <c r="V47" s="7">
        <f t="shared" si="35"/>
        <v>1.6182598398828985E-4</v>
      </c>
      <c r="W47" s="2"/>
      <c r="X47" s="6">
        <f t="shared" si="36"/>
        <v>-60</v>
      </c>
      <c r="Y47" s="2"/>
      <c r="Z47" s="7">
        <f t="shared" si="37"/>
        <v>-1</v>
      </c>
    </row>
    <row r="48" spans="1:26" s="25" customFormat="1" outlineLevel="1" collapsed="1" x14ac:dyDescent="0.25">
      <c r="A48" s="27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16.239999999999998</v>
      </c>
      <c r="I48" s="1"/>
      <c r="J48" s="5">
        <f t="shared" si="31"/>
        <v>7.0356970647193144E-4</v>
      </c>
      <c r="K48" s="1"/>
      <c r="L48" s="1">
        <f t="shared" si="32"/>
        <v>-16.239999999999998</v>
      </c>
      <c r="M48" s="1"/>
      <c r="N48" s="5">
        <f t="shared" si="33"/>
        <v>-1</v>
      </c>
      <c r="O48" s="13"/>
      <c r="P48" s="1">
        <f>SUM(OSRRefP22_7x_0)</f>
        <v>16.239999999999998</v>
      </c>
      <c r="Q48" s="1"/>
      <c r="R48" s="5">
        <f t="shared" si="34"/>
        <v>0</v>
      </c>
      <c r="S48" s="1"/>
      <c r="T48" s="1">
        <f>SUM(OSRRefT22_7x_0)</f>
        <v>758.72</v>
      </c>
      <c r="U48" s="1"/>
      <c r="V48" s="5">
        <f t="shared" si="35"/>
        <v>2.046343509526588E-3</v>
      </c>
      <c r="W48" s="1"/>
      <c r="X48" s="1">
        <f t="shared" si="36"/>
        <v>-742.48</v>
      </c>
      <c r="Y48" s="1"/>
      <c r="Z48" s="5">
        <f t="shared" si="37"/>
        <v>-0.97859552931252636</v>
      </c>
    </row>
    <row r="49" spans="1:26" s="24" customFormat="1" hidden="1" outlineLevel="2" x14ac:dyDescent="0.25">
      <c r="A49" s="26"/>
      <c r="B49" s="11" t="str">
        <f>CONCATENATE("          ", "6351", " - ", "EQUIPMENT RENTAL")</f>
        <v xml:space="preserve">          6351 - EQUIPMENT RENTAL</v>
      </c>
      <c r="C49" s="11"/>
      <c r="D49" s="6"/>
      <c r="E49" s="2"/>
      <c r="F49" s="7">
        <f t="shared" si="30"/>
        <v>0</v>
      </c>
      <c r="G49" s="2"/>
      <c r="H49" s="6">
        <v>16.239999999999998</v>
      </c>
      <c r="I49" s="2"/>
      <c r="J49" s="7">
        <f t="shared" si="31"/>
        <v>7.0356970647193144E-4</v>
      </c>
      <c r="K49" s="2"/>
      <c r="L49" s="6">
        <f t="shared" si="32"/>
        <v>-16.239999999999998</v>
      </c>
      <c r="M49" s="2"/>
      <c r="N49" s="7">
        <f t="shared" si="33"/>
        <v>-1</v>
      </c>
      <c r="O49" s="11"/>
      <c r="P49" s="6">
        <v>16.239999999999998</v>
      </c>
      <c r="Q49" s="2"/>
      <c r="R49" s="7">
        <f t="shared" si="34"/>
        <v>0</v>
      </c>
      <c r="S49" s="2"/>
      <c r="T49" s="6">
        <v>758.72</v>
      </c>
      <c r="U49" s="2"/>
      <c r="V49" s="7">
        <f t="shared" si="35"/>
        <v>2.046343509526588E-3</v>
      </c>
      <c r="W49" s="2"/>
      <c r="X49" s="6">
        <f t="shared" si="36"/>
        <v>-742.48</v>
      </c>
      <c r="Y49" s="2"/>
      <c r="Z49" s="7">
        <f t="shared" si="37"/>
        <v>-0.97859552931252636</v>
      </c>
    </row>
    <row r="50" spans="1:26" s="25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0</v>
      </c>
      <c r="E50" s="1"/>
      <c r="F50" s="5">
        <f t="shared" si="30"/>
        <v>0</v>
      </c>
      <c r="G50" s="1"/>
      <c r="H50" s="1">
        <f>SUM(OSRRefH22_8x_0)</f>
        <v>0</v>
      </c>
      <c r="I50" s="1"/>
      <c r="J50" s="5">
        <f t="shared" si="31"/>
        <v>0</v>
      </c>
      <c r="K50" s="1"/>
      <c r="L50" s="1">
        <f t="shared" si="32"/>
        <v>0</v>
      </c>
      <c r="M50" s="1"/>
      <c r="N50" s="5">
        <f t="shared" si="33"/>
        <v>0</v>
      </c>
      <c r="O50" s="13"/>
      <c r="P50" s="1">
        <f>SUM(OSRRefP22_8x_0)</f>
        <v>0</v>
      </c>
      <c r="Q50" s="1"/>
      <c r="R50" s="5">
        <f t="shared" si="34"/>
        <v>0</v>
      </c>
      <c r="S50" s="1"/>
      <c r="T50" s="1">
        <f>SUM(OSRRefT22_8x_0)</f>
        <v>2898.74</v>
      </c>
      <c r="U50" s="1"/>
      <c r="V50" s="5">
        <f t="shared" si="35"/>
        <v>7.8181908804369205E-3</v>
      </c>
      <c r="W50" s="1"/>
      <c r="X50" s="1">
        <f t="shared" si="36"/>
        <v>-2898.74</v>
      </c>
      <c r="Y50" s="1"/>
      <c r="Z50" s="5">
        <f t="shared" si="37"/>
        <v>-1</v>
      </c>
    </row>
    <row r="51" spans="1:26" s="24" customFormat="1" hidden="1" outlineLevel="2" x14ac:dyDescent="0.25">
      <c r="A51" s="26"/>
      <c r="B51" s="11" t="str">
        <f>CONCATENATE("          ", "6279", " - ", "GENERAL EXPENSE")</f>
        <v xml:space="preserve">          6279 - GENERAL EXPENSE</v>
      </c>
      <c r="C51" s="11"/>
      <c r="D51" s="6"/>
      <c r="E51" s="2"/>
      <c r="F51" s="7">
        <f t="shared" si="30"/>
        <v>0</v>
      </c>
      <c r="G51" s="2"/>
      <c r="H51" s="6"/>
      <c r="I51" s="2"/>
      <c r="J51" s="7">
        <f t="shared" si="31"/>
        <v>0</v>
      </c>
      <c r="K51" s="2"/>
      <c r="L51" s="6">
        <f t="shared" si="32"/>
        <v>0</v>
      </c>
      <c r="M51" s="2"/>
      <c r="N51" s="7">
        <f t="shared" si="33"/>
        <v>0</v>
      </c>
      <c r="O51" s="11"/>
      <c r="P51" s="6"/>
      <c r="Q51" s="2"/>
      <c r="R51" s="7">
        <f t="shared" si="34"/>
        <v>0</v>
      </c>
      <c r="S51" s="2"/>
      <c r="T51" s="6">
        <v>2898.74</v>
      </c>
      <c r="U51" s="2"/>
      <c r="V51" s="7">
        <f t="shared" si="35"/>
        <v>7.8181908804369205E-3</v>
      </c>
      <c r="W51" s="2"/>
      <c r="X51" s="6">
        <f t="shared" si="36"/>
        <v>-2898.74</v>
      </c>
      <c r="Y51" s="2"/>
      <c r="Z51" s="7">
        <f t="shared" si="37"/>
        <v>-1</v>
      </c>
    </row>
    <row r="52" spans="1:26" s="25" customFormat="1" outlineLevel="1" collapsed="1" x14ac:dyDescent="0.25">
      <c r="A52" s="27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SUM(OSRRefD22_9x_0)</f>
        <v>0</v>
      </c>
      <c r="E52" s="1"/>
      <c r="F52" s="5">
        <f t="shared" si="30"/>
        <v>0</v>
      </c>
      <c r="G52" s="1"/>
      <c r="H52" s="1">
        <f>SUM(OSRRefH22_9x_0)</f>
        <v>0</v>
      </c>
      <c r="I52" s="1"/>
      <c r="J52" s="5">
        <f t="shared" si="31"/>
        <v>0</v>
      </c>
      <c r="K52" s="1"/>
      <c r="L52" s="1">
        <f t="shared" si="32"/>
        <v>0</v>
      </c>
      <c r="M52" s="1"/>
      <c r="N52" s="5">
        <f t="shared" si="33"/>
        <v>0</v>
      </c>
      <c r="O52" s="13"/>
      <c r="P52" s="1">
        <f>SUM(OSRRefP22_9x_0)</f>
        <v>1616.5300000000002</v>
      </c>
      <c r="Q52" s="1"/>
      <c r="R52" s="5">
        <f t="shared" si="34"/>
        <v>0</v>
      </c>
      <c r="S52" s="1"/>
      <c r="T52" s="1">
        <f>SUM(OSRRefT22_9x_0)</f>
        <v>5294.83</v>
      </c>
      <c r="U52" s="1"/>
      <c r="V52" s="5">
        <f t="shared" si="35"/>
        <v>1.4280684580011945E-2</v>
      </c>
      <c r="W52" s="1"/>
      <c r="X52" s="1">
        <f t="shared" si="36"/>
        <v>-3678.2999999999997</v>
      </c>
      <c r="Y52" s="1"/>
      <c r="Z52" s="5">
        <f t="shared" si="37"/>
        <v>-0.69469652472317334</v>
      </c>
    </row>
    <row r="53" spans="1:26" s="24" customFormat="1" hidden="1" outlineLevel="2" x14ac:dyDescent="0.25">
      <c r="A53" s="26"/>
      <c r="B53" s="11" t="str">
        <f>CONCATENATE("          ", "6373", " - ", "MAINTENANCE CONTRACTS")</f>
        <v xml:space="preserve">          6373 - MAINTENANCE CONTRACTS</v>
      </c>
      <c r="C53" s="11"/>
      <c r="D53" s="6"/>
      <c r="E53" s="2"/>
      <c r="F53" s="7">
        <f t="shared" si="30"/>
        <v>0</v>
      </c>
      <c r="G53" s="2"/>
      <c r="H53" s="6"/>
      <c r="I53" s="2"/>
      <c r="J53" s="7">
        <f t="shared" si="31"/>
        <v>0</v>
      </c>
      <c r="K53" s="2"/>
      <c r="L53" s="6">
        <f t="shared" si="32"/>
        <v>0</v>
      </c>
      <c r="M53" s="2"/>
      <c r="N53" s="7">
        <f t="shared" si="33"/>
        <v>0</v>
      </c>
      <c r="O53" s="11"/>
      <c r="P53" s="6">
        <v>278.39999999999998</v>
      </c>
      <c r="Q53" s="2"/>
      <c r="R53" s="7">
        <f t="shared" si="34"/>
        <v>0</v>
      </c>
      <c r="S53" s="2"/>
      <c r="T53" s="6">
        <v>1071.28</v>
      </c>
      <c r="U53" s="2"/>
      <c r="V53" s="7">
        <f t="shared" si="35"/>
        <v>2.8893490021162523E-3</v>
      </c>
      <c r="W53" s="2"/>
      <c r="X53" s="6">
        <f t="shared" si="36"/>
        <v>-792.88</v>
      </c>
      <c r="Y53" s="2"/>
      <c r="Z53" s="7">
        <f t="shared" si="37"/>
        <v>-0.7401239638563214</v>
      </c>
    </row>
    <row r="54" spans="1:26" s="24" customFormat="1" hidden="1" outlineLevel="2" x14ac:dyDescent="0.25">
      <c r="A54" s="26"/>
      <c r="B54" s="11" t="str">
        <f>CONCATENATE("          ", "6375", " - ", "OUTSIDE REPAIRS &amp; MAINTENANCE")</f>
        <v xml:space="preserve">          6375 - OUTSIDE REPAIRS &amp; MAINTENANCE</v>
      </c>
      <c r="C54" s="11"/>
      <c r="D54" s="6"/>
      <c r="E54" s="2"/>
      <c r="F54" s="7">
        <f t="shared" si="30"/>
        <v>0</v>
      </c>
      <c r="G54" s="2"/>
      <c r="H54" s="6"/>
      <c r="I54" s="2"/>
      <c r="J54" s="7">
        <f t="shared" si="31"/>
        <v>0</v>
      </c>
      <c r="K54" s="2"/>
      <c r="L54" s="6">
        <f t="shared" si="32"/>
        <v>0</v>
      </c>
      <c r="M54" s="2"/>
      <c r="N54" s="7">
        <f t="shared" si="33"/>
        <v>0</v>
      </c>
      <c r="O54" s="11"/>
      <c r="P54" s="6">
        <v>1338.13</v>
      </c>
      <c r="Q54" s="2"/>
      <c r="R54" s="7">
        <f t="shared" si="34"/>
        <v>0</v>
      </c>
      <c r="S54" s="2"/>
      <c r="T54" s="6">
        <v>4223.55</v>
      </c>
      <c r="U54" s="2"/>
      <c r="V54" s="7">
        <f t="shared" si="35"/>
        <v>1.1391335577895692E-2</v>
      </c>
      <c r="W54" s="2"/>
      <c r="X54" s="6">
        <f t="shared" si="36"/>
        <v>-2885.42</v>
      </c>
      <c r="Y54" s="2"/>
      <c r="Z54" s="7">
        <f t="shared" si="37"/>
        <v>-0.68317410709000725</v>
      </c>
    </row>
    <row r="55" spans="1:26" s="25" customFormat="1" outlineLevel="1" collapsed="1" x14ac:dyDescent="0.25">
      <c r="A55" s="27"/>
      <c r="B55" s="13" t="str">
        <f>CONCATENATE("     ","Services                                          ")</f>
        <v xml:space="preserve">     Services                                          </v>
      </c>
      <c r="C55" s="13"/>
      <c r="D55" s="1">
        <f>SUM(OSRRefD22_10x_0)</f>
        <v>0</v>
      </c>
      <c r="E55" s="1"/>
      <c r="F55" s="5">
        <f t="shared" ref="F55:F57" si="38">IF(D$12=0,0,D55/D$12)</f>
        <v>0</v>
      </c>
      <c r="G55" s="1"/>
      <c r="H55" s="1">
        <f>SUM(OSRRefH22_10x_0)</f>
        <v>2341.48</v>
      </c>
      <c r="I55" s="1"/>
      <c r="J55" s="5">
        <f t="shared" ref="J55:J57" si="39">IF(H$12=0,0,H55/H$12)</f>
        <v>0.10144054164469817</v>
      </c>
      <c r="K55" s="1"/>
      <c r="L55" s="1">
        <f t="shared" ref="L55:L57" si="40">+D55-H55</f>
        <v>-2341.48</v>
      </c>
      <c r="M55" s="1"/>
      <c r="N55" s="5">
        <f t="shared" ref="N55:N57" si="41">IF(H55=0,0,L55/H55)</f>
        <v>-1</v>
      </c>
      <c r="O55" s="13"/>
      <c r="P55" s="1">
        <f>SUM(OSRRefP22_10x_0)</f>
        <v>320.58</v>
      </c>
      <c r="Q55" s="1"/>
      <c r="R55" s="5">
        <f t="shared" ref="R55:R57" si="42">IF(P$12=0,0,P55/P$12)</f>
        <v>0</v>
      </c>
      <c r="S55" s="1"/>
      <c r="T55" s="1">
        <f>SUM(OSRRefT22_10x_0)</f>
        <v>17924.07</v>
      </c>
      <c r="U55" s="1"/>
      <c r="V55" s="5">
        <f t="shared" ref="V55:V57" si="43">IF(T$12=0,0,T55/T$12)</f>
        <v>4.8343004413749766E-2</v>
      </c>
      <c r="W55" s="1"/>
      <c r="X55" s="1">
        <f t="shared" ref="X55:X57" si="44">+P55-T55</f>
        <v>-17603.489999999998</v>
      </c>
      <c r="Y55" s="1"/>
      <c r="Z55" s="5">
        <f t="shared" ref="Z55:Z57" si="45">IF(T55=0,0,X55/T55)</f>
        <v>-0.9821145532236818</v>
      </c>
    </row>
    <row r="56" spans="1:26" s="24" customFormat="1" hidden="1" outlineLevel="2" x14ac:dyDescent="0.25">
      <c r="A56" s="26"/>
      <c r="B56" s="11" t="str">
        <f>CONCATENATE("          ", "6283", " - ", "PLANT SERVICE")</f>
        <v xml:space="preserve">          6283 - PLANT SERVICE</v>
      </c>
      <c r="C56" s="11"/>
      <c r="D56" s="6"/>
      <c r="E56" s="2"/>
      <c r="F56" s="7">
        <f t="shared" si="38"/>
        <v>0</v>
      </c>
      <c r="G56" s="2"/>
      <c r="H56" s="6">
        <v>62.95</v>
      </c>
      <c r="I56" s="2"/>
      <c r="J56" s="7">
        <f t="shared" si="39"/>
        <v>2.7271990777344881E-3</v>
      </c>
      <c r="K56" s="2"/>
      <c r="L56" s="6">
        <f t="shared" si="40"/>
        <v>-62.95</v>
      </c>
      <c r="M56" s="2"/>
      <c r="N56" s="7">
        <f t="shared" si="41"/>
        <v>-1</v>
      </c>
      <c r="O56" s="11"/>
      <c r="P56" s="6"/>
      <c r="Q56" s="2"/>
      <c r="R56" s="7">
        <f t="shared" si="42"/>
        <v>0</v>
      </c>
      <c r="S56" s="2"/>
      <c r="T56" s="6">
        <v>314.75</v>
      </c>
      <c r="U56" s="2"/>
      <c r="V56" s="7">
        <f t="shared" si="43"/>
        <v>8.4891214100523706E-4</v>
      </c>
      <c r="W56" s="2"/>
      <c r="X56" s="6">
        <f t="shared" si="44"/>
        <v>-314.75</v>
      </c>
      <c r="Y56" s="2"/>
      <c r="Z56" s="7">
        <f t="shared" si="45"/>
        <v>-1</v>
      </c>
    </row>
    <row r="57" spans="1:26" s="24" customFormat="1" hidden="1" outlineLevel="2" x14ac:dyDescent="0.25">
      <c r="A57" s="26"/>
      <c r="B57" s="11" t="str">
        <f>CONCATENATE("          ", "6286", " - ", "LAUNDRY EXPENSE")</f>
        <v xml:space="preserve">          6286 - LAUNDRY EXPENSE</v>
      </c>
      <c r="C57" s="11"/>
      <c r="D57" s="6"/>
      <c r="E57" s="2"/>
      <c r="F57" s="7">
        <f t="shared" si="38"/>
        <v>0</v>
      </c>
      <c r="G57" s="2"/>
      <c r="H57" s="6">
        <v>2278.5300000000002</v>
      </c>
      <c r="I57" s="2"/>
      <c r="J57" s="7">
        <f t="shared" si="39"/>
        <v>9.871334256696368E-2</v>
      </c>
      <c r="K57" s="2"/>
      <c r="L57" s="6">
        <f t="shared" si="40"/>
        <v>-2278.5300000000002</v>
      </c>
      <c r="M57" s="2"/>
      <c r="N57" s="7">
        <f t="shared" si="41"/>
        <v>-1</v>
      </c>
      <c r="O57" s="11"/>
      <c r="P57" s="6">
        <v>320.58</v>
      </c>
      <c r="Q57" s="2"/>
      <c r="R57" s="7">
        <f t="shared" si="42"/>
        <v>0</v>
      </c>
      <c r="S57" s="2"/>
      <c r="T57" s="6">
        <v>17609.32</v>
      </c>
      <c r="U57" s="2"/>
      <c r="V57" s="7">
        <f t="shared" si="43"/>
        <v>4.749409227274453E-2</v>
      </c>
      <c r="W57" s="2"/>
      <c r="X57" s="6">
        <f t="shared" si="44"/>
        <v>-17288.739999999998</v>
      </c>
      <c r="Y57" s="2"/>
      <c r="Z57" s="7">
        <f t="shared" si="45"/>
        <v>-0.98179486771777658</v>
      </c>
    </row>
    <row r="58" spans="1:26" s="25" customFormat="1" outlineLevel="1" collapsed="1" x14ac:dyDescent="0.25">
      <c r="A58" s="27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SUM(OSRRefD22_11x_0)</f>
        <v>0</v>
      </c>
      <c r="E58" s="1"/>
      <c r="F58" s="5">
        <f t="shared" ref="F58:F64" si="46">IF(D$12=0,0,D58/D$12)</f>
        <v>0</v>
      </c>
      <c r="G58" s="1"/>
      <c r="H58" s="1">
        <f>SUM(OSRRefH22_11x_0)</f>
        <v>2190.42</v>
      </c>
      <c r="I58" s="1"/>
      <c r="J58" s="5">
        <f t="shared" ref="J58:J64" si="47">IF(H$12=0,0,H58/H$12)</f>
        <v>9.4896130323291153E-2</v>
      </c>
      <c r="K58" s="1"/>
      <c r="L58" s="1">
        <f t="shared" ref="L58:L64" si="48">+D58-H58</f>
        <v>-2190.42</v>
      </c>
      <c r="M58" s="1"/>
      <c r="N58" s="5">
        <f t="shared" ref="N58:N64" si="49">IF(H58=0,0,L58/H58)</f>
        <v>-1</v>
      </c>
      <c r="O58" s="13"/>
      <c r="P58" s="1">
        <f>SUM(OSRRefP22_11x_0)</f>
        <v>0</v>
      </c>
      <c r="Q58" s="1"/>
      <c r="R58" s="5">
        <f t="shared" ref="R58:R64" si="50">IF(P$12=0,0,P58/P$12)</f>
        <v>0</v>
      </c>
      <c r="S58" s="1"/>
      <c r="T58" s="1">
        <f>SUM(OSRRefT22_11x_0)</f>
        <v>11552.150000000001</v>
      </c>
      <c r="U58" s="1"/>
      <c r="V58" s="5">
        <f t="shared" ref="V58:V64" si="51">IF(T$12=0,0,T58/T$12)</f>
        <v>3.1157300682172043E-2</v>
      </c>
      <c r="W58" s="1"/>
      <c r="X58" s="1">
        <f t="shared" ref="X58:X64" si="52">+P58-T58</f>
        <v>-11552.150000000001</v>
      </c>
      <c r="Y58" s="1"/>
      <c r="Z58" s="5">
        <f t="shared" ref="Z58:Z64" si="53">IF(T58=0,0,X58/T58)</f>
        <v>-1</v>
      </c>
    </row>
    <row r="59" spans="1:26" s="24" customFormat="1" hidden="1" outlineLevel="2" x14ac:dyDescent="0.25">
      <c r="A59" s="26"/>
      <c r="B59" s="11" t="str">
        <f>CONCATENATE("          ", "6234", " - ", "EXPENDABLE SUPPLIES &amp; EQUIPMEN")</f>
        <v xml:space="preserve">          6234 - EXPENDABLE SUPPLIES &amp; EQUIPMEN</v>
      </c>
      <c r="C59" s="11"/>
      <c r="D59" s="6"/>
      <c r="E59" s="2"/>
      <c r="F59" s="7">
        <f t="shared" si="46"/>
        <v>0</v>
      </c>
      <c r="G59" s="2"/>
      <c r="H59" s="6">
        <v>360.61</v>
      </c>
      <c r="I59" s="2"/>
      <c r="J59" s="7">
        <f t="shared" si="47"/>
        <v>1.5622799990815469E-2</v>
      </c>
      <c r="K59" s="2"/>
      <c r="L59" s="6">
        <f t="shared" si="48"/>
        <v>-360.61</v>
      </c>
      <c r="M59" s="2"/>
      <c r="N59" s="7">
        <f t="shared" si="49"/>
        <v>-1</v>
      </c>
      <c r="O59" s="11"/>
      <c r="P59" s="6"/>
      <c r="Q59" s="2"/>
      <c r="R59" s="7">
        <f t="shared" si="50"/>
        <v>0</v>
      </c>
      <c r="S59" s="2"/>
      <c r="T59" s="6">
        <v>647.9</v>
      </c>
      <c r="U59" s="2"/>
      <c r="V59" s="7">
        <f t="shared" si="51"/>
        <v>1.7474509171002163E-3</v>
      </c>
      <c r="W59" s="2"/>
      <c r="X59" s="6">
        <f t="shared" si="52"/>
        <v>-647.9</v>
      </c>
      <c r="Y59" s="2"/>
      <c r="Z59" s="7">
        <f t="shared" si="53"/>
        <v>-1</v>
      </c>
    </row>
    <row r="60" spans="1:26" s="24" customFormat="1" hidden="1" outlineLevel="2" x14ac:dyDescent="0.25">
      <c r="A60" s="26"/>
      <c r="B60" s="11" t="str">
        <f>CONCATENATE("          ", "6239", " - ", "KITCHEN SUPPLIES")</f>
        <v xml:space="preserve">          6239 - KITCHEN SUPPLIES</v>
      </c>
      <c r="C60" s="11"/>
      <c r="D60" s="6"/>
      <c r="E60" s="2"/>
      <c r="F60" s="7">
        <f t="shared" si="46"/>
        <v>0</v>
      </c>
      <c r="G60" s="2"/>
      <c r="H60" s="6">
        <v>143.15</v>
      </c>
      <c r="I60" s="2"/>
      <c r="J60" s="7">
        <f t="shared" si="47"/>
        <v>6.2017243523064649E-3</v>
      </c>
      <c r="K60" s="2"/>
      <c r="L60" s="6">
        <f t="shared" si="48"/>
        <v>-143.15</v>
      </c>
      <c r="M60" s="2"/>
      <c r="N60" s="7">
        <f t="shared" si="49"/>
        <v>-1</v>
      </c>
      <c r="O60" s="11"/>
      <c r="P60" s="6"/>
      <c r="Q60" s="2"/>
      <c r="R60" s="7">
        <f t="shared" si="50"/>
        <v>0</v>
      </c>
      <c r="S60" s="2"/>
      <c r="T60" s="6">
        <v>3652.68</v>
      </c>
      <c r="U60" s="2"/>
      <c r="V60" s="7">
        <f t="shared" si="51"/>
        <v>9.8516422532391075E-3</v>
      </c>
      <c r="W60" s="2"/>
      <c r="X60" s="6">
        <f t="shared" si="52"/>
        <v>-3652.68</v>
      </c>
      <c r="Y60" s="2"/>
      <c r="Z60" s="7">
        <f t="shared" si="53"/>
        <v>-1</v>
      </c>
    </row>
    <row r="61" spans="1:26" s="24" customFormat="1" hidden="1" outlineLevel="2" x14ac:dyDescent="0.25">
      <c r="A61" s="26"/>
      <c r="B61" s="11" t="str">
        <f>CONCATENATE("          ", "6241", " - ", "OFFICE EXPENSE")</f>
        <v xml:space="preserve">          6241 - OFFICE EXPENSE</v>
      </c>
      <c r="C61" s="11"/>
      <c r="D61" s="6"/>
      <c r="E61" s="2"/>
      <c r="F61" s="7">
        <f t="shared" si="46"/>
        <v>0</v>
      </c>
      <c r="G61" s="2"/>
      <c r="H61" s="6"/>
      <c r="I61" s="2"/>
      <c r="J61" s="7">
        <f t="shared" si="47"/>
        <v>0</v>
      </c>
      <c r="K61" s="2"/>
      <c r="L61" s="6">
        <f t="shared" si="48"/>
        <v>0</v>
      </c>
      <c r="M61" s="2"/>
      <c r="N61" s="7">
        <f t="shared" si="49"/>
        <v>0</v>
      </c>
      <c r="O61" s="11"/>
      <c r="P61" s="6"/>
      <c r="Q61" s="2"/>
      <c r="R61" s="7">
        <f t="shared" si="50"/>
        <v>0</v>
      </c>
      <c r="S61" s="2"/>
      <c r="T61" s="6">
        <v>649.69000000000005</v>
      </c>
      <c r="U61" s="2"/>
      <c r="V61" s="7">
        <f t="shared" si="51"/>
        <v>1.7522787256225338E-3</v>
      </c>
      <c r="W61" s="2"/>
      <c r="X61" s="6">
        <f t="shared" si="52"/>
        <v>-649.69000000000005</v>
      </c>
      <c r="Y61" s="2"/>
      <c r="Z61" s="7">
        <f t="shared" si="53"/>
        <v>-1</v>
      </c>
    </row>
    <row r="62" spans="1:26" s="24" customFormat="1" hidden="1" outlineLevel="2" x14ac:dyDescent="0.25">
      <c r="A62" s="26"/>
      <c r="B62" s="11" t="str">
        <f>CONCATENATE("          ", "6243", " - ", "PAPER SUPPLIES")</f>
        <v xml:space="preserve">          6243 - PAPER SUPPLIES</v>
      </c>
      <c r="C62" s="11"/>
      <c r="D62" s="6"/>
      <c r="E62" s="2"/>
      <c r="F62" s="7">
        <f t="shared" si="46"/>
        <v>0</v>
      </c>
      <c r="G62" s="2"/>
      <c r="H62" s="6">
        <v>1206.31</v>
      </c>
      <c r="I62" s="2"/>
      <c r="J62" s="7">
        <f t="shared" si="47"/>
        <v>5.2261279101856871E-2</v>
      </c>
      <c r="K62" s="2"/>
      <c r="L62" s="6">
        <f t="shared" si="48"/>
        <v>-1206.31</v>
      </c>
      <c r="M62" s="2"/>
      <c r="N62" s="7">
        <f t="shared" si="49"/>
        <v>-1</v>
      </c>
      <c r="O62" s="11"/>
      <c r="P62" s="6"/>
      <c r="Q62" s="2"/>
      <c r="R62" s="7">
        <f t="shared" si="50"/>
        <v>0</v>
      </c>
      <c r="S62" s="2"/>
      <c r="T62" s="6">
        <v>5035.1099999999997</v>
      </c>
      <c r="U62" s="2"/>
      <c r="V62" s="7">
        <f t="shared" si="51"/>
        <v>1.35801938373213E-2</v>
      </c>
      <c r="W62" s="2"/>
      <c r="X62" s="6">
        <f t="shared" si="52"/>
        <v>-5035.1099999999997</v>
      </c>
      <c r="Y62" s="2"/>
      <c r="Z62" s="7">
        <f t="shared" si="53"/>
        <v>-1</v>
      </c>
    </row>
    <row r="63" spans="1:26" s="24" customFormat="1" hidden="1" outlineLevel="2" x14ac:dyDescent="0.25">
      <c r="A63" s="26"/>
      <c r="B63" s="11" t="str">
        <f>CONCATENATE("          ", "6247", " - ", "STORE SUPPLIES")</f>
        <v xml:space="preserve">          6247 - STORE SUPPLIES</v>
      </c>
      <c r="C63" s="11"/>
      <c r="D63" s="6"/>
      <c r="E63" s="2"/>
      <c r="F63" s="7">
        <f t="shared" si="46"/>
        <v>0</v>
      </c>
      <c r="G63" s="2"/>
      <c r="H63" s="6">
        <v>22.28</v>
      </c>
      <c r="I63" s="2"/>
      <c r="J63" s="7">
        <f t="shared" si="47"/>
        <v>9.6524218350952187E-4</v>
      </c>
      <c r="K63" s="2"/>
      <c r="L63" s="6">
        <f t="shared" si="48"/>
        <v>-22.28</v>
      </c>
      <c r="M63" s="2"/>
      <c r="N63" s="7">
        <f t="shared" si="49"/>
        <v>-1</v>
      </c>
      <c r="O63" s="11"/>
      <c r="P63" s="6"/>
      <c r="Q63" s="2"/>
      <c r="R63" s="7">
        <f t="shared" si="50"/>
        <v>0</v>
      </c>
      <c r="S63" s="2"/>
      <c r="T63" s="6">
        <v>388.37</v>
      </c>
      <c r="U63" s="2"/>
      <c r="V63" s="7">
        <f t="shared" si="51"/>
        <v>1.0474726233588687E-3</v>
      </c>
      <c r="W63" s="2"/>
      <c r="X63" s="6">
        <f t="shared" si="52"/>
        <v>-388.37</v>
      </c>
      <c r="Y63" s="2"/>
      <c r="Z63" s="7">
        <f t="shared" si="53"/>
        <v>-1</v>
      </c>
    </row>
    <row r="64" spans="1:26" s="24" customFormat="1" hidden="1" outlineLevel="2" x14ac:dyDescent="0.25">
      <c r="A64" s="26"/>
      <c r="B64" s="11" t="str">
        <f>CONCATENATE("          ", "6248", " - ", "UNIFORMS")</f>
        <v xml:space="preserve">          6248 - UNIFORMS</v>
      </c>
      <c r="C64" s="11"/>
      <c r="D64" s="6"/>
      <c r="E64" s="2"/>
      <c r="F64" s="7">
        <f t="shared" si="46"/>
        <v>0</v>
      </c>
      <c r="G64" s="2"/>
      <c r="H64" s="6">
        <v>458.07</v>
      </c>
      <c r="I64" s="2"/>
      <c r="J64" s="7">
        <f t="shared" si="47"/>
        <v>1.9845084694802811E-2</v>
      </c>
      <c r="K64" s="2"/>
      <c r="L64" s="6">
        <f t="shared" si="48"/>
        <v>-458.07</v>
      </c>
      <c r="M64" s="2"/>
      <c r="N64" s="7">
        <f t="shared" si="49"/>
        <v>-1</v>
      </c>
      <c r="O64" s="11"/>
      <c r="P64" s="6"/>
      <c r="Q64" s="2"/>
      <c r="R64" s="7">
        <f t="shared" si="50"/>
        <v>0</v>
      </c>
      <c r="S64" s="2"/>
      <c r="T64" s="6">
        <v>1178.4000000000001</v>
      </c>
      <c r="U64" s="2"/>
      <c r="V64" s="7">
        <f t="shared" si="51"/>
        <v>3.1782623255300125E-3</v>
      </c>
      <c r="W64" s="2"/>
      <c r="X64" s="6">
        <f t="shared" si="52"/>
        <v>-1178.4000000000001</v>
      </c>
      <c r="Y64" s="2"/>
      <c r="Z64" s="7">
        <f t="shared" si="53"/>
        <v>-1</v>
      </c>
    </row>
    <row r="65" spans="1:26" s="25" customFormat="1" outlineLevel="1" collapsed="1" x14ac:dyDescent="0.25">
      <c r="A65" s="27"/>
      <c r="B65" s="13" t="str">
        <f>CONCATENATE("     ","Telephone/Data Lines                              ")</f>
        <v xml:space="preserve">     Telephone/Data Lines                              </v>
      </c>
      <c r="C65" s="13"/>
      <c r="D65" s="1">
        <f>SUM(OSRRefD22_12x_0)</f>
        <v>36</v>
      </c>
      <c r="E65" s="1"/>
      <c r="F65" s="5">
        <f t="shared" ref="F65:F68" si="54">IF(D$12=0,0,D65/D$12)</f>
        <v>0</v>
      </c>
      <c r="G65" s="1"/>
      <c r="H65" s="1">
        <f>SUM(OSRRefH22_12x_0)</f>
        <v>229.01</v>
      </c>
      <c r="I65" s="1"/>
      <c r="J65" s="5">
        <f t="shared" ref="J65:J68" si="55">IF(H$12=0,0,H65/H$12)</f>
        <v>9.9214592659567138E-3</v>
      </c>
      <c r="K65" s="1"/>
      <c r="L65" s="1">
        <f t="shared" ref="L65:L68" si="56">+D65-H65</f>
        <v>-193.01</v>
      </c>
      <c r="M65" s="1"/>
      <c r="N65" s="5">
        <f t="shared" ref="N65:N68" si="57">IF(H65=0,0,L65/H65)</f>
        <v>-0.84280162438321471</v>
      </c>
      <c r="O65" s="13"/>
      <c r="P65" s="1">
        <f>SUM(OSRRefP22_12x_0)</f>
        <v>365.03</v>
      </c>
      <c r="Q65" s="1"/>
      <c r="R65" s="5">
        <f t="shared" ref="R65:R68" si="58">IF(P$12=0,0,P65/P$12)</f>
        <v>0</v>
      </c>
      <c r="S65" s="1"/>
      <c r="T65" s="1">
        <f>SUM(OSRRefT22_12x_0)</f>
        <v>1636.36</v>
      </c>
      <c r="U65" s="1"/>
      <c r="V65" s="5">
        <f t="shared" ref="V65:V68" si="59">IF(T$12=0,0,T65/T$12)</f>
        <v>4.4134261193179659E-3</v>
      </c>
      <c r="W65" s="1"/>
      <c r="X65" s="1">
        <f t="shared" ref="X65:X68" si="60">+P65-T65</f>
        <v>-1271.33</v>
      </c>
      <c r="Y65" s="1"/>
      <c r="Z65" s="5">
        <f t="shared" ref="Z65:Z68" si="61">IF(T65=0,0,X65/T65)</f>
        <v>-0.7769256153902564</v>
      </c>
    </row>
    <row r="66" spans="1:26" s="24" customFormat="1" hidden="1" outlineLevel="2" x14ac:dyDescent="0.25">
      <c r="A66" s="26"/>
      <c r="B66" s="11" t="str">
        <f>CONCATENATE("          ", "6309", " - ", "TELEPHONE")</f>
        <v xml:space="preserve">          6309 - TELEPHONE</v>
      </c>
      <c r="C66" s="11"/>
      <c r="D66" s="6">
        <v>36</v>
      </c>
      <c r="E66" s="2"/>
      <c r="F66" s="7">
        <f t="shared" si="54"/>
        <v>0</v>
      </c>
      <c r="G66" s="2"/>
      <c r="H66" s="6">
        <v>229.01</v>
      </c>
      <c r="I66" s="2"/>
      <c r="J66" s="7">
        <f t="shared" si="55"/>
        <v>9.9214592659567138E-3</v>
      </c>
      <c r="K66" s="2"/>
      <c r="L66" s="6">
        <f t="shared" si="56"/>
        <v>-193.01</v>
      </c>
      <c r="M66" s="2"/>
      <c r="N66" s="7">
        <f t="shared" si="57"/>
        <v>-0.84280162438321471</v>
      </c>
      <c r="O66" s="11"/>
      <c r="P66" s="6">
        <v>365.03</v>
      </c>
      <c r="Q66" s="2"/>
      <c r="R66" s="7">
        <f t="shared" si="58"/>
        <v>0</v>
      </c>
      <c r="S66" s="2"/>
      <c r="T66" s="6">
        <v>1636.36</v>
      </c>
      <c r="U66" s="2"/>
      <c r="V66" s="7">
        <f t="shared" si="59"/>
        <v>4.4134261193179659E-3</v>
      </c>
      <c r="W66" s="2"/>
      <c r="X66" s="6">
        <f t="shared" si="60"/>
        <v>-1271.33</v>
      </c>
      <c r="Y66" s="2"/>
      <c r="Z66" s="7">
        <f t="shared" si="61"/>
        <v>-0.7769256153902564</v>
      </c>
    </row>
    <row r="67" spans="1:26" s="25" customFormat="1" outlineLevel="1" collapsed="1" x14ac:dyDescent="0.25">
      <c r="A67" s="27"/>
      <c r="B67" s="13" t="str">
        <f>CONCATENATE("     ","Training                                          ")</f>
        <v xml:space="preserve">     Training                                          </v>
      </c>
      <c r="C67" s="13"/>
      <c r="D67" s="1">
        <f>SUM(OSRRefD22_13x_0)</f>
        <v>0</v>
      </c>
      <c r="E67" s="1"/>
      <c r="F67" s="5">
        <f t="shared" si="54"/>
        <v>0</v>
      </c>
      <c r="G67" s="1"/>
      <c r="H67" s="1">
        <f>SUM(OSRRefH22_13x_0)</f>
        <v>0</v>
      </c>
      <c r="I67" s="1"/>
      <c r="J67" s="5">
        <f t="shared" si="55"/>
        <v>0</v>
      </c>
      <c r="K67" s="1"/>
      <c r="L67" s="1">
        <f t="shared" si="56"/>
        <v>0</v>
      </c>
      <c r="M67" s="1"/>
      <c r="N67" s="5">
        <f t="shared" si="57"/>
        <v>0</v>
      </c>
      <c r="O67" s="13"/>
      <c r="P67" s="1">
        <f>SUM(OSRRefP22_13x_0)</f>
        <v>0</v>
      </c>
      <c r="Q67" s="1"/>
      <c r="R67" s="5">
        <f t="shared" si="58"/>
        <v>0</v>
      </c>
      <c r="S67" s="1"/>
      <c r="T67" s="1">
        <f>SUM(OSRRefT22_13x_0)</f>
        <v>175</v>
      </c>
      <c r="U67" s="1"/>
      <c r="V67" s="5">
        <f t="shared" si="59"/>
        <v>4.719924532991787E-4</v>
      </c>
      <c r="W67" s="1"/>
      <c r="X67" s="1">
        <f t="shared" si="60"/>
        <v>-175</v>
      </c>
      <c r="Y67" s="1"/>
      <c r="Z67" s="5">
        <f t="shared" si="61"/>
        <v>-1</v>
      </c>
    </row>
    <row r="68" spans="1:26" s="24" customFormat="1" hidden="1" outlineLevel="2" x14ac:dyDescent="0.25">
      <c r="A68" s="26"/>
      <c r="B68" s="11" t="str">
        <f>CONCATENATE("          ", "6376", " - ", "TRAINING")</f>
        <v xml:space="preserve">          6376 - TRAINING</v>
      </c>
      <c r="C68" s="11"/>
      <c r="D68" s="6"/>
      <c r="E68" s="2"/>
      <c r="F68" s="7">
        <f t="shared" si="54"/>
        <v>0</v>
      </c>
      <c r="G68" s="2"/>
      <c r="H68" s="6"/>
      <c r="I68" s="2"/>
      <c r="J68" s="7">
        <f t="shared" si="55"/>
        <v>0</v>
      </c>
      <c r="K68" s="2"/>
      <c r="L68" s="6">
        <f t="shared" si="56"/>
        <v>0</v>
      </c>
      <c r="M68" s="2"/>
      <c r="N68" s="7">
        <f t="shared" si="57"/>
        <v>0</v>
      </c>
      <c r="O68" s="11"/>
      <c r="P68" s="6"/>
      <c r="Q68" s="2"/>
      <c r="R68" s="7">
        <f t="shared" si="58"/>
        <v>0</v>
      </c>
      <c r="S68" s="2"/>
      <c r="T68" s="6">
        <v>175</v>
      </c>
      <c r="U68" s="2"/>
      <c r="V68" s="7">
        <f t="shared" si="59"/>
        <v>4.719924532991787E-4</v>
      </c>
      <c r="W68" s="2"/>
      <c r="X68" s="6">
        <f t="shared" si="60"/>
        <v>-175</v>
      </c>
      <c r="Y68" s="2"/>
      <c r="Z68" s="7">
        <f t="shared" si="61"/>
        <v>-1</v>
      </c>
    </row>
    <row r="69" spans="1:26" s="52" customFormat="1" x14ac:dyDescent="0.25">
      <c r="A69" s="37"/>
      <c r="B69" s="37"/>
      <c r="C69" s="37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7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25">
      <c r="A70" s="10"/>
      <c r="B70" s="28" t="s">
        <v>0</v>
      </c>
      <c r="C70" s="10"/>
      <c r="D70" s="4">
        <f>SUM(0)</f>
        <v>0</v>
      </c>
      <c r="E70" s="4"/>
      <c r="F70" s="12">
        <f>IF(D$12=0,0,D70/D$12)</f>
        <v>0</v>
      </c>
      <c r="G70" s="4"/>
      <c r="H70" s="4">
        <f>SUM(0)</f>
        <v>0</v>
      </c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>
        <f>SUM(0)</f>
        <v>0</v>
      </c>
      <c r="Q70" s="4"/>
      <c r="R70" s="12">
        <f>IF(P$12=0,0,P70/P$12)</f>
        <v>0</v>
      </c>
      <c r="S70" s="4"/>
      <c r="T70" s="4">
        <f>SUM(0)</f>
        <v>0</v>
      </c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10"/>
      <c r="B72" s="29" t="s">
        <v>3</v>
      </c>
      <c r="C72" s="29"/>
      <c r="D72" s="22">
        <f>+D19-D21+D70</f>
        <v>-613.36</v>
      </c>
      <c r="E72" s="14"/>
      <c r="F72" s="20">
        <f>IF(D$12=0,0,D72/D$12)</f>
        <v>0</v>
      </c>
      <c r="G72" s="14"/>
      <c r="H72" s="22">
        <f>+H19-H21+H70</f>
        <v>-30826.300000000003</v>
      </c>
      <c r="I72" s="14"/>
      <c r="J72" s="20">
        <f>IF(H$12=0,0,H72/H$12)</f>
        <v>-1.3354957415403759</v>
      </c>
      <c r="K72" s="16"/>
      <c r="L72" s="22">
        <f>+D72-H72</f>
        <v>30212.940000000002</v>
      </c>
      <c r="M72" s="16"/>
      <c r="N72" s="20">
        <f>IF(H72=0,0,L72/H72)</f>
        <v>-0.98010270450881232</v>
      </c>
      <c r="O72" s="28"/>
      <c r="P72" s="22">
        <f>+P19-P21+P70</f>
        <v>-7276.2499999999991</v>
      </c>
      <c r="Q72" s="14"/>
      <c r="R72" s="20">
        <f>IF(P$12=0,0,P72/P$12)</f>
        <v>0</v>
      </c>
      <c r="S72" s="14"/>
      <c r="T72" s="22">
        <f>+T19-T21+T70</f>
        <v>-127984.58999999994</v>
      </c>
      <c r="U72" s="14"/>
      <c r="V72" s="20">
        <f>IF(T$12=0,0,T72/T$12)</f>
        <v>-0.34518720353479715</v>
      </c>
      <c r="W72" s="16"/>
      <c r="X72" s="22">
        <f>+P72-T72</f>
        <v>120708.33999999994</v>
      </c>
      <c r="Y72" s="16"/>
      <c r="Z72" s="20">
        <f>IF(T72=0,0,X72/T72)</f>
        <v>-0.94314745236125686</v>
      </c>
    </row>
    <row r="73" spans="1:26" x14ac:dyDescent="0.25">
      <c r="A73" s="9"/>
      <c r="B73" s="10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51"/>
      <c r="B74" s="10" t="s">
        <v>13</v>
      </c>
      <c r="C74" s="10"/>
      <c r="D74" s="4"/>
      <c r="E74" s="4"/>
      <c r="F74" s="12">
        <f>IF(D$12=0,0,D74/D$12)</f>
        <v>0</v>
      </c>
      <c r="G74" s="4"/>
      <c r="H74" s="4">
        <v>1529.9</v>
      </c>
      <c r="I74" s="4"/>
      <c r="J74" s="12">
        <f>IF(H$12=0,0,H74/H$12)</f>
        <v>6.628025208937241E-2</v>
      </c>
      <c r="K74" s="4"/>
      <c r="L74" s="4">
        <f>+D74-H74</f>
        <v>-1529.9</v>
      </c>
      <c r="M74" s="4"/>
      <c r="N74" s="12">
        <f>IF(H74=0,0,L74/H74)</f>
        <v>-1</v>
      </c>
      <c r="O74" s="10"/>
      <c r="P74" s="4"/>
      <c r="Q74" s="4"/>
      <c r="R74" s="12">
        <f>IF(P$12=0,0,P74/P$12)</f>
        <v>0</v>
      </c>
      <c r="S74" s="4"/>
      <c r="T74" s="4">
        <v>37788.659999999996</v>
      </c>
      <c r="U74" s="4"/>
      <c r="V74" s="12">
        <f>IF(T$12=0,0,T74/T$12)</f>
        <v>0.1019197848016488</v>
      </c>
      <c r="W74" s="4"/>
      <c r="X74" s="4">
        <f>+P74-T74</f>
        <v>-37788.659999999996</v>
      </c>
      <c r="Y74" s="4"/>
      <c r="Z74" s="12">
        <f>IF(T74=0,0,X74/T74)</f>
        <v>-1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9" t="s">
        <v>4</v>
      </c>
      <c r="C76" s="29"/>
      <c r="D76" s="35">
        <f>+D72-D74</f>
        <v>-613.36</v>
      </c>
      <c r="E76" s="14"/>
      <c r="F76" s="36">
        <f>IF(D$12=0,0,D76/D$12)</f>
        <v>0</v>
      </c>
      <c r="G76" s="14"/>
      <c r="H76" s="35">
        <f>+H72-H74</f>
        <v>-32356.200000000004</v>
      </c>
      <c r="I76" s="14"/>
      <c r="J76" s="36">
        <f>IF(H$12=0,0,H76/H$12)</f>
        <v>-1.4017759936297483</v>
      </c>
      <c r="K76" s="16"/>
      <c r="L76" s="35">
        <f>D76-H76</f>
        <v>31742.840000000004</v>
      </c>
      <c r="M76" s="16"/>
      <c r="N76" s="36">
        <f>IF(H76=0,0,L76/H76)</f>
        <v>-0.98104350943559504</v>
      </c>
      <c r="O76" s="28"/>
      <c r="P76" s="35">
        <f>+P72-P74</f>
        <v>-7276.2499999999991</v>
      </c>
      <c r="Q76" s="14"/>
      <c r="R76" s="36">
        <f>IF(P$12=0,0,P76/P$12)</f>
        <v>0</v>
      </c>
      <c r="S76" s="14"/>
      <c r="T76" s="35">
        <f>+T72-T74</f>
        <v>-165773.24999999994</v>
      </c>
      <c r="U76" s="14"/>
      <c r="V76" s="36">
        <f>IF(T$12=0,0,T76/T$12)</f>
        <v>-0.44710698833644597</v>
      </c>
      <c r="W76" s="16"/>
      <c r="X76" s="35">
        <f>P76-T76</f>
        <v>158496.99999999994</v>
      </c>
      <c r="Y76" s="16"/>
      <c r="Z76" s="36">
        <f>IF(T76=0,0,X76/T76)</f>
        <v>-0.9561072127137521</v>
      </c>
    </row>
    <row r="77" spans="1:26" ht="15.75" thickTop="1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9" t="s">
        <v>5</v>
      </c>
      <c r="C79" s="29"/>
      <c r="D79" s="31">
        <f>SUM(D76:D78)</f>
        <v>-613.36</v>
      </c>
      <c r="E79" s="14"/>
      <c r="F79" s="33">
        <f>IF(D$12=0,0,D79/D$12)</f>
        <v>0</v>
      </c>
      <c r="G79" s="14"/>
      <c r="H79" s="31">
        <f>SUM(H76:H78)</f>
        <v>-32356.200000000004</v>
      </c>
      <c r="I79" s="14"/>
      <c r="J79" s="33">
        <f>IF(H$12=0,0,H79/H$12)</f>
        <v>-1.4017759936297483</v>
      </c>
      <c r="K79" s="16"/>
      <c r="L79" s="31">
        <f>+D79-H79</f>
        <v>31742.840000000004</v>
      </c>
      <c r="M79" s="16"/>
      <c r="N79" s="33">
        <f>IF(H79=0,0,L79/H79)</f>
        <v>-0.98104350943559504</v>
      </c>
      <c r="O79" s="28"/>
      <c r="P79" s="31">
        <f>SUM(P76:P78)</f>
        <v>-7276.2499999999991</v>
      </c>
      <c r="Q79" s="14"/>
      <c r="R79" s="33">
        <f>IF(P$12=0,0,P79/P$12)</f>
        <v>0</v>
      </c>
      <c r="S79" s="14"/>
      <c r="T79" s="31">
        <f>SUM(T76:T78)</f>
        <v>-165773.24999999994</v>
      </c>
      <c r="U79" s="14"/>
      <c r="V79" s="33">
        <f>IF(T$12=0,0,T79/T$12)</f>
        <v>-0.44710698833644597</v>
      </c>
      <c r="W79" s="16"/>
      <c r="X79" s="31">
        <f>+P79-T79</f>
        <v>158496.99999999994</v>
      </c>
      <c r="Y79" s="16"/>
      <c r="Z79" s="33">
        <f>IF(T79=0,0,X79/T79)</f>
        <v>-0.9561072127137521</v>
      </c>
    </row>
    <row r="80" spans="1:26" ht="15.75" thickTop="1" x14ac:dyDescent="0.25">
      <c r="A80" s="9"/>
      <c r="C80" s="9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6">
        <v>44267.668540393519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4" t="s">
        <v>313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58"/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","413", " - ", "Beach Walk")</f>
        <v>Department 413 - Beach Walk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38705.949999999997</v>
      </c>
      <c r="I12" s="4"/>
      <c r="J12" s="12"/>
      <c r="K12" s="4"/>
      <c r="L12" s="4">
        <f t="shared" ref="L12:L14" si="0">+D12-H12</f>
        <v>-38705.949999999997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239244.02</v>
      </c>
      <c r="U12" s="4"/>
      <c r="V12" s="12"/>
      <c r="W12" s="4"/>
      <c r="X12" s="4">
        <f t="shared" ref="X12:X14" si="2">+P12-T12</f>
        <v>-239244.02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--8120.41</f>
        <v>8120.41</v>
      </c>
      <c r="I13" s="2"/>
      <c r="J13" s="19"/>
      <c r="K13" s="2"/>
      <c r="L13" s="2">
        <f t="shared" si="0"/>
        <v>-8120.41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--54433.03</f>
        <v>54433.03</v>
      </c>
      <c r="U13" s="2"/>
      <c r="V13" s="19"/>
      <c r="W13" s="2"/>
      <c r="X13" s="2">
        <f t="shared" si="2"/>
        <v>-54433.03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--30585.54</f>
        <v>30585.54</v>
      </c>
      <c r="I14" s="2"/>
      <c r="J14" s="19"/>
      <c r="K14" s="2"/>
      <c r="L14" s="2">
        <f t="shared" si="0"/>
        <v>-30585.54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--184810.99</f>
        <v>184810.99</v>
      </c>
      <c r="U14" s="2"/>
      <c r="V14" s="19"/>
      <c r="W14" s="2"/>
      <c r="X14" s="2">
        <f t="shared" si="2"/>
        <v>-184810.99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14497.82</v>
      </c>
      <c r="I16" s="4"/>
      <c r="J16" s="12">
        <f t="shared" ref="J16:J18" si="7">IF(H$12=0,0,H16/H$12)</f>
        <v>0.37456308397029398</v>
      </c>
      <c r="K16" s="4"/>
      <c r="L16" s="4">
        <f t="shared" ref="L16:L18" si="8">+D16-H16</f>
        <v>-14497.82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78532.92</v>
      </c>
      <c r="U16" s="4"/>
      <c r="V16" s="12">
        <f t="shared" ref="V16:V18" si="11">IF(T$12=0,0,T16/T$12)</f>
        <v>0.32825447423931431</v>
      </c>
      <c r="W16" s="4"/>
      <c r="X16" s="4">
        <f t="shared" ref="X16:X18" si="12">+P16-T16</f>
        <v>-78532.92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14113.84</v>
      </c>
      <c r="I17" s="2"/>
      <c r="J17" s="19">
        <f t="shared" si="7"/>
        <v>0.3646426453813949</v>
      </c>
      <c r="K17" s="2"/>
      <c r="L17" s="2">
        <f t="shared" si="8"/>
        <v>-14113.84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84544.98</v>
      </c>
      <c r="U17" s="2"/>
      <c r="V17" s="19">
        <f t="shared" si="11"/>
        <v>0.35338387977262714</v>
      </c>
      <c r="W17" s="2"/>
      <c r="X17" s="2">
        <f t="shared" si="12"/>
        <v>-84544.98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383.98</v>
      </c>
      <c r="I18" s="2"/>
      <c r="J18" s="19">
        <f t="shared" si="7"/>
        <v>9.9204385888991241E-3</v>
      </c>
      <c r="K18" s="2"/>
      <c r="L18" s="2">
        <f t="shared" si="8"/>
        <v>-383.98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-6012.06</v>
      </c>
      <c r="U18" s="2"/>
      <c r="V18" s="19">
        <f t="shared" si="11"/>
        <v>-2.5129405533312811E-2</v>
      </c>
      <c r="W18" s="2"/>
      <c r="X18" s="2">
        <f t="shared" si="12"/>
        <v>6012.06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2">
        <f>D12-D16</f>
        <v>0</v>
      </c>
      <c r="E20" s="14"/>
      <c r="F20" s="20">
        <f>IF(D$12=0,0,D20/D$12)</f>
        <v>0</v>
      </c>
      <c r="G20" s="14"/>
      <c r="H20" s="22">
        <f>H12-H16</f>
        <v>24208.129999999997</v>
      </c>
      <c r="I20" s="14"/>
      <c r="J20" s="20">
        <f>IF(H$12=0,0,H20/H$12)</f>
        <v>0.62543691602970597</v>
      </c>
      <c r="K20" s="16"/>
      <c r="L20" s="22">
        <f>+D20-H20</f>
        <v>-24208.129999999997</v>
      </c>
      <c r="M20" s="16"/>
      <c r="N20" s="20">
        <f>IF(H20=0,0,L20/H20)</f>
        <v>-1</v>
      </c>
      <c r="O20" s="28"/>
      <c r="P20" s="22">
        <f>P12-P16</f>
        <v>0</v>
      </c>
      <c r="Q20" s="14"/>
      <c r="R20" s="20">
        <f>IF(P$12=0,0,P20/P$12)</f>
        <v>0</v>
      </c>
      <c r="S20" s="14"/>
      <c r="T20" s="22">
        <f>T12-T16</f>
        <v>160711.09999999998</v>
      </c>
      <c r="U20" s="14"/>
      <c r="V20" s="20">
        <f>IF(T$12=0,0,T20/T$12)</f>
        <v>0.67174552576068558</v>
      </c>
      <c r="W20" s="16"/>
      <c r="X20" s="22">
        <f>+P20-T20</f>
        <v>-160711.09999999998</v>
      </c>
      <c r="Y20" s="16"/>
      <c r="Z20" s="20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1">
        <f>SUM(OSRRefD22x_0)</f>
        <v>58.03</v>
      </c>
      <c r="E22" s="21"/>
      <c r="F22" s="32">
        <f t="shared" ref="F22:F31" si="14">IF(D$12=0,0,D22/D$12)</f>
        <v>0</v>
      </c>
      <c r="G22" s="21"/>
      <c r="H22" s="21">
        <f>SUM(OSRRefH22x_0)</f>
        <v>22666.269999999997</v>
      </c>
      <c r="I22" s="21"/>
      <c r="J22" s="32">
        <f t="shared" ref="J22:J31" si="15">IF(H$12=0,0,H22/H$12)</f>
        <v>0.58560169689673036</v>
      </c>
      <c r="K22" s="4"/>
      <c r="L22" s="21">
        <f t="shared" ref="L22:L31" si="16">+D22-H22</f>
        <v>-22608.239999999998</v>
      </c>
      <c r="M22" s="4"/>
      <c r="N22" s="32">
        <f t="shared" ref="N22:N31" si="17">IF(H22=0,0,L22/H22)</f>
        <v>-0.99743980813781896</v>
      </c>
      <c r="O22" s="10"/>
      <c r="P22" s="21">
        <f>SUM(OSRRefP22x_0)</f>
        <v>4963.57</v>
      </c>
      <c r="Q22" s="21"/>
      <c r="R22" s="32">
        <f t="shared" ref="R22:R31" si="18">IF(P$12=0,0,P22/P$12)</f>
        <v>0</v>
      </c>
      <c r="S22" s="21"/>
      <c r="T22" s="21">
        <f>SUM(OSRRefT22x_0)</f>
        <v>160899.27999999994</v>
      </c>
      <c r="U22" s="21"/>
      <c r="V22" s="32">
        <f t="shared" ref="V22:V31" si="19">IF(T$12=0,0,T22/T$12)</f>
        <v>0.67253208669541642</v>
      </c>
      <c r="W22" s="4"/>
      <c r="X22" s="21">
        <f t="shared" ref="X22:X31" si="20">+P22-T22</f>
        <v>-155935.70999999993</v>
      </c>
      <c r="Y22" s="4"/>
      <c r="Z22" s="32">
        <f t="shared" ref="Z22:Z31" si="21">IF(T22=0,0,X22/T22)</f>
        <v>-0.96915107388920563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3839.9099999999994</v>
      </c>
      <c r="I23" s="1"/>
      <c r="J23" s="5">
        <f t="shared" si="15"/>
        <v>9.9207227829313058E-2</v>
      </c>
      <c r="K23" s="1"/>
      <c r="L23" s="1">
        <f t="shared" si="16"/>
        <v>-3839.9099999999994</v>
      </c>
      <c r="M23" s="1"/>
      <c r="N23" s="5">
        <f t="shared" si="17"/>
        <v>-1</v>
      </c>
      <c r="O23" s="13"/>
      <c r="P23" s="1">
        <f>SUM(OSRRefP22_0x_0)</f>
        <v>1493.43</v>
      </c>
      <c r="Q23" s="1"/>
      <c r="R23" s="5">
        <f t="shared" si="18"/>
        <v>0</v>
      </c>
      <c r="S23" s="1"/>
      <c r="T23" s="1">
        <f>SUM(OSRRefT22_0x_0)</f>
        <v>27976.199999999993</v>
      </c>
      <c r="U23" s="1"/>
      <c r="V23" s="5">
        <f t="shared" si="19"/>
        <v>0.11693583814550514</v>
      </c>
      <c r="W23" s="1"/>
      <c r="X23" s="1">
        <f t="shared" si="20"/>
        <v>-26482.769999999993</v>
      </c>
      <c r="Y23" s="1"/>
      <c r="Z23" s="5">
        <f t="shared" si="21"/>
        <v>-0.94661783944924616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708.25</v>
      </c>
      <c r="I24" s="2"/>
      <c r="J24" s="7">
        <f t="shared" si="15"/>
        <v>1.8298220299463003E-2</v>
      </c>
      <c r="K24" s="2"/>
      <c r="L24" s="6">
        <f t="shared" si="16"/>
        <v>-708.25</v>
      </c>
      <c r="M24" s="2"/>
      <c r="N24" s="7">
        <f t="shared" si="17"/>
        <v>-1</v>
      </c>
      <c r="O24" s="11"/>
      <c r="P24" s="6">
        <v>191.51</v>
      </c>
      <c r="Q24" s="2"/>
      <c r="R24" s="7">
        <f t="shared" si="18"/>
        <v>0</v>
      </c>
      <c r="S24" s="2"/>
      <c r="T24" s="6">
        <v>5508.58</v>
      </c>
      <c r="U24" s="2"/>
      <c r="V24" s="7">
        <f t="shared" si="19"/>
        <v>2.302494331937743E-2</v>
      </c>
      <c r="W24" s="2"/>
      <c r="X24" s="6">
        <f t="shared" si="20"/>
        <v>-5317.07</v>
      </c>
      <c r="Y24" s="2"/>
      <c r="Z24" s="7">
        <f t="shared" si="21"/>
        <v>-0.96523423459403324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645.70000000000005</v>
      </c>
      <c r="I25" s="2"/>
      <c r="J25" s="7">
        <f t="shared" si="15"/>
        <v>1.6682189689182156E-2</v>
      </c>
      <c r="K25" s="2"/>
      <c r="L25" s="6">
        <f t="shared" si="16"/>
        <v>-645.70000000000005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3263.7</v>
      </c>
      <c r="U25" s="2"/>
      <c r="V25" s="7">
        <f t="shared" si="19"/>
        <v>1.3641720282078523E-2</v>
      </c>
      <c r="W25" s="2"/>
      <c r="X25" s="6">
        <f t="shared" si="20"/>
        <v>-3263.7</v>
      </c>
      <c r="Y25" s="2"/>
      <c r="Z25" s="7">
        <f t="shared" si="21"/>
        <v>-1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1371.71</v>
      </c>
      <c r="I26" s="2"/>
      <c r="J26" s="7">
        <f t="shared" si="15"/>
        <v>3.543925417151627E-2</v>
      </c>
      <c r="K26" s="2"/>
      <c r="L26" s="6">
        <f t="shared" si="16"/>
        <v>-1371.71</v>
      </c>
      <c r="M26" s="2"/>
      <c r="N26" s="7">
        <f t="shared" si="17"/>
        <v>-1</v>
      </c>
      <c r="O26" s="11"/>
      <c r="P26" s="6">
        <v>718.51</v>
      </c>
      <c r="Q26" s="2"/>
      <c r="R26" s="7">
        <f t="shared" si="18"/>
        <v>0</v>
      </c>
      <c r="S26" s="2"/>
      <c r="T26" s="6">
        <v>10470.74</v>
      </c>
      <c r="U26" s="2"/>
      <c r="V26" s="7">
        <f t="shared" si="19"/>
        <v>4.3765942404746419E-2</v>
      </c>
      <c r="W26" s="2"/>
      <c r="X26" s="6">
        <f t="shared" si="20"/>
        <v>-9752.23</v>
      </c>
      <c r="Y26" s="2"/>
      <c r="Z26" s="7">
        <f t="shared" si="21"/>
        <v>-0.9313792530422873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43.27</v>
      </c>
      <c r="I27" s="2"/>
      <c r="J27" s="7">
        <f t="shared" si="15"/>
        <v>1.1179159793261761E-3</v>
      </c>
      <c r="K27" s="2"/>
      <c r="L27" s="6">
        <f t="shared" si="16"/>
        <v>-43.27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268.52999999999997</v>
      </c>
      <c r="U27" s="2"/>
      <c r="V27" s="7">
        <f t="shared" si="19"/>
        <v>1.1224104995393406E-3</v>
      </c>
      <c r="W27" s="2"/>
      <c r="X27" s="6">
        <f t="shared" si="20"/>
        <v>-268.52999999999997</v>
      </c>
      <c r="Y27" s="2"/>
      <c r="Z27" s="7">
        <f t="shared" si="21"/>
        <v>-1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326.52</v>
      </c>
      <c r="I28" s="2"/>
      <c r="J28" s="7">
        <f t="shared" si="15"/>
        <v>8.4359123080559959E-3</v>
      </c>
      <c r="K28" s="2"/>
      <c r="L28" s="6">
        <f t="shared" si="16"/>
        <v>-326.52</v>
      </c>
      <c r="M28" s="2"/>
      <c r="N28" s="7">
        <f t="shared" si="17"/>
        <v>-1</v>
      </c>
      <c r="O28" s="11"/>
      <c r="P28" s="6">
        <v>377.03</v>
      </c>
      <c r="Q28" s="2"/>
      <c r="R28" s="7">
        <f t="shared" si="18"/>
        <v>0</v>
      </c>
      <c r="S28" s="2"/>
      <c r="T28" s="6">
        <v>2775.42</v>
      </c>
      <c r="U28" s="2"/>
      <c r="V28" s="7">
        <f t="shared" si="19"/>
        <v>1.1600791526576087E-2</v>
      </c>
      <c r="W28" s="2"/>
      <c r="X28" s="6">
        <f t="shared" si="20"/>
        <v>-2398.3900000000003</v>
      </c>
      <c r="Y28" s="2"/>
      <c r="Z28" s="7">
        <f t="shared" si="21"/>
        <v>-0.86415389382507879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321.74</v>
      </c>
      <c r="I29" s="2"/>
      <c r="J29" s="7">
        <f t="shared" si="15"/>
        <v>8.3124170831616329E-3</v>
      </c>
      <c r="K29" s="2"/>
      <c r="L29" s="6">
        <f t="shared" si="16"/>
        <v>-321.74</v>
      </c>
      <c r="M29" s="2"/>
      <c r="N29" s="7">
        <f t="shared" si="17"/>
        <v>-1</v>
      </c>
      <c r="O29" s="11"/>
      <c r="P29" s="6">
        <v>93.89</v>
      </c>
      <c r="Q29" s="2"/>
      <c r="R29" s="7">
        <f t="shared" si="18"/>
        <v>0</v>
      </c>
      <c r="S29" s="2"/>
      <c r="T29" s="6">
        <v>2426.1799999999998</v>
      </c>
      <c r="U29" s="2"/>
      <c r="V29" s="7">
        <f t="shared" si="19"/>
        <v>1.0141026722423407E-2</v>
      </c>
      <c r="W29" s="2"/>
      <c r="X29" s="6">
        <f t="shared" si="20"/>
        <v>-2332.29</v>
      </c>
      <c r="Y29" s="2"/>
      <c r="Z29" s="7">
        <f t="shared" si="21"/>
        <v>-0.96130130493203314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278.35000000000002</v>
      </c>
      <c r="I30" s="2"/>
      <c r="J30" s="7">
        <f t="shared" si="15"/>
        <v>7.1914008053025448E-3</v>
      </c>
      <c r="K30" s="2"/>
      <c r="L30" s="6">
        <f t="shared" si="16"/>
        <v>-278.35000000000002</v>
      </c>
      <c r="M30" s="2"/>
      <c r="N30" s="7">
        <f t="shared" si="17"/>
        <v>-1</v>
      </c>
      <c r="O30" s="11"/>
      <c r="P30" s="6">
        <v>112.49</v>
      </c>
      <c r="Q30" s="2"/>
      <c r="R30" s="7">
        <f t="shared" si="18"/>
        <v>0</v>
      </c>
      <c r="S30" s="2"/>
      <c r="T30" s="6">
        <v>2229.39</v>
      </c>
      <c r="U30" s="2"/>
      <c r="V30" s="7">
        <f t="shared" si="19"/>
        <v>9.3184774273563867E-3</v>
      </c>
      <c r="W30" s="2"/>
      <c r="X30" s="6">
        <f t="shared" si="20"/>
        <v>-2116.9</v>
      </c>
      <c r="Y30" s="2"/>
      <c r="Z30" s="7">
        <f t="shared" si="21"/>
        <v>-0.9495422514678904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144.37</v>
      </c>
      <c r="I31" s="2"/>
      <c r="J31" s="7">
        <f t="shared" si="15"/>
        <v>3.7299174933052934E-3</v>
      </c>
      <c r="K31" s="2"/>
      <c r="L31" s="6">
        <f t="shared" si="16"/>
        <v>-144.37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1033.6600000000001</v>
      </c>
      <c r="U31" s="2"/>
      <c r="V31" s="7">
        <f t="shared" si="19"/>
        <v>4.3205259634075711E-3</v>
      </c>
      <c r="W31" s="2"/>
      <c r="X31" s="6">
        <f t="shared" si="20"/>
        <v>-1033.6600000000001</v>
      </c>
      <c r="Y31" s="2"/>
      <c r="Z31" s="7">
        <f t="shared" si="21"/>
        <v>-1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15677.57</v>
      </c>
      <c r="I32" s="1"/>
      <c r="J32" s="5">
        <f t="shared" ref="J32:J37" si="23">IF(H$12=0,0,H32/H$12)</f>
        <v>0.40504289392199394</v>
      </c>
      <c r="K32" s="1"/>
      <c r="L32" s="1">
        <f t="shared" ref="L32:L37" si="24">+D32-H32</f>
        <v>-15677.57</v>
      </c>
      <c r="M32" s="1"/>
      <c r="N32" s="5">
        <f t="shared" ref="N32:N37" si="25">IF(H32=0,0,L32/H32)</f>
        <v>-1</v>
      </c>
      <c r="O32" s="13"/>
      <c r="P32" s="1">
        <f>SUM(OSRRefP22_1x_0)</f>
        <v>2259.48</v>
      </c>
      <c r="Q32" s="1"/>
      <c r="R32" s="5">
        <f t="shared" ref="R32:R37" si="26">IF(P$12=0,0,P32/P$12)</f>
        <v>0</v>
      </c>
      <c r="S32" s="1"/>
      <c r="T32" s="1">
        <f>SUM(OSRRefT22_1x_0)</f>
        <v>100776.17</v>
      </c>
      <c r="U32" s="1"/>
      <c r="V32" s="5">
        <f t="shared" ref="V32:V37" si="27">IF(T$12=0,0,T32/T$12)</f>
        <v>0.42122753998198159</v>
      </c>
      <c r="W32" s="1"/>
      <c r="X32" s="1">
        <f t="shared" ref="X32:X37" si="28">+P32-T32</f>
        <v>-98516.69</v>
      </c>
      <c r="Y32" s="1"/>
      <c r="Z32" s="5">
        <f t="shared" ref="Z32:Z37" si="29">IF(T32=0,0,X32/T32)</f>
        <v>-0.97757922334218506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4674.62</v>
      </c>
      <c r="I33" s="2"/>
      <c r="J33" s="7">
        <f t="shared" si="23"/>
        <v>0.12077264606604411</v>
      </c>
      <c r="K33" s="2"/>
      <c r="L33" s="6">
        <f t="shared" si="24"/>
        <v>-4674.62</v>
      </c>
      <c r="M33" s="2"/>
      <c r="N33" s="7">
        <f t="shared" si="25"/>
        <v>-1</v>
      </c>
      <c r="O33" s="11"/>
      <c r="P33" s="6">
        <v>2259.48</v>
      </c>
      <c r="Q33" s="2"/>
      <c r="R33" s="7">
        <f t="shared" si="26"/>
        <v>0</v>
      </c>
      <c r="S33" s="2"/>
      <c r="T33" s="6">
        <v>38799.699999999997</v>
      </c>
      <c r="U33" s="2"/>
      <c r="V33" s="7">
        <f t="shared" si="27"/>
        <v>0.16217625836583083</v>
      </c>
      <c r="W33" s="2"/>
      <c r="X33" s="6">
        <f t="shared" si="28"/>
        <v>-36540.219999999994</v>
      </c>
      <c r="Y33" s="2"/>
      <c r="Z33" s="7">
        <f t="shared" si="29"/>
        <v>-0.94176552911491573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2"/>
        <v>0</v>
      </c>
      <c r="G34" s="2"/>
      <c r="H34" s="6">
        <v>688.67</v>
      </c>
      <c r="I34" s="2"/>
      <c r="J34" s="7">
        <f t="shared" si="23"/>
        <v>1.7792354922176047E-2</v>
      </c>
      <c r="K34" s="2"/>
      <c r="L34" s="6">
        <f t="shared" si="24"/>
        <v>-688.67</v>
      </c>
      <c r="M34" s="2"/>
      <c r="N34" s="7">
        <f t="shared" si="25"/>
        <v>-1</v>
      </c>
      <c r="O34" s="11"/>
      <c r="P34" s="6"/>
      <c r="Q34" s="2"/>
      <c r="R34" s="7">
        <f t="shared" si="26"/>
        <v>0</v>
      </c>
      <c r="S34" s="2"/>
      <c r="T34" s="6">
        <v>688.67</v>
      </c>
      <c r="U34" s="2"/>
      <c r="V34" s="7">
        <f t="shared" si="27"/>
        <v>2.8785254486193637E-3</v>
      </c>
      <c r="W34" s="2"/>
      <c r="X34" s="6">
        <f t="shared" si="28"/>
        <v>-688.67</v>
      </c>
      <c r="Y34" s="2"/>
      <c r="Z34" s="7">
        <f t="shared" si="29"/>
        <v>-1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2"/>
        <v>0</v>
      </c>
      <c r="G35" s="2"/>
      <c r="H35" s="6">
        <v>3894.88</v>
      </c>
      <c r="I35" s="2"/>
      <c r="J35" s="7">
        <f t="shared" si="23"/>
        <v>0.10062742291559826</v>
      </c>
      <c r="K35" s="2"/>
      <c r="L35" s="6">
        <f t="shared" si="24"/>
        <v>-3894.88</v>
      </c>
      <c r="M35" s="2"/>
      <c r="N35" s="7">
        <f t="shared" si="25"/>
        <v>-1</v>
      </c>
      <c r="O35" s="11"/>
      <c r="P35" s="6"/>
      <c r="Q35" s="2"/>
      <c r="R35" s="7">
        <f t="shared" si="26"/>
        <v>0</v>
      </c>
      <c r="S35" s="2"/>
      <c r="T35" s="6">
        <v>25476.84</v>
      </c>
      <c r="U35" s="2"/>
      <c r="V35" s="7">
        <f t="shared" si="27"/>
        <v>0.10648893125938948</v>
      </c>
      <c r="W35" s="2"/>
      <c r="X35" s="6">
        <f t="shared" si="28"/>
        <v>-25476.84</v>
      </c>
      <c r="Y35" s="2"/>
      <c r="Z35" s="7">
        <f t="shared" si="29"/>
        <v>-1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2"/>
        <v>0</v>
      </c>
      <c r="G36" s="2"/>
      <c r="H36" s="6">
        <v>5580.51</v>
      </c>
      <c r="I36" s="2"/>
      <c r="J36" s="7">
        <f t="shared" si="23"/>
        <v>0.14417705804921468</v>
      </c>
      <c r="K36" s="2"/>
      <c r="L36" s="6">
        <f t="shared" si="24"/>
        <v>-5580.51</v>
      </c>
      <c r="M36" s="2"/>
      <c r="N36" s="7">
        <f t="shared" si="25"/>
        <v>-1</v>
      </c>
      <c r="O36" s="11"/>
      <c r="P36" s="6"/>
      <c r="Q36" s="2"/>
      <c r="R36" s="7">
        <f t="shared" si="26"/>
        <v>0</v>
      </c>
      <c r="S36" s="2"/>
      <c r="T36" s="6">
        <v>32382.57</v>
      </c>
      <c r="U36" s="2"/>
      <c r="V36" s="7">
        <f t="shared" si="27"/>
        <v>0.13535372796360803</v>
      </c>
      <c r="W36" s="2"/>
      <c r="X36" s="6">
        <f t="shared" si="28"/>
        <v>-32382.57</v>
      </c>
      <c r="Y36" s="2"/>
      <c r="Z36" s="7">
        <f t="shared" si="29"/>
        <v>-1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2"/>
        <v>0</v>
      </c>
      <c r="G37" s="2"/>
      <c r="H37" s="6">
        <v>838.89</v>
      </c>
      <c r="I37" s="2"/>
      <c r="J37" s="7">
        <f t="shared" si="23"/>
        <v>2.1673411968960846E-2</v>
      </c>
      <c r="K37" s="2"/>
      <c r="L37" s="6">
        <f t="shared" si="24"/>
        <v>-838.89</v>
      </c>
      <c r="M37" s="2"/>
      <c r="N37" s="7">
        <f t="shared" si="25"/>
        <v>-1</v>
      </c>
      <c r="O37" s="11"/>
      <c r="P37" s="6"/>
      <c r="Q37" s="2"/>
      <c r="R37" s="7">
        <f t="shared" si="26"/>
        <v>0</v>
      </c>
      <c r="S37" s="2"/>
      <c r="T37" s="6">
        <v>3428.39</v>
      </c>
      <c r="U37" s="2"/>
      <c r="V37" s="7">
        <f t="shared" si="27"/>
        <v>1.433009694453387E-2</v>
      </c>
      <c r="W37" s="2"/>
      <c r="X37" s="6">
        <f t="shared" si="28"/>
        <v>-3428.39</v>
      </c>
      <c r="Y37" s="2"/>
      <c r="Z37" s="7">
        <f t="shared" si="29"/>
        <v>-1</v>
      </c>
    </row>
    <row r="38" spans="1:26" s="25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51" si="30">IF(D$12=0,0,D38/D$12)</f>
        <v>0</v>
      </c>
      <c r="G38" s="1"/>
      <c r="H38" s="1">
        <f>SUM(OSRRefH22_2x_0)</f>
        <v>335.3</v>
      </c>
      <c r="I38" s="1"/>
      <c r="J38" s="5">
        <f t="shared" ref="J38:J51" si="31">IF(H$12=0,0,H38/H$12)</f>
        <v>8.6627508173807918E-3</v>
      </c>
      <c r="K38" s="1"/>
      <c r="L38" s="1">
        <f t="shared" ref="L38:L51" si="32">+D38-H38</f>
        <v>-335.3</v>
      </c>
      <c r="M38" s="1"/>
      <c r="N38" s="5">
        <f t="shared" ref="N38:N51" si="33">IF(H38=0,0,L38/H38)</f>
        <v>-1</v>
      </c>
      <c r="O38" s="13"/>
      <c r="P38" s="1">
        <f>SUM(OSRRefP22_2x_0)</f>
        <v>0</v>
      </c>
      <c r="Q38" s="1"/>
      <c r="R38" s="5">
        <f t="shared" ref="R38:R51" si="34">IF(P$12=0,0,P38/P$12)</f>
        <v>0</v>
      </c>
      <c r="S38" s="1"/>
      <c r="T38" s="1">
        <f>SUM(OSRRefT22_2x_0)</f>
        <v>2599.63</v>
      </c>
      <c r="U38" s="1"/>
      <c r="V38" s="5">
        <f t="shared" ref="V38:V51" si="35">IF(T$12=0,0,T38/T$12)</f>
        <v>1.0866018720133529E-2</v>
      </c>
      <c r="W38" s="1"/>
      <c r="X38" s="1">
        <f t="shared" ref="X38:X51" si="36">+P38-T38</f>
        <v>-2599.63</v>
      </c>
      <c r="Y38" s="1"/>
      <c r="Z38" s="5">
        <f t="shared" ref="Z38:Z51" si="37">IF(T38=0,0,X38/T38)</f>
        <v>-1</v>
      </c>
    </row>
    <row r="39" spans="1:26" s="24" customFormat="1" hidden="1" outlineLevel="2" x14ac:dyDescent="0.25">
      <c r="A39" s="26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30"/>
        <v>0</v>
      </c>
      <c r="G39" s="2"/>
      <c r="H39" s="6">
        <v>335.3</v>
      </c>
      <c r="I39" s="2"/>
      <c r="J39" s="7">
        <f t="shared" si="31"/>
        <v>8.6627508173807918E-3</v>
      </c>
      <c r="K39" s="2"/>
      <c r="L39" s="6">
        <f t="shared" si="32"/>
        <v>-335.3</v>
      </c>
      <c r="M39" s="2"/>
      <c r="N39" s="7">
        <f t="shared" si="33"/>
        <v>-1</v>
      </c>
      <c r="O39" s="11"/>
      <c r="P39" s="6"/>
      <c r="Q39" s="2"/>
      <c r="R39" s="7">
        <f t="shared" si="34"/>
        <v>0</v>
      </c>
      <c r="S39" s="2"/>
      <c r="T39" s="6">
        <v>2599.63</v>
      </c>
      <c r="U39" s="2"/>
      <c r="V39" s="7">
        <f t="shared" si="35"/>
        <v>1.0866018720133529E-2</v>
      </c>
      <c r="W39" s="2"/>
      <c r="X39" s="6">
        <f t="shared" si="36"/>
        <v>-2599.63</v>
      </c>
      <c r="Y39" s="2"/>
      <c r="Z39" s="7">
        <f t="shared" si="37"/>
        <v>-1</v>
      </c>
    </row>
    <row r="40" spans="1:26" s="25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0.45</v>
      </c>
      <c r="I40" s="1"/>
      <c r="J40" s="5">
        <f t="shared" si="31"/>
        <v>1.1626119498423371E-5</v>
      </c>
      <c r="K40" s="1"/>
      <c r="L40" s="1">
        <f t="shared" si="32"/>
        <v>-0.45</v>
      </c>
      <c r="M40" s="1"/>
      <c r="N40" s="5">
        <f t="shared" si="33"/>
        <v>-1</v>
      </c>
      <c r="O40" s="13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-48.07</v>
      </c>
      <c r="U40" s="1"/>
      <c r="V40" s="5">
        <f t="shared" si="35"/>
        <v>-2.0092456229417981E-4</v>
      </c>
      <c r="W40" s="1"/>
      <c r="X40" s="1">
        <f t="shared" si="36"/>
        <v>48.07</v>
      </c>
      <c r="Y40" s="1"/>
      <c r="Z40" s="5">
        <f t="shared" si="37"/>
        <v>-1</v>
      </c>
    </row>
    <row r="41" spans="1:26" s="24" customFormat="1" hidden="1" outlineLevel="2" x14ac:dyDescent="0.25">
      <c r="A41" s="26"/>
      <c r="B41" s="11" t="str">
        <f>CONCATENATE("          ", "6272", " - ", "CASH (OVER/SHORT)")</f>
        <v xml:space="preserve">          6272 - CASH (OVER/SHORT)</v>
      </c>
      <c r="C41" s="11"/>
      <c r="D41" s="6"/>
      <c r="E41" s="2"/>
      <c r="F41" s="7">
        <f t="shared" si="30"/>
        <v>0</v>
      </c>
      <c r="G41" s="2"/>
      <c r="H41" s="6">
        <v>0.45</v>
      </c>
      <c r="I41" s="2"/>
      <c r="J41" s="7">
        <f t="shared" si="31"/>
        <v>1.1626119498423371E-5</v>
      </c>
      <c r="K41" s="2"/>
      <c r="L41" s="6">
        <f t="shared" si="32"/>
        <v>-0.45</v>
      </c>
      <c r="M41" s="2"/>
      <c r="N41" s="7">
        <f t="shared" si="33"/>
        <v>-1</v>
      </c>
      <c r="O41" s="11"/>
      <c r="P41" s="6"/>
      <c r="Q41" s="2"/>
      <c r="R41" s="7">
        <f t="shared" si="34"/>
        <v>0</v>
      </c>
      <c r="S41" s="2"/>
      <c r="T41" s="6">
        <v>-48.07</v>
      </c>
      <c r="U41" s="2"/>
      <c r="V41" s="7">
        <f t="shared" si="35"/>
        <v>-2.0092456229417981E-4</v>
      </c>
      <c r="W41" s="2"/>
      <c r="X41" s="6">
        <f t="shared" si="36"/>
        <v>48.07</v>
      </c>
      <c r="Y41" s="2"/>
      <c r="Z41" s="7">
        <f t="shared" si="37"/>
        <v>-1</v>
      </c>
    </row>
    <row r="42" spans="1:26" s="25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1061.6099999999999</v>
      </c>
      <c r="I42" s="1"/>
      <c r="J42" s="5">
        <f t="shared" si="31"/>
        <v>2.7427566046047184E-2</v>
      </c>
      <c r="K42" s="1"/>
      <c r="L42" s="1">
        <f t="shared" si="32"/>
        <v>-1061.6099999999999</v>
      </c>
      <c r="M42" s="1"/>
      <c r="N42" s="5">
        <f t="shared" si="33"/>
        <v>-1</v>
      </c>
      <c r="O42" s="13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8964.74</v>
      </c>
      <c r="U42" s="1"/>
      <c r="V42" s="5">
        <f t="shared" si="35"/>
        <v>3.7471114220535166E-2</v>
      </c>
      <c r="W42" s="1"/>
      <c r="X42" s="1">
        <f t="shared" si="36"/>
        <v>-8964.74</v>
      </c>
      <c r="Y42" s="1"/>
      <c r="Z42" s="5">
        <f t="shared" si="37"/>
        <v>-1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6"/>
      <c r="E43" s="2"/>
      <c r="F43" s="7">
        <f t="shared" si="30"/>
        <v>0</v>
      </c>
      <c r="G43" s="2"/>
      <c r="H43" s="6">
        <v>1061.6099999999999</v>
      </c>
      <c r="I43" s="2"/>
      <c r="J43" s="7">
        <f t="shared" si="31"/>
        <v>2.7427566046047184E-2</v>
      </c>
      <c r="K43" s="2"/>
      <c r="L43" s="6">
        <f t="shared" si="32"/>
        <v>-1061.6099999999999</v>
      </c>
      <c r="M43" s="2"/>
      <c r="N43" s="7">
        <f t="shared" si="33"/>
        <v>-1</v>
      </c>
      <c r="O43" s="11"/>
      <c r="P43" s="6"/>
      <c r="Q43" s="2"/>
      <c r="R43" s="7">
        <f t="shared" si="34"/>
        <v>0</v>
      </c>
      <c r="S43" s="2"/>
      <c r="T43" s="6">
        <v>8964.74</v>
      </c>
      <c r="U43" s="2"/>
      <c r="V43" s="7">
        <f t="shared" si="35"/>
        <v>3.7471114220535166E-2</v>
      </c>
      <c r="W43" s="2"/>
      <c r="X43" s="6">
        <f t="shared" si="36"/>
        <v>-8964.74</v>
      </c>
      <c r="Y43" s="2"/>
      <c r="Z43" s="7">
        <f t="shared" si="37"/>
        <v>-1</v>
      </c>
    </row>
    <row r="44" spans="1:26" s="25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58.03</v>
      </c>
      <c r="E44" s="1"/>
      <c r="F44" s="5">
        <f t="shared" si="30"/>
        <v>0</v>
      </c>
      <c r="G44" s="1"/>
      <c r="H44" s="1">
        <f>SUM(OSRRefH22_5x_0)</f>
        <v>630.21</v>
      </c>
      <c r="I44" s="1"/>
      <c r="J44" s="5">
        <f t="shared" si="31"/>
        <v>1.6281992820225317E-2</v>
      </c>
      <c r="K44" s="1"/>
      <c r="L44" s="1">
        <f t="shared" si="32"/>
        <v>-572.18000000000006</v>
      </c>
      <c r="M44" s="1"/>
      <c r="N44" s="5">
        <f t="shared" si="33"/>
        <v>-0.90791958236143511</v>
      </c>
      <c r="O44" s="13"/>
      <c r="P44" s="1">
        <f>SUM(OSRRefP22_5x_0)</f>
        <v>464.24</v>
      </c>
      <c r="Q44" s="1"/>
      <c r="R44" s="5">
        <f t="shared" si="34"/>
        <v>0</v>
      </c>
      <c r="S44" s="1"/>
      <c r="T44" s="1">
        <f>SUM(OSRRefT22_5x_0)</f>
        <v>5041.68</v>
      </c>
      <c r="U44" s="1"/>
      <c r="V44" s="5">
        <f t="shared" si="35"/>
        <v>2.1073379388960277E-2</v>
      </c>
      <c r="W44" s="1"/>
      <c r="X44" s="1">
        <f t="shared" si="36"/>
        <v>-4577.4400000000005</v>
      </c>
      <c r="Y44" s="1"/>
      <c r="Z44" s="5">
        <f t="shared" si="37"/>
        <v>-0.90791958236143511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58.03</v>
      </c>
      <c r="E45" s="2"/>
      <c r="F45" s="7">
        <f t="shared" si="30"/>
        <v>0</v>
      </c>
      <c r="G45" s="2"/>
      <c r="H45" s="6">
        <v>630.21</v>
      </c>
      <c r="I45" s="2"/>
      <c r="J45" s="7">
        <f t="shared" si="31"/>
        <v>1.6281992820225317E-2</v>
      </c>
      <c r="K45" s="2"/>
      <c r="L45" s="6">
        <f t="shared" si="32"/>
        <v>-572.18000000000006</v>
      </c>
      <c r="M45" s="2"/>
      <c r="N45" s="7">
        <f t="shared" si="33"/>
        <v>-0.90791958236143511</v>
      </c>
      <c r="O45" s="11"/>
      <c r="P45" s="6">
        <v>464.24</v>
      </c>
      <c r="Q45" s="2"/>
      <c r="R45" s="7">
        <f t="shared" si="34"/>
        <v>0</v>
      </c>
      <c r="S45" s="2"/>
      <c r="T45" s="6">
        <v>5041.68</v>
      </c>
      <c r="U45" s="2"/>
      <c r="V45" s="7">
        <f t="shared" si="35"/>
        <v>2.1073379388960277E-2</v>
      </c>
      <c r="W45" s="2"/>
      <c r="X45" s="6">
        <f t="shared" si="36"/>
        <v>-4577.4400000000005</v>
      </c>
      <c r="Y45" s="2"/>
      <c r="Z45" s="7">
        <f t="shared" si="37"/>
        <v>-0.90791958236143511</v>
      </c>
    </row>
    <row r="46" spans="1:26" s="25" customFormat="1" outlineLevel="1" collapsed="1" x14ac:dyDescent="0.25">
      <c r="A46" s="27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17.399999999999999</v>
      </c>
      <c r="I46" s="1"/>
      <c r="J46" s="5">
        <f t="shared" si="31"/>
        <v>4.4954328727237028E-4</v>
      </c>
      <c r="K46" s="1"/>
      <c r="L46" s="1">
        <f t="shared" si="32"/>
        <v>-17.399999999999999</v>
      </c>
      <c r="M46" s="1"/>
      <c r="N46" s="5">
        <f t="shared" si="33"/>
        <v>-1</v>
      </c>
      <c r="O46" s="13"/>
      <c r="P46" s="1">
        <f>SUM(OSRRefP22_6x_0)</f>
        <v>0</v>
      </c>
      <c r="Q46" s="1"/>
      <c r="R46" s="5">
        <f t="shared" si="34"/>
        <v>0</v>
      </c>
      <c r="S46" s="1"/>
      <c r="T46" s="1">
        <f>SUM(OSRRefT22_6x_0)</f>
        <v>892.15</v>
      </c>
      <c r="U46" s="1"/>
      <c r="V46" s="5">
        <f t="shared" si="35"/>
        <v>3.7290378250624612E-3</v>
      </c>
      <c r="W46" s="1"/>
      <c r="X46" s="1">
        <f t="shared" si="36"/>
        <v>-892.15</v>
      </c>
      <c r="Y46" s="1"/>
      <c r="Z46" s="5">
        <f t="shared" si="37"/>
        <v>-1</v>
      </c>
    </row>
    <row r="47" spans="1:26" s="24" customFormat="1" hidden="1" outlineLevel="2" x14ac:dyDescent="0.25">
      <c r="A47" s="26"/>
      <c r="B47" s="11" t="str">
        <f>CONCATENATE("          ", "6279", " - ", "GENERAL EXPENSE")</f>
        <v xml:space="preserve">          6279 - GENERAL EXPENSE</v>
      </c>
      <c r="C47" s="11"/>
      <c r="D47" s="6"/>
      <c r="E47" s="2"/>
      <c r="F47" s="7">
        <f t="shared" si="30"/>
        <v>0</v>
      </c>
      <c r="G47" s="2"/>
      <c r="H47" s="6">
        <v>17.399999999999999</v>
      </c>
      <c r="I47" s="2"/>
      <c r="J47" s="7">
        <f t="shared" si="31"/>
        <v>4.4954328727237028E-4</v>
      </c>
      <c r="K47" s="2"/>
      <c r="L47" s="6">
        <f t="shared" si="32"/>
        <v>-17.399999999999999</v>
      </c>
      <c r="M47" s="2"/>
      <c r="N47" s="7">
        <f t="shared" si="33"/>
        <v>-1</v>
      </c>
      <c r="O47" s="11"/>
      <c r="P47" s="6"/>
      <c r="Q47" s="2"/>
      <c r="R47" s="7">
        <f t="shared" si="34"/>
        <v>0</v>
      </c>
      <c r="S47" s="2"/>
      <c r="T47" s="6">
        <v>892.15</v>
      </c>
      <c r="U47" s="2"/>
      <c r="V47" s="7">
        <f t="shared" si="35"/>
        <v>3.7290378250624612E-3</v>
      </c>
      <c r="W47" s="2"/>
      <c r="X47" s="6">
        <f t="shared" si="36"/>
        <v>-892.15</v>
      </c>
      <c r="Y47" s="2"/>
      <c r="Z47" s="7">
        <f t="shared" si="37"/>
        <v>-1</v>
      </c>
    </row>
    <row r="48" spans="1:26" s="25" customFormat="1" outlineLevel="1" collapsed="1" x14ac:dyDescent="0.25">
      <c r="A48" s="27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262</v>
      </c>
      <c r="I48" s="1"/>
      <c r="J48" s="5">
        <f t="shared" si="31"/>
        <v>6.7689851301931617E-3</v>
      </c>
      <c r="K48" s="1"/>
      <c r="L48" s="1">
        <f t="shared" si="32"/>
        <v>-262</v>
      </c>
      <c r="M48" s="1"/>
      <c r="N48" s="5">
        <f t="shared" si="33"/>
        <v>-1</v>
      </c>
      <c r="O48" s="13"/>
      <c r="P48" s="1">
        <f>SUM(OSRRefP22_7x_0)</f>
        <v>410.1</v>
      </c>
      <c r="Q48" s="1"/>
      <c r="R48" s="5">
        <f t="shared" si="34"/>
        <v>0</v>
      </c>
      <c r="S48" s="1"/>
      <c r="T48" s="1">
        <f>SUM(OSRRefT22_7x_0)</f>
        <v>8711.36</v>
      </c>
      <c r="U48" s="1"/>
      <c r="V48" s="5">
        <f t="shared" si="35"/>
        <v>3.6412028187789193E-2</v>
      </c>
      <c r="W48" s="1"/>
      <c r="X48" s="1">
        <f t="shared" si="36"/>
        <v>-8301.26</v>
      </c>
      <c r="Y48" s="1"/>
      <c r="Z48" s="5">
        <f t="shared" si="37"/>
        <v>-0.95292353891929615</v>
      </c>
    </row>
    <row r="49" spans="1:26" s="24" customFormat="1" hidden="1" outlineLevel="2" x14ac:dyDescent="0.25">
      <c r="A49" s="26"/>
      <c r="B49" s="11" t="str">
        <f>CONCATENATE("          ", "6371", " - ", "COMPUTER SOFTWARE MAINTENANCE")</f>
        <v xml:space="preserve">          6371 - COMPUTER SOFTWARE MAINTENANCE</v>
      </c>
      <c r="C49" s="11"/>
      <c r="D49" s="6"/>
      <c r="E49" s="2"/>
      <c r="F49" s="7">
        <f t="shared" si="30"/>
        <v>0</v>
      </c>
      <c r="G49" s="2"/>
      <c r="H49" s="6"/>
      <c r="I49" s="2"/>
      <c r="J49" s="7">
        <f t="shared" si="31"/>
        <v>0</v>
      </c>
      <c r="K49" s="2"/>
      <c r="L49" s="6">
        <f t="shared" si="32"/>
        <v>0</v>
      </c>
      <c r="M49" s="2"/>
      <c r="N49" s="7">
        <f t="shared" si="33"/>
        <v>0</v>
      </c>
      <c r="O49" s="11"/>
      <c r="P49" s="6"/>
      <c r="Q49" s="2"/>
      <c r="R49" s="7">
        <f t="shared" si="34"/>
        <v>0</v>
      </c>
      <c r="S49" s="2"/>
      <c r="T49" s="6">
        <v>874.62</v>
      </c>
      <c r="U49" s="2"/>
      <c r="V49" s="7">
        <f t="shared" si="35"/>
        <v>3.6557653562249957E-3</v>
      </c>
      <c r="W49" s="2"/>
      <c r="X49" s="6">
        <f t="shared" si="36"/>
        <v>-874.62</v>
      </c>
      <c r="Y49" s="2"/>
      <c r="Z49" s="7">
        <f t="shared" si="37"/>
        <v>-1</v>
      </c>
    </row>
    <row r="50" spans="1:26" s="24" customFormat="1" hidden="1" outlineLevel="2" x14ac:dyDescent="0.25">
      <c r="A50" s="26"/>
      <c r="B50" s="11" t="str">
        <f>CONCATENATE("          ", "6373", " - ", "MAINTENANCE CONTRACTS")</f>
        <v xml:space="preserve">          6373 - MAINTENANCE CONTRACTS</v>
      </c>
      <c r="C50" s="11"/>
      <c r="D50" s="6"/>
      <c r="E50" s="2"/>
      <c r="F50" s="7">
        <f t="shared" si="30"/>
        <v>0</v>
      </c>
      <c r="G50" s="2"/>
      <c r="H50" s="6"/>
      <c r="I50" s="2"/>
      <c r="J50" s="7">
        <f t="shared" si="31"/>
        <v>0</v>
      </c>
      <c r="K50" s="2"/>
      <c r="L50" s="6">
        <f t="shared" si="32"/>
        <v>0</v>
      </c>
      <c r="M50" s="2"/>
      <c r="N50" s="7">
        <f t="shared" si="33"/>
        <v>0</v>
      </c>
      <c r="O50" s="11"/>
      <c r="P50" s="6">
        <v>410.1</v>
      </c>
      <c r="Q50" s="2"/>
      <c r="R50" s="7">
        <f t="shared" si="34"/>
        <v>0</v>
      </c>
      <c r="S50" s="2"/>
      <c r="T50" s="6">
        <v>866.22</v>
      </c>
      <c r="U50" s="2"/>
      <c r="V50" s="7">
        <f t="shared" si="35"/>
        <v>3.620654760775212E-3</v>
      </c>
      <c r="W50" s="2"/>
      <c r="X50" s="6">
        <f t="shared" si="36"/>
        <v>-456.12</v>
      </c>
      <c r="Y50" s="2"/>
      <c r="Z50" s="7">
        <f t="shared" si="37"/>
        <v>-0.52656369051742047</v>
      </c>
    </row>
    <row r="51" spans="1:26" s="24" customFormat="1" hidden="1" outlineLevel="2" x14ac:dyDescent="0.25">
      <c r="A51" s="26"/>
      <c r="B51" s="11" t="str">
        <f>CONCATENATE("          ", "6375", " - ", "OUTSIDE REPAIRS &amp; MAINTENANCE")</f>
        <v xml:space="preserve">          6375 - OUTSIDE REPAIRS &amp; MAINTENANCE</v>
      </c>
      <c r="C51" s="11"/>
      <c r="D51" s="6"/>
      <c r="E51" s="2"/>
      <c r="F51" s="7">
        <f t="shared" si="30"/>
        <v>0</v>
      </c>
      <c r="G51" s="2"/>
      <c r="H51" s="6">
        <v>262</v>
      </c>
      <c r="I51" s="2"/>
      <c r="J51" s="7">
        <f t="shared" si="31"/>
        <v>6.7689851301931617E-3</v>
      </c>
      <c r="K51" s="2"/>
      <c r="L51" s="6">
        <f t="shared" si="32"/>
        <v>-262</v>
      </c>
      <c r="M51" s="2"/>
      <c r="N51" s="7">
        <f t="shared" si="33"/>
        <v>-1</v>
      </c>
      <c r="O51" s="11"/>
      <c r="P51" s="6"/>
      <c r="Q51" s="2"/>
      <c r="R51" s="7">
        <f t="shared" si="34"/>
        <v>0</v>
      </c>
      <c r="S51" s="2"/>
      <c r="T51" s="6">
        <v>6970.52</v>
      </c>
      <c r="U51" s="2"/>
      <c r="V51" s="7">
        <f t="shared" si="35"/>
        <v>2.9135608070788983E-2</v>
      </c>
      <c r="W51" s="2"/>
      <c r="X51" s="6">
        <f t="shared" si="36"/>
        <v>-6970.52</v>
      </c>
      <c r="Y51" s="2"/>
      <c r="Z51" s="7">
        <f t="shared" si="37"/>
        <v>-1</v>
      </c>
    </row>
    <row r="52" spans="1:26" s="25" customFormat="1" outlineLevel="1" collapsed="1" x14ac:dyDescent="0.25">
      <c r="A52" s="27"/>
      <c r="B52" s="13" t="str">
        <f>CONCATENATE("     ","Services                                          ")</f>
        <v xml:space="preserve">     Services                                          </v>
      </c>
      <c r="C52" s="13"/>
      <c r="D52" s="1">
        <f>SUM(OSRRefD22_8x_0)</f>
        <v>0</v>
      </c>
      <c r="E52" s="1"/>
      <c r="F52" s="5">
        <f t="shared" ref="F52:F55" si="38">IF(D$12=0,0,D52/D$12)</f>
        <v>0</v>
      </c>
      <c r="G52" s="1"/>
      <c r="H52" s="1">
        <f>SUM(OSRRefH22_8x_0)</f>
        <v>105.2</v>
      </c>
      <c r="I52" s="1"/>
      <c r="J52" s="5">
        <f t="shared" ref="J52:J55" si="39">IF(H$12=0,0,H52/H$12)</f>
        <v>2.7179283805203081E-3</v>
      </c>
      <c r="K52" s="1"/>
      <c r="L52" s="1">
        <f t="shared" ref="L52:L55" si="40">+D52-H52</f>
        <v>-105.2</v>
      </c>
      <c r="M52" s="1"/>
      <c r="N52" s="5">
        <f t="shared" ref="N52:N55" si="41">IF(H52=0,0,L52/H52)</f>
        <v>-1</v>
      </c>
      <c r="O52" s="13"/>
      <c r="P52" s="1">
        <f>SUM(OSRRefP22_8x_0)</f>
        <v>286.62</v>
      </c>
      <c r="Q52" s="1"/>
      <c r="R52" s="5">
        <f t="shared" ref="R52:R55" si="42">IF(P$12=0,0,P52/P$12)</f>
        <v>0</v>
      </c>
      <c r="S52" s="1"/>
      <c r="T52" s="1">
        <f>SUM(OSRRefT22_8x_0)</f>
        <v>951.42</v>
      </c>
      <c r="U52" s="1"/>
      <c r="V52" s="5">
        <f t="shared" ref="V52:V55" si="43">IF(T$12=0,0,T52/T$12)</f>
        <v>3.97677651462302E-3</v>
      </c>
      <c r="W52" s="1"/>
      <c r="X52" s="1">
        <f t="shared" ref="X52:X55" si="44">+P52-T52</f>
        <v>-664.8</v>
      </c>
      <c r="Y52" s="1"/>
      <c r="Z52" s="5">
        <f t="shared" ref="Z52:Z55" si="45">IF(T52=0,0,X52/T52)</f>
        <v>-0.69874503373904273</v>
      </c>
    </row>
    <row r="53" spans="1:26" s="24" customFormat="1" hidden="1" outlineLevel="2" x14ac:dyDescent="0.25">
      <c r="A53" s="26"/>
      <c r="B53" s="11" t="str">
        <f>CONCATENATE("          ", "6282", " - ", "JANITORIAL/EXTERMINATOR EXPENS")</f>
        <v xml:space="preserve">          6282 - JANITORIAL/EXTERMINATOR EXPENS</v>
      </c>
      <c r="C53" s="11"/>
      <c r="D53" s="6"/>
      <c r="E53" s="2"/>
      <c r="F53" s="7">
        <f t="shared" si="38"/>
        <v>0</v>
      </c>
      <c r="G53" s="2"/>
      <c r="H53" s="6"/>
      <c r="I53" s="2"/>
      <c r="J53" s="7">
        <f t="shared" si="39"/>
        <v>0</v>
      </c>
      <c r="K53" s="2"/>
      <c r="L53" s="6">
        <f t="shared" si="40"/>
        <v>0</v>
      </c>
      <c r="M53" s="2"/>
      <c r="N53" s="7">
        <f t="shared" si="41"/>
        <v>0</v>
      </c>
      <c r="O53" s="11"/>
      <c r="P53" s="6">
        <v>286.62</v>
      </c>
      <c r="Q53" s="2"/>
      <c r="R53" s="7">
        <f t="shared" si="42"/>
        <v>0</v>
      </c>
      <c r="S53" s="2"/>
      <c r="T53" s="6"/>
      <c r="U53" s="2"/>
      <c r="V53" s="7">
        <f t="shared" si="43"/>
        <v>0</v>
      </c>
      <c r="W53" s="2"/>
      <c r="X53" s="6">
        <f t="shared" si="44"/>
        <v>286.62</v>
      </c>
      <c r="Y53" s="2"/>
      <c r="Z53" s="7">
        <f t="shared" si="45"/>
        <v>0</v>
      </c>
    </row>
    <row r="54" spans="1:26" s="24" customFormat="1" hidden="1" outlineLevel="2" x14ac:dyDescent="0.25">
      <c r="A54" s="26"/>
      <c r="B54" s="11" t="str">
        <f>CONCATENATE("          ", "6285", " - ", "JANITORIAL SERVICES")</f>
        <v xml:space="preserve">          6285 - JANITORIAL SERVICES</v>
      </c>
      <c r="C54" s="11"/>
      <c r="D54" s="6"/>
      <c r="E54" s="2"/>
      <c r="F54" s="7">
        <f t="shared" si="38"/>
        <v>0</v>
      </c>
      <c r="G54" s="2"/>
      <c r="H54" s="6"/>
      <c r="I54" s="2"/>
      <c r="J54" s="7">
        <f t="shared" si="39"/>
        <v>0</v>
      </c>
      <c r="K54" s="2"/>
      <c r="L54" s="6">
        <f t="shared" si="40"/>
        <v>0</v>
      </c>
      <c r="M54" s="2"/>
      <c r="N54" s="7">
        <f t="shared" si="41"/>
        <v>0</v>
      </c>
      <c r="O54" s="11"/>
      <c r="P54" s="6"/>
      <c r="Q54" s="2"/>
      <c r="R54" s="7">
        <f t="shared" si="42"/>
        <v>0</v>
      </c>
      <c r="S54" s="2"/>
      <c r="T54" s="6">
        <v>348</v>
      </c>
      <c r="U54" s="2"/>
      <c r="V54" s="7">
        <f t="shared" si="43"/>
        <v>1.4545818114910459E-3</v>
      </c>
      <c r="W54" s="2"/>
      <c r="X54" s="6">
        <f t="shared" si="44"/>
        <v>-348</v>
      </c>
      <c r="Y54" s="2"/>
      <c r="Z54" s="7">
        <f t="shared" si="45"/>
        <v>-1</v>
      </c>
    </row>
    <row r="55" spans="1:26" s="24" customFormat="1" hidden="1" outlineLevel="2" x14ac:dyDescent="0.25">
      <c r="A55" s="26"/>
      <c r="B55" s="11" t="str">
        <f>CONCATENATE("          ", "6286", " - ", "LAUNDRY EXPENSE")</f>
        <v xml:space="preserve">          6286 - LAUNDRY EXPENSE</v>
      </c>
      <c r="C55" s="11"/>
      <c r="D55" s="6"/>
      <c r="E55" s="2"/>
      <c r="F55" s="7">
        <f t="shared" si="38"/>
        <v>0</v>
      </c>
      <c r="G55" s="2"/>
      <c r="H55" s="6">
        <v>105.2</v>
      </c>
      <c r="I55" s="2"/>
      <c r="J55" s="7">
        <f t="shared" si="39"/>
        <v>2.7179283805203081E-3</v>
      </c>
      <c r="K55" s="2"/>
      <c r="L55" s="6">
        <f t="shared" si="40"/>
        <v>-105.2</v>
      </c>
      <c r="M55" s="2"/>
      <c r="N55" s="7">
        <f t="shared" si="41"/>
        <v>-1</v>
      </c>
      <c r="O55" s="11"/>
      <c r="P55" s="6"/>
      <c r="Q55" s="2"/>
      <c r="R55" s="7">
        <f t="shared" si="42"/>
        <v>0</v>
      </c>
      <c r="S55" s="2"/>
      <c r="T55" s="6">
        <v>603.41999999999996</v>
      </c>
      <c r="U55" s="2"/>
      <c r="V55" s="7">
        <f t="shared" si="43"/>
        <v>2.5221947031319738E-3</v>
      </c>
      <c r="W55" s="2"/>
      <c r="X55" s="6">
        <f t="shared" si="44"/>
        <v>-603.41999999999996</v>
      </c>
      <c r="Y55" s="2"/>
      <c r="Z55" s="7">
        <f t="shared" si="45"/>
        <v>-1</v>
      </c>
    </row>
    <row r="56" spans="1:26" s="25" customFormat="1" outlineLevel="1" collapsed="1" x14ac:dyDescent="0.25">
      <c r="A56" s="27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SUM(OSRRefD22_9x_0)</f>
        <v>0</v>
      </c>
      <c r="E56" s="1"/>
      <c r="F56" s="5">
        <f t="shared" ref="F56:F62" si="46">IF(D$12=0,0,D56/D$12)</f>
        <v>0</v>
      </c>
      <c r="G56" s="1"/>
      <c r="H56" s="1">
        <f>SUM(OSRRefH22_9x_0)</f>
        <v>613.12</v>
      </c>
      <c r="I56" s="1"/>
      <c r="J56" s="5">
        <f t="shared" ref="J56:J62" si="47">IF(H$12=0,0,H56/H$12)</f>
        <v>1.5840458637496304E-2</v>
      </c>
      <c r="K56" s="1"/>
      <c r="L56" s="1">
        <f t="shared" ref="L56:L62" si="48">+D56-H56</f>
        <v>-613.12</v>
      </c>
      <c r="M56" s="1"/>
      <c r="N56" s="5">
        <f t="shared" ref="N56:N62" si="49">IF(H56=0,0,L56/H56)</f>
        <v>-1</v>
      </c>
      <c r="O56" s="13"/>
      <c r="P56" s="1">
        <f>SUM(OSRRefP22_9x_0)</f>
        <v>0</v>
      </c>
      <c r="Q56" s="1"/>
      <c r="R56" s="5">
        <f t="shared" ref="R56:R62" si="50">IF(P$12=0,0,P56/P$12)</f>
        <v>0</v>
      </c>
      <c r="S56" s="1"/>
      <c r="T56" s="1">
        <f>SUM(OSRRefT22_9x_0)</f>
        <v>4413.5</v>
      </c>
      <c r="U56" s="1"/>
      <c r="V56" s="5">
        <f t="shared" ref="V56:V62" si="51">IF(T$12=0,0,T56/T$12)</f>
        <v>1.8447692025907274E-2</v>
      </c>
      <c r="W56" s="1"/>
      <c r="X56" s="1">
        <f t="shared" ref="X56:X62" si="52">+P56-T56</f>
        <v>-4413.5</v>
      </c>
      <c r="Y56" s="1"/>
      <c r="Z56" s="5">
        <f t="shared" ref="Z56:Z62" si="53">IF(T56=0,0,X56/T56)</f>
        <v>-1</v>
      </c>
    </row>
    <row r="57" spans="1:26" s="24" customFormat="1" hidden="1" outlineLevel="2" x14ac:dyDescent="0.25">
      <c r="A57" s="26"/>
      <c r="B57" s="11" t="str">
        <f>CONCATENATE("          ", "6239", " - ", "KITCHEN SUPPLIES")</f>
        <v xml:space="preserve">          6239 - KITCHEN SUPPLIES</v>
      </c>
      <c r="C57" s="11"/>
      <c r="D57" s="6"/>
      <c r="E57" s="2"/>
      <c r="F57" s="7">
        <f t="shared" si="46"/>
        <v>0</v>
      </c>
      <c r="G57" s="2"/>
      <c r="H57" s="6">
        <v>419.42</v>
      </c>
      <c r="I57" s="2"/>
      <c r="J57" s="7">
        <f t="shared" si="47"/>
        <v>1.0836060088952734E-2</v>
      </c>
      <c r="K57" s="2"/>
      <c r="L57" s="6">
        <f t="shared" si="48"/>
        <v>-419.42</v>
      </c>
      <c r="M57" s="2"/>
      <c r="N57" s="7">
        <f t="shared" si="49"/>
        <v>-1</v>
      </c>
      <c r="O57" s="11"/>
      <c r="P57" s="6"/>
      <c r="Q57" s="2"/>
      <c r="R57" s="7">
        <f t="shared" si="50"/>
        <v>0</v>
      </c>
      <c r="S57" s="2"/>
      <c r="T57" s="6">
        <v>960.31</v>
      </c>
      <c r="U57" s="2"/>
      <c r="V57" s="7">
        <f t="shared" si="51"/>
        <v>4.0139352281407074E-3</v>
      </c>
      <c r="W57" s="2"/>
      <c r="X57" s="6">
        <f t="shared" si="52"/>
        <v>-960.31</v>
      </c>
      <c r="Y57" s="2"/>
      <c r="Z57" s="7">
        <f t="shared" si="53"/>
        <v>-1</v>
      </c>
    </row>
    <row r="58" spans="1:26" s="24" customFormat="1" hidden="1" outlineLevel="2" x14ac:dyDescent="0.25">
      <c r="A58" s="26"/>
      <c r="B58" s="11" t="str">
        <f>CONCATENATE("          ", "6241", " - ", "OFFICE EXPENSE")</f>
        <v xml:space="preserve">          6241 - OFFICE EXPENSE</v>
      </c>
      <c r="C58" s="11"/>
      <c r="D58" s="6"/>
      <c r="E58" s="2"/>
      <c r="F58" s="7">
        <f t="shared" si="46"/>
        <v>0</v>
      </c>
      <c r="G58" s="2"/>
      <c r="H58" s="6">
        <v>4.07</v>
      </c>
      <c r="I58" s="2"/>
      <c r="J58" s="7">
        <f t="shared" si="47"/>
        <v>1.0515179190796249E-4</v>
      </c>
      <c r="K58" s="2"/>
      <c r="L58" s="6">
        <f t="shared" si="48"/>
        <v>-4.07</v>
      </c>
      <c r="M58" s="2"/>
      <c r="N58" s="7">
        <f t="shared" si="49"/>
        <v>-1</v>
      </c>
      <c r="O58" s="11"/>
      <c r="P58" s="6"/>
      <c r="Q58" s="2"/>
      <c r="R58" s="7">
        <f t="shared" si="50"/>
        <v>0</v>
      </c>
      <c r="S58" s="2"/>
      <c r="T58" s="6">
        <v>1153.24</v>
      </c>
      <c r="U58" s="2"/>
      <c r="V58" s="7">
        <f t="shared" si="51"/>
        <v>4.820350368631994E-3</v>
      </c>
      <c r="W58" s="2"/>
      <c r="X58" s="6">
        <f t="shared" si="52"/>
        <v>-1153.24</v>
      </c>
      <c r="Y58" s="2"/>
      <c r="Z58" s="7">
        <f t="shared" si="53"/>
        <v>-1</v>
      </c>
    </row>
    <row r="59" spans="1:26" s="24" customFormat="1" hidden="1" outlineLevel="2" x14ac:dyDescent="0.25">
      <c r="A59" s="26"/>
      <c r="B59" s="11" t="str">
        <f>CONCATENATE("          ", "6243", " - ", "PAPER SUPPLIES")</f>
        <v xml:space="preserve">          6243 - PAPER SUPPLIES</v>
      </c>
      <c r="C59" s="11"/>
      <c r="D59" s="6"/>
      <c r="E59" s="2"/>
      <c r="F59" s="7">
        <f t="shared" si="46"/>
        <v>0</v>
      </c>
      <c r="G59" s="2"/>
      <c r="H59" s="6">
        <v>189.63</v>
      </c>
      <c r="I59" s="2"/>
      <c r="J59" s="7">
        <f t="shared" si="47"/>
        <v>4.8992467566356078E-3</v>
      </c>
      <c r="K59" s="2"/>
      <c r="L59" s="6">
        <f t="shared" si="48"/>
        <v>-189.63</v>
      </c>
      <c r="M59" s="2"/>
      <c r="N59" s="7">
        <f t="shared" si="49"/>
        <v>-1</v>
      </c>
      <c r="O59" s="11"/>
      <c r="P59" s="6"/>
      <c r="Q59" s="2"/>
      <c r="R59" s="7">
        <f t="shared" si="50"/>
        <v>0</v>
      </c>
      <c r="S59" s="2"/>
      <c r="T59" s="6">
        <v>1317.34</v>
      </c>
      <c r="U59" s="2"/>
      <c r="V59" s="7">
        <f t="shared" si="51"/>
        <v>5.5062609297402707E-3</v>
      </c>
      <c r="W59" s="2"/>
      <c r="X59" s="6">
        <f t="shared" si="52"/>
        <v>-1317.34</v>
      </c>
      <c r="Y59" s="2"/>
      <c r="Z59" s="7">
        <f t="shared" si="53"/>
        <v>-1</v>
      </c>
    </row>
    <row r="60" spans="1:26" s="24" customFormat="1" hidden="1" outlineLevel="2" x14ac:dyDescent="0.25">
      <c r="A60" s="26"/>
      <c r="B60" s="11" t="str">
        <f>CONCATENATE("          ", "6245", " - ", "PRINTING")</f>
        <v xml:space="preserve">          6245 - PRINTING</v>
      </c>
      <c r="C60" s="11"/>
      <c r="D60" s="6"/>
      <c r="E60" s="2"/>
      <c r="F60" s="7">
        <f t="shared" si="46"/>
        <v>0</v>
      </c>
      <c r="G60" s="2"/>
      <c r="H60" s="6"/>
      <c r="I60" s="2"/>
      <c r="J60" s="7">
        <f t="shared" si="47"/>
        <v>0</v>
      </c>
      <c r="K60" s="2"/>
      <c r="L60" s="6">
        <f t="shared" si="48"/>
        <v>0</v>
      </c>
      <c r="M60" s="2"/>
      <c r="N60" s="7">
        <f t="shared" si="49"/>
        <v>0</v>
      </c>
      <c r="O60" s="11"/>
      <c r="P60" s="6"/>
      <c r="Q60" s="2"/>
      <c r="R60" s="7">
        <f t="shared" si="50"/>
        <v>0</v>
      </c>
      <c r="S60" s="2"/>
      <c r="T60" s="6">
        <v>244.39</v>
      </c>
      <c r="U60" s="2"/>
      <c r="V60" s="7">
        <f t="shared" si="51"/>
        <v>1.0215093359491284E-3</v>
      </c>
      <c r="W60" s="2"/>
      <c r="X60" s="6">
        <f t="shared" si="52"/>
        <v>-244.39</v>
      </c>
      <c r="Y60" s="2"/>
      <c r="Z60" s="7">
        <f t="shared" si="53"/>
        <v>-1</v>
      </c>
    </row>
    <row r="61" spans="1:26" s="24" customFormat="1" hidden="1" outlineLevel="2" x14ac:dyDescent="0.25">
      <c r="A61" s="26"/>
      <c r="B61" s="11" t="str">
        <f>CONCATENATE("          ", "6247", " - ", "STORE SUPPLIES")</f>
        <v xml:space="preserve">          6247 - STORE SUPPLIES</v>
      </c>
      <c r="C61" s="11"/>
      <c r="D61" s="6"/>
      <c r="E61" s="2"/>
      <c r="F61" s="7">
        <f t="shared" si="46"/>
        <v>0</v>
      </c>
      <c r="G61" s="2"/>
      <c r="H61" s="6"/>
      <c r="I61" s="2"/>
      <c r="J61" s="7">
        <f t="shared" si="47"/>
        <v>0</v>
      </c>
      <c r="K61" s="2"/>
      <c r="L61" s="6">
        <f t="shared" si="48"/>
        <v>0</v>
      </c>
      <c r="M61" s="2"/>
      <c r="N61" s="7">
        <f t="shared" si="49"/>
        <v>0</v>
      </c>
      <c r="O61" s="11"/>
      <c r="P61" s="6"/>
      <c r="Q61" s="2"/>
      <c r="R61" s="7">
        <f t="shared" si="50"/>
        <v>0</v>
      </c>
      <c r="S61" s="2"/>
      <c r="T61" s="6">
        <v>42.98</v>
      </c>
      <c r="U61" s="2"/>
      <c r="V61" s="7">
        <f t="shared" si="51"/>
        <v>1.7964921338472744E-4</v>
      </c>
      <c r="W61" s="2"/>
      <c r="X61" s="6">
        <f t="shared" si="52"/>
        <v>-42.98</v>
      </c>
      <c r="Y61" s="2"/>
      <c r="Z61" s="7">
        <f t="shared" si="53"/>
        <v>-1</v>
      </c>
    </row>
    <row r="62" spans="1:26" s="24" customFormat="1" hidden="1" outlineLevel="2" x14ac:dyDescent="0.25">
      <c r="A62" s="26"/>
      <c r="B62" s="11" t="str">
        <f>CONCATENATE("          ", "6248", " - ", "UNIFORMS")</f>
        <v xml:space="preserve">          6248 - UNIFORMS</v>
      </c>
      <c r="C62" s="11"/>
      <c r="D62" s="6"/>
      <c r="E62" s="2"/>
      <c r="F62" s="7">
        <f t="shared" si="46"/>
        <v>0</v>
      </c>
      <c r="G62" s="2"/>
      <c r="H62" s="6"/>
      <c r="I62" s="2"/>
      <c r="J62" s="7">
        <f t="shared" si="47"/>
        <v>0</v>
      </c>
      <c r="K62" s="2"/>
      <c r="L62" s="6">
        <f t="shared" si="48"/>
        <v>0</v>
      </c>
      <c r="M62" s="2"/>
      <c r="N62" s="7">
        <f t="shared" si="49"/>
        <v>0</v>
      </c>
      <c r="O62" s="11"/>
      <c r="P62" s="6"/>
      <c r="Q62" s="2"/>
      <c r="R62" s="7">
        <f t="shared" si="50"/>
        <v>0</v>
      </c>
      <c r="S62" s="2"/>
      <c r="T62" s="6">
        <v>695.24</v>
      </c>
      <c r="U62" s="2"/>
      <c r="V62" s="7">
        <f t="shared" si="51"/>
        <v>2.9059869500604445E-3</v>
      </c>
      <c r="W62" s="2"/>
      <c r="X62" s="6">
        <f t="shared" si="52"/>
        <v>-695.24</v>
      </c>
      <c r="Y62" s="2"/>
      <c r="Z62" s="7">
        <f t="shared" si="53"/>
        <v>-1</v>
      </c>
    </row>
    <row r="63" spans="1:26" s="25" customFormat="1" outlineLevel="1" collapsed="1" x14ac:dyDescent="0.25">
      <c r="A63" s="27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SUM(OSRRefD22_10x_0)</f>
        <v>0</v>
      </c>
      <c r="E63" s="1"/>
      <c r="F63" s="5">
        <f t="shared" ref="F63:F66" si="54">IF(D$12=0,0,D63/D$12)</f>
        <v>0</v>
      </c>
      <c r="G63" s="1"/>
      <c r="H63" s="1">
        <f>SUM(OSRRefH22_10x_0)</f>
        <v>71</v>
      </c>
      <c r="I63" s="1"/>
      <c r="J63" s="5">
        <f t="shared" ref="J63:J66" si="55">IF(H$12=0,0,H63/H$12)</f>
        <v>1.8343432986401317E-3</v>
      </c>
      <c r="K63" s="1"/>
      <c r="L63" s="1">
        <f t="shared" ref="L63:L66" si="56">+D63-H63</f>
        <v>-71</v>
      </c>
      <c r="M63" s="1"/>
      <c r="N63" s="5">
        <f t="shared" ref="N63:N66" si="57">IF(H63=0,0,L63/H63)</f>
        <v>-1</v>
      </c>
      <c r="O63" s="13"/>
      <c r="P63" s="1">
        <f>SUM(OSRRefP22_10x_0)</f>
        <v>49.7</v>
      </c>
      <c r="Q63" s="1"/>
      <c r="R63" s="5">
        <f t="shared" ref="R63:R66" si="58">IF(P$12=0,0,P63/P$12)</f>
        <v>0</v>
      </c>
      <c r="S63" s="1"/>
      <c r="T63" s="1">
        <f>SUM(OSRRefT22_10x_0)</f>
        <v>568</v>
      </c>
      <c r="U63" s="1"/>
      <c r="V63" s="5">
        <f t="shared" ref="V63:V66" si="59">IF(T$12=0,0,T63/T$12)</f>
        <v>2.3741450256520519E-3</v>
      </c>
      <c r="W63" s="1"/>
      <c r="X63" s="1">
        <f t="shared" ref="X63:X66" si="60">+P63-T63</f>
        <v>-518.29999999999995</v>
      </c>
      <c r="Y63" s="1"/>
      <c r="Z63" s="5">
        <f t="shared" ref="Z63:Z66" si="61">IF(T63=0,0,X63/T63)</f>
        <v>-0.91249999999999987</v>
      </c>
    </row>
    <row r="64" spans="1:26" s="24" customFormat="1" hidden="1" outlineLevel="2" x14ac:dyDescent="0.25">
      <c r="A64" s="26"/>
      <c r="B64" s="11" t="str">
        <f>CONCATENATE("          ", "6309", " - ", "TELEPHONE")</f>
        <v xml:space="preserve">          6309 - TELEPHONE</v>
      </c>
      <c r="C64" s="11"/>
      <c r="D64" s="6"/>
      <c r="E64" s="2"/>
      <c r="F64" s="7">
        <f t="shared" si="54"/>
        <v>0</v>
      </c>
      <c r="G64" s="2"/>
      <c r="H64" s="6">
        <v>71</v>
      </c>
      <c r="I64" s="2"/>
      <c r="J64" s="7">
        <f t="shared" si="55"/>
        <v>1.8343432986401317E-3</v>
      </c>
      <c r="K64" s="2"/>
      <c r="L64" s="6">
        <f t="shared" si="56"/>
        <v>-71</v>
      </c>
      <c r="M64" s="2"/>
      <c r="N64" s="7">
        <f t="shared" si="57"/>
        <v>-1</v>
      </c>
      <c r="O64" s="11"/>
      <c r="P64" s="6">
        <v>49.7</v>
      </c>
      <c r="Q64" s="2"/>
      <c r="R64" s="7">
        <f t="shared" si="58"/>
        <v>0</v>
      </c>
      <c r="S64" s="2"/>
      <c r="T64" s="6">
        <v>568</v>
      </c>
      <c r="U64" s="2"/>
      <c r="V64" s="7">
        <f t="shared" si="59"/>
        <v>2.3741450256520519E-3</v>
      </c>
      <c r="W64" s="2"/>
      <c r="X64" s="6">
        <f t="shared" si="60"/>
        <v>-518.29999999999995</v>
      </c>
      <c r="Y64" s="2"/>
      <c r="Z64" s="7">
        <f t="shared" si="61"/>
        <v>-0.91249999999999987</v>
      </c>
    </row>
    <row r="65" spans="1:26" s="25" customFormat="1" outlineLevel="1" collapsed="1" x14ac:dyDescent="0.25">
      <c r="A65" s="27"/>
      <c r="B65" s="13" t="str">
        <f>CONCATENATE("     ","Training                                          ")</f>
        <v xml:space="preserve">     Training                                          </v>
      </c>
      <c r="C65" s="13"/>
      <c r="D65" s="1">
        <f>SUM(OSRRefD22_11x_0)</f>
        <v>0</v>
      </c>
      <c r="E65" s="1"/>
      <c r="F65" s="5">
        <f t="shared" si="54"/>
        <v>0</v>
      </c>
      <c r="G65" s="1"/>
      <c r="H65" s="1">
        <f>SUM(OSRRefH22_11x_0)</f>
        <v>52.5</v>
      </c>
      <c r="I65" s="1"/>
      <c r="J65" s="5">
        <f t="shared" si="55"/>
        <v>1.3563806081493932E-3</v>
      </c>
      <c r="K65" s="1"/>
      <c r="L65" s="1">
        <f t="shared" si="56"/>
        <v>-52.5</v>
      </c>
      <c r="M65" s="1"/>
      <c r="N65" s="5">
        <f t="shared" si="57"/>
        <v>-1</v>
      </c>
      <c r="O65" s="13"/>
      <c r="P65" s="1">
        <f>SUM(OSRRefP22_11x_0)</f>
        <v>0</v>
      </c>
      <c r="Q65" s="1"/>
      <c r="R65" s="5">
        <f t="shared" si="58"/>
        <v>0</v>
      </c>
      <c r="S65" s="1"/>
      <c r="T65" s="1">
        <f>SUM(OSRRefT22_11x_0)</f>
        <v>52.5</v>
      </c>
      <c r="U65" s="1"/>
      <c r="V65" s="5">
        <f t="shared" si="59"/>
        <v>2.1944122156114916E-4</v>
      </c>
      <c r="W65" s="1"/>
      <c r="X65" s="1">
        <f t="shared" si="60"/>
        <v>-52.5</v>
      </c>
      <c r="Y65" s="1"/>
      <c r="Z65" s="5">
        <f t="shared" si="61"/>
        <v>-1</v>
      </c>
    </row>
    <row r="66" spans="1:26" s="24" customFormat="1" hidden="1" outlineLevel="2" x14ac:dyDescent="0.25">
      <c r="A66" s="26"/>
      <c r="B66" s="11" t="str">
        <f>CONCATENATE("          ", "6376", " - ", "TRAINING")</f>
        <v xml:space="preserve">          6376 - TRAINING</v>
      </c>
      <c r="C66" s="11"/>
      <c r="D66" s="6"/>
      <c r="E66" s="2"/>
      <c r="F66" s="7">
        <f t="shared" si="54"/>
        <v>0</v>
      </c>
      <c r="G66" s="2"/>
      <c r="H66" s="6">
        <v>52.5</v>
      </c>
      <c r="I66" s="2"/>
      <c r="J66" s="7">
        <f t="shared" si="55"/>
        <v>1.3563806081493932E-3</v>
      </c>
      <c r="K66" s="2"/>
      <c r="L66" s="6">
        <f t="shared" si="56"/>
        <v>-52.5</v>
      </c>
      <c r="M66" s="2"/>
      <c r="N66" s="7">
        <f t="shared" si="57"/>
        <v>-1</v>
      </c>
      <c r="O66" s="11"/>
      <c r="P66" s="6"/>
      <c r="Q66" s="2"/>
      <c r="R66" s="7">
        <f t="shared" si="58"/>
        <v>0</v>
      </c>
      <c r="S66" s="2"/>
      <c r="T66" s="6">
        <v>52.5</v>
      </c>
      <c r="U66" s="2"/>
      <c r="V66" s="7">
        <f t="shared" si="59"/>
        <v>2.1944122156114916E-4</v>
      </c>
      <c r="W66" s="2"/>
      <c r="X66" s="6">
        <f t="shared" si="60"/>
        <v>-52.5</v>
      </c>
      <c r="Y66" s="2"/>
      <c r="Z66" s="7">
        <f t="shared" si="61"/>
        <v>-1</v>
      </c>
    </row>
    <row r="67" spans="1:26" s="52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25">
      <c r="A68" s="10"/>
      <c r="B68" s="28" t="s">
        <v>0</v>
      </c>
      <c r="C68" s="10"/>
      <c r="D68" s="4">
        <f>SUM(OSRRefD25x_0)</f>
        <v>0</v>
      </c>
      <c r="E68" s="4"/>
      <c r="F68" s="12">
        <f t="shared" ref="F68:F69" si="62">IF(D$12=0,0,D68/D$12)</f>
        <v>0</v>
      </c>
      <c r="G68" s="4"/>
      <c r="H68" s="4">
        <f>SUM(OSRRefH25x_0)</f>
        <v>56</v>
      </c>
      <c r="I68" s="4"/>
      <c r="J68" s="12">
        <f t="shared" ref="J68:J69" si="63">IF(H$12=0,0,H68/H$12)</f>
        <v>1.4468059820260193E-3</v>
      </c>
      <c r="K68" s="4"/>
      <c r="L68" s="4">
        <f t="shared" ref="L68:L69" si="64">+D68-H68</f>
        <v>-56</v>
      </c>
      <c r="M68" s="4"/>
      <c r="N68" s="12">
        <f t="shared" ref="N68:N69" si="65">IF(H68=0,0,L68/H68)</f>
        <v>-1</v>
      </c>
      <c r="O68" s="10"/>
      <c r="P68" s="4">
        <f>SUM(OSRRefP25x_0)</f>
        <v>0</v>
      </c>
      <c r="Q68" s="4"/>
      <c r="R68" s="12">
        <f t="shared" ref="R68:R69" si="66">IF(P$12=0,0,P68/P$12)</f>
        <v>0</v>
      </c>
      <c r="S68" s="4"/>
      <c r="T68" s="4">
        <f>SUM(OSRRefT25x_0)</f>
        <v>507</v>
      </c>
      <c r="U68" s="4"/>
      <c r="V68" s="12">
        <f t="shared" ref="V68:V69" si="67">IF(T$12=0,0,T68/T$12)</f>
        <v>2.1191752253619548E-3</v>
      </c>
      <c r="W68" s="4"/>
      <c r="X68" s="4">
        <f t="shared" ref="X68:X69" si="68">+P68-T68</f>
        <v>-507</v>
      </c>
      <c r="Y68" s="4"/>
      <c r="Z68" s="12">
        <f t="shared" ref="Z68:Z69" si="69">IF(T68=0,0,X68/T68)</f>
        <v>-1</v>
      </c>
    </row>
    <row r="69" spans="1:26" s="24" customFormat="1" hidden="1" outlineLevel="1" x14ac:dyDescent="0.25">
      <c r="A69" s="44"/>
      <c r="B69" s="11" t="str">
        <f>CONCATENATE("          ", "9150", " - ", "MISC. INCOME")</f>
        <v xml:space="preserve">          9150 - MISC. INCOME</v>
      </c>
      <c r="C69" s="11"/>
      <c r="D69" s="2">
        <f>0</f>
        <v>0</v>
      </c>
      <c r="E69" s="2"/>
      <c r="F69" s="19">
        <f t="shared" si="62"/>
        <v>0</v>
      </c>
      <c r="G69" s="2"/>
      <c r="H69" s="2">
        <f>--56</f>
        <v>56</v>
      </c>
      <c r="I69" s="2"/>
      <c r="J69" s="19">
        <f t="shared" si="63"/>
        <v>1.4468059820260193E-3</v>
      </c>
      <c r="K69" s="2"/>
      <c r="L69" s="2">
        <f t="shared" si="64"/>
        <v>-56</v>
      </c>
      <c r="M69" s="2"/>
      <c r="N69" s="19">
        <f t="shared" si="65"/>
        <v>-1</v>
      </c>
      <c r="O69" s="11"/>
      <c r="P69" s="2">
        <f>0</f>
        <v>0</v>
      </c>
      <c r="Q69" s="2"/>
      <c r="R69" s="19">
        <f t="shared" si="66"/>
        <v>0</v>
      </c>
      <c r="S69" s="2"/>
      <c r="T69" s="2">
        <f>--507</f>
        <v>507</v>
      </c>
      <c r="U69" s="2"/>
      <c r="V69" s="19">
        <f t="shared" si="67"/>
        <v>2.1191752253619548E-3</v>
      </c>
      <c r="W69" s="2"/>
      <c r="X69" s="2">
        <f t="shared" si="68"/>
        <v>-507</v>
      </c>
      <c r="Y69" s="2"/>
      <c r="Z69" s="19">
        <f t="shared" si="69"/>
        <v>-1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9" t="s">
        <v>3</v>
      </c>
      <c r="C71" s="29"/>
      <c r="D71" s="22">
        <f>+D20-D22+D68</f>
        <v>-58.03</v>
      </c>
      <c r="E71" s="14"/>
      <c r="F71" s="20">
        <f>IF(D$12=0,0,D71/D$12)</f>
        <v>0</v>
      </c>
      <c r="G71" s="14"/>
      <c r="H71" s="22">
        <f>+H20-H22+H68</f>
        <v>1597.8600000000006</v>
      </c>
      <c r="I71" s="14"/>
      <c r="J71" s="20">
        <f>IF(H$12=0,0,H71/H$12)</f>
        <v>4.1282025115001716E-2</v>
      </c>
      <c r="K71" s="16"/>
      <c r="L71" s="22">
        <f>+D71-H71</f>
        <v>-1655.8900000000006</v>
      </c>
      <c r="M71" s="16"/>
      <c r="N71" s="20">
        <f>IF(H71=0,0,L71/H71)</f>
        <v>-1.0363173244214137</v>
      </c>
      <c r="O71" s="28"/>
      <c r="P71" s="22">
        <f>+P20-P22+P68</f>
        <v>-4963.57</v>
      </c>
      <c r="Q71" s="14"/>
      <c r="R71" s="20">
        <f>IF(P$12=0,0,P71/P$12)</f>
        <v>0</v>
      </c>
      <c r="S71" s="14"/>
      <c r="T71" s="22">
        <f>+T20-T22+T68</f>
        <v>318.82000000003609</v>
      </c>
      <c r="U71" s="14"/>
      <c r="V71" s="20">
        <f>IF(T$12=0,0,T71/T$12)</f>
        <v>1.3326142906311142E-3</v>
      </c>
      <c r="W71" s="16"/>
      <c r="X71" s="22">
        <f>+P71-T71</f>
        <v>-5282.3900000000358</v>
      </c>
      <c r="Y71" s="16"/>
      <c r="Z71" s="20">
        <f>IF(T71=0,0,X71/T71)</f>
        <v>-16.568565334669838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1"/>
      <c r="B73" s="10" t="s">
        <v>13</v>
      </c>
      <c r="C73" s="10"/>
      <c r="D73" s="4"/>
      <c r="E73" s="4"/>
      <c r="F73" s="12">
        <f>IF(D$12=0,0,D73/D$12)</f>
        <v>0</v>
      </c>
      <c r="G73" s="4"/>
      <c r="H73" s="4">
        <v>3470.42</v>
      </c>
      <c r="I73" s="4"/>
      <c r="J73" s="12">
        <f>IF(H$12=0,0,H73/H$12)</f>
        <v>8.9661150288263186E-2</v>
      </c>
      <c r="K73" s="4"/>
      <c r="L73" s="4">
        <f>+D73-H73</f>
        <v>-3470.42</v>
      </c>
      <c r="M73" s="4"/>
      <c r="N73" s="12">
        <f>IF(H73=0,0,L73/H73)</f>
        <v>-1</v>
      </c>
      <c r="O73" s="10"/>
      <c r="P73" s="4"/>
      <c r="Q73" s="4"/>
      <c r="R73" s="12">
        <f>IF(P$12=0,0,P73/P$12)</f>
        <v>0</v>
      </c>
      <c r="S73" s="4"/>
      <c r="T73" s="4">
        <v>24383.7</v>
      </c>
      <c r="U73" s="4"/>
      <c r="V73" s="12">
        <f>IF(T$12=0,0,T73/T$12)</f>
        <v>0.1019197888415351</v>
      </c>
      <c r="W73" s="4"/>
      <c r="X73" s="4">
        <f>+P73-T73</f>
        <v>-24383.7</v>
      </c>
      <c r="Y73" s="4"/>
      <c r="Z73" s="12">
        <f>IF(T73=0,0,X73/T73)</f>
        <v>-1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9" t="s">
        <v>4</v>
      </c>
      <c r="C75" s="29"/>
      <c r="D75" s="35">
        <f>+D71-D73</f>
        <v>-58.03</v>
      </c>
      <c r="E75" s="14"/>
      <c r="F75" s="36">
        <f>IF(D$12=0,0,D75/D$12)</f>
        <v>0</v>
      </c>
      <c r="G75" s="14"/>
      <c r="H75" s="35">
        <f>+H71-H73</f>
        <v>-1872.5599999999995</v>
      </c>
      <c r="I75" s="14"/>
      <c r="J75" s="36">
        <f>IF(H$12=0,0,H75/H$12)</f>
        <v>-4.8379125173261463E-2</v>
      </c>
      <c r="K75" s="16"/>
      <c r="L75" s="35">
        <f>D75-H75</f>
        <v>1814.5299999999995</v>
      </c>
      <c r="M75" s="16"/>
      <c r="N75" s="36">
        <f>IF(H75=0,0,L75/H75)</f>
        <v>-0.96901033878754217</v>
      </c>
      <c r="O75" s="28"/>
      <c r="P75" s="35">
        <f>+P71-P73</f>
        <v>-4963.57</v>
      </c>
      <c r="Q75" s="14"/>
      <c r="R75" s="36">
        <f>IF(P$12=0,0,P75/P$12)</f>
        <v>0</v>
      </c>
      <c r="S75" s="14"/>
      <c r="T75" s="35">
        <f>+T71-T73</f>
        <v>-24064.879999999965</v>
      </c>
      <c r="U75" s="14"/>
      <c r="V75" s="36">
        <f>IF(T$12=0,0,T75/T$12)</f>
        <v>-0.10058717455090399</v>
      </c>
      <c r="W75" s="16"/>
      <c r="X75" s="35">
        <f>P75-T75</f>
        <v>19101.309999999965</v>
      </c>
      <c r="Y75" s="16"/>
      <c r="Z75" s="36">
        <f>IF(T75=0,0,X75/T75)</f>
        <v>-0.79374216700851996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9" t="s">
        <v>5</v>
      </c>
      <c r="C78" s="29"/>
      <c r="D78" s="31">
        <f>SUM(D75:D77)</f>
        <v>-58.03</v>
      </c>
      <c r="E78" s="14"/>
      <c r="F78" s="33">
        <f>IF(D$12=0,0,D78/D$12)</f>
        <v>0</v>
      </c>
      <c r="G78" s="14"/>
      <c r="H78" s="31">
        <f>SUM(H75:H77)</f>
        <v>-1872.5599999999995</v>
      </c>
      <c r="I78" s="14"/>
      <c r="J78" s="33">
        <f>IF(H$12=0,0,H78/H$12)</f>
        <v>-4.8379125173261463E-2</v>
      </c>
      <c r="K78" s="16"/>
      <c r="L78" s="31">
        <f>+D78-H78</f>
        <v>1814.5299999999995</v>
      </c>
      <c r="M78" s="16"/>
      <c r="N78" s="33">
        <f>IF(H78=0,0,L78/H78)</f>
        <v>-0.96901033878754217</v>
      </c>
      <c r="O78" s="28"/>
      <c r="P78" s="31">
        <f>SUM(P75:P77)</f>
        <v>-4963.57</v>
      </c>
      <c r="Q78" s="14"/>
      <c r="R78" s="33">
        <f>IF(P$12=0,0,P78/P$12)</f>
        <v>0</v>
      </c>
      <c r="S78" s="14"/>
      <c r="T78" s="31">
        <f>SUM(T75:T77)</f>
        <v>-24064.879999999965</v>
      </c>
      <c r="U78" s="14"/>
      <c r="V78" s="33">
        <f>IF(T$12=0,0,T78/T$12)</f>
        <v>-0.10058717455090399</v>
      </c>
      <c r="W78" s="16"/>
      <c r="X78" s="31">
        <f>+P78-T78</f>
        <v>19101.309999999965</v>
      </c>
      <c r="Y78" s="16"/>
      <c r="Z78" s="33">
        <f>IF(T78=0,0,X78/T78)</f>
        <v>-0.79374216700851996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6">
        <v>44267.668552314812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4" t="s">
        <v>313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8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","414", " - ", "Starbucks UDP")</f>
        <v>Department 414 - Starbucks UDP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93592.27</v>
      </c>
      <c r="I12" s="4"/>
      <c r="J12" s="12"/>
      <c r="K12" s="4"/>
      <c r="L12" s="4">
        <f t="shared" ref="L12:L14" si="0">+D12-H12</f>
        <v>-93592.27</v>
      </c>
      <c r="M12" s="4"/>
      <c r="N12" s="12">
        <f t="shared" ref="N12:N14" si="1">IF(H12=0,0,L12/H12)</f>
        <v>-1</v>
      </c>
      <c r="O12" s="10"/>
      <c r="P12" s="4">
        <f>SUM(OSRRefP13x_0)</f>
        <v>974.91</v>
      </c>
      <c r="Q12" s="4"/>
      <c r="R12" s="12"/>
      <c r="S12" s="4"/>
      <c r="T12" s="4">
        <f>SUM(OSRRefT13x_0)</f>
        <v>552365.02</v>
      </c>
      <c r="U12" s="4"/>
      <c r="V12" s="12"/>
      <c r="W12" s="4"/>
      <c r="X12" s="4">
        <f t="shared" ref="X12:X14" si="2">+P12-T12</f>
        <v>-551390.11</v>
      </c>
      <c r="Y12" s="4"/>
      <c r="Z12" s="12">
        <f t="shared" ref="Z12:Z14" si="3">IF(T12=0,0,X12/T12)</f>
        <v>-0.9982350258168049</v>
      </c>
    </row>
    <row r="13" spans="1:26" s="24" customFormat="1" hidden="1" outlineLevel="1" x14ac:dyDescent="0.25">
      <c r="A13" s="44"/>
      <c r="B13" s="11" t="str">
        <f>CONCATENATE("          ", "4058", " - ", "TAXABLE SALES-FOOD")</f>
        <v xml:space="preserve">          4058 - TAXABLE SALES-FOOD</v>
      </c>
      <c r="C13" s="11"/>
      <c r="D13" s="2">
        <f t="shared" ref="D13:D14" si="4">0</f>
        <v>0</v>
      </c>
      <c r="E13" s="2"/>
      <c r="F13" s="19"/>
      <c r="G13" s="2"/>
      <c r="H13" s="2">
        <f>--15335.14</f>
        <v>15335.14</v>
      </c>
      <c r="I13" s="2"/>
      <c r="J13" s="19"/>
      <c r="K13" s="2"/>
      <c r="L13" s="2">
        <f t="shared" si="0"/>
        <v>-15335.14</v>
      </c>
      <c r="M13" s="2"/>
      <c r="N13" s="19">
        <f t="shared" si="1"/>
        <v>-1</v>
      </c>
      <c r="O13" s="11"/>
      <c r="P13" s="2">
        <f>--974.91</f>
        <v>974.91</v>
      </c>
      <c r="Q13" s="2"/>
      <c r="R13" s="19"/>
      <c r="S13" s="2"/>
      <c r="T13" s="2">
        <f>--110971.24</f>
        <v>110971.24</v>
      </c>
      <c r="U13" s="2"/>
      <c r="V13" s="19"/>
      <c r="W13" s="2"/>
      <c r="X13" s="2">
        <f t="shared" si="2"/>
        <v>-109996.33</v>
      </c>
      <c r="Y13" s="2"/>
      <c r="Z13" s="19">
        <f t="shared" si="3"/>
        <v>-0.99121475077686794</v>
      </c>
    </row>
    <row r="14" spans="1:26" s="24" customFormat="1" hidden="1" outlineLevel="1" x14ac:dyDescent="0.25">
      <c r="A14" s="44"/>
      <c r="B14" s="11" t="str">
        <f>CONCATENATE("          ", "4158", " - ", "NON-TAXABLE SALES-FOOD")</f>
        <v xml:space="preserve">          4158 - NON-TAXABLE SALES-FOOD</v>
      </c>
      <c r="C14" s="11"/>
      <c r="D14" s="2">
        <f t="shared" si="4"/>
        <v>0</v>
      </c>
      <c r="E14" s="2"/>
      <c r="F14" s="19"/>
      <c r="G14" s="2"/>
      <c r="H14" s="2">
        <f>--78257.13</f>
        <v>78257.13</v>
      </c>
      <c r="I14" s="2"/>
      <c r="J14" s="19"/>
      <c r="K14" s="2"/>
      <c r="L14" s="2">
        <f t="shared" si="0"/>
        <v>-78257.13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--441393.78</f>
        <v>441393.78</v>
      </c>
      <c r="U14" s="2"/>
      <c r="V14" s="19"/>
      <c r="W14" s="2"/>
      <c r="X14" s="2">
        <f t="shared" si="2"/>
        <v>-441393.78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-2369.56</v>
      </c>
      <c r="E16" s="4"/>
      <c r="F16" s="12">
        <f t="shared" ref="F16:F18" si="5">IF(D$12=0,0,D16/D$12)</f>
        <v>0</v>
      </c>
      <c r="G16" s="4"/>
      <c r="H16" s="4">
        <f>SUM(OSRRefH16x_0)</f>
        <v>34285.360000000001</v>
      </c>
      <c r="I16" s="4"/>
      <c r="J16" s="12">
        <f t="shared" ref="J16:J18" si="6">IF(H$12=0,0,H16/H$12)</f>
        <v>0.36632683447041087</v>
      </c>
      <c r="K16" s="4"/>
      <c r="L16" s="4">
        <f t="shared" ref="L16:L18" si="7">+D16-H16</f>
        <v>-36654.92</v>
      </c>
      <c r="M16" s="4"/>
      <c r="N16" s="12">
        <f t="shared" ref="N16:N18" si="8">IF(H16=0,0,L16/H16)</f>
        <v>-1.0691128808331019</v>
      </c>
      <c r="O16" s="10"/>
      <c r="P16" s="4">
        <f>SUM(OSRRefP16x_0)</f>
        <v>-2369.56</v>
      </c>
      <c r="Q16" s="4"/>
      <c r="R16" s="12">
        <f t="shared" ref="R16:R18" si="9">IF(P$12=0,0,P16/P$12)</f>
        <v>-2.4305423064693152</v>
      </c>
      <c r="S16" s="4"/>
      <c r="T16" s="4">
        <f>SUM(OSRRefT16x_0)</f>
        <v>185538.62</v>
      </c>
      <c r="U16" s="4"/>
      <c r="V16" s="12">
        <f t="shared" ref="V16:V18" si="10">IF(T$12=0,0,T16/T$12)</f>
        <v>0.33589856939166784</v>
      </c>
      <c r="W16" s="4"/>
      <c r="X16" s="4">
        <f t="shared" ref="X16:X18" si="11">+P16-T16</f>
        <v>-187908.18</v>
      </c>
      <c r="Y16" s="4"/>
      <c r="Z16" s="12">
        <f t="shared" ref="Z16:Z18" si="12">IF(T16=0,0,X16/T16)</f>
        <v>-1.0127712494573906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-2369.56</v>
      </c>
      <c r="E17" s="2"/>
      <c r="F17" s="19">
        <f t="shared" si="5"/>
        <v>0</v>
      </c>
      <c r="G17" s="2"/>
      <c r="H17" s="2">
        <v>36324.36</v>
      </c>
      <c r="I17" s="2"/>
      <c r="J17" s="19">
        <f t="shared" si="6"/>
        <v>0.38811282171059641</v>
      </c>
      <c r="K17" s="2"/>
      <c r="L17" s="2">
        <f t="shared" si="7"/>
        <v>-38693.919999999998</v>
      </c>
      <c r="M17" s="2"/>
      <c r="N17" s="19">
        <f t="shared" si="8"/>
        <v>-1.0652333585505704</v>
      </c>
      <c r="O17" s="11"/>
      <c r="P17" s="2">
        <v>-2369.56</v>
      </c>
      <c r="Q17" s="2"/>
      <c r="R17" s="19">
        <f t="shared" si="9"/>
        <v>-2.4305423064693152</v>
      </c>
      <c r="S17" s="2"/>
      <c r="T17" s="2">
        <v>181756.62</v>
      </c>
      <c r="U17" s="2"/>
      <c r="V17" s="19">
        <f t="shared" si="10"/>
        <v>0.32905164776726809</v>
      </c>
      <c r="W17" s="2"/>
      <c r="X17" s="2">
        <f t="shared" si="11"/>
        <v>-184126.18</v>
      </c>
      <c r="Y17" s="2"/>
      <c r="Z17" s="19">
        <f t="shared" si="12"/>
        <v>-1.0130369941958648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5"/>
        <v>0</v>
      </c>
      <c r="G18" s="2"/>
      <c r="H18" s="2">
        <v>-2039</v>
      </c>
      <c r="I18" s="2"/>
      <c r="J18" s="19">
        <f t="shared" si="6"/>
        <v>-2.1785987240185541E-2</v>
      </c>
      <c r="K18" s="2"/>
      <c r="L18" s="2">
        <f t="shared" si="7"/>
        <v>2039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3782</v>
      </c>
      <c r="U18" s="2"/>
      <c r="V18" s="19">
        <f t="shared" si="10"/>
        <v>6.8469216243997487E-3</v>
      </c>
      <c r="W18" s="2"/>
      <c r="X18" s="2">
        <f t="shared" si="11"/>
        <v>-3782</v>
      </c>
      <c r="Y18" s="2"/>
      <c r="Z18" s="19">
        <f t="shared" si="12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2">
        <f>D12-D16</f>
        <v>2369.56</v>
      </c>
      <c r="E20" s="14"/>
      <c r="F20" s="20">
        <f>IF(D$12=0,0,D20/D$12)</f>
        <v>0</v>
      </c>
      <c r="G20" s="14"/>
      <c r="H20" s="22">
        <f>H12-H16</f>
        <v>59306.91</v>
      </c>
      <c r="I20" s="14"/>
      <c r="J20" s="20">
        <f>IF(H$12=0,0,H20/H$12)</f>
        <v>0.63367316552958919</v>
      </c>
      <c r="K20" s="16"/>
      <c r="L20" s="22">
        <f>+D20-H20</f>
        <v>-56937.350000000006</v>
      </c>
      <c r="M20" s="16"/>
      <c r="N20" s="20">
        <f>IF(H20=0,0,L20/H20)</f>
        <v>-0.96004580241998783</v>
      </c>
      <c r="O20" s="28"/>
      <c r="P20" s="22">
        <f>P12-P16</f>
        <v>3344.47</v>
      </c>
      <c r="Q20" s="14"/>
      <c r="R20" s="20">
        <f>IF(P$12=0,0,P20/P$12)</f>
        <v>3.4305423064693152</v>
      </c>
      <c r="S20" s="14"/>
      <c r="T20" s="22">
        <f>T12-T16</f>
        <v>366826.4</v>
      </c>
      <c r="U20" s="14"/>
      <c r="V20" s="20">
        <f>IF(T$12=0,0,T20/T$12)</f>
        <v>0.66410143060833216</v>
      </c>
      <c r="W20" s="16"/>
      <c r="X20" s="22">
        <f>+P20-T20</f>
        <v>-363481.93000000005</v>
      </c>
      <c r="Y20" s="16"/>
      <c r="Z20" s="20">
        <f>IF(T20=0,0,X20/T20)</f>
        <v>-0.99088269001358686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1">
        <f>SUM(OSRRefD22x_0)</f>
        <v>1909.09</v>
      </c>
      <c r="E22" s="21"/>
      <c r="F22" s="32">
        <f t="shared" ref="F22:F31" si="13">IF(D$12=0,0,D22/D$12)</f>
        <v>0</v>
      </c>
      <c r="G22" s="21"/>
      <c r="H22" s="21">
        <f>SUM(OSRRefH22x_0)</f>
        <v>44755.33</v>
      </c>
      <c r="I22" s="21"/>
      <c r="J22" s="32">
        <f t="shared" ref="J22:J31" si="14">IF(H$12=0,0,H22/H$12)</f>
        <v>0.47819472697905502</v>
      </c>
      <c r="K22" s="4"/>
      <c r="L22" s="21">
        <f t="shared" ref="L22:L31" si="15">+D22-H22</f>
        <v>-42846.240000000005</v>
      </c>
      <c r="M22" s="4"/>
      <c r="N22" s="32">
        <f t="shared" ref="N22:N31" si="16">IF(H22=0,0,L22/H22)</f>
        <v>-0.95734385155913282</v>
      </c>
      <c r="O22" s="10"/>
      <c r="P22" s="21">
        <f>SUM(OSRRefP22x_0)</f>
        <v>16137.25</v>
      </c>
      <c r="Q22" s="21"/>
      <c r="R22" s="32">
        <f t="shared" ref="R22:R31" si="17">IF(P$12=0,0,P22/P$12)</f>
        <v>16.552553569047401</v>
      </c>
      <c r="S22" s="21"/>
      <c r="T22" s="21">
        <f>SUM(OSRRefT22x_0)</f>
        <v>283751.32999999984</v>
      </c>
      <c r="U22" s="21"/>
      <c r="V22" s="32">
        <f t="shared" ref="V22:V31" si="18">IF(T$12=0,0,T22/T$12)</f>
        <v>0.51370256936255632</v>
      </c>
      <c r="W22" s="4"/>
      <c r="X22" s="21">
        <f t="shared" ref="X22:X31" si="19">+P22-T22</f>
        <v>-267614.07999999984</v>
      </c>
      <c r="Y22" s="4"/>
      <c r="Z22" s="32">
        <f t="shared" ref="Z22:Z31" si="20">IF(T22=0,0,X22/T22)</f>
        <v>-0.94312890092885204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3541.3700000000003</v>
      </c>
      <c r="I23" s="1"/>
      <c r="J23" s="5">
        <f t="shared" si="14"/>
        <v>3.7838274464333438E-2</v>
      </c>
      <c r="K23" s="1"/>
      <c r="L23" s="1">
        <f t="shared" si="15"/>
        <v>-3541.3700000000003</v>
      </c>
      <c r="M23" s="1"/>
      <c r="N23" s="5">
        <f t="shared" si="16"/>
        <v>-1</v>
      </c>
      <c r="O23" s="13"/>
      <c r="P23" s="1">
        <f>SUM(OSRRefP22_0x_0)</f>
        <v>702.51</v>
      </c>
      <c r="Q23" s="1"/>
      <c r="R23" s="5">
        <f t="shared" si="17"/>
        <v>0.72058959288549718</v>
      </c>
      <c r="S23" s="1"/>
      <c r="T23" s="1">
        <f>SUM(OSRRefT22_0x_0)</f>
        <v>21903.18</v>
      </c>
      <c r="U23" s="1"/>
      <c r="V23" s="5">
        <f t="shared" si="18"/>
        <v>3.9653452349317844E-2</v>
      </c>
      <c r="W23" s="1"/>
      <c r="X23" s="1">
        <f t="shared" si="19"/>
        <v>-21200.670000000002</v>
      </c>
      <c r="Y23" s="1"/>
      <c r="Z23" s="5">
        <f t="shared" si="20"/>
        <v>-0.96792657504526747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3"/>
        <v>0</v>
      </c>
      <c r="G24" s="2"/>
      <c r="H24" s="6">
        <v>672.33</v>
      </c>
      <c r="I24" s="2"/>
      <c r="J24" s="7">
        <f t="shared" si="14"/>
        <v>7.1836060819980112E-3</v>
      </c>
      <c r="K24" s="2"/>
      <c r="L24" s="6">
        <f t="shared" si="15"/>
        <v>-672.33</v>
      </c>
      <c r="M24" s="2"/>
      <c r="N24" s="7">
        <f t="shared" si="16"/>
        <v>-1</v>
      </c>
      <c r="O24" s="11"/>
      <c r="P24" s="6"/>
      <c r="Q24" s="2"/>
      <c r="R24" s="7">
        <f t="shared" si="17"/>
        <v>0</v>
      </c>
      <c r="S24" s="2"/>
      <c r="T24" s="6">
        <v>5005.41</v>
      </c>
      <c r="U24" s="2"/>
      <c r="V24" s="7">
        <f t="shared" si="18"/>
        <v>9.0617794732910494E-3</v>
      </c>
      <c r="W24" s="2"/>
      <c r="X24" s="6">
        <f t="shared" si="19"/>
        <v>-5005.41</v>
      </c>
      <c r="Y24" s="2"/>
      <c r="Z24" s="7">
        <f t="shared" si="20"/>
        <v>-1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3"/>
        <v>0</v>
      </c>
      <c r="G25" s="2"/>
      <c r="H25" s="6">
        <v>970.4</v>
      </c>
      <c r="I25" s="2"/>
      <c r="J25" s="7">
        <f t="shared" si="14"/>
        <v>1.0368377644863192E-2</v>
      </c>
      <c r="K25" s="2"/>
      <c r="L25" s="6">
        <f t="shared" si="15"/>
        <v>-970.4</v>
      </c>
      <c r="M25" s="2"/>
      <c r="N25" s="7">
        <f t="shared" si="16"/>
        <v>-1</v>
      </c>
      <c r="O25" s="11"/>
      <c r="P25" s="6"/>
      <c r="Q25" s="2"/>
      <c r="R25" s="7">
        <f t="shared" si="17"/>
        <v>0</v>
      </c>
      <c r="S25" s="2"/>
      <c r="T25" s="6">
        <v>4834.47</v>
      </c>
      <c r="U25" s="2"/>
      <c r="V25" s="7">
        <f t="shared" si="18"/>
        <v>8.7523102024092692E-3</v>
      </c>
      <c r="W25" s="2"/>
      <c r="X25" s="6">
        <f t="shared" si="19"/>
        <v>-4834.47</v>
      </c>
      <c r="Y25" s="2"/>
      <c r="Z25" s="7">
        <f t="shared" si="20"/>
        <v>-1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3"/>
        <v>0</v>
      </c>
      <c r="G26" s="2"/>
      <c r="H26" s="6">
        <v>1033.82</v>
      </c>
      <c r="I26" s="2"/>
      <c r="J26" s="7">
        <f t="shared" si="14"/>
        <v>1.104599770899883E-2</v>
      </c>
      <c r="K26" s="2"/>
      <c r="L26" s="6">
        <f t="shared" si="15"/>
        <v>-1033.82</v>
      </c>
      <c r="M26" s="2"/>
      <c r="N26" s="7">
        <f t="shared" si="16"/>
        <v>-1</v>
      </c>
      <c r="O26" s="11"/>
      <c r="P26" s="6">
        <v>702.51</v>
      </c>
      <c r="Q26" s="2"/>
      <c r="R26" s="7">
        <f t="shared" si="17"/>
        <v>0.72058959288549718</v>
      </c>
      <c r="S26" s="2"/>
      <c r="T26" s="6">
        <v>5969.98</v>
      </c>
      <c r="U26" s="2"/>
      <c r="V26" s="7">
        <f t="shared" si="18"/>
        <v>1.0808034151040194E-2</v>
      </c>
      <c r="W26" s="2"/>
      <c r="X26" s="6">
        <f t="shared" si="19"/>
        <v>-5267.4699999999993</v>
      </c>
      <c r="Y26" s="2"/>
      <c r="Z26" s="7">
        <f t="shared" si="20"/>
        <v>-0.88232623894887419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3"/>
        <v>0</v>
      </c>
      <c r="G27" s="2"/>
      <c r="H27" s="6">
        <v>65.03</v>
      </c>
      <c r="I27" s="2"/>
      <c r="J27" s="7">
        <f t="shared" si="14"/>
        <v>6.9482233949449024E-4</v>
      </c>
      <c r="K27" s="2"/>
      <c r="L27" s="6">
        <f t="shared" si="15"/>
        <v>-65.03</v>
      </c>
      <c r="M27" s="2"/>
      <c r="N27" s="7">
        <f t="shared" si="16"/>
        <v>-1</v>
      </c>
      <c r="O27" s="11"/>
      <c r="P27" s="6"/>
      <c r="Q27" s="2"/>
      <c r="R27" s="7">
        <f t="shared" si="17"/>
        <v>0</v>
      </c>
      <c r="S27" s="2"/>
      <c r="T27" s="6">
        <v>408.1</v>
      </c>
      <c r="U27" s="2"/>
      <c r="V27" s="7">
        <f t="shared" si="18"/>
        <v>7.3882303408713318E-4</v>
      </c>
      <c r="W27" s="2"/>
      <c r="X27" s="6">
        <f t="shared" si="19"/>
        <v>-408.1</v>
      </c>
      <c r="Y27" s="2"/>
      <c r="Z27" s="7">
        <f t="shared" si="20"/>
        <v>-1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3"/>
        <v>0</v>
      </c>
      <c r="G28" s="2"/>
      <c r="H28" s="6">
        <v>203.4</v>
      </c>
      <c r="I28" s="2"/>
      <c r="J28" s="7">
        <f t="shared" si="14"/>
        <v>2.1732564024785381E-3</v>
      </c>
      <c r="K28" s="2"/>
      <c r="L28" s="6">
        <f t="shared" si="15"/>
        <v>-203.4</v>
      </c>
      <c r="M28" s="2"/>
      <c r="N28" s="7">
        <f t="shared" si="16"/>
        <v>-1</v>
      </c>
      <c r="O28" s="11"/>
      <c r="P28" s="6"/>
      <c r="Q28" s="2"/>
      <c r="R28" s="7">
        <f t="shared" si="17"/>
        <v>0</v>
      </c>
      <c r="S28" s="2"/>
      <c r="T28" s="6">
        <v>508.5</v>
      </c>
      <c r="U28" s="2"/>
      <c r="V28" s="7">
        <f t="shared" si="18"/>
        <v>9.2058689741070134E-4</v>
      </c>
      <c r="W28" s="2"/>
      <c r="X28" s="6">
        <f t="shared" si="19"/>
        <v>-508.5</v>
      </c>
      <c r="Y28" s="2"/>
      <c r="Z28" s="7">
        <f t="shared" si="20"/>
        <v>-1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3"/>
        <v>0</v>
      </c>
      <c r="G29" s="2"/>
      <c r="H29" s="6">
        <v>192.5</v>
      </c>
      <c r="I29" s="2"/>
      <c r="J29" s="7">
        <f t="shared" si="14"/>
        <v>2.0567937929061877E-3</v>
      </c>
      <c r="K29" s="2"/>
      <c r="L29" s="6">
        <f t="shared" si="15"/>
        <v>-192.5</v>
      </c>
      <c r="M29" s="2"/>
      <c r="N29" s="7">
        <f t="shared" si="16"/>
        <v>-1</v>
      </c>
      <c r="O29" s="11"/>
      <c r="P29" s="6"/>
      <c r="Q29" s="2"/>
      <c r="R29" s="7">
        <f t="shared" si="17"/>
        <v>0</v>
      </c>
      <c r="S29" s="2"/>
      <c r="T29" s="6">
        <v>1748.36</v>
      </c>
      <c r="U29" s="2"/>
      <c r="V29" s="7">
        <f t="shared" si="18"/>
        <v>3.1652257776931636E-3</v>
      </c>
      <c r="W29" s="2"/>
      <c r="X29" s="6">
        <f t="shared" si="19"/>
        <v>-1748.36</v>
      </c>
      <c r="Y29" s="2"/>
      <c r="Z29" s="7">
        <f t="shared" si="20"/>
        <v>-1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3"/>
        <v>0</v>
      </c>
      <c r="G30" s="2"/>
      <c r="H30" s="6">
        <v>230.62</v>
      </c>
      <c r="I30" s="2"/>
      <c r="J30" s="7">
        <f t="shared" si="14"/>
        <v>2.4640923871170131E-3</v>
      </c>
      <c r="K30" s="2"/>
      <c r="L30" s="6">
        <f t="shared" si="15"/>
        <v>-230.62</v>
      </c>
      <c r="M30" s="2"/>
      <c r="N30" s="7">
        <f t="shared" si="16"/>
        <v>-1</v>
      </c>
      <c r="O30" s="11"/>
      <c r="P30" s="6"/>
      <c r="Q30" s="2"/>
      <c r="R30" s="7">
        <f t="shared" si="17"/>
        <v>0</v>
      </c>
      <c r="S30" s="2"/>
      <c r="T30" s="6">
        <v>2094.58</v>
      </c>
      <c r="U30" s="2"/>
      <c r="V30" s="7">
        <f t="shared" si="18"/>
        <v>3.7920214426322651E-3</v>
      </c>
      <c r="W30" s="2"/>
      <c r="X30" s="6">
        <f t="shared" si="19"/>
        <v>-2094.58</v>
      </c>
      <c r="Y30" s="2"/>
      <c r="Z30" s="7">
        <f t="shared" si="20"/>
        <v>-1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3"/>
        <v>0</v>
      </c>
      <c r="G31" s="2"/>
      <c r="H31" s="6">
        <v>173.27</v>
      </c>
      <c r="I31" s="2"/>
      <c r="J31" s="7">
        <f t="shared" si="14"/>
        <v>1.8513281064771695E-3</v>
      </c>
      <c r="K31" s="2"/>
      <c r="L31" s="6">
        <f t="shared" si="15"/>
        <v>-173.27</v>
      </c>
      <c r="M31" s="2"/>
      <c r="N31" s="7">
        <f t="shared" si="16"/>
        <v>-1</v>
      </c>
      <c r="O31" s="11"/>
      <c r="P31" s="6"/>
      <c r="Q31" s="2"/>
      <c r="R31" s="7">
        <f t="shared" si="17"/>
        <v>0</v>
      </c>
      <c r="S31" s="2"/>
      <c r="T31" s="6">
        <v>1333.78</v>
      </c>
      <c r="U31" s="2"/>
      <c r="V31" s="7">
        <f t="shared" si="18"/>
        <v>2.4146713707540713E-3</v>
      </c>
      <c r="W31" s="2"/>
      <c r="X31" s="6">
        <f t="shared" si="19"/>
        <v>-1333.78</v>
      </c>
      <c r="Y31" s="2"/>
      <c r="Z31" s="7">
        <f t="shared" si="20"/>
        <v>-1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8" si="21">IF(D$12=0,0,D32/D$12)</f>
        <v>0</v>
      </c>
      <c r="G32" s="1"/>
      <c r="H32" s="1">
        <f>SUM(OSRRefH22_1x_0)</f>
        <v>23640.19</v>
      </c>
      <c r="I32" s="1"/>
      <c r="J32" s="5">
        <f t="shared" ref="J32:J38" si="22">IF(H$12=0,0,H32/H$12)</f>
        <v>0.25258699249414507</v>
      </c>
      <c r="K32" s="1"/>
      <c r="L32" s="1">
        <f t="shared" ref="L32:L38" si="23">+D32-H32</f>
        <v>-23640.19</v>
      </c>
      <c r="M32" s="1"/>
      <c r="N32" s="5">
        <f t="shared" ref="N32:N38" si="24">IF(H32=0,0,L32/H32)</f>
        <v>-1</v>
      </c>
      <c r="O32" s="13"/>
      <c r="P32" s="1">
        <f>SUM(OSRRefP22_1x_0)</f>
        <v>0</v>
      </c>
      <c r="Q32" s="1"/>
      <c r="R32" s="5">
        <f t="shared" ref="R32:R38" si="25">IF(P$12=0,0,P32/P$12)</f>
        <v>0</v>
      </c>
      <c r="S32" s="1"/>
      <c r="T32" s="1">
        <f>SUM(OSRRefT22_1x_0)</f>
        <v>160173.90999999997</v>
      </c>
      <c r="U32" s="1"/>
      <c r="V32" s="5">
        <f t="shared" ref="V32:V38" si="26">IF(T$12=0,0,T32/T$12)</f>
        <v>0.28997837335897914</v>
      </c>
      <c r="W32" s="1"/>
      <c r="X32" s="1">
        <f t="shared" ref="X32:X38" si="27">+P32-T32</f>
        <v>-160173.90999999997</v>
      </c>
      <c r="Y32" s="1"/>
      <c r="Z32" s="5">
        <f t="shared" ref="Z32:Z38" si="28">IF(T32=0,0,X32/T32)</f>
        <v>-1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1"/>
        <v>0</v>
      </c>
      <c r="G33" s="2"/>
      <c r="H33" s="6">
        <v>2183.92</v>
      </c>
      <c r="I33" s="2"/>
      <c r="J33" s="7">
        <f t="shared" si="22"/>
        <v>2.3334405715343801E-2</v>
      </c>
      <c r="K33" s="2"/>
      <c r="L33" s="6">
        <f t="shared" si="23"/>
        <v>-2183.92</v>
      </c>
      <c r="M33" s="2"/>
      <c r="N33" s="7">
        <f t="shared" si="24"/>
        <v>-1</v>
      </c>
      <c r="O33" s="11"/>
      <c r="P33" s="6"/>
      <c r="Q33" s="2"/>
      <c r="R33" s="7">
        <f t="shared" si="25"/>
        <v>0</v>
      </c>
      <c r="S33" s="2"/>
      <c r="T33" s="6">
        <v>5823.84</v>
      </c>
      <c r="U33" s="2"/>
      <c r="V33" s="7">
        <f t="shared" si="26"/>
        <v>1.0543462726875789E-2</v>
      </c>
      <c r="W33" s="2"/>
      <c r="X33" s="6">
        <f t="shared" si="27"/>
        <v>-5823.84</v>
      </c>
      <c r="Y33" s="2"/>
      <c r="Z33" s="7">
        <f t="shared" si="28"/>
        <v>-1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1"/>
        <v>0</v>
      </c>
      <c r="G34" s="2"/>
      <c r="H34" s="6">
        <v>5898.6</v>
      </c>
      <c r="I34" s="2"/>
      <c r="J34" s="7">
        <f t="shared" si="22"/>
        <v>6.3024435671877599E-2</v>
      </c>
      <c r="K34" s="2"/>
      <c r="L34" s="6">
        <f t="shared" si="23"/>
        <v>-5898.6</v>
      </c>
      <c r="M34" s="2"/>
      <c r="N34" s="7">
        <f t="shared" si="24"/>
        <v>-1</v>
      </c>
      <c r="O34" s="11"/>
      <c r="P34" s="6"/>
      <c r="Q34" s="2"/>
      <c r="R34" s="7">
        <f t="shared" si="25"/>
        <v>0</v>
      </c>
      <c r="S34" s="2"/>
      <c r="T34" s="6">
        <v>46113.440000000002</v>
      </c>
      <c r="U34" s="2"/>
      <c r="V34" s="7">
        <f t="shared" si="26"/>
        <v>8.3483635513342244E-2</v>
      </c>
      <c r="W34" s="2"/>
      <c r="X34" s="6">
        <f t="shared" si="27"/>
        <v>-46113.440000000002</v>
      </c>
      <c r="Y34" s="2"/>
      <c r="Z34" s="7">
        <f t="shared" si="28"/>
        <v>-1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1"/>
        <v>0</v>
      </c>
      <c r="G35" s="2"/>
      <c r="H35" s="6"/>
      <c r="I35" s="2"/>
      <c r="J35" s="7">
        <f t="shared" si="22"/>
        <v>0</v>
      </c>
      <c r="K35" s="2"/>
      <c r="L35" s="6">
        <f t="shared" si="23"/>
        <v>0</v>
      </c>
      <c r="M35" s="2"/>
      <c r="N35" s="7">
        <f t="shared" si="24"/>
        <v>0</v>
      </c>
      <c r="O35" s="11"/>
      <c r="P35" s="6"/>
      <c r="Q35" s="2"/>
      <c r="R35" s="7">
        <f t="shared" si="25"/>
        <v>0</v>
      </c>
      <c r="S35" s="2"/>
      <c r="T35" s="6">
        <v>1997.5</v>
      </c>
      <c r="U35" s="2"/>
      <c r="V35" s="7">
        <f t="shared" si="26"/>
        <v>3.6162680974982809E-3</v>
      </c>
      <c r="W35" s="2"/>
      <c r="X35" s="6">
        <f t="shared" si="27"/>
        <v>-1997.5</v>
      </c>
      <c r="Y35" s="2"/>
      <c r="Z35" s="7">
        <f t="shared" si="28"/>
        <v>-1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1"/>
        <v>0</v>
      </c>
      <c r="G36" s="2"/>
      <c r="H36" s="6"/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/>
      <c r="Q36" s="2"/>
      <c r="R36" s="7">
        <f t="shared" si="25"/>
        <v>0</v>
      </c>
      <c r="S36" s="2"/>
      <c r="T36" s="6">
        <v>29.25</v>
      </c>
      <c r="U36" s="2"/>
      <c r="V36" s="7">
        <f t="shared" si="26"/>
        <v>5.2954113567872196E-5</v>
      </c>
      <c r="W36" s="2"/>
      <c r="X36" s="6">
        <f t="shared" si="27"/>
        <v>-29.25</v>
      </c>
      <c r="Y36" s="2"/>
      <c r="Z36" s="7">
        <f t="shared" si="28"/>
        <v>-1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21"/>
        <v>0</v>
      </c>
      <c r="G37" s="2"/>
      <c r="H37" s="6">
        <v>14886.87</v>
      </c>
      <c r="I37" s="2"/>
      <c r="J37" s="7">
        <f t="shared" si="22"/>
        <v>0.15906089252883812</v>
      </c>
      <c r="K37" s="2"/>
      <c r="L37" s="6">
        <f t="shared" si="23"/>
        <v>-14886.87</v>
      </c>
      <c r="M37" s="2"/>
      <c r="N37" s="7">
        <f t="shared" si="24"/>
        <v>-1</v>
      </c>
      <c r="O37" s="11"/>
      <c r="P37" s="6"/>
      <c r="Q37" s="2"/>
      <c r="R37" s="7">
        <f t="shared" si="25"/>
        <v>0</v>
      </c>
      <c r="S37" s="2"/>
      <c r="T37" s="6">
        <v>105539.07999999999</v>
      </c>
      <c r="U37" s="2"/>
      <c r="V37" s="7">
        <f t="shared" si="26"/>
        <v>0.19106763856987174</v>
      </c>
      <c r="W37" s="2"/>
      <c r="X37" s="6">
        <f t="shared" si="27"/>
        <v>-105539.07999999999</v>
      </c>
      <c r="Y37" s="2"/>
      <c r="Z37" s="7">
        <f t="shared" si="28"/>
        <v>-1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1"/>
        <v>0</v>
      </c>
      <c r="G38" s="2"/>
      <c r="H38" s="6">
        <v>670.8</v>
      </c>
      <c r="I38" s="2"/>
      <c r="J38" s="7">
        <f t="shared" si="22"/>
        <v>7.1672585780855613E-3</v>
      </c>
      <c r="K38" s="2"/>
      <c r="L38" s="6">
        <f t="shared" si="23"/>
        <v>-670.8</v>
      </c>
      <c r="M38" s="2"/>
      <c r="N38" s="7">
        <f t="shared" si="24"/>
        <v>-1</v>
      </c>
      <c r="O38" s="11"/>
      <c r="P38" s="6"/>
      <c r="Q38" s="2"/>
      <c r="R38" s="7">
        <f t="shared" si="25"/>
        <v>0</v>
      </c>
      <c r="S38" s="2"/>
      <c r="T38" s="6">
        <v>670.8</v>
      </c>
      <c r="U38" s="2"/>
      <c r="V38" s="7">
        <f t="shared" si="26"/>
        <v>1.2144143378232024E-3</v>
      </c>
      <c r="W38" s="2"/>
      <c r="X38" s="6">
        <f t="shared" si="27"/>
        <v>-670.8</v>
      </c>
      <c r="Y38" s="2"/>
      <c r="Z38" s="7">
        <f t="shared" si="28"/>
        <v>-1</v>
      </c>
    </row>
    <row r="39" spans="1:26" s="25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83.83</v>
      </c>
      <c r="E39" s="1"/>
      <c r="F39" s="5">
        <f t="shared" ref="F39:F55" si="29">IF(D$12=0,0,D39/D$12)</f>
        <v>0</v>
      </c>
      <c r="G39" s="1"/>
      <c r="H39" s="1">
        <f>SUM(OSRRefH22_2x_0)</f>
        <v>37.159999999999997</v>
      </c>
      <c r="I39" s="1"/>
      <c r="J39" s="5">
        <f t="shared" ref="J39:J55" si="30">IF(H$12=0,0,H39/H$12)</f>
        <v>3.970413368539944E-4</v>
      </c>
      <c r="K39" s="1"/>
      <c r="L39" s="1">
        <f t="shared" ref="L39:L55" si="31">+D39-H39</f>
        <v>46.67</v>
      </c>
      <c r="M39" s="1"/>
      <c r="N39" s="5">
        <f t="shared" ref="N39:N55" si="32">IF(H39=0,0,L39/H39)</f>
        <v>1.2559203444564049</v>
      </c>
      <c r="O39" s="13"/>
      <c r="P39" s="1">
        <f>SUM(OSRRefP22_2x_0)</f>
        <v>83.83</v>
      </c>
      <c r="Q39" s="1"/>
      <c r="R39" s="5">
        <f t="shared" ref="R39:R55" si="33">IF(P$12=0,0,P39/P$12)</f>
        <v>8.5987424480208435E-2</v>
      </c>
      <c r="S39" s="1"/>
      <c r="T39" s="1">
        <f>SUM(OSRRefT22_2x_0)</f>
        <v>725.37</v>
      </c>
      <c r="U39" s="1"/>
      <c r="V39" s="5">
        <f t="shared" ref="V39:V55" si="34">IF(T$12=0,0,T39/T$12)</f>
        <v>1.313207704571879E-3</v>
      </c>
      <c r="W39" s="1"/>
      <c r="X39" s="1">
        <f t="shared" ref="X39:X55" si="35">+P39-T39</f>
        <v>-641.54</v>
      </c>
      <c r="Y39" s="1"/>
      <c r="Z39" s="5">
        <f t="shared" ref="Z39:Z55" si="36">IF(T39=0,0,X39/T39)</f>
        <v>-0.8844313936335938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>
        <v>83.83</v>
      </c>
      <c r="E40" s="2"/>
      <c r="F40" s="7">
        <f t="shared" si="29"/>
        <v>0</v>
      </c>
      <c r="G40" s="2"/>
      <c r="H40" s="6">
        <v>37.159999999999997</v>
      </c>
      <c r="I40" s="2"/>
      <c r="J40" s="7">
        <f t="shared" si="30"/>
        <v>3.970413368539944E-4</v>
      </c>
      <c r="K40" s="2"/>
      <c r="L40" s="6">
        <f t="shared" si="31"/>
        <v>46.67</v>
      </c>
      <c r="M40" s="2"/>
      <c r="N40" s="7">
        <f t="shared" si="32"/>
        <v>1.2559203444564049</v>
      </c>
      <c r="O40" s="11"/>
      <c r="P40" s="6">
        <v>83.83</v>
      </c>
      <c r="Q40" s="2"/>
      <c r="R40" s="7">
        <f t="shared" si="33"/>
        <v>8.5987424480208435E-2</v>
      </c>
      <c r="S40" s="2"/>
      <c r="T40" s="6">
        <v>725.37</v>
      </c>
      <c r="U40" s="2"/>
      <c r="V40" s="7">
        <f t="shared" si="34"/>
        <v>1.313207704571879E-3</v>
      </c>
      <c r="W40" s="2"/>
      <c r="X40" s="6">
        <f t="shared" si="35"/>
        <v>-641.54</v>
      </c>
      <c r="Y40" s="2"/>
      <c r="Z40" s="7">
        <f t="shared" si="36"/>
        <v>-0.8844313936335938</v>
      </c>
    </row>
    <row r="41" spans="1:26" s="25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0</v>
      </c>
      <c r="E41" s="1"/>
      <c r="F41" s="5">
        <f t="shared" si="29"/>
        <v>0</v>
      </c>
      <c r="G41" s="1"/>
      <c r="H41" s="1">
        <f>SUM(OSRRefH22_3x_0)</f>
        <v>89.48</v>
      </c>
      <c r="I41" s="1"/>
      <c r="J41" s="5">
        <f t="shared" si="30"/>
        <v>9.5606186280127619E-4</v>
      </c>
      <c r="K41" s="1"/>
      <c r="L41" s="1">
        <f t="shared" si="31"/>
        <v>-89.48</v>
      </c>
      <c r="M41" s="1"/>
      <c r="N41" s="5">
        <f t="shared" si="32"/>
        <v>-1</v>
      </c>
      <c r="O41" s="13"/>
      <c r="P41" s="1">
        <f>SUM(OSRRefP22_3x_0)</f>
        <v>0</v>
      </c>
      <c r="Q41" s="1"/>
      <c r="R41" s="5">
        <f t="shared" si="33"/>
        <v>0</v>
      </c>
      <c r="S41" s="1"/>
      <c r="T41" s="1">
        <f>SUM(OSRRefT22_3x_0)</f>
        <v>128.37</v>
      </c>
      <c r="U41" s="1"/>
      <c r="V41" s="5">
        <f t="shared" si="34"/>
        <v>2.3240066867376939E-4</v>
      </c>
      <c r="W41" s="1"/>
      <c r="X41" s="1">
        <f t="shared" si="35"/>
        <v>-128.37</v>
      </c>
      <c r="Y41" s="1"/>
      <c r="Z41" s="5">
        <f t="shared" si="36"/>
        <v>-1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6"/>
      <c r="E42" s="2"/>
      <c r="F42" s="7">
        <f t="shared" si="29"/>
        <v>0</v>
      </c>
      <c r="G42" s="2"/>
      <c r="H42" s="6">
        <v>89.48</v>
      </c>
      <c r="I42" s="2"/>
      <c r="J42" s="7">
        <f t="shared" si="30"/>
        <v>9.5606186280127619E-4</v>
      </c>
      <c r="K42" s="2"/>
      <c r="L42" s="6">
        <f t="shared" si="31"/>
        <v>-89.48</v>
      </c>
      <c r="M42" s="2"/>
      <c r="N42" s="7">
        <f t="shared" si="32"/>
        <v>-1</v>
      </c>
      <c r="O42" s="11"/>
      <c r="P42" s="6"/>
      <c r="Q42" s="2"/>
      <c r="R42" s="7">
        <f t="shared" si="33"/>
        <v>0</v>
      </c>
      <c r="S42" s="2"/>
      <c r="T42" s="6">
        <v>128.37</v>
      </c>
      <c r="U42" s="2"/>
      <c r="V42" s="7">
        <f t="shared" si="34"/>
        <v>2.3240066867376939E-4</v>
      </c>
      <c r="W42" s="2"/>
      <c r="X42" s="6">
        <f t="shared" si="35"/>
        <v>-128.37</v>
      </c>
      <c r="Y42" s="2"/>
      <c r="Z42" s="7">
        <f t="shared" si="36"/>
        <v>-1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0</v>
      </c>
      <c r="E43" s="1"/>
      <c r="F43" s="5">
        <f t="shared" si="29"/>
        <v>0</v>
      </c>
      <c r="G43" s="1"/>
      <c r="H43" s="1">
        <f>SUM(OSRRefH22_4x_0)</f>
        <v>2075.81</v>
      </c>
      <c r="I43" s="1"/>
      <c r="J43" s="5">
        <f t="shared" si="30"/>
        <v>2.2179288951961522E-2</v>
      </c>
      <c r="K43" s="1"/>
      <c r="L43" s="1">
        <f t="shared" si="31"/>
        <v>-2075.81</v>
      </c>
      <c r="M43" s="1"/>
      <c r="N43" s="5">
        <f t="shared" si="32"/>
        <v>-1</v>
      </c>
      <c r="O43" s="13"/>
      <c r="P43" s="1">
        <f>SUM(OSRRefP22_4x_0)</f>
        <v>0</v>
      </c>
      <c r="Q43" s="1"/>
      <c r="R43" s="5">
        <f t="shared" si="33"/>
        <v>0</v>
      </c>
      <c r="S43" s="1"/>
      <c r="T43" s="1">
        <f>SUM(OSRRefT22_4x_0)</f>
        <v>16570.169999999998</v>
      </c>
      <c r="U43" s="1"/>
      <c r="V43" s="5">
        <f t="shared" si="34"/>
        <v>2.9998586804066626E-2</v>
      </c>
      <c r="W43" s="1"/>
      <c r="X43" s="1">
        <f t="shared" si="35"/>
        <v>-16570.169999999998</v>
      </c>
      <c r="Y43" s="1"/>
      <c r="Z43" s="5">
        <f t="shared" si="36"/>
        <v>-1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/>
      <c r="E44" s="2"/>
      <c r="F44" s="7">
        <f t="shared" si="29"/>
        <v>0</v>
      </c>
      <c r="G44" s="2"/>
      <c r="H44" s="6">
        <v>2075.81</v>
      </c>
      <c r="I44" s="2"/>
      <c r="J44" s="7">
        <f t="shared" si="30"/>
        <v>2.2179288951961522E-2</v>
      </c>
      <c r="K44" s="2"/>
      <c r="L44" s="6">
        <f t="shared" si="31"/>
        <v>-2075.81</v>
      </c>
      <c r="M44" s="2"/>
      <c r="N44" s="7">
        <f t="shared" si="32"/>
        <v>-1</v>
      </c>
      <c r="O44" s="11"/>
      <c r="P44" s="6"/>
      <c r="Q44" s="2"/>
      <c r="R44" s="7">
        <f t="shared" si="33"/>
        <v>0</v>
      </c>
      <c r="S44" s="2"/>
      <c r="T44" s="6">
        <v>16570.169999999998</v>
      </c>
      <c r="U44" s="2"/>
      <c r="V44" s="7">
        <f t="shared" si="34"/>
        <v>2.9998586804066626E-2</v>
      </c>
      <c r="W44" s="2"/>
      <c r="X44" s="6">
        <f t="shared" si="35"/>
        <v>-16570.169999999998</v>
      </c>
      <c r="Y44" s="2"/>
      <c r="Z44" s="7">
        <f t="shared" si="36"/>
        <v>-1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1825.26</v>
      </c>
      <c r="E45" s="1"/>
      <c r="F45" s="5">
        <f t="shared" si="29"/>
        <v>0</v>
      </c>
      <c r="G45" s="1"/>
      <c r="H45" s="1">
        <f>SUM(OSRRefH22_5x_0)</f>
        <v>2067.34</v>
      </c>
      <c r="I45" s="1"/>
      <c r="J45" s="5">
        <f t="shared" si="30"/>
        <v>2.2088790025073652E-2</v>
      </c>
      <c r="K45" s="1"/>
      <c r="L45" s="1">
        <f t="shared" si="31"/>
        <v>-242.08000000000015</v>
      </c>
      <c r="M45" s="1"/>
      <c r="N45" s="5">
        <f t="shared" si="32"/>
        <v>-0.11709733280447344</v>
      </c>
      <c r="O45" s="13"/>
      <c r="P45" s="1">
        <f>SUM(OSRRefP22_5x_0)</f>
        <v>14748.87</v>
      </c>
      <c r="Q45" s="1"/>
      <c r="R45" s="5">
        <f t="shared" si="33"/>
        <v>15.128442625473122</v>
      </c>
      <c r="S45" s="1"/>
      <c r="T45" s="1">
        <f>SUM(OSRRefT22_5x_0)</f>
        <v>14439.97</v>
      </c>
      <c r="U45" s="1"/>
      <c r="V45" s="5">
        <f t="shared" si="34"/>
        <v>2.6142079018689486E-2</v>
      </c>
      <c r="W45" s="1"/>
      <c r="X45" s="1">
        <f t="shared" si="35"/>
        <v>308.90000000000146</v>
      </c>
      <c r="Y45" s="1"/>
      <c r="Z45" s="5">
        <f t="shared" si="36"/>
        <v>2.1392011202239443E-2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1825.26</v>
      </c>
      <c r="E46" s="2"/>
      <c r="F46" s="7">
        <f t="shared" si="29"/>
        <v>0</v>
      </c>
      <c r="G46" s="2"/>
      <c r="H46" s="6">
        <v>2067.34</v>
      </c>
      <c r="I46" s="2"/>
      <c r="J46" s="7">
        <f t="shared" si="30"/>
        <v>2.2088790025073652E-2</v>
      </c>
      <c r="K46" s="2"/>
      <c r="L46" s="6">
        <f t="shared" si="31"/>
        <v>-242.08000000000015</v>
      </c>
      <c r="M46" s="2"/>
      <c r="N46" s="7">
        <f t="shared" si="32"/>
        <v>-0.11709733280447344</v>
      </c>
      <c r="O46" s="11"/>
      <c r="P46" s="6">
        <v>14748.87</v>
      </c>
      <c r="Q46" s="2"/>
      <c r="R46" s="7">
        <f t="shared" si="33"/>
        <v>15.128442625473122</v>
      </c>
      <c r="S46" s="2"/>
      <c r="T46" s="6">
        <v>14439.97</v>
      </c>
      <c r="U46" s="2"/>
      <c r="V46" s="7">
        <f t="shared" si="34"/>
        <v>2.6142079018689486E-2</v>
      </c>
      <c r="W46" s="2"/>
      <c r="X46" s="6">
        <f t="shared" si="35"/>
        <v>308.90000000000146</v>
      </c>
      <c r="Y46" s="2"/>
      <c r="Z46" s="7">
        <f t="shared" si="36"/>
        <v>2.1392011202239443E-2</v>
      </c>
    </row>
    <row r="47" spans="1:26" s="25" customFormat="1" outlineLevel="1" collapsed="1" x14ac:dyDescent="0.25">
      <c r="A47" s="27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0</v>
      </c>
      <c r="E47" s="1"/>
      <c r="F47" s="5">
        <f t="shared" si="29"/>
        <v>0</v>
      </c>
      <c r="G47" s="1"/>
      <c r="H47" s="1">
        <f>SUM(OSRRefH22_6x_0)</f>
        <v>0</v>
      </c>
      <c r="I47" s="1"/>
      <c r="J47" s="5">
        <f t="shared" si="30"/>
        <v>0</v>
      </c>
      <c r="K47" s="1"/>
      <c r="L47" s="1">
        <f t="shared" si="31"/>
        <v>0</v>
      </c>
      <c r="M47" s="1"/>
      <c r="N47" s="5">
        <f t="shared" si="32"/>
        <v>0</v>
      </c>
      <c r="O47" s="13"/>
      <c r="P47" s="1">
        <f>SUM(OSRRefP22_6x_0)</f>
        <v>0</v>
      </c>
      <c r="Q47" s="1"/>
      <c r="R47" s="5">
        <f t="shared" si="33"/>
        <v>0</v>
      </c>
      <c r="S47" s="1"/>
      <c r="T47" s="1">
        <f>SUM(OSRRefT22_6x_0)</f>
        <v>236.02</v>
      </c>
      <c r="U47" s="1"/>
      <c r="V47" s="5">
        <f t="shared" si="34"/>
        <v>4.2728991057398966E-4</v>
      </c>
      <c r="W47" s="1"/>
      <c r="X47" s="1">
        <f t="shared" si="35"/>
        <v>-236.02</v>
      </c>
      <c r="Y47" s="1"/>
      <c r="Z47" s="5">
        <f t="shared" si="36"/>
        <v>-1</v>
      </c>
    </row>
    <row r="48" spans="1:26" s="24" customFormat="1" hidden="1" outlineLevel="2" x14ac:dyDescent="0.25">
      <c r="A48" s="26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29"/>
        <v>0</v>
      </c>
      <c r="G48" s="2"/>
      <c r="H48" s="6"/>
      <c r="I48" s="2"/>
      <c r="J48" s="7">
        <f t="shared" si="30"/>
        <v>0</v>
      </c>
      <c r="K48" s="2"/>
      <c r="L48" s="6">
        <f t="shared" si="31"/>
        <v>0</v>
      </c>
      <c r="M48" s="2"/>
      <c r="N48" s="7">
        <f t="shared" si="32"/>
        <v>0</v>
      </c>
      <c r="O48" s="11"/>
      <c r="P48" s="6"/>
      <c r="Q48" s="2"/>
      <c r="R48" s="7">
        <f t="shared" si="33"/>
        <v>0</v>
      </c>
      <c r="S48" s="2"/>
      <c r="T48" s="6">
        <v>236.02</v>
      </c>
      <c r="U48" s="2"/>
      <c r="V48" s="7">
        <f t="shared" si="34"/>
        <v>4.2728991057398966E-4</v>
      </c>
      <c r="W48" s="2"/>
      <c r="X48" s="6">
        <f t="shared" si="35"/>
        <v>-236.02</v>
      </c>
      <c r="Y48" s="2"/>
      <c r="Z48" s="7">
        <f t="shared" si="36"/>
        <v>-1</v>
      </c>
    </row>
    <row r="49" spans="1:26" s="25" customFormat="1" outlineLevel="1" collapsed="1" x14ac:dyDescent="0.25">
      <c r="A49" s="27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SUM(OSRRefD22_7x_0)</f>
        <v>0</v>
      </c>
      <c r="E49" s="1"/>
      <c r="F49" s="5">
        <f t="shared" si="29"/>
        <v>0</v>
      </c>
      <c r="G49" s="1"/>
      <c r="H49" s="1">
        <f>SUM(OSRRefH22_7x_0)</f>
        <v>118.91</v>
      </c>
      <c r="I49" s="1"/>
      <c r="J49" s="5">
        <f t="shared" si="30"/>
        <v>1.270510908646622E-3</v>
      </c>
      <c r="K49" s="1"/>
      <c r="L49" s="1">
        <f t="shared" si="31"/>
        <v>-118.91</v>
      </c>
      <c r="M49" s="1"/>
      <c r="N49" s="5">
        <f t="shared" si="32"/>
        <v>-1</v>
      </c>
      <c r="O49" s="13"/>
      <c r="P49" s="1">
        <f>SUM(OSRRefP22_7x_0)</f>
        <v>96.3</v>
      </c>
      <c r="Q49" s="1"/>
      <c r="R49" s="5">
        <f t="shared" si="33"/>
        <v>9.8778348770655749E-2</v>
      </c>
      <c r="S49" s="1"/>
      <c r="T49" s="1">
        <f>SUM(OSRRefT22_7x_0)</f>
        <v>951.28</v>
      </c>
      <c r="U49" s="1"/>
      <c r="V49" s="5">
        <f t="shared" si="34"/>
        <v>1.7221945010203578E-3</v>
      </c>
      <c r="W49" s="1"/>
      <c r="X49" s="1">
        <f t="shared" si="35"/>
        <v>-854.98</v>
      </c>
      <c r="Y49" s="1"/>
      <c r="Z49" s="5">
        <f t="shared" si="36"/>
        <v>-0.89876797578000178</v>
      </c>
    </row>
    <row r="50" spans="1:26" s="24" customFormat="1" hidden="1" outlineLevel="2" x14ac:dyDescent="0.25">
      <c r="A50" s="26"/>
      <c r="B50" s="11" t="str">
        <f>CONCATENATE("          ", "6351", " - ", "EQUIPMENT RENTAL")</f>
        <v xml:space="preserve">          6351 - EQUIPMENT RENTAL</v>
      </c>
      <c r="C50" s="11"/>
      <c r="D50" s="6"/>
      <c r="E50" s="2"/>
      <c r="F50" s="7">
        <f t="shared" si="29"/>
        <v>0</v>
      </c>
      <c r="G50" s="2"/>
      <c r="H50" s="6">
        <v>118.91</v>
      </c>
      <c r="I50" s="2"/>
      <c r="J50" s="7">
        <f t="shared" si="30"/>
        <v>1.270510908646622E-3</v>
      </c>
      <c r="K50" s="2"/>
      <c r="L50" s="6">
        <f t="shared" si="31"/>
        <v>-118.91</v>
      </c>
      <c r="M50" s="2"/>
      <c r="N50" s="7">
        <f t="shared" si="32"/>
        <v>-1</v>
      </c>
      <c r="O50" s="11"/>
      <c r="P50" s="6">
        <v>96.3</v>
      </c>
      <c r="Q50" s="2"/>
      <c r="R50" s="7">
        <f t="shared" si="33"/>
        <v>9.8778348770655749E-2</v>
      </c>
      <c r="S50" s="2"/>
      <c r="T50" s="6">
        <v>951.28</v>
      </c>
      <c r="U50" s="2"/>
      <c r="V50" s="7">
        <f t="shared" si="34"/>
        <v>1.7221945010203578E-3</v>
      </c>
      <c r="W50" s="2"/>
      <c r="X50" s="6">
        <f t="shared" si="35"/>
        <v>-854.98</v>
      </c>
      <c r="Y50" s="2"/>
      <c r="Z50" s="7">
        <f t="shared" si="36"/>
        <v>-0.89876797578000178</v>
      </c>
    </row>
    <row r="51" spans="1:26" s="25" customFormat="1" outlineLevel="1" collapsed="1" x14ac:dyDescent="0.25">
      <c r="A51" s="27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SUM(OSRRefD22_8x_0)</f>
        <v>0</v>
      </c>
      <c r="E51" s="1"/>
      <c r="F51" s="5">
        <f t="shared" si="29"/>
        <v>0</v>
      </c>
      <c r="G51" s="1"/>
      <c r="H51" s="1">
        <f>SUM(OSRRefH22_8x_0)</f>
        <v>1492.87</v>
      </c>
      <c r="I51" s="1"/>
      <c r="J51" s="5">
        <f t="shared" si="30"/>
        <v>1.5950783114887585E-2</v>
      </c>
      <c r="K51" s="1"/>
      <c r="L51" s="1">
        <f t="shared" si="31"/>
        <v>-1492.87</v>
      </c>
      <c r="M51" s="1"/>
      <c r="N51" s="5">
        <f t="shared" si="32"/>
        <v>-1</v>
      </c>
      <c r="O51" s="13"/>
      <c r="P51" s="1">
        <f>SUM(OSRRefP22_8x_0)</f>
        <v>7.28</v>
      </c>
      <c r="Q51" s="1"/>
      <c r="R51" s="5">
        <f t="shared" si="33"/>
        <v>7.467355961063073E-3</v>
      </c>
      <c r="S51" s="1"/>
      <c r="T51" s="1">
        <f>SUM(OSRRefT22_8x_0)</f>
        <v>8730.1</v>
      </c>
      <c r="U51" s="1"/>
      <c r="V51" s="5">
        <f t="shared" si="34"/>
        <v>1.5804947243038669E-2</v>
      </c>
      <c r="W51" s="1"/>
      <c r="X51" s="1">
        <f t="shared" si="35"/>
        <v>-8722.82</v>
      </c>
      <c r="Y51" s="1"/>
      <c r="Z51" s="5">
        <f t="shared" si="36"/>
        <v>-0.99916610348105972</v>
      </c>
    </row>
    <row r="52" spans="1:26" s="24" customFormat="1" hidden="1" outlineLevel="2" x14ac:dyDescent="0.25">
      <c r="A52" s="26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29"/>
        <v>0</v>
      </c>
      <c r="G52" s="2"/>
      <c r="H52" s="6">
        <v>1492.87</v>
      </c>
      <c r="I52" s="2"/>
      <c r="J52" s="7">
        <f t="shared" si="30"/>
        <v>1.5950783114887585E-2</v>
      </c>
      <c r="K52" s="2"/>
      <c r="L52" s="6">
        <f t="shared" si="31"/>
        <v>-1492.87</v>
      </c>
      <c r="M52" s="2"/>
      <c r="N52" s="7">
        <f t="shared" si="32"/>
        <v>-1</v>
      </c>
      <c r="O52" s="11"/>
      <c r="P52" s="6">
        <v>7.28</v>
      </c>
      <c r="Q52" s="2"/>
      <c r="R52" s="7">
        <f t="shared" si="33"/>
        <v>7.467355961063073E-3</v>
      </c>
      <c r="S52" s="2"/>
      <c r="T52" s="6">
        <v>8730.1</v>
      </c>
      <c r="U52" s="2"/>
      <c r="V52" s="7">
        <f t="shared" si="34"/>
        <v>1.5804947243038669E-2</v>
      </c>
      <c r="W52" s="2"/>
      <c r="X52" s="6">
        <f t="shared" si="35"/>
        <v>-8722.82</v>
      </c>
      <c r="Y52" s="2"/>
      <c r="Z52" s="7">
        <f t="shared" si="36"/>
        <v>-0.99916610348105972</v>
      </c>
    </row>
    <row r="53" spans="1:26" s="25" customFormat="1" outlineLevel="1" collapsed="1" x14ac:dyDescent="0.25">
      <c r="A53" s="27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SUM(OSRRefD22_9x_0)</f>
        <v>0</v>
      </c>
      <c r="E53" s="1"/>
      <c r="F53" s="5">
        <f t="shared" si="29"/>
        <v>0</v>
      </c>
      <c r="G53" s="1"/>
      <c r="H53" s="1">
        <f>SUM(OSRRefH22_9x_0)</f>
        <v>1667.28</v>
      </c>
      <c r="I53" s="1"/>
      <c r="J53" s="5">
        <f t="shared" si="30"/>
        <v>1.7814291714475992E-2</v>
      </c>
      <c r="K53" s="1"/>
      <c r="L53" s="1">
        <f t="shared" si="31"/>
        <v>-1667.28</v>
      </c>
      <c r="M53" s="1"/>
      <c r="N53" s="5">
        <f t="shared" si="32"/>
        <v>-1</v>
      </c>
      <c r="O53" s="13"/>
      <c r="P53" s="1">
        <f>SUM(OSRRefP22_9x_0)</f>
        <v>498.46</v>
      </c>
      <c r="Q53" s="1"/>
      <c r="R53" s="5">
        <f t="shared" si="33"/>
        <v>0.51128822147685427</v>
      </c>
      <c r="S53" s="1"/>
      <c r="T53" s="1">
        <f>SUM(OSRRefT22_9x_0)</f>
        <v>7089.62</v>
      </c>
      <c r="U53" s="1"/>
      <c r="V53" s="5">
        <f t="shared" si="34"/>
        <v>1.2835027098566088E-2</v>
      </c>
      <c r="W53" s="1"/>
      <c r="X53" s="1">
        <f t="shared" si="35"/>
        <v>-6591.16</v>
      </c>
      <c r="Y53" s="1"/>
      <c r="Z53" s="5">
        <f t="shared" si="36"/>
        <v>-0.92969157726366147</v>
      </c>
    </row>
    <row r="54" spans="1:26" s="24" customFormat="1" hidden="1" outlineLevel="2" x14ac:dyDescent="0.25">
      <c r="A54" s="26"/>
      <c r="B54" s="11" t="str">
        <f>CONCATENATE("          ", "6373", " - ", "MAINTENANCE CONTRACTS")</f>
        <v xml:space="preserve">          6373 - MAINTENANCE CONTRACTS</v>
      </c>
      <c r="C54" s="11"/>
      <c r="D54" s="6"/>
      <c r="E54" s="2"/>
      <c r="F54" s="7">
        <f t="shared" si="29"/>
        <v>0</v>
      </c>
      <c r="G54" s="2"/>
      <c r="H54" s="6"/>
      <c r="I54" s="2"/>
      <c r="J54" s="7">
        <f t="shared" si="30"/>
        <v>0</v>
      </c>
      <c r="K54" s="2"/>
      <c r="L54" s="6">
        <f t="shared" si="31"/>
        <v>0</v>
      </c>
      <c r="M54" s="2"/>
      <c r="N54" s="7">
        <f t="shared" si="32"/>
        <v>0</v>
      </c>
      <c r="O54" s="11"/>
      <c r="P54" s="6">
        <v>298.45999999999998</v>
      </c>
      <c r="Q54" s="2"/>
      <c r="R54" s="7">
        <f t="shared" si="33"/>
        <v>0.30614107968940724</v>
      </c>
      <c r="S54" s="2"/>
      <c r="T54" s="6">
        <v>240.39</v>
      </c>
      <c r="U54" s="2"/>
      <c r="V54" s="7">
        <f t="shared" si="34"/>
        <v>4.3520134566088194E-4</v>
      </c>
      <c r="W54" s="2"/>
      <c r="X54" s="6">
        <f t="shared" si="35"/>
        <v>58.069999999999993</v>
      </c>
      <c r="Y54" s="2"/>
      <c r="Z54" s="7">
        <f t="shared" si="36"/>
        <v>0.24156578892632805</v>
      </c>
    </row>
    <row r="55" spans="1:26" s="24" customFormat="1" hidden="1" outlineLevel="2" x14ac:dyDescent="0.25">
      <c r="A55" s="26"/>
      <c r="B55" s="11" t="str">
        <f>CONCATENATE("          ", "6375", " - ", "OUTSIDE REPAIRS &amp; MAINTENANCE")</f>
        <v xml:space="preserve">          6375 - OUTSIDE REPAIRS &amp; MAINTENANCE</v>
      </c>
      <c r="C55" s="11"/>
      <c r="D55" s="6"/>
      <c r="E55" s="2"/>
      <c r="F55" s="7">
        <f t="shared" si="29"/>
        <v>0</v>
      </c>
      <c r="G55" s="2"/>
      <c r="H55" s="6">
        <v>1667.28</v>
      </c>
      <c r="I55" s="2"/>
      <c r="J55" s="7">
        <f t="shared" si="30"/>
        <v>1.7814291714475992E-2</v>
      </c>
      <c r="K55" s="2"/>
      <c r="L55" s="6">
        <f t="shared" si="31"/>
        <v>-1667.28</v>
      </c>
      <c r="M55" s="2"/>
      <c r="N55" s="7">
        <f t="shared" si="32"/>
        <v>-1</v>
      </c>
      <c r="O55" s="11"/>
      <c r="P55" s="6">
        <v>200</v>
      </c>
      <c r="Q55" s="2"/>
      <c r="R55" s="7">
        <f t="shared" si="33"/>
        <v>0.20514714178744706</v>
      </c>
      <c r="S55" s="2"/>
      <c r="T55" s="6">
        <v>6849.23</v>
      </c>
      <c r="U55" s="2"/>
      <c r="V55" s="7">
        <f t="shared" si="34"/>
        <v>1.2399825752905207E-2</v>
      </c>
      <c r="W55" s="2"/>
      <c r="X55" s="6">
        <f t="shared" si="35"/>
        <v>-6649.23</v>
      </c>
      <c r="Y55" s="2"/>
      <c r="Z55" s="7">
        <f t="shared" si="36"/>
        <v>-0.97079963733149566</v>
      </c>
    </row>
    <row r="56" spans="1:26" s="25" customFormat="1" outlineLevel="1" collapsed="1" x14ac:dyDescent="0.25">
      <c r="A56" s="27"/>
      <c r="B56" s="13" t="str">
        <f>CONCATENATE("     ","Royalty &amp; Commissions                             ")</f>
        <v xml:space="preserve">     Royalty &amp; Commissions                             </v>
      </c>
      <c r="C56" s="13"/>
      <c r="D56" s="1">
        <f>SUM(OSRRefD22_10x_0)</f>
        <v>0</v>
      </c>
      <c r="E56" s="1"/>
      <c r="F56" s="5">
        <f t="shared" ref="F56:F69" si="37">IF(D$12=0,0,D56/D$12)</f>
        <v>0</v>
      </c>
      <c r="G56" s="1"/>
      <c r="H56" s="1">
        <f>SUM(OSRRefH22_10x_0)</f>
        <v>7487.36</v>
      </c>
      <c r="I56" s="1"/>
      <c r="J56" s="5">
        <f t="shared" ref="J56:J69" si="38">IF(H$12=0,0,H56/H$12)</f>
        <v>7.9999769211709468E-2</v>
      </c>
      <c r="K56" s="1"/>
      <c r="L56" s="1">
        <f t="shared" ref="L56:L69" si="39">+D56-H56</f>
        <v>-7487.36</v>
      </c>
      <c r="M56" s="1"/>
      <c r="N56" s="5">
        <f t="shared" ref="N56:N69" si="40">IF(H56=0,0,L56/H56)</f>
        <v>-1</v>
      </c>
      <c r="O56" s="13"/>
      <c r="P56" s="1">
        <f>SUM(OSRRefP22_10x_0)</f>
        <v>0</v>
      </c>
      <c r="Q56" s="1"/>
      <c r="R56" s="5">
        <f t="shared" ref="R56:R69" si="41">IF(P$12=0,0,P56/P$12)</f>
        <v>0</v>
      </c>
      <c r="S56" s="1"/>
      <c r="T56" s="1">
        <f>SUM(OSRRefT22_10x_0)</f>
        <v>40969.360000000001</v>
      </c>
      <c r="U56" s="1"/>
      <c r="V56" s="5">
        <f t="shared" ref="V56:V69" si="42">IF(T$12=0,0,T56/T$12)</f>
        <v>7.4170808281813355E-2</v>
      </c>
      <c r="W56" s="1"/>
      <c r="X56" s="1">
        <f t="shared" ref="X56:X69" si="43">+P56-T56</f>
        <v>-40969.360000000001</v>
      </c>
      <c r="Y56" s="1"/>
      <c r="Z56" s="5">
        <f t="shared" ref="Z56:Z69" si="44">IF(T56=0,0,X56/T56)</f>
        <v>-1</v>
      </c>
    </row>
    <row r="57" spans="1:26" s="24" customFormat="1" hidden="1" outlineLevel="2" x14ac:dyDescent="0.25">
      <c r="A57" s="26"/>
      <c r="B57" s="11" t="str">
        <f>CONCATENATE("          ", "6259", " - ", "ROYALTY &amp; COMMISSIONS")</f>
        <v xml:space="preserve">          6259 - ROYALTY &amp; COMMISSIONS</v>
      </c>
      <c r="C57" s="11"/>
      <c r="D57" s="6"/>
      <c r="E57" s="2"/>
      <c r="F57" s="7">
        <f t="shared" si="37"/>
        <v>0</v>
      </c>
      <c r="G57" s="2"/>
      <c r="H57" s="6">
        <v>7487.36</v>
      </c>
      <c r="I57" s="2"/>
      <c r="J57" s="7">
        <f t="shared" si="38"/>
        <v>7.9999769211709468E-2</v>
      </c>
      <c r="K57" s="2"/>
      <c r="L57" s="6">
        <f t="shared" si="39"/>
        <v>-7487.36</v>
      </c>
      <c r="M57" s="2"/>
      <c r="N57" s="7">
        <f t="shared" si="40"/>
        <v>-1</v>
      </c>
      <c r="O57" s="11"/>
      <c r="P57" s="6"/>
      <c r="Q57" s="2"/>
      <c r="R57" s="7">
        <f t="shared" si="41"/>
        <v>0</v>
      </c>
      <c r="S57" s="2"/>
      <c r="T57" s="6">
        <v>40969.360000000001</v>
      </c>
      <c r="U57" s="2"/>
      <c r="V57" s="7">
        <f t="shared" si="42"/>
        <v>7.4170808281813355E-2</v>
      </c>
      <c r="W57" s="2"/>
      <c r="X57" s="6">
        <f t="shared" si="43"/>
        <v>-40969.360000000001</v>
      </c>
      <c r="Y57" s="2"/>
      <c r="Z57" s="7">
        <f t="shared" si="44"/>
        <v>-1</v>
      </c>
    </row>
    <row r="58" spans="1:26" s="25" customFormat="1" outlineLevel="1" collapsed="1" x14ac:dyDescent="0.25">
      <c r="A58" s="27"/>
      <c r="B58" s="13" t="str">
        <f>CONCATENATE("     ","Services                                          ")</f>
        <v xml:space="preserve">     Services                                          </v>
      </c>
      <c r="C58" s="13"/>
      <c r="D58" s="1">
        <f>SUM(OSRRefD22_11x_0)</f>
        <v>0</v>
      </c>
      <c r="E58" s="1"/>
      <c r="F58" s="5">
        <f t="shared" si="37"/>
        <v>0</v>
      </c>
      <c r="G58" s="1"/>
      <c r="H58" s="1">
        <f>SUM(OSRRefH22_11x_0)</f>
        <v>65</v>
      </c>
      <c r="I58" s="1"/>
      <c r="J58" s="5">
        <f t="shared" si="38"/>
        <v>6.9450180020208931E-4</v>
      </c>
      <c r="K58" s="1"/>
      <c r="L58" s="1">
        <f t="shared" si="39"/>
        <v>-65</v>
      </c>
      <c r="M58" s="1"/>
      <c r="N58" s="5">
        <f t="shared" si="40"/>
        <v>-1</v>
      </c>
      <c r="O58" s="13"/>
      <c r="P58" s="1">
        <f>SUM(OSRRefP22_11x_0)</f>
        <v>0</v>
      </c>
      <c r="Q58" s="1"/>
      <c r="R58" s="5">
        <f t="shared" si="41"/>
        <v>0</v>
      </c>
      <c r="S58" s="1"/>
      <c r="T58" s="1">
        <f>SUM(OSRRefT22_11x_0)</f>
        <v>476.1</v>
      </c>
      <c r="U58" s="1"/>
      <c r="V58" s="5">
        <f t="shared" si="42"/>
        <v>8.6193003315090445E-4</v>
      </c>
      <c r="W58" s="1"/>
      <c r="X58" s="1">
        <f t="shared" si="43"/>
        <v>-476.1</v>
      </c>
      <c r="Y58" s="1"/>
      <c r="Z58" s="5">
        <f t="shared" si="44"/>
        <v>-1</v>
      </c>
    </row>
    <row r="59" spans="1:26" s="24" customFormat="1" hidden="1" outlineLevel="2" x14ac:dyDescent="0.25">
      <c r="A59" s="26"/>
      <c r="B59" s="11" t="str">
        <f>CONCATENATE("          ", "6286", " - ", "LAUNDRY EXPENSE")</f>
        <v xml:space="preserve">          6286 - LAUNDRY EXPENSE</v>
      </c>
      <c r="C59" s="11"/>
      <c r="D59" s="6"/>
      <c r="E59" s="2"/>
      <c r="F59" s="7">
        <f t="shared" si="37"/>
        <v>0</v>
      </c>
      <c r="G59" s="2"/>
      <c r="H59" s="6">
        <v>65</v>
      </c>
      <c r="I59" s="2"/>
      <c r="J59" s="7">
        <f t="shared" si="38"/>
        <v>6.9450180020208931E-4</v>
      </c>
      <c r="K59" s="2"/>
      <c r="L59" s="6">
        <f t="shared" si="39"/>
        <v>-65</v>
      </c>
      <c r="M59" s="2"/>
      <c r="N59" s="7">
        <f t="shared" si="40"/>
        <v>-1</v>
      </c>
      <c r="O59" s="11"/>
      <c r="P59" s="6"/>
      <c r="Q59" s="2"/>
      <c r="R59" s="7">
        <f t="shared" si="41"/>
        <v>0</v>
      </c>
      <c r="S59" s="2"/>
      <c r="T59" s="6">
        <v>476.1</v>
      </c>
      <c r="U59" s="2"/>
      <c r="V59" s="7">
        <f t="shared" si="42"/>
        <v>8.6193003315090445E-4</v>
      </c>
      <c r="W59" s="2"/>
      <c r="X59" s="6">
        <f t="shared" si="43"/>
        <v>-476.1</v>
      </c>
      <c r="Y59" s="2"/>
      <c r="Z59" s="7">
        <f t="shared" si="44"/>
        <v>-1</v>
      </c>
    </row>
    <row r="60" spans="1:26" s="25" customFormat="1" outlineLevel="1" collapsed="1" x14ac:dyDescent="0.25">
      <c r="A60" s="27"/>
      <c r="B60" s="13" t="str">
        <f>CONCATENATE("     ","Subscriptions &amp; Dues                              ")</f>
        <v xml:space="preserve">     Subscriptions &amp; Dues                              </v>
      </c>
      <c r="C60" s="13"/>
      <c r="D60" s="1">
        <f>SUM(OSRRefD22_12x_0)</f>
        <v>0</v>
      </c>
      <c r="E60" s="1"/>
      <c r="F60" s="5">
        <f t="shared" si="37"/>
        <v>0</v>
      </c>
      <c r="G60" s="1"/>
      <c r="H60" s="1">
        <f>SUM(OSRRefH22_12x_0)</f>
        <v>0</v>
      </c>
      <c r="I60" s="1"/>
      <c r="J60" s="5">
        <f t="shared" si="38"/>
        <v>0</v>
      </c>
      <c r="K60" s="1"/>
      <c r="L60" s="1">
        <f t="shared" si="39"/>
        <v>0</v>
      </c>
      <c r="M60" s="1"/>
      <c r="N60" s="5">
        <f t="shared" si="40"/>
        <v>0</v>
      </c>
      <c r="O60" s="13"/>
      <c r="P60" s="1">
        <f>SUM(OSRRefP22_12x_0)</f>
        <v>0</v>
      </c>
      <c r="Q60" s="1"/>
      <c r="R60" s="5">
        <f t="shared" si="41"/>
        <v>0</v>
      </c>
      <c r="S60" s="1"/>
      <c r="T60" s="1">
        <f>SUM(OSRRefT22_12x_0)</f>
        <v>122.72</v>
      </c>
      <c r="U60" s="1"/>
      <c r="V60" s="5">
        <f t="shared" si="42"/>
        <v>2.2217192536920602E-4</v>
      </c>
      <c r="W60" s="1"/>
      <c r="X60" s="1">
        <f t="shared" si="43"/>
        <v>-122.72</v>
      </c>
      <c r="Y60" s="1"/>
      <c r="Z60" s="5">
        <f t="shared" si="44"/>
        <v>-1</v>
      </c>
    </row>
    <row r="61" spans="1:26" s="24" customFormat="1" hidden="1" outlineLevel="2" x14ac:dyDescent="0.25">
      <c r="A61" s="26"/>
      <c r="B61" s="11" t="str">
        <f>CONCATENATE("          ", "6275", " - ", "SUBSCRIPTIONS")</f>
        <v xml:space="preserve">          6275 - SUBSCRIPTIONS</v>
      </c>
      <c r="C61" s="11"/>
      <c r="D61" s="6"/>
      <c r="E61" s="2"/>
      <c r="F61" s="7">
        <f t="shared" si="37"/>
        <v>0</v>
      </c>
      <c r="G61" s="2"/>
      <c r="H61" s="6"/>
      <c r="I61" s="2"/>
      <c r="J61" s="7">
        <f t="shared" si="38"/>
        <v>0</v>
      </c>
      <c r="K61" s="2"/>
      <c r="L61" s="6">
        <f t="shared" si="39"/>
        <v>0</v>
      </c>
      <c r="M61" s="2"/>
      <c r="N61" s="7">
        <f t="shared" si="40"/>
        <v>0</v>
      </c>
      <c r="O61" s="11"/>
      <c r="P61" s="6"/>
      <c r="Q61" s="2"/>
      <c r="R61" s="7">
        <f t="shared" si="41"/>
        <v>0</v>
      </c>
      <c r="S61" s="2"/>
      <c r="T61" s="6">
        <v>122.72</v>
      </c>
      <c r="U61" s="2"/>
      <c r="V61" s="7">
        <f t="shared" si="42"/>
        <v>2.2217192536920602E-4</v>
      </c>
      <c r="W61" s="2"/>
      <c r="X61" s="6">
        <f t="shared" si="43"/>
        <v>-122.72</v>
      </c>
      <c r="Y61" s="2"/>
      <c r="Z61" s="7">
        <f t="shared" si="44"/>
        <v>-1</v>
      </c>
    </row>
    <row r="62" spans="1:26" s="25" customFormat="1" outlineLevel="1" collapsed="1" x14ac:dyDescent="0.25">
      <c r="A62" s="27"/>
      <c r="B62" s="13" t="str">
        <f>CONCATENATE("     ","Supplies                                          ")</f>
        <v xml:space="preserve">     Supplies                                          </v>
      </c>
      <c r="C62" s="13"/>
      <c r="D62" s="1">
        <f>SUM(OSRRefD22_13x_0)</f>
        <v>0</v>
      </c>
      <c r="E62" s="1"/>
      <c r="F62" s="5">
        <f t="shared" si="37"/>
        <v>0</v>
      </c>
      <c r="G62" s="1"/>
      <c r="H62" s="1">
        <f>SUM(OSRRefH22_13x_0)</f>
        <v>2472.56</v>
      </c>
      <c r="I62" s="1"/>
      <c r="J62" s="5">
        <f t="shared" si="38"/>
        <v>2.6418421093964275E-2</v>
      </c>
      <c r="K62" s="1"/>
      <c r="L62" s="1">
        <f t="shared" si="39"/>
        <v>-2472.56</v>
      </c>
      <c r="M62" s="1"/>
      <c r="N62" s="5">
        <f t="shared" si="40"/>
        <v>-1</v>
      </c>
      <c r="O62" s="13"/>
      <c r="P62" s="1">
        <f>SUM(OSRRefP22_13x_0)</f>
        <v>0</v>
      </c>
      <c r="Q62" s="1"/>
      <c r="R62" s="5">
        <f t="shared" si="41"/>
        <v>0</v>
      </c>
      <c r="S62" s="1"/>
      <c r="T62" s="1">
        <f>SUM(OSRRefT22_13x_0)</f>
        <v>11184.159999999998</v>
      </c>
      <c r="U62" s="1"/>
      <c r="V62" s="5">
        <f t="shared" si="42"/>
        <v>2.0247770215427469E-2</v>
      </c>
      <c r="W62" s="1"/>
      <c r="X62" s="1">
        <f t="shared" si="43"/>
        <v>-11184.159999999998</v>
      </c>
      <c r="Y62" s="1"/>
      <c r="Z62" s="5">
        <f t="shared" si="44"/>
        <v>-1</v>
      </c>
    </row>
    <row r="63" spans="1:26" s="24" customFormat="1" hidden="1" outlineLevel="2" x14ac:dyDescent="0.25">
      <c r="A63" s="26"/>
      <c r="B63" s="11" t="str">
        <f>CONCATENATE("          ", "6237", " - ", "JANITORIAL SUPPLIES")</f>
        <v xml:space="preserve">          6237 - JANITORIAL SUPPLIES</v>
      </c>
      <c r="C63" s="11"/>
      <c r="D63" s="6"/>
      <c r="E63" s="2"/>
      <c r="F63" s="7">
        <f t="shared" si="37"/>
        <v>0</v>
      </c>
      <c r="G63" s="2"/>
      <c r="H63" s="6">
        <v>31.65</v>
      </c>
      <c r="I63" s="2"/>
      <c r="J63" s="7">
        <f t="shared" si="38"/>
        <v>3.3816895348301733E-4</v>
      </c>
      <c r="K63" s="2"/>
      <c r="L63" s="6">
        <f t="shared" si="39"/>
        <v>-31.65</v>
      </c>
      <c r="M63" s="2"/>
      <c r="N63" s="7">
        <f t="shared" si="40"/>
        <v>-1</v>
      </c>
      <c r="O63" s="11"/>
      <c r="P63" s="6"/>
      <c r="Q63" s="2"/>
      <c r="R63" s="7">
        <f t="shared" si="41"/>
        <v>0</v>
      </c>
      <c r="S63" s="2"/>
      <c r="T63" s="6">
        <v>268.49</v>
      </c>
      <c r="U63" s="2"/>
      <c r="V63" s="7">
        <f t="shared" si="42"/>
        <v>4.860735026269404E-4</v>
      </c>
      <c r="W63" s="2"/>
      <c r="X63" s="6">
        <f t="shared" si="43"/>
        <v>-268.49</v>
      </c>
      <c r="Y63" s="2"/>
      <c r="Z63" s="7">
        <f t="shared" si="44"/>
        <v>-1</v>
      </c>
    </row>
    <row r="64" spans="1:26" s="24" customFormat="1" hidden="1" outlineLevel="2" x14ac:dyDescent="0.25">
      <c r="A64" s="26"/>
      <c r="B64" s="11" t="str">
        <f>CONCATENATE("          ", "6239", " - ", "KITCHEN SUPPLIES")</f>
        <v xml:space="preserve">          6239 - KITCHEN SUPPLIES</v>
      </c>
      <c r="C64" s="11"/>
      <c r="D64" s="6"/>
      <c r="E64" s="2"/>
      <c r="F64" s="7">
        <f t="shared" si="37"/>
        <v>0</v>
      </c>
      <c r="G64" s="2"/>
      <c r="H64" s="6">
        <v>92.77</v>
      </c>
      <c r="I64" s="2"/>
      <c r="J64" s="7">
        <f t="shared" si="38"/>
        <v>9.9121433853458191E-4</v>
      </c>
      <c r="K64" s="2"/>
      <c r="L64" s="6">
        <f t="shared" si="39"/>
        <v>-92.77</v>
      </c>
      <c r="M64" s="2"/>
      <c r="N64" s="7">
        <f t="shared" si="40"/>
        <v>-1</v>
      </c>
      <c r="O64" s="11"/>
      <c r="P64" s="6"/>
      <c r="Q64" s="2"/>
      <c r="R64" s="7">
        <f t="shared" si="41"/>
        <v>0</v>
      </c>
      <c r="S64" s="2"/>
      <c r="T64" s="6">
        <v>1992.08</v>
      </c>
      <c r="U64" s="2"/>
      <c r="V64" s="7">
        <f t="shared" si="42"/>
        <v>3.6064557455140803E-3</v>
      </c>
      <c r="W64" s="2"/>
      <c r="X64" s="6">
        <f t="shared" si="43"/>
        <v>-1992.08</v>
      </c>
      <c r="Y64" s="2"/>
      <c r="Z64" s="7">
        <f t="shared" si="44"/>
        <v>-1</v>
      </c>
    </row>
    <row r="65" spans="1:26" s="24" customFormat="1" hidden="1" outlineLevel="2" x14ac:dyDescent="0.25">
      <c r="A65" s="26"/>
      <c r="B65" s="11" t="str">
        <f>CONCATENATE("          ", "6241", " - ", "OFFICE EXPENSE")</f>
        <v xml:space="preserve">          6241 - OFFICE EXPENSE</v>
      </c>
      <c r="C65" s="11"/>
      <c r="D65" s="6"/>
      <c r="E65" s="2"/>
      <c r="F65" s="7">
        <f t="shared" si="37"/>
        <v>0</v>
      </c>
      <c r="G65" s="2"/>
      <c r="H65" s="6"/>
      <c r="I65" s="2"/>
      <c r="J65" s="7">
        <f t="shared" si="38"/>
        <v>0</v>
      </c>
      <c r="K65" s="2"/>
      <c r="L65" s="6">
        <f t="shared" si="39"/>
        <v>0</v>
      </c>
      <c r="M65" s="2"/>
      <c r="N65" s="7">
        <f t="shared" si="40"/>
        <v>0</v>
      </c>
      <c r="O65" s="11"/>
      <c r="P65" s="6"/>
      <c r="Q65" s="2"/>
      <c r="R65" s="7">
        <f t="shared" si="41"/>
        <v>0</v>
      </c>
      <c r="S65" s="2"/>
      <c r="T65" s="6">
        <v>1499.6</v>
      </c>
      <c r="U65" s="2"/>
      <c r="V65" s="7">
        <f t="shared" si="42"/>
        <v>2.7148714087651673E-3</v>
      </c>
      <c r="W65" s="2"/>
      <c r="X65" s="6">
        <f t="shared" si="43"/>
        <v>-1499.6</v>
      </c>
      <c r="Y65" s="2"/>
      <c r="Z65" s="7">
        <f t="shared" si="44"/>
        <v>-1</v>
      </c>
    </row>
    <row r="66" spans="1:26" s="24" customFormat="1" hidden="1" outlineLevel="2" x14ac:dyDescent="0.25">
      <c r="A66" s="26"/>
      <c r="B66" s="11" t="str">
        <f>CONCATENATE("          ", "6243", " - ", "PAPER SUPPLIES")</f>
        <v xml:space="preserve">          6243 - PAPER SUPPLIES</v>
      </c>
      <c r="C66" s="11"/>
      <c r="D66" s="6"/>
      <c r="E66" s="2"/>
      <c r="F66" s="7">
        <f t="shared" si="37"/>
        <v>0</v>
      </c>
      <c r="G66" s="2"/>
      <c r="H66" s="6">
        <v>156.46</v>
      </c>
      <c r="I66" s="2"/>
      <c r="J66" s="7">
        <f t="shared" si="38"/>
        <v>1.6717192563018293E-3</v>
      </c>
      <c r="K66" s="2"/>
      <c r="L66" s="6">
        <f t="shared" si="39"/>
        <v>-156.46</v>
      </c>
      <c r="M66" s="2"/>
      <c r="N66" s="7">
        <f t="shared" si="40"/>
        <v>-1</v>
      </c>
      <c r="O66" s="11"/>
      <c r="P66" s="6"/>
      <c r="Q66" s="2"/>
      <c r="R66" s="7">
        <f t="shared" si="41"/>
        <v>0</v>
      </c>
      <c r="S66" s="2"/>
      <c r="T66" s="6">
        <v>3640.61</v>
      </c>
      <c r="U66" s="2"/>
      <c r="V66" s="7">
        <f t="shared" si="42"/>
        <v>6.5909495861993577E-3</v>
      </c>
      <c r="W66" s="2"/>
      <c r="X66" s="6">
        <f t="shared" si="43"/>
        <v>-3640.61</v>
      </c>
      <c r="Y66" s="2"/>
      <c r="Z66" s="7">
        <f t="shared" si="44"/>
        <v>-1</v>
      </c>
    </row>
    <row r="67" spans="1:26" s="24" customFormat="1" hidden="1" outlineLevel="2" x14ac:dyDescent="0.25">
      <c r="A67" s="26"/>
      <c r="B67" s="11" t="str">
        <f>CONCATENATE("          ", "6245", " - ", "PRINTING")</f>
        <v xml:space="preserve">          6245 - PRINTING</v>
      </c>
      <c r="C67" s="11"/>
      <c r="D67" s="6"/>
      <c r="E67" s="2"/>
      <c r="F67" s="7">
        <f t="shared" si="37"/>
        <v>0</v>
      </c>
      <c r="G67" s="2"/>
      <c r="H67" s="6"/>
      <c r="I67" s="2"/>
      <c r="J67" s="7">
        <f t="shared" si="38"/>
        <v>0</v>
      </c>
      <c r="K67" s="2"/>
      <c r="L67" s="6">
        <f t="shared" si="39"/>
        <v>0</v>
      </c>
      <c r="M67" s="2"/>
      <c r="N67" s="7">
        <f t="shared" si="40"/>
        <v>0</v>
      </c>
      <c r="O67" s="11"/>
      <c r="P67" s="6"/>
      <c r="Q67" s="2"/>
      <c r="R67" s="7">
        <f t="shared" si="41"/>
        <v>0</v>
      </c>
      <c r="S67" s="2"/>
      <c r="T67" s="6">
        <v>181.92</v>
      </c>
      <c r="U67" s="2"/>
      <c r="V67" s="7">
        <f t="shared" si="42"/>
        <v>3.293474304364892E-4</v>
      </c>
      <c r="W67" s="2"/>
      <c r="X67" s="6">
        <f t="shared" si="43"/>
        <v>-181.92</v>
      </c>
      <c r="Y67" s="2"/>
      <c r="Z67" s="7">
        <f t="shared" si="44"/>
        <v>-1</v>
      </c>
    </row>
    <row r="68" spans="1:26" s="24" customFormat="1" hidden="1" outlineLevel="2" x14ac:dyDescent="0.25">
      <c r="A68" s="26"/>
      <c r="B68" s="11" t="str">
        <f>CONCATENATE("          ", "6247", " - ", "STORE SUPPLIES")</f>
        <v xml:space="preserve">          6247 - STORE SUPPLIES</v>
      </c>
      <c r="C68" s="11"/>
      <c r="D68" s="6"/>
      <c r="E68" s="2"/>
      <c r="F68" s="7">
        <f t="shared" si="37"/>
        <v>0</v>
      </c>
      <c r="G68" s="2"/>
      <c r="H68" s="6">
        <v>2191.6799999999998</v>
      </c>
      <c r="I68" s="2"/>
      <c r="J68" s="7">
        <f t="shared" si="38"/>
        <v>2.3417318545644845E-2</v>
      </c>
      <c r="K68" s="2"/>
      <c r="L68" s="6">
        <f t="shared" si="39"/>
        <v>-2191.6799999999998</v>
      </c>
      <c r="M68" s="2"/>
      <c r="N68" s="7">
        <f t="shared" si="40"/>
        <v>-1</v>
      </c>
      <c r="O68" s="11"/>
      <c r="P68" s="6"/>
      <c r="Q68" s="2"/>
      <c r="R68" s="7">
        <f t="shared" si="41"/>
        <v>0</v>
      </c>
      <c r="S68" s="2"/>
      <c r="T68" s="6">
        <v>3454.49</v>
      </c>
      <c r="U68" s="2"/>
      <c r="V68" s="7">
        <f t="shared" si="42"/>
        <v>6.2539984881736354E-3</v>
      </c>
      <c r="W68" s="2"/>
      <c r="X68" s="6">
        <f t="shared" si="43"/>
        <v>-3454.49</v>
      </c>
      <c r="Y68" s="2"/>
      <c r="Z68" s="7">
        <f t="shared" si="44"/>
        <v>-1</v>
      </c>
    </row>
    <row r="69" spans="1:26" s="24" customFormat="1" hidden="1" outlineLevel="2" x14ac:dyDescent="0.25">
      <c r="A69" s="26"/>
      <c r="B69" s="11" t="str">
        <f>CONCATENATE("          ", "6248", " - ", "UNIFORMS")</f>
        <v xml:space="preserve">          6248 - UNIFORMS</v>
      </c>
      <c r="C69" s="11"/>
      <c r="D69" s="6"/>
      <c r="E69" s="2"/>
      <c r="F69" s="7">
        <f t="shared" si="37"/>
        <v>0</v>
      </c>
      <c r="G69" s="2"/>
      <c r="H69" s="6"/>
      <c r="I69" s="2"/>
      <c r="J69" s="7">
        <f t="shared" si="38"/>
        <v>0</v>
      </c>
      <c r="K69" s="2"/>
      <c r="L69" s="6">
        <f t="shared" si="39"/>
        <v>0</v>
      </c>
      <c r="M69" s="2"/>
      <c r="N69" s="7">
        <f t="shared" si="40"/>
        <v>0</v>
      </c>
      <c r="O69" s="11"/>
      <c r="P69" s="6"/>
      <c r="Q69" s="2"/>
      <c r="R69" s="7">
        <f t="shared" si="41"/>
        <v>0</v>
      </c>
      <c r="S69" s="2"/>
      <c r="T69" s="6">
        <v>146.97</v>
      </c>
      <c r="U69" s="2"/>
      <c r="V69" s="7">
        <f t="shared" si="42"/>
        <v>2.6607405371180094E-4</v>
      </c>
      <c r="W69" s="2"/>
      <c r="X69" s="6">
        <f t="shared" si="43"/>
        <v>-146.97</v>
      </c>
      <c r="Y69" s="2"/>
      <c r="Z69" s="7">
        <f t="shared" si="44"/>
        <v>-1</v>
      </c>
    </row>
    <row r="70" spans="1:26" s="25" customFormat="1" outlineLevel="1" collapsed="1" x14ac:dyDescent="0.25">
      <c r="A70" s="27"/>
      <c r="B70" s="13" t="str">
        <f>CONCATENATE("     ","Telephone/Data Lines                              ")</f>
        <v xml:space="preserve">     Telephone/Data Lines                              </v>
      </c>
      <c r="C70" s="13"/>
      <c r="D70" s="1">
        <f>SUM(OSRRefD22_14x_0)</f>
        <v>0</v>
      </c>
      <c r="E70" s="1"/>
      <c r="F70" s="5">
        <f t="shared" ref="F70:F73" si="45">IF(D$12=0,0,D70/D$12)</f>
        <v>0</v>
      </c>
      <c r="G70" s="1"/>
      <c r="H70" s="1">
        <f>SUM(OSRRefH22_14x_0)</f>
        <v>0</v>
      </c>
      <c r="I70" s="1"/>
      <c r="J70" s="5">
        <f t="shared" ref="J70:J73" si="46">IF(H$12=0,0,H70/H$12)</f>
        <v>0</v>
      </c>
      <c r="K70" s="1"/>
      <c r="L70" s="1">
        <f t="shared" ref="L70:L73" si="47">+D70-H70</f>
        <v>0</v>
      </c>
      <c r="M70" s="1"/>
      <c r="N70" s="5">
        <f t="shared" ref="N70:N73" si="48">IF(H70=0,0,L70/H70)</f>
        <v>0</v>
      </c>
      <c r="O70" s="13"/>
      <c r="P70" s="1">
        <f>SUM(OSRRefP22_14x_0)</f>
        <v>0</v>
      </c>
      <c r="Q70" s="1"/>
      <c r="R70" s="5">
        <f t="shared" ref="R70:R73" si="49">IF(P$12=0,0,P70/P$12)</f>
        <v>0</v>
      </c>
      <c r="S70" s="1"/>
      <c r="T70" s="1">
        <f>SUM(OSRRefT22_14x_0)</f>
        <v>-45</v>
      </c>
      <c r="U70" s="1"/>
      <c r="V70" s="5">
        <f t="shared" ref="V70:V73" si="50">IF(T$12=0,0,T70/T$12)</f>
        <v>-8.1467867027495695E-5</v>
      </c>
      <c r="W70" s="1"/>
      <c r="X70" s="1">
        <f t="shared" ref="X70:X73" si="51">+P70-T70</f>
        <v>45</v>
      </c>
      <c r="Y70" s="1"/>
      <c r="Z70" s="5">
        <f t="shared" ref="Z70:Z73" si="52">IF(T70=0,0,X70/T70)</f>
        <v>-1</v>
      </c>
    </row>
    <row r="71" spans="1:26" s="24" customFormat="1" hidden="1" outlineLevel="2" x14ac:dyDescent="0.25">
      <c r="A71" s="26"/>
      <c r="B71" s="11" t="str">
        <f>CONCATENATE("          ", "6309", " - ", "TELEPHONE")</f>
        <v xml:space="preserve">          6309 - TELEPHONE</v>
      </c>
      <c r="C71" s="11"/>
      <c r="D71" s="6"/>
      <c r="E71" s="2"/>
      <c r="F71" s="7">
        <f t="shared" si="45"/>
        <v>0</v>
      </c>
      <c r="G71" s="2"/>
      <c r="H71" s="6"/>
      <c r="I71" s="2"/>
      <c r="J71" s="7">
        <f t="shared" si="46"/>
        <v>0</v>
      </c>
      <c r="K71" s="2"/>
      <c r="L71" s="6">
        <f t="shared" si="47"/>
        <v>0</v>
      </c>
      <c r="M71" s="2"/>
      <c r="N71" s="7">
        <f t="shared" si="48"/>
        <v>0</v>
      </c>
      <c r="O71" s="11"/>
      <c r="P71" s="6"/>
      <c r="Q71" s="2"/>
      <c r="R71" s="7">
        <f t="shared" si="49"/>
        <v>0</v>
      </c>
      <c r="S71" s="2"/>
      <c r="T71" s="6">
        <v>-45</v>
      </c>
      <c r="U71" s="2"/>
      <c r="V71" s="7">
        <f t="shared" si="50"/>
        <v>-8.1467867027495695E-5</v>
      </c>
      <c r="W71" s="2"/>
      <c r="X71" s="6">
        <f t="shared" si="51"/>
        <v>45</v>
      </c>
      <c r="Y71" s="2"/>
      <c r="Z71" s="7">
        <f t="shared" si="52"/>
        <v>-1</v>
      </c>
    </row>
    <row r="72" spans="1:26" s="25" customFormat="1" outlineLevel="1" collapsed="1" x14ac:dyDescent="0.25">
      <c r="A72" s="27"/>
      <c r="B72" s="13" t="str">
        <f>CONCATENATE("     ","Training                                          ")</f>
        <v xml:space="preserve">     Training                                          </v>
      </c>
      <c r="C72" s="13"/>
      <c r="D72" s="1">
        <f>SUM(OSRRefD22_15x_0)</f>
        <v>0</v>
      </c>
      <c r="E72" s="1"/>
      <c r="F72" s="5">
        <f t="shared" si="45"/>
        <v>0</v>
      </c>
      <c r="G72" s="1"/>
      <c r="H72" s="1">
        <f>SUM(OSRRefH22_15x_0)</f>
        <v>0</v>
      </c>
      <c r="I72" s="1"/>
      <c r="J72" s="5">
        <f t="shared" si="46"/>
        <v>0</v>
      </c>
      <c r="K72" s="1"/>
      <c r="L72" s="1">
        <f t="shared" si="47"/>
        <v>0</v>
      </c>
      <c r="M72" s="1"/>
      <c r="N72" s="5">
        <f t="shared" si="48"/>
        <v>0</v>
      </c>
      <c r="O72" s="13"/>
      <c r="P72" s="1">
        <f>SUM(OSRRefP22_15x_0)</f>
        <v>0</v>
      </c>
      <c r="Q72" s="1"/>
      <c r="R72" s="5">
        <f t="shared" si="49"/>
        <v>0</v>
      </c>
      <c r="S72" s="1"/>
      <c r="T72" s="1">
        <f>SUM(OSRRefT22_15x_0)</f>
        <v>96</v>
      </c>
      <c r="U72" s="1"/>
      <c r="V72" s="5">
        <f t="shared" si="50"/>
        <v>1.7379811632532415E-4</v>
      </c>
      <c r="W72" s="1"/>
      <c r="X72" s="1">
        <f t="shared" si="51"/>
        <v>-96</v>
      </c>
      <c r="Y72" s="1"/>
      <c r="Z72" s="5">
        <f t="shared" si="52"/>
        <v>-1</v>
      </c>
    </row>
    <row r="73" spans="1:26" s="24" customFormat="1" hidden="1" outlineLevel="2" x14ac:dyDescent="0.25">
      <c r="A73" s="26"/>
      <c r="B73" s="11" t="str">
        <f>CONCATENATE("          ", "6376", " - ", "TRAINING")</f>
        <v xml:space="preserve">          6376 - TRAINING</v>
      </c>
      <c r="C73" s="11"/>
      <c r="D73" s="6"/>
      <c r="E73" s="2"/>
      <c r="F73" s="7">
        <f t="shared" si="45"/>
        <v>0</v>
      </c>
      <c r="G73" s="2"/>
      <c r="H73" s="6"/>
      <c r="I73" s="2"/>
      <c r="J73" s="7">
        <f t="shared" si="46"/>
        <v>0</v>
      </c>
      <c r="K73" s="2"/>
      <c r="L73" s="6">
        <f t="shared" si="47"/>
        <v>0</v>
      </c>
      <c r="M73" s="2"/>
      <c r="N73" s="7">
        <f t="shared" si="48"/>
        <v>0</v>
      </c>
      <c r="O73" s="11"/>
      <c r="P73" s="6"/>
      <c r="Q73" s="2"/>
      <c r="R73" s="7">
        <f t="shared" si="49"/>
        <v>0</v>
      </c>
      <c r="S73" s="2"/>
      <c r="T73" s="6">
        <v>96</v>
      </c>
      <c r="U73" s="2"/>
      <c r="V73" s="7">
        <f t="shared" si="50"/>
        <v>1.7379811632532415E-4</v>
      </c>
      <c r="W73" s="2"/>
      <c r="X73" s="6">
        <f t="shared" si="51"/>
        <v>-96</v>
      </c>
      <c r="Y73" s="2"/>
      <c r="Z73" s="7">
        <f t="shared" si="52"/>
        <v>-1</v>
      </c>
    </row>
    <row r="74" spans="1:26" s="52" customFormat="1" x14ac:dyDescent="0.25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8" t="s">
        <v>0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9" t="s">
        <v>3</v>
      </c>
      <c r="C77" s="29"/>
      <c r="D77" s="22">
        <f>+D20-D22+D75</f>
        <v>460.47</v>
      </c>
      <c r="E77" s="14"/>
      <c r="F77" s="20">
        <f>IF(D$12=0,0,D77/D$12)</f>
        <v>0</v>
      </c>
      <c r="G77" s="14"/>
      <c r="H77" s="22">
        <f>+H20-H22+H75</f>
        <v>14551.580000000002</v>
      </c>
      <c r="I77" s="14"/>
      <c r="J77" s="20">
        <f>IF(H$12=0,0,H77/H$12)</f>
        <v>0.15547843855053414</v>
      </c>
      <c r="K77" s="16"/>
      <c r="L77" s="22">
        <f>+D77-H77</f>
        <v>-14091.110000000002</v>
      </c>
      <c r="M77" s="16"/>
      <c r="N77" s="20">
        <f>IF(H77=0,0,L77/H77)</f>
        <v>-0.96835601357378376</v>
      </c>
      <c r="O77" s="28"/>
      <c r="P77" s="22">
        <f>+P20-P22+P75</f>
        <v>-12792.78</v>
      </c>
      <c r="Q77" s="14"/>
      <c r="R77" s="20">
        <f>IF(P$12=0,0,P77/P$12)</f>
        <v>-13.122011262578086</v>
      </c>
      <c r="S77" s="14"/>
      <c r="T77" s="22">
        <f>+T20-T22+T75</f>
        <v>83075.070000000182</v>
      </c>
      <c r="U77" s="14"/>
      <c r="V77" s="20">
        <f>IF(T$12=0,0,T77/T$12)</f>
        <v>0.15039886124577581</v>
      </c>
      <c r="W77" s="16"/>
      <c r="X77" s="22">
        <f>+P77-T77</f>
        <v>-95867.85000000018</v>
      </c>
      <c r="Y77" s="16"/>
      <c r="Z77" s="20">
        <f>IF(T77=0,0,X77/T77)</f>
        <v>-1.1539906015125834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1"/>
      <c r="B79" s="10" t="s">
        <v>13</v>
      </c>
      <c r="C79" s="10"/>
      <c r="D79" s="4">
        <v>16.100000000000001</v>
      </c>
      <c r="E79" s="4"/>
      <c r="F79" s="12">
        <f>IF(D$12=0,0,D79/D$12)</f>
        <v>0</v>
      </c>
      <c r="G79" s="4"/>
      <c r="H79" s="4">
        <v>8453.42</v>
      </c>
      <c r="I79" s="4"/>
      <c r="J79" s="12">
        <f>IF(H$12=0,0,H79/H$12)</f>
        <v>9.0321775505605315E-2</v>
      </c>
      <c r="K79" s="4"/>
      <c r="L79" s="4">
        <f>+D79-H79</f>
        <v>-8437.32</v>
      </c>
      <c r="M79" s="4"/>
      <c r="N79" s="12">
        <f>IF(H79=0,0,L79/H79)</f>
        <v>-0.99809544539369865</v>
      </c>
      <c r="O79" s="10"/>
      <c r="P79" s="4">
        <v>193.07</v>
      </c>
      <c r="Q79" s="4"/>
      <c r="R79" s="12">
        <f>IF(P$12=0,0,P79/P$12)</f>
        <v>0.19803879332451202</v>
      </c>
      <c r="S79" s="4"/>
      <c r="T79" s="4">
        <v>56296.92</v>
      </c>
      <c r="U79" s="4"/>
      <c r="V79" s="12">
        <f>IF(T$12=0,0,T79/T$12)</f>
        <v>0.10191977761372362</v>
      </c>
      <c r="W79" s="4"/>
      <c r="X79" s="4">
        <f>+P79-T79</f>
        <v>-56103.85</v>
      </c>
      <c r="Y79" s="4"/>
      <c r="Z79" s="12">
        <f>IF(T79=0,0,X79/T79)</f>
        <v>-0.99657050510045664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9" t="s">
        <v>4</v>
      </c>
      <c r="C81" s="29"/>
      <c r="D81" s="35">
        <f>+D77-D79</f>
        <v>444.37</v>
      </c>
      <c r="E81" s="14"/>
      <c r="F81" s="36">
        <f>IF(D$12=0,0,D81/D$12)</f>
        <v>0</v>
      </c>
      <c r="G81" s="14"/>
      <c r="H81" s="35">
        <f>+H77-H79</f>
        <v>6098.1600000000017</v>
      </c>
      <c r="I81" s="14"/>
      <c r="J81" s="36">
        <f>IF(H$12=0,0,H81/H$12)</f>
        <v>6.5156663044928828E-2</v>
      </c>
      <c r="K81" s="16"/>
      <c r="L81" s="35">
        <f>D81-H81</f>
        <v>-5653.7900000000018</v>
      </c>
      <c r="M81" s="16"/>
      <c r="N81" s="36">
        <f>IF(H81=0,0,L81/H81)</f>
        <v>-0.92713047870177234</v>
      </c>
      <c r="O81" s="28"/>
      <c r="P81" s="35">
        <f>+P77-P79</f>
        <v>-12985.85</v>
      </c>
      <c r="Q81" s="14"/>
      <c r="R81" s="36">
        <f>IF(P$12=0,0,P81/P$12)</f>
        <v>-13.320050055902596</v>
      </c>
      <c r="S81" s="14"/>
      <c r="T81" s="35">
        <f>+T77-T79</f>
        <v>26778.150000000183</v>
      </c>
      <c r="U81" s="14"/>
      <c r="V81" s="36">
        <f>IF(T$12=0,0,T81/T$12)</f>
        <v>4.8479083632052195E-2</v>
      </c>
      <c r="W81" s="16"/>
      <c r="X81" s="35">
        <f>P81-T81</f>
        <v>-39764.000000000182</v>
      </c>
      <c r="Y81" s="16"/>
      <c r="Z81" s="36">
        <f>IF(T81=0,0,X81/T81)</f>
        <v>-1.4849420142914993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9" t="s">
        <v>5</v>
      </c>
      <c r="C84" s="29"/>
      <c r="D84" s="31">
        <f>SUM(D81:D83)</f>
        <v>444.37</v>
      </c>
      <c r="E84" s="14"/>
      <c r="F84" s="33">
        <f>IF(D$12=0,0,D84/D$12)</f>
        <v>0</v>
      </c>
      <c r="G84" s="14"/>
      <c r="H84" s="31">
        <f>SUM(H81:H83)</f>
        <v>6098.1600000000017</v>
      </c>
      <c r="I84" s="14"/>
      <c r="J84" s="33">
        <f>IF(H$12=0,0,H84/H$12)</f>
        <v>6.5156663044928828E-2</v>
      </c>
      <c r="K84" s="16"/>
      <c r="L84" s="31">
        <f>+D84-H84</f>
        <v>-5653.7900000000018</v>
      </c>
      <c r="M84" s="16"/>
      <c r="N84" s="33">
        <f>IF(H84=0,0,L84/H84)</f>
        <v>-0.92713047870177234</v>
      </c>
      <c r="O84" s="28"/>
      <c r="P84" s="31">
        <f>SUM(P81:P83)</f>
        <v>-12985.85</v>
      </c>
      <c r="Q84" s="14"/>
      <c r="R84" s="33">
        <f>IF(P$12=0,0,P84/P$12)</f>
        <v>-13.320050055902596</v>
      </c>
      <c r="S84" s="14"/>
      <c r="T84" s="31">
        <f>SUM(T81:T83)</f>
        <v>26778.150000000183</v>
      </c>
      <c r="U84" s="14"/>
      <c r="V84" s="33">
        <f>IF(T$12=0,0,T84/T$12)</f>
        <v>4.8479083632052195E-2</v>
      </c>
      <c r="W84" s="16"/>
      <c r="X84" s="31">
        <f>+P84-T84</f>
        <v>-39764.000000000182</v>
      </c>
      <c r="Y84" s="16"/>
      <c r="Z84" s="33">
        <f>IF(T84=0,0,X84/T84)</f>
        <v>-1.4849420142914993</v>
      </c>
    </row>
    <row r="85" spans="1:26" ht="15.75" thickTop="1" x14ac:dyDescent="0.25">
      <c r="A85" s="9"/>
      <c r="C85" s="9"/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56">
        <v>44267.668567361114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54" t="s">
        <v>313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58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","415", " - ", "Outpost")</f>
        <v>Department 415 - Outpost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106538.20000000001</v>
      </c>
      <c r="I12" s="4"/>
      <c r="J12" s="12"/>
      <c r="K12" s="4"/>
      <c r="L12" s="4">
        <f t="shared" ref="L12:L14" si="0">+D12-H12</f>
        <v>-106538.20000000001</v>
      </c>
      <c r="M12" s="4"/>
      <c r="N12" s="12">
        <f t="shared" ref="N12:N14" si="1">IF(H12=0,0,L12/H12)</f>
        <v>-1</v>
      </c>
      <c r="O12" s="10"/>
      <c r="P12" s="4">
        <f>SUM(OSRRefP13x_0)</f>
        <v>45135.7</v>
      </c>
      <c r="Q12" s="4"/>
      <c r="R12" s="12"/>
      <c r="S12" s="4"/>
      <c r="T12" s="4">
        <f>SUM(OSRRefT13x_0)</f>
        <v>607864.57999999996</v>
      </c>
      <c r="U12" s="4"/>
      <c r="V12" s="12"/>
      <c r="W12" s="4"/>
      <c r="X12" s="4">
        <f t="shared" ref="X12:X14" si="2">+P12-T12</f>
        <v>-562728.88</v>
      </c>
      <c r="Y12" s="4"/>
      <c r="Z12" s="12">
        <f t="shared" ref="Z12:Z14" si="3">IF(T12=0,0,X12/T12)</f>
        <v>-0.92574711295071688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--34328.98</f>
        <v>34328.980000000003</v>
      </c>
      <c r="I13" s="2"/>
      <c r="J13" s="19"/>
      <c r="K13" s="2"/>
      <c r="L13" s="2">
        <f t="shared" si="0"/>
        <v>-34328.980000000003</v>
      </c>
      <c r="M13" s="2"/>
      <c r="N13" s="19">
        <f t="shared" si="1"/>
        <v>-1</v>
      </c>
      <c r="O13" s="11"/>
      <c r="P13" s="2">
        <f>--22964.48</f>
        <v>22964.48</v>
      </c>
      <c r="Q13" s="2"/>
      <c r="R13" s="19"/>
      <c r="S13" s="2"/>
      <c r="T13" s="2">
        <f>--189061.54</f>
        <v>189061.54</v>
      </c>
      <c r="U13" s="2"/>
      <c r="V13" s="19"/>
      <c r="W13" s="2"/>
      <c r="X13" s="2">
        <f t="shared" si="2"/>
        <v>-166097.06</v>
      </c>
      <c r="Y13" s="2"/>
      <c r="Z13" s="19">
        <f t="shared" si="3"/>
        <v>-0.87853436505383375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--72209.22</f>
        <v>72209.22</v>
      </c>
      <c r="I14" s="2"/>
      <c r="J14" s="19"/>
      <c r="K14" s="2"/>
      <c r="L14" s="2">
        <f t="shared" si="0"/>
        <v>-72209.22</v>
      </c>
      <c r="M14" s="2"/>
      <c r="N14" s="19">
        <f t="shared" si="1"/>
        <v>-1</v>
      </c>
      <c r="O14" s="11"/>
      <c r="P14" s="2">
        <f>--22171.22</f>
        <v>22171.22</v>
      </c>
      <c r="Q14" s="2"/>
      <c r="R14" s="19"/>
      <c r="S14" s="2"/>
      <c r="T14" s="2">
        <f>--418803.04</f>
        <v>418803.04</v>
      </c>
      <c r="U14" s="2"/>
      <c r="V14" s="19"/>
      <c r="W14" s="2"/>
      <c r="X14" s="2">
        <f t="shared" si="2"/>
        <v>-396631.81999999995</v>
      </c>
      <c r="Y14" s="2"/>
      <c r="Z14" s="19">
        <f t="shared" si="3"/>
        <v>-0.94706050844330059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420</v>
      </c>
      <c r="E16" s="4"/>
      <c r="F16" s="12">
        <f t="shared" ref="F16:F18" si="5">IF(D$12=0,0,D16/D$12)</f>
        <v>0</v>
      </c>
      <c r="G16" s="4"/>
      <c r="H16" s="4">
        <f>SUM(OSRRefH16x_0)</f>
        <v>33418.590000000004</v>
      </c>
      <c r="I16" s="4"/>
      <c r="J16" s="12">
        <f t="shared" ref="J16:J18" si="6">IF(H$12=0,0,H16/H$12)</f>
        <v>0.3136770660664438</v>
      </c>
      <c r="K16" s="4"/>
      <c r="L16" s="4">
        <f t="shared" ref="L16:L18" si="7">+D16-H16</f>
        <v>-32998.590000000004</v>
      </c>
      <c r="M16" s="4"/>
      <c r="N16" s="12">
        <f t="shared" ref="N16:N18" si="8">IF(H16=0,0,L16/H16)</f>
        <v>-0.98743214480323671</v>
      </c>
      <c r="O16" s="10"/>
      <c r="P16" s="4">
        <f>SUM(OSRRefP16x_0)</f>
        <v>20593.350000000002</v>
      </c>
      <c r="Q16" s="4"/>
      <c r="R16" s="12">
        <f t="shared" ref="R16:R18" si="9">IF(P$12=0,0,P16/P$12)</f>
        <v>0.45625414029249584</v>
      </c>
      <c r="S16" s="4"/>
      <c r="T16" s="4">
        <f>SUM(OSRRefT16x_0)</f>
        <v>194607.18000000002</v>
      </c>
      <c r="U16" s="4"/>
      <c r="V16" s="12">
        <f t="shared" ref="V16:V18" si="10">IF(T$12=0,0,T16/T$12)</f>
        <v>0.32014890553418995</v>
      </c>
      <c r="W16" s="4"/>
      <c r="X16" s="4">
        <f t="shared" ref="X16:X18" si="11">+P16-T16</f>
        <v>-174013.83000000002</v>
      </c>
      <c r="Y16" s="4"/>
      <c r="Z16" s="12">
        <f t="shared" ref="Z16:Z18" si="12">IF(T16=0,0,X16/T16)</f>
        <v>-0.89417990641455258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>
        <v>34353.590000000004</v>
      </c>
      <c r="I17" s="2"/>
      <c r="J17" s="19">
        <f t="shared" si="6"/>
        <v>0.32245326089609172</v>
      </c>
      <c r="K17" s="2"/>
      <c r="L17" s="2">
        <f t="shared" si="7"/>
        <v>-34353.590000000004</v>
      </c>
      <c r="M17" s="2"/>
      <c r="N17" s="19">
        <f t="shared" si="8"/>
        <v>-1</v>
      </c>
      <c r="O17" s="11"/>
      <c r="P17" s="2">
        <v>14844.270000000002</v>
      </c>
      <c r="Q17" s="2"/>
      <c r="R17" s="19">
        <f t="shared" si="9"/>
        <v>0.32888090801737879</v>
      </c>
      <c r="S17" s="2"/>
      <c r="T17" s="2">
        <v>197230.18000000002</v>
      </c>
      <c r="U17" s="2"/>
      <c r="V17" s="19">
        <f t="shared" si="10"/>
        <v>0.32446401137569164</v>
      </c>
      <c r="W17" s="2"/>
      <c r="X17" s="2">
        <f t="shared" si="11"/>
        <v>-182385.91000000003</v>
      </c>
      <c r="Y17" s="2"/>
      <c r="Z17" s="19">
        <f t="shared" si="12"/>
        <v>-0.924736315709898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420</v>
      </c>
      <c r="E18" s="2"/>
      <c r="F18" s="19">
        <f t="shared" si="5"/>
        <v>0</v>
      </c>
      <c r="G18" s="2"/>
      <c r="H18" s="2">
        <v>-935</v>
      </c>
      <c r="I18" s="2"/>
      <c r="J18" s="19">
        <f t="shared" si="6"/>
        <v>-8.7761948296479556E-3</v>
      </c>
      <c r="K18" s="2"/>
      <c r="L18" s="2">
        <f t="shared" si="7"/>
        <v>1355</v>
      </c>
      <c r="M18" s="2"/>
      <c r="N18" s="19">
        <f t="shared" si="8"/>
        <v>-1.4491978609625669</v>
      </c>
      <c r="O18" s="11"/>
      <c r="P18" s="2">
        <v>5749.08</v>
      </c>
      <c r="Q18" s="2"/>
      <c r="R18" s="19">
        <f t="shared" si="9"/>
        <v>0.12737323227511704</v>
      </c>
      <c r="S18" s="2"/>
      <c r="T18" s="2">
        <v>-2623</v>
      </c>
      <c r="U18" s="2"/>
      <c r="V18" s="19">
        <f t="shared" si="10"/>
        <v>-4.3151058415017377E-3</v>
      </c>
      <c r="W18" s="2"/>
      <c r="X18" s="2">
        <f t="shared" si="11"/>
        <v>8372.08</v>
      </c>
      <c r="Y18" s="2"/>
      <c r="Z18" s="19">
        <f t="shared" si="12"/>
        <v>-3.1917956538314907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2">
        <f>D12-D16</f>
        <v>-420</v>
      </c>
      <c r="E20" s="14"/>
      <c r="F20" s="20">
        <f>IF(D$12=0,0,D20/D$12)</f>
        <v>0</v>
      </c>
      <c r="G20" s="14"/>
      <c r="H20" s="22">
        <f>H12-H16</f>
        <v>73119.610000000015</v>
      </c>
      <c r="I20" s="14"/>
      <c r="J20" s="20">
        <f>IF(H$12=0,0,H20/H$12)</f>
        <v>0.68632293393355626</v>
      </c>
      <c r="K20" s="16"/>
      <c r="L20" s="22">
        <f>+D20-H20</f>
        <v>-73539.610000000015</v>
      </c>
      <c r="M20" s="16"/>
      <c r="N20" s="20">
        <f>IF(H20=0,0,L20/H20)</f>
        <v>-1.0057440131313611</v>
      </c>
      <c r="O20" s="28"/>
      <c r="P20" s="22">
        <f>P12-P16</f>
        <v>24542.349999999995</v>
      </c>
      <c r="Q20" s="14"/>
      <c r="R20" s="20">
        <f>IF(P$12=0,0,P20/P$12)</f>
        <v>0.54374585970750422</v>
      </c>
      <c r="S20" s="14"/>
      <c r="T20" s="22">
        <f>T12-T16</f>
        <v>413257.39999999991</v>
      </c>
      <c r="U20" s="14"/>
      <c r="V20" s="20">
        <f>IF(T$12=0,0,T20/T$12)</f>
        <v>0.67985109446581005</v>
      </c>
      <c r="W20" s="16"/>
      <c r="X20" s="22">
        <f>+P20-T20</f>
        <v>-388715.04999999993</v>
      </c>
      <c r="Y20" s="16"/>
      <c r="Z20" s="20">
        <f>IF(T20=0,0,X20/T20)</f>
        <v>-0.94061243670409778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1">
        <f>SUM(OSRRefD22x_0)</f>
        <v>53730.95</v>
      </c>
      <c r="E22" s="21"/>
      <c r="F22" s="32">
        <f t="shared" ref="F22:F31" si="13">IF(D$12=0,0,D22/D$12)</f>
        <v>0</v>
      </c>
      <c r="G22" s="21"/>
      <c r="H22" s="21">
        <f>SUM(OSRRefH22x_0)</f>
        <v>73390.700000000041</v>
      </c>
      <c r="I22" s="21"/>
      <c r="J22" s="32">
        <f t="shared" ref="J22:J31" si="14">IF(H$12=0,0,H22/H$12)</f>
        <v>0.68886746725587655</v>
      </c>
      <c r="K22" s="4"/>
      <c r="L22" s="21">
        <f t="shared" ref="L22:L31" si="15">+D22-H22</f>
        <v>-19659.750000000044</v>
      </c>
      <c r="M22" s="4"/>
      <c r="N22" s="32">
        <f t="shared" ref="N22:N31" si="16">IF(H22=0,0,L22/H22)</f>
        <v>-0.26787794638830303</v>
      </c>
      <c r="O22" s="10"/>
      <c r="P22" s="21">
        <f>SUM(OSRRefP22x_0)</f>
        <v>495099.7699999999</v>
      </c>
      <c r="Q22" s="21"/>
      <c r="R22" s="32">
        <f t="shared" ref="R22:R31" si="17">IF(P$12=0,0,P22/P$12)</f>
        <v>10.96913906287041</v>
      </c>
      <c r="S22" s="21"/>
      <c r="T22" s="21">
        <f>SUM(OSRRefT22x_0)</f>
        <v>565362.16</v>
      </c>
      <c r="U22" s="21"/>
      <c r="V22" s="32">
        <f t="shared" ref="V22:V31" si="18">IF(T$12=0,0,T22/T$12)</f>
        <v>0.93007913045369428</v>
      </c>
      <c r="W22" s="4"/>
      <c r="X22" s="21">
        <f t="shared" ref="X22:X31" si="19">+P22-T22</f>
        <v>-70262.39000000013</v>
      </c>
      <c r="Y22" s="4"/>
      <c r="Z22" s="32">
        <f t="shared" ref="Z22:Z31" si="20">IF(T22=0,0,X22/T22)</f>
        <v>-0.12427855093803966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12482.81</v>
      </c>
      <c r="E23" s="1"/>
      <c r="F23" s="5">
        <f t="shared" si="13"/>
        <v>0</v>
      </c>
      <c r="G23" s="1"/>
      <c r="H23" s="1">
        <f>SUM(OSRRefH22_0x_0)</f>
        <v>7868.2</v>
      </c>
      <c r="I23" s="1"/>
      <c r="J23" s="5">
        <f t="shared" si="14"/>
        <v>7.3853322094797919E-2</v>
      </c>
      <c r="K23" s="1"/>
      <c r="L23" s="1">
        <f t="shared" si="15"/>
        <v>4614.6099999999997</v>
      </c>
      <c r="M23" s="1"/>
      <c r="N23" s="5">
        <f t="shared" si="16"/>
        <v>0.58648865051727206</v>
      </c>
      <c r="O23" s="13"/>
      <c r="P23" s="1">
        <f>SUM(OSRRefP22_0x_0)</f>
        <v>107252.07999999999</v>
      </c>
      <c r="Q23" s="1"/>
      <c r="R23" s="5">
        <f t="shared" si="17"/>
        <v>2.3762139503763096</v>
      </c>
      <c r="S23" s="1"/>
      <c r="T23" s="1">
        <f>SUM(OSRRefT22_0x_0)</f>
        <v>64547.29</v>
      </c>
      <c r="U23" s="1"/>
      <c r="V23" s="5">
        <f t="shared" si="18"/>
        <v>0.10618695696992249</v>
      </c>
      <c r="W23" s="1"/>
      <c r="X23" s="1">
        <f t="shared" si="19"/>
        <v>42704.789999999986</v>
      </c>
      <c r="Y23" s="1"/>
      <c r="Z23" s="5">
        <f t="shared" si="20"/>
        <v>0.66160469324118776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1212.28</v>
      </c>
      <c r="E24" s="2"/>
      <c r="F24" s="7">
        <f t="shared" si="13"/>
        <v>0</v>
      </c>
      <c r="G24" s="2"/>
      <c r="H24" s="6">
        <v>1417.3</v>
      </c>
      <c r="I24" s="2"/>
      <c r="J24" s="7">
        <f t="shared" si="14"/>
        <v>1.3303209553005398E-2</v>
      </c>
      <c r="K24" s="2"/>
      <c r="L24" s="6">
        <f t="shared" si="15"/>
        <v>-205.01999999999998</v>
      </c>
      <c r="M24" s="2"/>
      <c r="N24" s="7">
        <f t="shared" si="16"/>
        <v>-0.14465533055810342</v>
      </c>
      <c r="O24" s="11"/>
      <c r="P24" s="6">
        <v>12089.99</v>
      </c>
      <c r="Q24" s="2"/>
      <c r="R24" s="7">
        <f t="shared" si="17"/>
        <v>0.26785870164858416</v>
      </c>
      <c r="S24" s="2"/>
      <c r="T24" s="6">
        <v>11059.36</v>
      </c>
      <c r="U24" s="2"/>
      <c r="V24" s="7">
        <f t="shared" si="18"/>
        <v>1.8193789149550384E-2</v>
      </c>
      <c r="W24" s="2"/>
      <c r="X24" s="6">
        <f t="shared" si="19"/>
        <v>1030.6299999999992</v>
      </c>
      <c r="Y24" s="2"/>
      <c r="Z24" s="7">
        <f t="shared" si="20"/>
        <v>9.3190745214912898E-2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592.94000000000005</v>
      </c>
      <c r="E25" s="2"/>
      <c r="F25" s="7">
        <f t="shared" si="13"/>
        <v>0</v>
      </c>
      <c r="G25" s="2"/>
      <c r="H25" s="6">
        <v>1137.5999999999999</v>
      </c>
      <c r="I25" s="2"/>
      <c r="J25" s="7">
        <f t="shared" si="14"/>
        <v>1.0677860147815523E-2</v>
      </c>
      <c r="K25" s="2"/>
      <c r="L25" s="6">
        <f t="shared" si="15"/>
        <v>-544.65999999999985</v>
      </c>
      <c r="M25" s="2"/>
      <c r="N25" s="7">
        <f t="shared" si="16"/>
        <v>-0.47877988748241906</v>
      </c>
      <c r="O25" s="11"/>
      <c r="P25" s="6">
        <v>5351.92</v>
      </c>
      <c r="Q25" s="2"/>
      <c r="R25" s="7">
        <f t="shared" si="17"/>
        <v>0.11857398910396871</v>
      </c>
      <c r="S25" s="2"/>
      <c r="T25" s="6">
        <v>6060.66</v>
      </c>
      <c r="U25" s="2"/>
      <c r="V25" s="7">
        <f t="shared" si="18"/>
        <v>9.9704115018512847E-3</v>
      </c>
      <c r="W25" s="2"/>
      <c r="X25" s="6">
        <f t="shared" si="19"/>
        <v>-708.73999999999978</v>
      </c>
      <c r="Y25" s="2"/>
      <c r="Z25" s="7">
        <f t="shared" si="20"/>
        <v>-0.11694105922457287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6634.06</v>
      </c>
      <c r="E26" s="2"/>
      <c r="F26" s="7">
        <f t="shared" si="13"/>
        <v>0</v>
      </c>
      <c r="G26" s="2"/>
      <c r="H26" s="6">
        <v>3286.96</v>
      </c>
      <c r="I26" s="2"/>
      <c r="J26" s="7">
        <f t="shared" si="14"/>
        <v>3.0852407868726894E-2</v>
      </c>
      <c r="K26" s="2"/>
      <c r="L26" s="6">
        <f t="shared" si="15"/>
        <v>3347.1000000000004</v>
      </c>
      <c r="M26" s="2"/>
      <c r="N26" s="7">
        <f t="shared" si="16"/>
        <v>1.0182965414851415</v>
      </c>
      <c r="O26" s="11"/>
      <c r="P26" s="6">
        <v>54199.51</v>
      </c>
      <c r="Q26" s="2"/>
      <c r="R26" s="7">
        <f t="shared" si="17"/>
        <v>1.2008124389341477</v>
      </c>
      <c r="S26" s="2"/>
      <c r="T26" s="6">
        <v>25114.42</v>
      </c>
      <c r="U26" s="2"/>
      <c r="V26" s="7">
        <f t="shared" si="18"/>
        <v>4.1315814124257742E-2</v>
      </c>
      <c r="W26" s="2"/>
      <c r="X26" s="6">
        <f t="shared" si="19"/>
        <v>29085.090000000004</v>
      </c>
      <c r="Y26" s="2"/>
      <c r="Z26" s="7">
        <f t="shared" si="20"/>
        <v>1.1581031933048824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52.32</v>
      </c>
      <c r="E27" s="2"/>
      <c r="F27" s="7">
        <f t="shared" si="13"/>
        <v>0</v>
      </c>
      <c r="G27" s="2"/>
      <c r="H27" s="6">
        <v>76.23</v>
      </c>
      <c r="I27" s="2"/>
      <c r="J27" s="7">
        <f t="shared" si="14"/>
        <v>7.1551800199365107E-4</v>
      </c>
      <c r="K27" s="2"/>
      <c r="L27" s="6">
        <f t="shared" si="15"/>
        <v>-23.910000000000004</v>
      </c>
      <c r="M27" s="2"/>
      <c r="N27" s="7">
        <f t="shared" si="16"/>
        <v>-0.31365604092876825</v>
      </c>
      <c r="O27" s="11"/>
      <c r="P27" s="6">
        <v>472.51</v>
      </c>
      <c r="Q27" s="2"/>
      <c r="R27" s="7">
        <f t="shared" si="17"/>
        <v>1.0468653416253653E-2</v>
      </c>
      <c r="S27" s="2"/>
      <c r="T27" s="6">
        <v>504.72</v>
      </c>
      <c r="U27" s="2"/>
      <c r="V27" s="7">
        <f t="shared" si="18"/>
        <v>8.303165155633843E-4</v>
      </c>
      <c r="W27" s="2"/>
      <c r="X27" s="6">
        <f t="shared" si="19"/>
        <v>-32.210000000000036</v>
      </c>
      <c r="Y27" s="2"/>
      <c r="Z27" s="7">
        <f t="shared" si="20"/>
        <v>-6.3817562212712065E-2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1482.29</v>
      </c>
      <c r="E28" s="2"/>
      <c r="F28" s="7">
        <f t="shared" si="13"/>
        <v>0</v>
      </c>
      <c r="G28" s="2"/>
      <c r="H28" s="6">
        <v>523.63</v>
      </c>
      <c r="I28" s="2"/>
      <c r="J28" s="7">
        <f t="shared" si="14"/>
        <v>4.9149506937417745E-3</v>
      </c>
      <c r="K28" s="2"/>
      <c r="L28" s="6">
        <f t="shared" si="15"/>
        <v>958.66</v>
      </c>
      <c r="M28" s="2"/>
      <c r="N28" s="7">
        <f t="shared" si="16"/>
        <v>1.8307965548192426</v>
      </c>
      <c r="O28" s="11"/>
      <c r="P28" s="6">
        <v>12865.68</v>
      </c>
      <c r="Q28" s="2"/>
      <c r="R28" s="7">
        <f t="shared" si="17"/>
        <v>0.28504443267745933</v>
      </c>
      <c r="S28" s="2"/>
      <c r="T28" s="6">
        <v>5157.82</v>
      </c>
      <c r="U28" s="2"/>
      <c r="V28" s="7">
        <f t="shared" si="18"/>
        <v>8.485146477855315E-3</v>
      </c>
      <c r="W28" s="2"/>
      <c r="X28" s="6">
        <f t="shared" si="19"/>
        <v>7707.8600000000006</v>
      </c>
      <c r="Y28" s="2"/>
      <c r="Z28" s="7">
        <f t="shared" si="20"/>
        <v>1.4944026739979295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1440.4</v>
      </c>
      <c r="E29" s="2"/>
      <c r="F29" s="7">
        <f t="shared" si="13"/>
        <v>0</v>
      </c>
      <c r="G29" s="2"/>
      <c r="H29" s="6">
        <v>700.02</v>
      </c>
      <c r="I29" s="2"/>
      <c r="J29" s="7">
        <f t="shared" si="14"/>
        <v>6.5706009675402808E-3</v>
      </c>
      <c r="K29" s="2"/>
      <c r="L29" s="6">
        <f t="shared" si="15"/>
        <v>740.38000000000011</v>
      </c>
      <c r="M29" s="2"/>
      <c r="N29" s="7">
        <f t="shared" si="16"/>
        <v>1.0576554955572699</v>
      </c>
      <c r="O29" s="11"/>
      <c r="P29" s="6">
        <v>11657.88</v>
      </c>
      <c r="Q29" s="2"/>
      <c r="R29" s="7">
        <f t="shared" si="17"/>
        <v>0.25828512685080768</v>
      </c>
      <c r="S29" s="2"/>
      <c r="T29" s="6">
        <v>7217.61</v>
      </c>
      <c r="U29" s="2"/>
      <c r="V29" s="7">
        <f t="shared" si="18"/>
        <v>1.1873713714327622E-2</v>
      </c>
      <c r="W29" s="2"/>
      <c r="X29" s="6">
        <f t="shared" si="19"/>
        <v>4440.2699999999995</v>
      </c>
      <c r="Y29" s="2"/>
      <c r="Z29" s="7">
        <f t="shared" si="20"/>
        <v>0.61519949124433149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872.28</v>
      </c>
      <c r="E30" s="2"/>
      <c r="F30" s="7">
        <f t="shared" si="13"/>
        <v>0</v>
      </c>
      <c r="G30" s="2"/>
      <c r="H30" s="6">
        <v>385.52</v>
      </c>
      <c r="I30" s="2"/>
      <c r="J30" s="7">
        <f t="shared" si="14"/>
        <v>3.6186081612041496E-3</v>
      </c>
      <c r="K30" s="2"/>
      <c r="L30" s="6">
        <f t="shared" si="15"/>
        <v>486.76</v>
      </c>
      <c r="M30" s="2"/>
      <c r="N30" s="7">
        <f t="shared" si="16"/>
        <v>1.2626063498651172</v>
      </c>
      <c r="O30" s="11"/>
      <c r="P30" s="6">
        <v>7329.16</v>
      </c>
      <c r="Q30" s="2"/>
      <c r="R30" s="7">
        <f t="shared" si="17"/>
        <v>0.16238055463856771</v>
      </c>
      <c r="S30" s="2"/>
      <c r="T30" s="6">
        <v>6767.82</v>
      </c>
      <c r="U30" s="2"/>
      <c r="V30" s="7">
        <f t="shared" si="18"/>
        <v>1.1133762720637548E-2</v>
      </c>
      <c r="W30" s="2"/>
      <c r="X30" s="6">
        <f t="shared" si="19"/>
        <v>561.34000000000015</v>
      </c>
      <c r="Y30" s="2"/>
      <c r="Z30" s="7">
        <f t="shared" si="20"/>
        <v>8.2942513246510724E-2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196.24</v>
      </c>
      <c r="E31" s="2"/>
      <c r="F31" s="7">
        <f t="shared" si="13"/>
        <v>0</v>
      </c>
      <c r="G31" s="2"/>
      <c r="H31" s="6">
        <v>340.94</v>
      </c>
      <c r="I31" s="2"/>
      <c r="J31" s="7">
        <f t="shared" si="14"/>
        <v>3.20016670077024E-3</v>
      </c>
      <c r="K31" s="2"/>
      <c r="L31" s="6">
        <f t="shared" si="15"/>
        <v>-144.69999999999999</v>
      </c>
      <c r="M31" s="2"/>
      <c r="N31" s="7">
        <f t="shared" si="16"/>
        <v>-0.42441485305332316</v>
      </c>
      <c r="O31" s="11"/>
      <c r="P31" s="6">
        <v>3285.43</v>
      </c>
      <c r="Q31" s="2"/>
      <c r="R31" s="7">
        <f t="shared" si="17"/>
        <v>7.2790053106521008E-2</v>
      </c>
      <c r="S31" s="2"/>
      <c r="T31" s="6">
        <v>2664.88</v>
      </c>
      <c r="U31" s="2"/>
      <c r="V31" s="7">
        <f t="shared" si="18"/>
        <v>4.3840027658792035E-3</v>
      </c>
      <c r="W31" s="2"/>
      <c r="X31" s="6">
        <f t="shared" si="19"/>
        <v>620.54999999999973</v>
      </c>
      <c r="Y31" s="2"/>
      <c r="Z31" s="7">
        <f t="shared" si="20"/>
        <v>0.23286226771937188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14775.8</v>
      </c>
      <c r="E32" s="1"/>
      <c r="F32" s="5">
        <f t="shared" ref="F32:F38" si="21">IF(D$12=0,0,D32/D$12)</f>
        <v>0</v>
      </c>
      <c r="G32" s="1"/>
      <c r="H32" s="1">
        <f>SUM(OSRRefH22_1x_0)</f>
        <v>28699.670000000002</v>
      </c>
      <c r="I32" s="1"/>
      <c r="J32" s="5">
        <f t="shared" ref="J32:J38" si="22">IF(H$12=0,0,H32/H$12)</f>
        <v>0.26938384541882626</v>
      </c>
      <c r="K32" s="1"/>
      <c r="L32" s="1">
        <f t="shared" ref="L32:L38" si="23">+D32-H32</f>
        <v>-13923.870000000003</v>
      </c>
      <c r="M32" s="1"/>
      <c r="N32" s="5">
        <f t="shared" ref="N32:N38" si="24">IF(H32=0,0,L32/H32)</f>
        <v>-0.48515784327833739</v>
      </c>
      <c r="O32" s="13"/>
      <c r="P32" s="1">
        <f>SUM(OSRRefP22_1x_0)</f>
        <v>138147.60999999999</v>
      </c>
      <c r="Q32" s="1"/>
      <c r="R32" s="5">
        <f t="shared" ref="R32:R38" si="25">IF(P$12=0,0,P32/P$12)</f>
        <v>3.0607171263545263</v>
      </c>
      <c r="S32" s="1"/>
      <c r="T32" s="1">
        <f>SUM(OSRRefT22_1x_0)</f>
        <v>192119.55000000002</v>
      </c>
      <c r="U32" s="1"/>
      <c r="V32" s="5">
        <f t="shared" ref="V32:V38" si="26">IF(T$12=0,0,T32/T$12)</f>
        <v>0.31605649732050523</v>
      </c>
      <c r="W32" s="1"/>
      <c r="X32" s="1">
        <f t="shared" ref="X32:X38" si="27">+P32-T32</f>
        <v>-53971.940000000031</v>
      </c>
      <c r="Y32" s="1"/>
      <c r="Z32" s="5">
        <f t="shared" ref="Z32:Z38" si="28">IF(T32=0,0,X32/T32)</f>
        <v>-0.28092893201134411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14166.5</v>
      </c>
      <c r="E33" s="2"/>
      <c r="F33" s="7">
        <f t="shared" si="21"/>
        <v>0</v>
      </c>
      <c r="G33" s="2"/>
      <c r="H33" s="6">
        <v>4866.8999999999996</v>
      </c>
      <c r="I33" s="2"/>
      <c r="J33" s="7">
        <f t="shared" si="22"/>
        <v>4.5682206006859502E-2</v>
      </c>
      <c r="K33" s="2"/>
      <c r="L33" s="6">
        <f t="shared" si="23"/>
        <v>9299.6</v>
      </c>
      <c r="M33" s="2"/>
      <c r="N33" s="7">
        <f t="shared" si="24"/>
        <v>1.9107850993445521</v>
      </c>
      <c r="O33" s="11"/>
      <c r="P33" s="6">
        <v>113390.81</v>
      </c>
      <c r="Q33" s="2"/>
      <c r="R33" s="7">
        <f t="shared" si="25"/>
        <v>2.5122200386833482</v>
      </c>
      <c r="S33" s="2"/>
      <c r="T33" s="6">
        <v>41164.94</v>
      </c>
      <c r="U33" s="2"/>
      <c r="V33" s="7">
        <f t="shared" si="26"/>
        <v>6.7720576842954072E-2</v>
      </c>
      <c r="W33" s="2"/>
      <c r="X33" s="6">
        <f t="shared" si="27"/>
        <v>72225.87</v>
      </c>
      <c r="Y33" s="2"/>
      <c r="Z33" s="7">
        <f t="shared" si="28"/>
        <v>1.7545481664737028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>
        <v>284.3</v>
      </c>
      <c r="E34" s="2"/>
      <c r="F34" s="7">
        <f t="shared" si="21"/>
        <v>0</v>
      </c>
      <c r="G34" s="2"/>
      <c r="H34" s="6">
        <v>3087.6</v>
      </c>
      <c r="I34" s="2"/>
      <c r="J34" s="7">
        <f t="shared" si="22"/>
        <v>2.8981154177562599E-2</v>
      </c>
      <c r="K34" s="2"/>
      <c r="L34" s="6">
        <f t="shared" si="23"/>
        <v>-2803.2999999999997</v>
      </c>
      <c r="M34" s="2"/>
      <c r="N34" s="7">
        <f t="shared" si="24"/>
        <v>-0.9079220106231376</v>
      </c>
      <c r="O34" s="11"/>
      <c r="P34" s="6">
        <v>21769.38</v>
      </c>
      <c r="Q34" s="2"/>
      <c r="R34" s="7">
        <f t="shared" si="25"/>
        <v>0.48230956870060732</v>
      </c>
      <c r="S34" s="2"/>
      <c r="T34" s="6">
        <v>26028.26</v>
      </c>
      <c r="U34" s="2"/>
      <c r="V34" s="7">
        <f t="shared" si="26"/>
        <v>4.281917528407396E-2</v>
      </c>
      <c r="W34" s="2"/>
      <c r="X34" s="6">
        <f t="shared" si="27"/>
        <v>-4258.8799999999974</v>
      </c>
      <c r="Y34" s="2"/>
      <c r="Z34" s="7">
        <f t="shared" si="28"/>
        <v>-0.163625228885834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1"/>
        <v>0</v>
      </c>
      <c r="G35" s="2"/>
      <c r="H35" s="6">
        <v>10154.34</v>
      </c>
      <c r="I35" s="2"/>
      <c r="J35" s="7">
        <f t="shared" si="22"/>
        <v>9.5311728563088158E-2</v>
      </c>
      <c r="K35" s="2"/>
      <c r="L35" s="6">
        <f t="shared" si="23"/>
        <v>-10154.34</v>
      </c>
      <c r="M35" s="2"/>
      <c r="N35" s="7">
        <f t="shared" si="24"/>
        <v>-1</v>
      </c>
      <c r="O35" s="11"/>
      <c r="P35" s="6">
        <v>2431.71</v>
      </c>
      <c r="Q35" s="2"/>
      <c r="R35" s="7">
        <f t="shared" si="25"/>
        <v>5.3875535330126713E-2</v>
      </c>
      <c r="S35" s="2"/>
      <c r="T35" s="6">
        <v>60022.780000000006</v>
      </c>
      <c r="U35" s="2"/>
      <c r="V35" s="7">
        <f t="shared" si="26"/>
        <v>9.8743670835369307E-2</v>
      </c>
      <c r="W35" s="2"/>
      <c r="X35" s="6">
        <f t="shared" si="27"/>
        <v>-57591.070000000007</v>
      </c>
      <c r="Y35" s="2"/>
      <c r="Z35" s="7">
        <f t="shared" si="28"/>
        <v>-0.95948688148066452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1"/>
        <v>0</v>
      </c>
      <c r="G36" s="2"/>
      <c r="H36" s="6"/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/>
      <c r="Q36" s="2"/>
      <c r="R36" s="7">
        <f t="shared" si="25"/>
        <v>0</v>
      </c>
      <c r="S36" s="2"/>
      <c r="T36" s="6">
        <v>200.5</v>
      </c>
      <c r="U36" s="2"/>
      <c r="V36" s="7">
        <f t="shared" si="26"/>
        <v>3.2984320290548925E-4</v>
      </c>
      <c r="W36" s="2"/>
      <c r="X36" s="6">
        <f t="shared" si="27"/>
        <v>-200.5</v>
      </c>
      <c r="Y36" s="2"/>
      <c r="Z36" s="7">
        <f t="shared" si="28"/>
        <v>-1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>
        <v>325</v>
      </c>
      <c r="E37" s="2"/>
      <c r="F37" s="7">
        <f t="shared" si="21"/>
        <v>0</v>
      </c>
      <c r="G37" s="2"/>
      <c r="H37" s="6">
        <v>10027.93</v>
      </c>
      <c r="I37" s="2"/>
      <c r="J37" s="7">
        <f t="shared" si="22"/>
        <v>9.4125205794729022E-2</v>
      </c>
      <c r="K37" s="2"/>
      <c r="L37" s="6">
        <f t="shared" si="23"/>
        <v>-9702.93</v>
      </c>
      <c r="M37" s="2"/>
      <c r="N37" s="7">
        <f t="shared" si="24"/>
        <v>-0.96759051967853782</v>
      </c>
      <c r="O37" s="11"/>
      <c r="P37" s="6">
        <v>555.71</v>
      </c>
      <c r="Q37" s="2"/>
      <c r="R37" s="7">
        <f t="shared" si="25"/>
        <v>1.2311983640444262E-2</v>
      </c>
      <c r="S37" s="2"/>
      <c r="T37" s="6">
        <v>64140.17</v>
      </c>
      <c r="U37" s="2"/>
      <c r="V37" s="7">
        <f t="shared" si="26"/>
        <v>0.10551720253218241</v>
      </c>
      <c r="W37" s="2"/>
      <c r="X37" s="6">
        <f t="shared" si="27"/>
        <v>-63584.46</v>
      </c>
      <c r="Y37" s="2"/>
      <c r="Z37" s="7">
        <f t="shared" si="28"/>
        <v>-0.99133600674896871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1"/>
        <v>0</v>
      </c>
      <c r="G38" s="2"/>
      <c r="H38" s="6">
        <v>562.9</v>
      </c>
      <c r="I38" s="2"/>
      <c r="J38" s="7">
        <f t="shared" si="22"/>
        <v>5.2835508765869885E-3</v>
      </c>
      <c r="K38" s="2"/>
      <c r="L38" s="6">
        <f t="shared" si="23"/>
        <v>-562.9</v>
      </c>
      <c r="M38" s="2"/>
      <c r="N38" s="7">
        <f t="shared" si="24"/>
        <v>-1</v>
      </c>
      <c r="O38" s="11"/>
      <c r="P38" s="6"/>
      <c r="Q38" s="2"/>
      <c r="R38" s="7">
        <f t="shared" si="25"/>
        <v>0</v>
      </c>
      <c r="S38" s="2"/>
      <c r="T38" s="6">
        <v>562.9</v>
      </c>
      <c r="U38" s="2"/>
      <c r="V38" s="7">
        <f t="shared" si="26"/>
        <v>9.2602862301994961E-4</v>
      </c>
      <c r="W38" s="2"/>
      <c r="X38" s="6">
        <f t="shared" si="27"/>
        <v>-562.9</v>
      </c>
      <c r="Y38" s="2"/>
      <c r="Z38" s="7">
        <f t="shared" si="28"/>
        <v>-1</v>
      </c>
    </row>
    <row r="39" spans="1:26" s="25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-5.35</v>
      </c>
      <c r="E39" s="1"/>
      <c r="F39" s="5">
        <f t="shared" ref="F39:F47" si="29">IF(D$12=0,0,D39/D$12)</f>
        <v>0</v>
      </c>
      <c r="G39" s="1"/>
      <c r="H39" s="1">
        <f>SUM(OSRRefH22_2x_0)</f>
        <v>1075.51</v>
      </c>
      <c r="I39" s="1"/>
      <c r="J39" s="5">
        <f t="shared" ref="J39:J47" si="30">IF(H$12=0,0,H39/H$12)</f>
        <v>1.0095064493299116E-2</v>
      </c>
      <c r="K39" s="1"/>
      <c r="L39" s="1">
        <f t="shared" ref="L39:L47" si="31">+D39-H39</f>
        <v>-1080.8599999999999</v>
      </c>
      <c r="M39" s="1"/>
      <c r="N39" s="5">
        <f t="shared" ref="N39:N47" si="32">IF(H39=0,0,L39/H39)</f>
        <v>-1.0049743842456136</v>
      </c>
      <c r="O39" s="13"/>
      <c r="P39" s="1">
        <f>SUM(OSRRefP22_2x_0)</f>
        <v>134</v>
      </c>
      <c r="Q39" s="1"/>
      <c r="R39" s="5">
        <f t="shared" ref="R39:R47" si="33">IF(P$12=0,0,P39/P$12)</f>
        <v>2.9688251206916034E-3</v>
      </c>
      <c r="S39" s="1"/>
      <c r="T39" s="1">
        <f>SUM(OSRRefT22_2x_0)</f>
        <v>5358.49</v>
      </c>
      <c r="U39" s="1"/>
      <c r="V39" s="5">
        <f t="shared" ref="V39:V47" si="34">IF(T$12=0,0,T39/T$12)</f>
        <v>8.8152693483143901E-3</v>
      </c>
      <c r="W39" s="1"/>
      <c r="X39" s="1">
        <f t="shared" ref="X39:X47" si="35">+P39-T39</f>
        <v>-5224.49</v>
      </c>
      <c r="Y39" s="1"/>
      <c r="Z39" s="5">
        <f t="shared" ref="Z39:Z47" si="36">IF(T39=0,0,X39/T39)</f>
        <v>-0.97499295510488959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>
        <v>-5.35</v>
      </c>
      <c r="E40" s="2"/>
      <c r="F40" s="7">
        <f t="shared" si="29"/>
        <v>0</v>
      </c>
      <c r="G40" s="2"/>
      <c r="H40" s="6">
        <v>1075.51</v>
      </c>
      <c r="I40" s="2"/>
      <c r="J40" s="7">
        <f t="shared" si="30"/>
        <v>1.0095064493299116E-2</v>
      </c>
      <c r="K40" s="2"/>
      <c r="L40" s="6">
        <f t="shared" si="31"/>
        <v>-1080.8599999999999</v>
      </c>
      <c r="M40" s="2"/>
      <c r="N40" s="7">
        <f t="shared" si="32"/>
        <v>-1.0049743842456136</v>
      </c>
      <c r="O40" s="11"/>
      <c r="P40" s="6">
        <v>134</v>
      </c>
      <c r="Q40" s="2"/>
      <c r="R40" s="7">
        <f t="shared" si="33"/>
        <v>2.9688251206916034E-3</v>
      </c>
      <c r="S40" s="2"/>
      <c r="T40" s="6">
        <v>5358.49</v>
      </c>
      <c r="U40" s="2"/>
      <c r="V40" s="7">
        <f t="shared" si="34"/>
        <v>8.8152693483143901E-3</v>
      </c>
      <c r="W40" s="2"/>
      <c r="X40" s="6">
        <f t="shared" si="35"/>
        <v>-5224.49</v>
      </c>
      <c r="Y40" s="2"/>
      <c r="Z40" s="7">
        <f t="shared" si="36"/>
        <v>-0.97499295510488959</v>
      </c>
    </row>
    <row r="41" spans="1:26" s="25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0</v>
      </c>
      <c r="E41" s="1"/>
      <c r="F41" s="5">
        <f t="shared" si="29"/>
        <v>0</v>
      </c>
      <c r="G41" s="1"/>
      <c r="H41" s="1">
        <f>SUM(OSRRefH22_3x_0)</f>
        <v>-5.84</v>
      </c>
      <c r="I41" s="1"/>
      <c r="J41" s="5">
        <f t="shared" si="30"/>
        <v>-5.481601904293483E-5</v>
      </c>
      <c r="K41" s="1"/>
      <c r="L41" s="1">
        <f t="shared" si="31"/>
        <v>5.84</v>
      </c>
      <c r="M41" s="1"/>
      <c r="N41" s="5">
        <f t="shared" si="32"/>
        <v>-1</v>
      </c>
      <c r="O41" s="13"/>
      <c r="P41" s="1">
        <f>SUM(OSRRefP22_3x_0)</f>
        <v>8.7899999999999991</v>
      </c>
      <c r="Q41" s="1"/>
      <c r="R41" s="5">
        <f t="shared" si="33"/>
        <v>1.9474606575282978E-4</v>
      </c>
      <c r="S41" s="1"/>
      <c r="T41" s="1">
        <f>SUM(OSRRefT22_3x_0)</f>
        <v>-26.77</v>
      </c>
      <c r="U41" s="1"/>
      <c r="V41" s="5">
        <f t="shared" si="34"/>
        <v>-4.4039414173466075E-5</v>
      </c>
      <c r="W41" s="1"/>
      <c r="X41" s="1">
        <f t="shared" si="35"/>
        <v>35.56</v>
      </c>
      <c r="Y41" s="1"/>
      <c r="Z41" s="5">
        <f t="shared" si="36"/>
        <v>-1.3283526335450131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6"/>
      <c r="E42" s="2"/>
      <c r="F42" s="7">
        <f t="shared" si="29"/>
        <v>0</v>
      </c>
      <c r="G42" s="2"/>
      <c r="H42" s="6">
        <v>-5.84</v>
      </c>
      <c r="I42" s="2"/>
      <c r="J42" s="7">
        <f t="shared" si="30"/>
        <v>-5.481601904293483E-5</v>
      </c>
      <c r="K42" s="2"/>
      <c r="L42" s="6">
        <f t="shared" si="31"/>
        <v>5.84</v>
      </c>
      <c r="M42" s="2"/>
      <c r="N42" s="7">
        <f t="shared" si="32"/>
        <v>-1</v>
      </c>
      <c r="O42" s="11"/>
      <c r="P42" s="6">
        <v>8.7899999999999991</v>
      </c>
      <c r="Q42" s="2"/>
      <c r="R42" s="7">
        <f t="shared" si="33"/>
        <v>1.9474606575282978E-4</v>
      </c>
      <c r="S42" s="2"/>
      <c r="T42" s="6">
        <v>-26.77</v>
      </c>
      <c r="U42" s="2"/>
      <c r="V42" s="7">
        <f t="shared" si="34"/>
        <v>-4.4039414173466075E-5</v>
      </c>
      <c r="W42" s="2"/>
      <c r="X42" s="6">
        <f t="shared" si="35"/>
        <v>35.56</v>
      </c>
      <c r="Y42" s="2"/>
      <c r="Z42" s="7">
        <f t="shared" si="36"/>
        <v>-1.3283526335450131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74.95</v>
      </c>
      <c r="E43" s="1"/>
      <c r="F43" s="5">
        <f t="shared" si="29"/>
        <v>0</v>
      </c>
      <c r="G43" s="1"/>
      <c r="H43" s="1">
        <f>SUM(OSRRefH22_4x_0)</f>
        <v>3094.63</v>
      </c>
      <c r="I43" s="1"/>
      <c r="J43" s="5">
        <f t="shared" si="30"/>
        <v>2.9047139899115997E-2</v>
      </c>
      <c r="K43" s="1"/>
      <c r="L43" s="1">
        <f t="shared" si="31"/>
        <v>-3019.6800000000003</v>
      </c>
      <c r="M43" s="1"/>
      <c r="N43" s="5">
        <f t="shared" si="32"/>
        <v>-0.97578062643999453</v>
      </c>
      <c r="O43" s="13"/>
      <c r="P43" s="1">
        <f>SUM(OSRRefP22_4x_0)</f>
        <v>1320.9</v>
      </c>
      <c r="Q43" s="1"/>
      <c r="R43" s="5">
        <f t="shared" si="33"/>
        <v>2.9265082850160742E-2</v>
      </c>
      <c r="S43" s="1"/>
      <c r="T43" s="1">
        <f>SUM(OSRRefT22_4x_0)</f>
        <v>24164.26</v>
      </c>
      <c r="U43" s="1"/>
      <c r="V43" s="5">
        <f t="shared" si="34"/>
        <v>3.9752702814169566E-2</v>
      </c>
      <c r="W43" s="1"/>
      <c r="X43" s="1">
        <f t="shared" si="35"/>
        <v>-22843.359999999997</v>
      </c>
      <c r="Y43" s="1"/>
      <c r="Z43" s="5">
        <f t="shared" si="36"/>
        <v>-0.94533662524736939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>
        <v>74.95</v>
      </c>
      <c r="E44" s="2"/>
      <c r="F44" s="7">
        <f t="shared" si="29"/>
        <v>0</v>
      </c>
      <c r="G44" s="2"/>
      <c r="H44" s="6">
        <v>3094.63</v>
      </c>
      <c r="I44" s="2"/>
      <c r="J44" s="7">
        <f t="shared" si="30"/>
        <v>2.9047139899115997E-2</v>
      </c>
      <c r="K44" s="2"/>
      <c r="L44" s="6">
        <f t="shared" si="31"/>
        <v>-3019.6800000000003</v>
      </c>
      <c r="M44" s="2"/>
      <c r="N44" s="7">
        <f t="shared" si="32"/>
        <v>-0.97578062643999453</v>
      </c>
      <c r="O44" s="11"/>
      <c r="P44" s="6">
        <v>1320.9</v>
      </c>
      <c r="Q44" s="2"/>
      <c r="R44" s="7">
        <f t="shared" si="33"/>
        <v>2.9265082850160742E-2</v>
      </c>
      <c r="S44" s="2"/>
      <c r="T44" s="6">
        <v>24164.26</v>
      </c>
      <c r="U44" s="2"/>
      <c r="V44" s="7">
        <f t="shared" si="34"/>
        <v>3.9752702814169566E-2</v>
      </c>
      <c r="W44" s="2"/>
      <c r="X44" s="6">
        <f t="shared" si="35"/>
        <v>-22843.359999999997</v>
      </c>
      <c r="Y44" s="2"/>
      <c r="Z44" s="7">
        <f t="shared" si="36"/>
        <v>-0.94533662524736939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13902.32</v>
      </c>
      <c r="E45" s="1"/>
      <c r="F45" s="5">
        <f t="shared" si="29"/>
        <v>0</v>
      </c>
      <c r="G45" s="1"/>
      <c r="H45" s="1">
        <f>SUM(OSRRefH22_5x_0)</f>
        <v>13580.689999999999</v>
      </c>
      <c r="I45" s="1"/>
      <c r="J45" s="5">
        <f t="shared" si="30"/>
        <v>0.12747249343427988</v>
      </c>
      <c r="K45" s="1"/>
      <c r="L45" s="1">
        <f t="shared" si="31"/>
        <v>321.63000000000102</v>
      </c>
      <c r="M45" s="1"/>
      <c r="N45" s="5">
        <f t="shared" si="32"/>
        <v>2.3682890928222428E-2</v>
      </c>
      <c r="O45" s="13"/>
      <c r="P45" s="1">
        <f>SUM(OSRRefP22_5x_0)</f>
        <v>111183.84</v>
      </c>
      <c r="Q45" s="1"/>
      <c r="R45" s="5">
        <f t="shared" si="33"/>
        <v>2.463323710499671</v>
      </c>
      <c r="S45" s="1"/>
      <c r="T45" s="1">
        <f>SUM(OSRRefT22_5x_0)</f>
        <v>107076.62</v>
      </c>
      <c r="U45" s="1"/>
      <c r="V45" s="5">
        <f t="shared" si="34"/>
        <v>0.1761520962448577</v>
      </c>
      <c r="W45" s="1"/>
      <c r="X45" s="1">
        <f t="shared" si="35"/>
        <v>4107.2200000000012</v>
      </c>
      <c r="Y45" s="1"/>
      <c r="Z45" s="5">
        <f t="shared" si="36"/>
        <v>3.8357766616092304E-2</v>
      </c>
    </row>
    <row r="46" spans="1:26" s="24" customFormat="1" hidden="1" outlineLevel="2" x14ac:dyDescent="0.25">
      <c r="A46" s="26"/>
      <c r="B46" s="11" t="str">
        <f>CONCATENATE("          ", "6321", " - ", "BUILDING DEPRECIATION")</f>
        <v xml:space="preserve">          6321 - BUILDING DEPRECIATION</v>
      </c>
      <c r="C46" s="11"/>
      <c r="D46" s="6">
        <v>10597.26</v>
      </c>
      <c r="E46" s="2"/>
      <c r="F46" s="7">
        <f t="shared" si="29"/>
        <v>0</v>
      </c>
      <c r="G46" s="2"/>
      <c r="H46" s="6">
        <v>10612.46</v>
      </c>
      <c r="I46" s="2"/>
      <c r="J46" s="7">
        <f t="shared" si="30"/>
        <v>9.9611782440476734E-2</v>
      </c>
      <c r="K46" s="2"/>
      <c r="L46" s="6">
        <f t="shared" si="31"/>
        <v>-15.199999999998909</v>
      </c>
      <c r="M46" s="2"/>
      <c r="N46" s="7">
        <f t="shared" si="32"/>
        <v>-1.4322786611208815E-3</v>
      </c>
      <c r="O46" s="11"/>
      <c r="P46" s="6">
        <v>84778.08</v>
      </c>
      <c r="Q46" s="2"/>
      <c r="R46" s="7">
        <f t="shared" si="33"/>
        <v>1.8782932357313613</v>
      </c>
      <c r="S46" s="2"/>
      <c r="T46" s="6">
        <v>84899.68</v>
      </c>
      <c r="U46" s="2"/>
      <c r="V46" s="7">
        <f t="shared" si="34"/>
        <v>0.1396687400341701</v>
      </c>
      <c r="W46" s="2"/>
      <c r="X46" s="6">
        <f t="shared" si="35"/>
        <v>-121.59999999999127</v>
      </c>
      <c r="Y46" s="2"/>
      <c r="Z46" s="7">
        <f t="shared" si="36"/>
        <v>-1.4322786611208815E-3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3305.06</v>
      </c>
      <c r="E47" s="2"/>
      <c r="F47" s="7">
        <f t="shared" si="29"/>
        <v>0</v>
      </c>
      <c r="G47" s="2"/>
      <c r="H47" s="6">
        <v>2968.23</v>
      </c>
      <c r="I47" s="2"/>
      <c r="J47" s="7">
        <f t="shared" si="30"/>
        <v>2.7860710993803158E-2</v>
      </c>
      <c r="K47" s="2"/>
      <c r="L47" s="6">
        <f t="shared" si="31"/>
        <v>336.82999999999993</v>
      </c>
      <c r="M47" s="2"/>
      <c r="N47" s="7">
        <f t="shared" si="32"/>
        <v>0.11347840295394897</v>
      </c>
      <c r="O47" s="11"/>
      <c r="P47" s="6">
        <v>26405.759999999998</v>
      </c>
      <c r="Q47" s="2"/>
      <c r="R47" s="7">
        <f t="shared" si="33"/>
        <v>0.58503047476830983</v>
      </c>
      <c r="S47" s="2"/>
      <c r="T47" s="6">
        <v>22176.94</v>
      </c>
      <c r="U47" s="2"/>
      <c r="V47" s="7">
        <f t="shared" si="34"/>
        <v>3.6483356210687587E-2</v>
      </c>
      <c r="W47" s="2"/>
      <c r="X47" s="6">
        <f t="shared" si="35"/>
        <v>4228.82</v>
      </c>
      <c r="Y47" s="2"/>
      <c r="Z47" s="7">
        <f t="shared" si="36"/>
        <v>0.1906854597613557</v>
      </c>
    </row>
    <row r="48" spans="1:26" s="25" customFormat="1" outlineLevel="1" collapsed="1" x14ac:dyDescent="0.25">
      <c r="A48" s="27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SUM(OSRRefD22_6x_0)</f>
        <v>0</v>
      </c>
      <c r="E48" s="1"/>
      <c r="F48" s="5">
        <f t="shared" ref="F48:F62" si="37">IF(D$12=0,0,D48/D$12)</f>
        <v>0</v>
      </c>
      <c r="G48" s="1"/>
      <c r="H48" s="1">
        <f>SUM(OSRRefH22_6x_0)</f>
        <v>0</v>
      </c>
      <c r="I48" s="1"/>
      <c r="J48" s="5">
        <f t="shared" ref="J48:J62" si="38">IF(H$12=0,0,H48/H$12)</f>
        <v>0</v>
      </c>
      <c r="K48" s="1"/>
      <c r="L48" s="1">
        <f t="shared" ref="L48:L62" si="39">+D48-H48</f>
        <v>0</v>
      </c>
      <c r="M48" s="1"/>
      <c r="N48" s="5">
        <f t="shared" ref="N48:N62" si="40">IF(H48=0,0,L48/H48)</f>
        <v>0</v>
      </c>
      <c r="O48" s="13"/>
      <c r="P48" s="1">
        <f>SUM(OSRRefP22_6x_0)</f>
        <v>10</v>
      </c>
      <c r="Q48" s="1"/>
      <c r="R48" s="5">
        <f t="shared" ref="R48:R62" si="41">IF(P$12=0,0,P48/P$12)</f>
        <v>2.2155411348444802E-4</v>
      </c>
      <c r="S48" s="1"/>
      <c r="T48" s="1">
        <f>SUM(OSRRefT22_6x_0)</f>
        <v>96.36</v>
      </c>
      <c r="U48" s="1"/>
      <c r="V48" s="5">
        <f t="shared" ref="V48:V62" si="42">IF(T$12=0,0,T48/T$12)</f>
        <v>1.5852214978540123E-4</v>
      </c>
      <c r="W48" s="1"/>
      <c r="X48" s="1">
        <f t="shared" ref="X48:X62" si="43">+P48-T48</f>
        <v>-86.36</v>
      </c>
      <c r="Y48" s="1"/>
      <c r="Z48" s="5">
        <f t="shared" ref="Z48:Z62" si="44">IF(T48=0,0,X48/T48)</f>
        <v>-0.89622249896222494</v>
      </c>
    </row>
    <row r="49" spans="1:26" s="24" customFormat="1" hidden="1" outlineLevel="2" x14ac:dyDescent="0.25">
      <c r="A49" s="26"/>
      <c r="B49" s="11" t="str">
        <f>CONCATENATE("          ", "6277", " - ", "EMPLOYEE APPRECIATION")</f>
        <v xml:space="preserve">          6277 - EMPLOYEE APPRECIATION</v>
      </c>
      <c r="C49" s="11"/>
      <c r="D49" s="6"/>
      <c r="E49" s="2"/>
      <c r="F49" s="7">
        <f t="shared" si="37"/>
        <v>0</v>
      </c>
      <c r="G49" s="2"/>
      <c r="H49" s="6"/>
      <c r="I49" s="2"/>
      <c r="J49" s="7">
        <f t="shared" si="38"/>
        <v>0</v>
      </c>
      <c r="K49" s="2"/>
      <c r="L49" s="6">
        <f t="shared" si="39"/>
        <v>0</v>
      </c>
      <c r="M49" s="2"/>
      <c r="N49" s="7">
        <f t="shared" si="40"/>
        <v>0</v>
      </c>
      <c r="O49" s="11"/>
      <c r="P49" s="6">
        <v>10</v>
      </c>
      <c r="Q49" s="2"/>
      <c r="R49" s="7">
        <f t="shared" si="41"/>
        <v>2.2155411348444802E-4</v>
      </c>
      <c r="S49" s="2"/>
      <c r="T49" s="6">
        <v>96.36</v>
      </c>
      <c r="U49" s="2"/>
      <c r="V49" s="7">
        <f t="shared" si="42"/>
        <v>1.5852214978540123E-4</v>
      </c>
      <c r="W49" s="2"/>
      <c r="X49" s="6">
        <f t="shared" si="43"/>
        <v>-86.36</v>
      </c>
      <c r="Y49" s="2"/>
      <c r="Z49" s="7">
        <f t="shared" si="44"/>
        <v>-0.89622249896222494</v>
      </c>
    </row>
    <row r="50" spans="1:26" s="25" customFormat="1" outlineLevel="1" collapsed="1" x14ac:dyDescent="0.25">
      <c r="A50" s="27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SUM(OSRRefD22_7x_0)</f>
        <v>255.55</v>
      </c>
      <c r="E50" s="1"/>
      <c r="F50" s="5">
        <f t="shared" si="37"/>
        <v>0</v>
      </c>
      <c r="G50" s="1"/>
      <c r="H50" s="1">
        <f>SUM(OSRRefH22_7x_0)</f>
        <v>103.33</v>
      </c>
      <c r="I50" s="1"/>
      <c r="J50" s="5">
        <f t="shared" si="38"/>
        <v>9.6988685748398214E-4</v>
      </c>
      <c r="K50" s="1"/>
      <c r="L50" s="1">
        <f t="shared" si="39"/>
        <v>152.22000000000003</v>
      </c>
      <c r="M50" s="1"/>
      <c r="N50" s="5">
        <f t="shared" si="40"/>
        <v>1.4731442949772575</v>
      </c>
      <c r="O50" s="13"/>
      <c r="P50" s="1">
        <f>SUM(OSRRefP22_7x_0)</f>
        <v>1255.6199999999999</v>
      </c>
      <c r="Q50" s="1"/>
      <c r="R50" s="5">
        <f t="shared" si="41"/>
        <v>2.7818777597334261E-2</v>
      </c>
      <c r="S50" s="1"/>
      <c r="T50" s="1">
        <f>SUM(OSRRefT22_7x_0)</f>
        <v>937.82</v>
      </c>
      <c r="U50" s="1"/>
      <c r="V50" s="5">
        <f t="shared" si="42"/>
        <v>1.5428107359043688E-3</v>
      </c>
      <c r="W50" s="1"/>
      <c r="X50" s="1">
        <f t="shared" si="43"/>
        <v>317.79999999999984</v>
      </c>
      <c r="Y50" s="1"/>
      <c r="Z50" s="5">
        <f t="shared" si="44"/>
        <v>0.33887099869911053</v>
      </c>
    </row>
    <row r="51" spans="1:26" s="24" customFormat="1" hidden="1" outlineLevel="2" x14ac:dyDescent="0.25">
      <c r="A51" s="26"/>
      <c r="B51" s="11" t="str">
        <f>CONCATENATE("          ", "6351", " - ", "EQUIPMENT RENTAL")</f>
        <v xml:space="preserve">          6351 - EQUIPMENT RENTAL</v>
      </c>
      <c r="C51" s="11"/>
      <c r="D51" s="6">
        <v>255.55</v>
      </c>
      <c r="E51" s="2"/>
      <c r="F51" s="7">
        <f t="shared" si="37"/>
        <v>0</v>
      </c>
      <c r="G51" s="2"/>
      <c r="H51" s="6">
        <v>103.33</v>
      </c>
      <c r="I51" s="2"/>
      <c r="J51" s="7">
        <f t="shared" si="38"/>
        <v>9.6988685748398214E-4</v>
      </c>
      <c r="K51" s="2"/>
      <c r="L51" s="6">
        <f t="shared" si="39"/>
        <v>152.22000000000003</v>
      </c>
      <c r="M51" s="2"/>
      <c r="N51" s="7">
        <f t="shared" si="40"/>
        <v>1.4731442949772575</v>
      </c>
      <c r="O51" s="11"/>
      <c r="P51" s="6">
        <v>1255.6199999999999</v>
      </c>
      <c r="Q51" s="2"/>
      <c r="R51" s="7">
        <f t="shared" si="41"/>
        <v>2.7818777597334261E-2</v>
      </c>
      <c r="S51" s="2"/>
      <c r="T51" s="6">
        <v>937.82</v>
      </c>
      <c r="U51" s="2"/>
      <c r="V51" s="7">
        <f t="shared" si="42"/>
        <v>1.5428107359043688E-3</v>
      </c>
      <c r="W51" s="2"/>
      <c r="X51" s="6">
        <f t="shared" si="43"/>
        <v>317.79999999999984</v>
      </c>
      <c r="Y51" s="2"/>
      <c r="Z51" s="7">
        <f t="shared" si="44"/>
        <v>0.33887099869911053</v>
      </c>
    </row>
    <row r="52" spans="1:26" s="25" customFormat="1" outlineLevel="1" collapsed="1" x14ac:dyDescent="0.25">
      <c r="A52" s="27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SUM(OSRRefD22_8x_0)</f>
        <v>88.62</v>
      </c>
      <c r="E52" s="1"/>
      <c r="F52" s="5">
        <f t="shared" si="37"/>
        <v>0</v>
      </c>
      <c r="G52" s="1"/>
      <c r="H52" s="1">
        <f>SUM(OSRRefH22_8x_0)</f>
        <v>82.8</v>
      </c>
      <c r="I52" s="1"/>
      <c r="J52" s="5">
        <f t="shared" si="38"/>
        <v>7.7718602341695264E-4</v>
      </c>
      <c r="K52" s="1"/>
      <c r="L52" s="1">
        <f t="shared" si="39"/>
        <v>5.8200000000000074</v>
      </c>
      <c r="M52" s="1"/>
      <c r="N52" s="5">
        <f t="shared" si="40"/>
        <v>7.0289855072463867E-2</v>
      </c>
      <c r="O52" s="13"/>
      <c r="P52" s="1">
        <f>SUM(OSRRefP22_8x_0)</f>
        <v>2498.69</v>
      </c>
      <c r="Q52" s="1"/>
      <c r="R52" s="5">
        <f t="shared" si="41"/>
        <v>5.5359504782245543E-2</v>
      </c>
      <c r="S52" s="1"/>
      <c r="T52" s="1">
        <f>SUM(OSRRefT22_8x_0)</f>
        <v>1926.21</v>
      </c>
      <c r="U52" s="1"/>
      <c r="V52" s="5">
        <f t="shared" si="42"/>
        <v>3.1688143434842019E-3</v>
      </c>
      <c r="W52" s="1"/>
      <c r="X52" s="1">
        <f t="shared" si="43"/>
        <v>572.48</v>
      </c>
      <c r="Y52" s="1"/>
      <c r="Z52" s="5">
        <f t="shared" si="44"/>
        <v>0.29720539297376714</v>
      </c>
    </row>
    <row r="53" spans="1:26" s="24" customFormat="1" hidden="1" outlineLevel="2" x14ac:dyDescent="0.25">
      <c r="A53" s="26"/>
      <c r="B53" s="11" t="str">
        <f>CONCATENATE("          ", "6279", " - ", "GENERAL EXPENSE")</f>
        <v xml:space="preserve">          6279 - GENERAL EXPENSE</v>
      </c>
      <c r="C53" s="11"/>
      <c r="D53" s="6">
        <v>88.62</v>
      </c>
      <c r="E53" s="2"/>
      <c r="F53" s="7">
        <f t="shared" si="37"/>
        <v>0</v>
      </c>
      <c r="G53" s="2"/>
      <c r="H53" s="6">
        <v>82.8</v>
      </c>
      <c r="I53" s="2"/>
      <c r="J53" s="7">
        <f t="shared" si="38"/>
        <v>7.7718602341695264E-4</v>
      </c>
      <c r="K53" s="2"/>
      <c r="L53" s="6">
        <f t="shared" si="39"/>
        <v>5.8200000000000074</v>
      </c>
      <c r="M53" s="2"/>
      <c r="N53" s="7">
        <f t="shared" si="40"/>
        <v>7.0289855072463867E-2</v>
      </c>
      <c r="O53" s="11"/>
      <c r="P53" s="6">
        <v>2498.69</v>
      </c>
      <c r="Q53" s="2"/>
      <c r="R53" s="7">
        <f t="shared" si="41"/>
        <v>5.5359504782245543E-2</v>
      </c>
      <c r="S53" s="2"/>
      <c r="T53" s="6">
        <v>1926.21</v>
      </c>
      <c r="U53" s="2"/>
      <c r="V53" s="7">
        <f t="shared" si="42"/>
        <v>3.1688143434842019E-3</v>
      </c>
      <c r="W53" s="2"/>
      <c r="X53" s="6">
        <f t="shared" si="43"/>
        <v>572.48</v>
      </c>
      <c r="Y53" s="2"/>
      <c r="Z53" s="7">
        <f t="shared" si="44"/>
        <v>0.29720539297376714</v>
      </c>
    </row>
    <row r="54" spans="1:26" s="25" customFormat="1" outlineLevel="1" collapsed="1" x14ac:dyDescent="0.25">
      <c r="A54" s="27"/>
      <c r="B54" s="13" t="str">
        <f>CONCATENATE("     ","Insurance                                         ")</f>
        <v xml:space="preserve">     Insurance                                         </v>
      </c>
      <c r="C54" s="13"/>
      <c r="D54" s="1">
        <f>SUM(OSRRefD22_9x_0)</f>
        <v>641.28</v>
      </c>
      <c r="E54" s="1"/>
      <c r="F54" s="5">
        <f t="shared" si="37"/>
        <v>0</v>
      </c>
      <c r="G54" s="1"/>
      <c r="H54" s="1">
        <f>SUM(OSRRefH22_9x_0)</f>
        <v>641.28</v>
      </c>
      <c r="I54" s="1"/>
      <c r="J54" s="5">
        <f t="shared" si="38"/>
        <v>6.0192494335365148E-3</v>
      </c>
      <c r="K54" s="1"/>
      <c r="L54" s="1">
        <f t="shared" si="39"/>
        <v>0</v>
      </c>
      <c r="M54" s="1"/>
      <c r="N54" s="5">
        <f t="shared" si="40"/>
        <v>0</v>
      </c>
      <c r="O54" s="13"/>
      <c r="P54" s="1">
        <f>SUM(OSRRefP22_9x_0)</f>
        <v>5130.24</v>
      </c>
      <c r="Q54" s="1"/>
      <c r="R54" s="5">
        <f t="shared" si="41"/>
        <v>0.11366257751624546</v>
      </c>
      <c r="S54" s="1"/>
      <c r="T54" s="1">
        <f>SUM(OSRRefT22_9x_0)</f>
        <v>5130.24</v>
      </c>
      <c r="U54" s="1"/>
      <c r="V54" s="5">
        <f t="shared" si="42"/>
        <v>8.4397745300441758E-3</v>
      </c>
      <c r="W54" s="1"/>
      <c r="X54" s="1">
        <f t="shared" si="43"/>
        <v>0</v>
      </c>
      <c r="Y54" s="1"/>
      <c r="Z54" s="5">
        <f t="shared" si="44"/>
        <v>0</v>
      </c>
    </row>
    <row r="55" spans="1:26" s="24" customFormat="1" hidden="1" outlineLevel="2" x14ac:dyDescent="0.25">
      <c r="A55" s="26"/>
      <c r="B55" s="11" t="str">
        <f>CONCATENATE("          ", "6314", " - ", "LIABILITY INSURANCE")</f>
        <v xml:space="preserve">          6314 - LIABILITY INSURANCE</v>
      </c>
      <c r="C55" s="11"/>
      <c r="D55" s="6">
        <v>641.28</v>
      </c>
      <c r="E55" s="2"/>
      <c r="F55" s="7">
        <f t="shared" si="37"/>
        <v>0</v>
      </c>
      <c r="G55" s="2"/>
      <c r="H55" s="6">
        <v>641.28</v>
      </c>
      <c r="I55" s="2"/>
      <c r="J55" s="7">
        <f t="shared" si="38"/>
        <v>6.0192494335365148E-3</v>
      </c>
      <c r="K55" s="2"/>
      <c r="L55" s="6">
        <f t="shared" si="39"/>
        <v>0</v>
      </c>
      <c r="M55" s="2"/>
      <c r="N55" s="7">
        <f t="shared" si="40"/>
        <v>0</v>
      </c>
      <c r="O55" s="11"/>
      <c r="P55" s="6">
        <v>5130.24</v>
      </c>
      <c r="Q55" s="2"/>
      <c r="R55" s="7">
        <f t="shared" si="41"/>
        <v>0.11366257751624546</v>
      </c>
      <c r="S55" s="2"/>
      <c r="T55" s="6">
        <v>5130.24</v>
      </c>
      <c r="U55" s="2"/>
      <c r="V55" s="7">
        <f t="shared" si="42"/>
        <v>8.4397745300441758E-3</v>
      </c>
      <c r="W55" s="2"/>
      <c r="X55" s="6">
        <f t="shared" si="43"/>
        <v>0</v>
      </c>
      <c r="Y55" s="2"/>
      <c r="Z55" s="7">
        <f t="shared" si="44"/>
        <v>0</v>
      </c>
    </row>
    <row r="56" spans="1:26" s="25" customFormat="1" outlineLevel="1" collapsed="1" x14ac:dyDescent="0.25">
      <c r="A56" s="27"/>
      <c r="B56" s="13" t="str">
        <f>CONCATENATE("     ","Interest                                          ")</f>
        <v xml:space="preserve">     Interest                                          </v>
      </c>
      <c r="C56" s="13"/>
      <c r="D56" s="1">
        <f>SUM(OSRRefD22_10x_0)</f>
        <v>7510</v>
      </c>
      <c r="E56" s="1"/>
      <c r="F56" s="5">
        <f t="shared" si="37"/>
        <v>0</v>
      </c>
      <c r="G56" s="1"/>
      <c r="H56" s="1">
        <f>SUM(OSRRefH22_10x_0)</f>
        <v>7754</v>
      </c>
      <c r="I56" s="1"/>
      <c r="J56" s="5">
        <f t="shared" si="38"/>
        <v>7.2781406105978885E-2</v>
      </c>
      <c r="K56" s="1"/>
      <c r="L56" s="1">
        <f t="shared" si="39"/>
        <v>-244</v>
      </c>
      <c r="M56" s="1"/>
      <c r="N56" s="5">
        <f t="shared" si="40"/>
        <v>-3.1467629610523601E-2</v>
      </c>
      <c r="O56" s="13"/>
      <c r="P56" s="1">
        <f>SUM(OSRRefP22_10x_0)</f>
        <v>59593.149999999994</v>
      </c>
      <c r="Q56" s="1"/>
      <c r="R56" s="5">
        <f t="shared" si="41"/>
        <v>1.3203107517995731</v>
      </c>
      <c r="S56" s="1"/>
      <c r="T56" s="1">
        <f>SUM(OSRRefT22_10x_0)</f>
        <v>61639.049999999996</v>
      </c>
      <c r="U56" s="1"/>
      <c r="V56" s="5">
        <f t="shared" si="42"/>
        <v>0.10140260187556906</v>
      </c>
      <c r="W56" s="1"/>
      <c r="X56" s="1">
        <f t="shared" si="43"/>
        <v>-2045.9000000000015</v>
      </c>
      <c r="Y56" s="1"/>
      <c r="Z56" s="5">
        <f t="shared" si="44"/>
        <v>-3.3191621220638567E-2</v>
      </c>
    </row>
    <row r="57" spans="1:26" s="24" customFormat="1" hidden="1" outlineLevel="2" x14ac:dyDescent="0.25">
      <c r="A57" s="26"/>
      <c r="B57" s="11" t="str">
        <f>CONCATENATE("          ", "6401", " - ", "INTEREST EXPENSE")</f>
        <v xml:space="preserve">          6401 - INTEREST EXPENSE</v>
      </c>
      <c r="C57" s="11"/>
      <c r="D57" s="6">
        <v>7510</v>
      </c>
      <c r="E57" s="2"/>
      <c r="F57" s="7">
        <f t="shared" si="37"/>
        <v>0</v>
      </c>
      <c r="G57" s="2"/>
      <c r="H57" s="6">
        <v>7754</v>
      </c>
      <c r="I57" s="2"/>
      <c r="J57" s="7">
        <f t="shared" si="38"/>
        <v>7.2781406105978885E-2</v>
      </c>
      <c r="K57" s="2"/>
      <c r="L57" s="6">
        <f t="shared" si="39"/>
        <v>-244</v>
      </c>
      <c r="M57" s="2"/>
      <c r="N57" s="7">
        <f t="shared" si="40"/>
        <v>-3.1467629610523601E-2</v>
      </c>
      <c r="O57" s="11"/>
      <c r="P57" s="6">
        <v>59593.149999999994</v>
      </c>
      <c r="Q57" s="2"/>
      <c r="R57" s="7">
        <f t="shared" si="41"/>
        <v>1.3203107517995731</v>
      </c>
      <c r="S57" s="2"/>
      <c r="T57" s="6">
        <v>61639.049999999996</v>
      </c>
      <c r="U57" s="2"/>
      <c r="V57" s="7">
        <f t="shared" si="42"/>
        <v>0.10140260187556906</v>
      </c>
      <c r="W57" s="2"/>
      <c r="X57" s="6">
        <f t="shared" si="43"/>
        <v>-2045.9000000000015</v>
      </c>
      <c r="Y57" s="2"/>
      <c r="Z57" s="7">
        <f t="shared" si="44"/>
        <v>-3.3191621220638567E-2</v>
      </c>
    </row>
    <row r="58" spans="1:26" s="25" customFormat="1" outlineLevel="1" collapsed="1" x14ac:dyDescent="0.25">
      <c r="A58" s="27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SUM(OSRRefD22_11x_0)</f>
        <v>315</v>
      </c>
      <c r="E58" s="1"/>
      <c r="F58" s="5">
        <f t="shared" si="37"/>
        <v>0</v>
      </c>
      <c r="G58" s="1"/>
      <c r="H58" s="1">
        <f>SUM(OSRRefH22_11x_0)</f>
        <v>1071.3900000000001</v>
      </c>
      <c r="I58" s="1"/>
      <c r="J58" s="5">
        <f t="shared" si="38"/>
        <v>1.0056392918220882E-2</v>
      </c>
      <c r="K58" s="1"/>
      <c r="L58" s="1">
        <f t="shared" si="39"/>
        <v>-756.3900000000001</v>
      </c>
      <c r="M58" s="1"/>
      <c r="N58" s="5">
        <f t="shared" si="40"/>
        <v>-0.70598941561896233</v>
      </c>
      <c r="O58" s="13"/>
      <c r="P58" s="1">
        <f>SUM(OSRRefP22_11x_0)</f>
        <v>15757.7</v>
      </c>
      <c r="Q58" s="1"/>
      <c r="R58" s="5">
        <f t="shared" si="41"/>
        <v>0.34911832540538867</v>
      </c>
      <c r="S58" s="1"/>
      <c r="T58" s="1">
        <f>SUM(OSRRefT22_11x_0)</f>
        <v>23586.67</v>
      </c>
      <c r="U58" s="1"/>
      <c r="V58" s="5">
        <f t="shared" si="42"/>
        <v>3.8802507624313295E-2</v>
      </c>
      <c r="W58" s="1"/>
      <c r="X58" s="1">
        <f t="shared" si="43"/>
        <v>-7828.9699999999975</v>
      </c>
      <c r="Y58" s="1"/>
      <c r="Z58" s="5">
        <f t="shared" si="44"/>
        <v>-0.33192349746700139</v>
      </c>
    </row>
    <row r="59" spans="1:26" s="24" customFormat="1" hidden="1" outlineLevel="2" x14ac:dyDescent="0.25">
      <c r="A59" s="26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37"/>
        <v>0</v>
      </c>
      <c r="G59" s="2"/>
      <c r="H59" s="6"/>
      <c r="I59" s="2"/>
      <c r="J59" s="7">
        <f t="shared" si="38"/>
        <v>0</v>
      </c>
      <c r="K59" s="2"/>
      <c r="L59" s="6">
        <f t="shared" si="39"/>
        <v>0</v>
      </c>
      <c r="M59" s="2"/>
      <c r="N59" s="7">
        <f t="shared" si="40"/>
        <v>0</v>
      </c>
      <c r="O59" s="11"/>
      <c r="P59" s="6"/>
      <c r="Q59" s="2"/>
      <c r="R59" s="7">
        <f t="shared" si="41"/>
        <v>0</v>
      </c>
      <c r="S59" s="2"/>
      <c r="T59" s="6">
        <v>2623.84</v>
      </c>
      <c r="U59" s="2"/>
      <c r="V59" s="7">
        <f t="shared" si="42"/>
        <v>4.3164877282371025E-3</v>
      </c>
      <c r="W59" s="2"/>
      <c r="X59" s="6">
        <f t="shared" si="43"/>
        <v>-2623.84</v>
      </c>
      <c r="Y59" s="2"/>
      <c r="Z59" s="7">
        <f t="shared" si="44"/>
        <v>-1</v>
      </c>
    </row>
    <row r="60" spans="1:26" s="24" customFormat="1" hidden="1" outlineLevel="2" x14ac:dyDescent="0.25">
      <c r="A60" s="26"/>
      <c r="B60" s="11" t="str">
        <f>CONCATENATE("          ", "6372", " - ", "COMPUTER HARDWARE MAINTENANCE")</f>
        <v xml:space="preserve">          6372 - COMPUTER HARDWARE MAINTENANCE</v>
      </c>
      <c r="C60" s="11"/>
      <c r="D60" s="6"/>
      <c r="E60" s="2"/>
      <c r="F60" s="7">
        <f t="shared" si="37"/>
        <v>0</v>
      </c>
      <c r="G60" s="2"/>
      <c r="H60" s="6"/>
      <c r="I60" s="2"/>
      <c r="J60" s="7">
        <f t="shared" si="38"/>
        <v>0</v>
      </c>
      <c r="K60" s="2"/>
      <c r="L60" s="6">
        <f t="shared" si="39"/>
        <v>0</v>
      </c>
      <c r="M60" s="2"/>
      <c r="N60" s="7">
        <f t="shared" si="40"/>
        <v>0</v>
      </c>
      <c r="O60" s="11"/>
      <c r="P60" s="6"/>
      <c r="Q60" s="2"/>
      <c r="R60" s="7">
        <f t="shared" si="41"/>
        <v>0</v>
      </c>
      <c r="S60" s="2"/>
      <c r="T60" s="6">
        <v>-0.01</v>
      </c>
      <c r="U60" s="2"/>
      <c r="V60" s="7">
        <f t="shared" si="42"/>
        <v>-1.64510325638648E-8</v>
      </c>
      <c r="W60" s="2"/>
      <c r="X60" s="6">
        <f t="shared" si="43"/>
        <v>0.01</v>
      </c>
      <c r="Y60" s="2"/>
      <c r="Z60" s="7">
        <f t="shared" si="44"/>
        <v>-1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37"/>
        <v>0</v>
      </c>
      <c r="G61" s="2"/>
      <c r="H61" s="6"/>
      <c r="I61" s="2"/>
      <c r="J61" s="7">
        <f t="shared" si="38"/>
        <v>0</v>
      </c>
      <c r="K61" s="2"/>
      <c r="L61" s="6">
        <f t="shared" si="39"/>
        <v>0</v>
      </c>
      <c r="M61" s="2"/>
      <c r="N61" s="7">
        <f t="shared" si="40"/>
        <v>0</v>
      </c>
      <c r="O61" s="11"/>
      <c r="P61" s="6">
        <v>6596.34</v>
      </c>
      <c r="Q61" s="2"/>
      <c r="R61" s="7">
        <f t="shared" si="41"/>
        <v>0.1461446260942004</v>
      </c>
      <c r="S61" s="2"/>
      <c r="T61" s="6">
        <v>3768.74</v>
      </c>
      <c r="U61" s="2"/>
      <c r="V61" s="7">
        <f t="shared" si="42"/>
        <v>6.1999664464739831E-3</v>
      </c>
      <c r="W61" s="2"/>
      <c r="X61" s="6">
        <f t="shared" si="43"/>
        <v>2827.6000000000004</v>
      </c>
      <c r="Y61" s="2"/>
      <c r="Z61" s="7">
        <f t="shared" si="44"/>
        <v>0.75027728100107738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6">
        <v>315</v>
      </c>
      <c r="E62" s="2"/>
      <c r="F62" s="7">
        <f t="shared" si="37"/>
        <v>0</v>
      </c>
      <c r="G62" s="2"/>
      <c r="H62" s="6">
        <v>1071.3900000000001</v>
      </c>
      <c r="I62" s="2"/>
      <c r="J62" s="7">
        <f t="shared" si="38"/>
        <v>1.0056392918220882E-2</v>
      </c>
      <c r="K62" s="2"/>
      <c r="L62" s="6">
        <f t="shared" si="39"/>
        <v>-756.3900000000001</v>
      </c>
      <c r="M62" s="2"/>
      <c r="N62" s="7">
        <f t="shared" si="40"/>
        <v>-0.70598941561896233</v>
      </c>
      <c r="O62" s="11"/>
      <c r="P62" s="6">
        <v>9161.36</v>
      </c>
      <c r="Q62" s="2"/>
      <c r="R62" s="7">
        <f t="shared" si="41"/>
        <v>0.20297369931118828</v>
      </c>
      <c r="S62" s="2"/>
      <c r="T62" s="6">
        <v>17194.099999999999</v>
      </c>
      <c r="U62" s="2"/>
      <c r="V62" s="7">
        <f t="shared" si="42"/>
        <v>2.8286069900634776E-2</v>
      </c>
      <c r="W62" s="2"/>
      <c r="X62" s="6">
        <f t="shared" si="43"/>
        <v>-8032.739999999998</v>
      </c>
      <c r="Y62" s="2"/>
      <c r="Z62" s="7">
        <f t="shared" si="44"/>
        <v>-0.46718002105373346</v>
      </c>
    </row>
    <row r="63" spans="1:26" s="25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1111.95</v>
      </c>
      <c r="E63" s="1"/>
      <c r="F63" s="5">
        <f t="shared" ref="F63:F68" si="45">IF(D$12=0,0,D63/D$12)</f>
        <v>0</v>
      </c>
      <c r="G63" s="1"/>
      <c r="H63" s="1">
        <f>SUM(OSRRefH22_12x_0)</f>
        <v>4858.7999999999993</v>
      </c>
      <c r="I63" s="1"/>
      <c r="J63" s="5">
        <f t="shared" ref="J63:J68" si="46">IF(H$12=0,0,H63/H$12)</f>
        <v>4.5606176939351317E-2</v>
      </c>
      <c r="K63" s="1"/>
      <c r="L63" s="1">
        <f t="shared" ref="L63:L68" si="47">+D63-H63</f>
        <v>-3746.8499999999995</v>
      </c>
      <c r="M63" s="1"/>
      <c r="N63" s="5">
        <f t="shared" ref="N63:N68" si="48">IF(H63=0,0,L63/H63)</f>
        <v>-0.77114719683872557</v>
      </c>
      <c r="O63" s="13"/>
      <c r="P63" s="1">
        <f>SUM(OSRRefP22_12x_0)</f>
        <v>23896.13</v>
      </c>
      <c r="Q63" s="1"/>
      <c r="R63" s="5">
        <f t="shared" ref="R63:R68" si="49">IF(P$12=0,0,P63/P$12)</f>
        <v>0.52942858978591234</v>
      </c>
      <c r="S63" s="1"/>
      <c r="T63" s="1">
        <f>SUM(OSRRefT22_12x_0)</f>
        <v>37142.43</v>
      </c>
      <c r="U63" s="1"/>
      <c r="V63" s="5">
        <f t="shared" ref="V63:V68" si="50">IF(T$12=0,0,T63/T$12)</f>
        <v>6.110313254310689E-2</v>
      </c>
      <c r="W63" s="1"/>
      <c r="X63" s="1">
        <f t="shared" ref="X63:X68" si="51">+P63-T63</f>
        <v>-13246.3</v>
      </c>
      <c r="Y63" s="1"/>
      <c r="Z63" s="5">
        <f t="shared" ref="Z63:Z68" si="52">IF(T63=0,0,X63/T63)</f>
        <v>-0.35663525515158806</v>
      </c>
    </row>
    <row r="64" spans="1:26" s="24" customFormat="1" hidden="1" outlineLevel="2" x14ac:dyDescent="0.25">
      <c r="A64" s="26"/>
      <c r="B64" s="11" t="str">
        <f>CONCATENATE("          ", "6282", " - ", "JANITORIAL/EXTERMINATOR EXPENS")</f>
        <v xml:space="preserve">          6282 - JANITORIAL/EXTERMINATOR EXPENS</v>
      </c>
      <c r="C64" s="11"/>
      <c r="D64" s="6"/>
      <c r="E64" s="2"/>
      <c r="F64" s="7">
        <f t="shared" si="45"/>
        <v>0</v>
      </c>
      <c r="G64" s="2"/>
      <c r="H64" s="6">
        <v>657.08</v>
      </c>
      <c r="I64" s="2"/>
      <c r="J64" s="7">
        <f t="shared" si="46"/>
        <v>6.16755304670062E-3</v>
      </c>
      <c r="K64" s="2"/>
      <c r="L64" s="6">
        <f t="shared" si="47"/>
        <v>-657.08</v>
      </c>
      <c r="M64" s="2"/>
      <c r="N64" s="7">
        <f t="shared" si="48"/>
        <v>-1</v>
      </c>
      <c r="O64" s="11"/>
      <c r="P64" s="6">
        <v>2780.19</v>
      </c>
      <c r="Q64" s="2"/>
      <c r="R64" s="7">
        <f t="shared" si="49"/>
        <v>6.1596253076832759E-2</v>
      </c>
      <c r="S64" s="2"/>
      <c r="T64" s="6">
        <v>2956.86</v>
      </c>
      <c r="U64" s="2"/>
      <c r="V64" s="7">
        <f t="shared" si="50"/>
        <v>4.8643400146789282E-3</v>
      </c>
      <c r="W64" s="2"/>
      <c r="X64" s="6">
        <f t="shared" si="51"/>
        <v>-176.67000000000007</v>
      </c>
      <c r="Y64" s="2"/>
      <c r="Z64" s="7">
        <f t="shared" si="52"/>
        <v>-5.9749193401107951E-2</v>
      </c>
    </row>
    <row r="65" spans="1:26" s="24" customFormat="1" hidden="1" outlineLevel="2" x14ac:dyDescent="0.25">
      <c r="A65" s="26"/>
      <c r="B65" s="11" t="str">
        <f>CONCATENATE("          ", "6283", " - ", "PLANT SERVICE")</f>
        <v xml:space="preserve">          6283 - PLANT SERVICE</v>
      </c>
      <c r="C65" s="11"/>
      <c r="D65" s="6"/>
      <c r="E65" s="2"/>
      <c r="F65" s="7">
        <f t="shared" si="45"/>
        <v>0</v>
      </c>
      <c r="G65" s="2"/>
      <c r="H65" s="6">
        <v>61.55</v>
      </c>
      <c r="I65" s="2"/>
      <c r="J65" s="7">
        <f t="shared" si="46"/>
        <v>5.7772705001586276E-4</v>
      </c>
      <c r="K65" s="2"/>
      <c r="L65" s="6">
        <f t="shared" si="47"/>
        <v>-61.55</v>
      </c>
      <c r="M65" s="2"/>
      <c r="N65" s="7">
        <f t="shared" si="48"/>
        <v>-1</v>
      </c>
      <c r="O65" s="11"/>
      <c r="P65" s="6"/>
      <c r="Q65" s="2"/>
      <c r="R65" s="7">
        <f t="shared" si="49"/>
        <v>0</v>
      </c>
      <c r="S65" s="2"/>
      <c r="T65" s="6">
        <v>307.75</v>
      </c>
      <c r="U65" s="2"/>
      <c r="V65" s="7">
        <f t="shared" si="50"/>
        <v>5.0628052715293926E-4</v>
      </c>
      <c r="W65" s="2"/>
      <c r="X65" s="6">
        <f t="shared" si="51"/>
        <v>-307.75</v>
      </c>
      <c r="Y65" s="2"/>
      <c r="Z65" s="7">
        <f t="shared" si="52"/>
        <v>-1</v>
      </c>
    </row>
    <row r="66" spans="1:26" s="24" customFormat="1" hidden="1" outlineLevel="2" x14ac:dyDescent="0.25">
      <c r="A66" s="26"/>
      <c r="B66" s="11" t="str">
        <f>CONCATENATE("          ", "6284", " - ", "TRASH REMOVAL EXPENSE")</f>
        <v xml:space="preserve">          6284 - TRASH REMOVAL EXPENSE</v>
      </c>
      <c r="C66" s="11"/>
      <c r="D66" s="6">
        <v>1000</v>
      </c>
      <c r="E66" s="2"/>
      <c r="F66" s="7">
        <f t="shared" si="45"/>
        <v>0</v>
      </c>
      <c r="G66" s="2"/>
      <c r="H66" s="6">
        <v>761</v>
      </c>
      <c r="I66" s="2"/>
      <c r="J66" s="7">
        <f t="shared" si="46"/>
        <v>7.1429778239166788E-3</v>
      </c>
      <c r="K66" s="2"/>
      <c r="L66" s="6">
        <f t="shared" si="47"/>
        <v>239</v>
      </c>
      <c r="M66" s="2"/>
      <c r="N66" s="7">
        <f t="shared" si="48"/>
        <v>0.31406044678055189</v>
      </c>
      <c r="O66" s="11"/>
      <c r="P66" s="6">
        <v>7761</v>
      </c>
      <c r="Q66" s="2"/>
      <c r="R66" s="7">
        <f t="shared" si="49"/>
        <v>0.17194814747528012</v>
      </c>
      <c r="S66" s="2"/>
      <c r="T66" s="6">
        <v>6080</v>
      </c>
      <c r="U66" s="2"/>
      <c r="V66" s="7">
        <f t="shared" si="50"/>
        <v>1.00022277988298E-2</v>
      </c>
      <c r="W66" s="2"/>
      <c r="X66" s="6">
        <f t="shared" si="51"/>
        <v>1681</v>
      </c>
      <c r="Y66" s="2"/>
      <c r="Z66" s="7">
        <f t="shared" si="52"/>
        <v>0.27648026315789476</v>
      </c>
    </row>
    <row r="67" spans="1:26" s="24" customFormat="1" hidden="1" outlineLevel="2" x14ac:dyDescent="0.25">
      <c r="A67" s="26"/>
      <c r="B67" s="11" t="str">
        <f>CONCATENATE("          ", "6285", " - ", "JANITORIAL SERVICES")</f>
        <v xml:space="preserve">          6285 - JANITORIAL SERVICES</v>
      </c>
      <c r="C67" s="11"/>
      <c r="D67" s="6"/>
      <c r="E67" s="2"/>
      <c r="F67" s="7">
        <f t="shared" si="45"/>
        <v>0</v>
      </c>
      <c r="G67" s="2"/>
      <c r="H67" s="6">
        <v>3256.35</v>
      </c>
      <c r="I67" s="2"/>
      <c r="J67" s="7">
        <f t="shared" si="46"/>
        <v>3.0565093083983016E-2</v>
      </c>
      <c r="K67" s="2"/>
      <c r="L67" s="6">
        <f t="shared" si="47"/>
        <v>-3256.35</v>
      </c>
      <c r="M67" s="2"/>
      <c r="N67" s="7">
        <f t="shared" si="48"/>
        <v>-1</v>
      </c>
      <c r="O67" s="11"/>
      <c r="P67" s="6">
        <v>12770.81</v>
      </c>
      <c r="Q67" s="2"/>
      <c r="R67" s="7">
        <f t="shared" si="49"/>
        <v>0.28294254880283237</v>
      </c>
      <c r="S67" s="2"/>
      <c r="T67" s="6">
        <v>25851.4</v>
      </c>
      <c r="U67" s="2"/>
      <c r="V67" s="7">
        <f t="shared" si="50"/>
        <v>4.2528222322149457E-2</v>
      </c>
      <c r="W67" s="2"/>
      <c r="X67" s="6">
        <f t="shared" si="51"/>
        <v>-13080.590000000002</v>
      </c>
      <c r="Y67" s="2"/>
      <c r="Z67" s="7">
        <f t="shared" si="52"/>
        <v>-0.50599155171480081</v>
      </c>
    </row>
    <row r="68" spans="1:26" s="24" customFormat="1" hidden="1" outlineLevel="2" x14ac:dyDescent="0.25">
      <c r="A68" s="26"/>
      <c r="B68" s="11" t="str">
        <f>CONCATENATE("          ", "6286", " - ", "LAUNDRY EXPENSE")</f>
        <v xml:space="preserve">          6286 - LAUNDRY EXPENSE</v>
      </c>
      <c r="C68" s="11"/>
      <c r="D68" s="6">
        <v>111.95</v>
      </c>
      <c r="E68" s="2"/>
      <c r="F68" s="7">
        <f t="shared" si="45"/>
        <v>0</v>
      </c>
      <c r="G68" s="2"/>
      <c r="H68" s="6">
        <v>122.82</v>
      </c>
      <c r="I68" s="2"/>
      <c r="J68" s="7">
        <f t="shared" si="46"/>
        <v>1.1528259347351464E-3</v>
      </c>
      <c r="K68" s="2"/>
      <c r="L68" s="6">
        <f t="shared" si="47"/>
        <v>-10.86999999999999</v>
      </c>
      <c r="M68" s="2"/>
      <c r="N68" s="7">
        <f t="shared" si="48"/>
        <v>-8.8503501058459458E-2</v>
      </c>
      <c r="O68" s="11"/>
      <c r="P68" s="6">
        <v>584.13</v>
      </c>
      <c r="Q68" s="2"/>
      <c r="R68" s="7">
        <f t="shared" si="49"/>
        <v>1.2941640430967061E-2</v>
      </c>
      <c r="S68" s="2"/>
      <c r="T68" s="6">
        <v>1946.42</v>
      </c>
      <c r="U68" s="2"/>
      <c r="V68" s="7">
        <f t="shared" si="50"/>
        <v>3.2020618802957729E-3</v>
      </c>
      <c r="W68" s="2"/>
      <c r="X68" s="6">
        <f t="shared" si="51"/>
        <v>-1362.29</v>
      </c>
      <c r="Y68" s="2"/>
      <c r="Z68" s="7">
        <f t="shared" si="52"/>
        <v>-0.69989519219901153</v>
      </c>
    </row>
    <row r="69" spans="1:26" s="25" customFormat="1" outlineLevel="1" collapsed="1" x14ac:dyDescent="0.25">
      <c r="A69" s="27"/>
      <c r="B69" s="13" t="str">
        <f>CONCATENATE("     ","Subscriptions &amp; Dues                              ")</f>
        <v xml:space="preserve">     Subscriptions &amp; Dues                              </v>
      </c>
      <c r="C69" s="13"/>
      <c r="D69" s="1">
        <f>SUM(OSRRefD22_13x_0)</f>
        <v>262.83999999999997</v>
      </c>
      <c r="E69" s="1"/>
      <c r="F69" s="5">
        <f t="shared" ref="F69:F71" si="53">IF(D$12=0,0,D69/D$12)</f>
        <v>0</v>
      </c>
      <c r="G69" s="1"/>
      <c r="H69" s="1">
        <f>SUM(OSRRefH22_13x_0)</f>
        <v>71.260000000000019</v>
      </c>
      <c r="I69" s="1"/>
      <c r="J69" s="5">
        <f t="shared" ref="J69:J71" si="54">IF(H$12=0,0,H69/H$12)</f>
        <v>6.6886806797937276E-4</v>
      </c>
      <c r="K69" s="1"/>
      <c r="L69" s="1">
        <f t="shared" ref="L69:L71" si="55">+D69-H69</f>
        <v>191.57999999999996</v>
      </c>
      <c r="M69" s="1"/>
      <c r="N69" s="5">
        <f t="shared" ref="N69:N71" si="56">IF(H69=0,0,L69/H69)</f>
        <v>2.68846477687342</v>
      </c>
      <c r="O69" s="13"/>
      <c r="P69" s="1">
        <f>SUM(OSRRefP22_13x_0)</f>
        <v>797.01</v>
      </c>
      <c r="Q69" s="1"/>
      <c r="R69" s="5">
        <f t="shared" ref="R69:R71" si="57">IF(P$12=0,0,P69/P$12)</f>
        <v>1.7658084398823992E-2</v>
      </c>
      <c r="S69" s="1"/>
      <c r="T69" s="1">
        <f>SUM(OSRRefT22_13x_0)</f>
        <v>2557.4300000000003</v>
      </c>
      <c r="U69" s="1"/>
      <c r="V69" s="5">
        <f t="shared" ref="V69:V71" si="58">IF(T$12=0,0,T69/T$12)</f>
        <v>4.2072364209804767E-3</v>
      </c>
      <c r="W69" s="1"/>
      <c r="X69" s="1">
        <f t="shared" ref="X69:X71" si="59">+P69-T69</f>
        <v>-1760.4200000000003</v>
      </c>
      <c r="Y69" s="1"/>
      <c r="Z69" s="5">
        <f t="shared" ref="Z69:Z71" si="60">IF(T69=0,0,X69/T69)</f>
        <v>-0.68835510649362841</v>
      </c>
    </row>
    <row r="70" spans="1:26" s="24" customFormat="1" hidden="1" outlineLevel="2" x14ac:dyDescent="0.25">
      <c r="A70" s="26"/>
      <c r="B70" s="11" t="str">
        <f>CONCATENATE("          ", "6258", " - ", "MEMBERSHIP DUES")</f>
        <v xml:space="preserve">          6258 - MEMBERSHIP DUES</v>
      </c>
      <c r="C70" s="11"/>
      <c r="D70" s="6"/>
      <c r="E70" s="2"/>
      <c r="F70" s="7">
        <f t="shared" si="53"/>
        <v>0</v>
      </c>
      <c r="G70" s="2"/>
      <c r="H70" s="6">
        <v>-131.19999999999999</v>
      </c>
      <c r="I70" s="2"/>
      <c r="J70" s="7">
        <f t="shared" si="54"/>
        <v>-1.2314831675399056E-3</v>
      </c>
      <c r="K70" s="2"/>
      <c r="L70" s="6">
        <f t="shared" si="55"/>
        <v>131.19999999999999</v>
      </c>
      <c r="M70" s="2"/>
      <c r="N70" s="7">
        <f t="shared" si="56"/>
        <v>-1</v>
      </c>
      <c r="O70" s="11"/>
      <c r="P70" s="6"/>
      <c r="Q70" s="2"/>
      <c r="R70" s="7">
        <f t="shared" si="57"/>
        <v>0</v>
      </c>
      <c r="S70" s="2"/>
      <c r="T70" s="6">
        <v>978</v>
      </c>
      <c r="U70" s="2"/>
      <c r="V70" s="7">
        <f t="shared" si="58"/>
        <v>1.6089109847459775E-3</v>
      </c>
      <c r="W70" s="2"/>
      <c r="X70" s="6">
        <f t="shared" si="59"/>
        <v>-978</v>
      </c>
      <c r="Y70" s="2"/>
      <c r="Z70" s="7">
        <f t="shared" si="60"/>
        <v>-1</v>
      </c>
    </row>
    <row r="71" spans="1:26" s="24" customFormat="1" hidden="1" outlineLevel="2" x14ac:dyDescent="0.25">
      <c r="A71" s="26"/>
      <c r="B71" s="11" t="str">
        <f>CONCATENATE("          ", "6275", " - ", "SUBSCRIPTIONS")</f>
        <v xml:space="preserve">          6275 - SUBSCRIPTIONS</v>
      </c>
      <c r="C71" s="11"/>
      <c r="D71" s="6">
        <v>262.83999999999997</v>
      </c>
      <c r="E71" s="2"/>
      <c r="F71" s="7">
        <f t="shared" si="53"/>
        <v>0</v>
      </c>
      <c r="G71" s="2"/>
      <c r="H71" s="6">
        <v>202.46</v>
      </c>
      <c r="I71" s="2"/>
      <c r="J71" s="7">
        <f t="shared" si="54"/>
        <v>1.9003512355192783E-3</v>
      </c>
      <c r="K71" s="2"/>
      <c r="L71" s="6">
        <f t="shared" si="55"/>
        <v>60.379999999999967</v>
      </c>
      <c r="M71" s="2"/>
      <c r="N71" s="7">
        <f t="shared" si="56"/>
        <v>0.29823174948137887</v>
      </c>
      <c r="O71" s="11"/>
      <c r="P71" s="6">
        <v>797.01</v>
      </c>
      <c r="Q71" s="2"/>
      <c r="R71" s="7">
        <f t="shared" si="57"/>
        <v>1.7658084398823992E-2</v>
      </c>
      <c r="S71" s="2"/>
      <c r="T71" s="6">
        <v>1579.43</v>
      </c>
      <c r="U71" s="2"/>
      <c r="V71" s="7">
        <f t="shared" si="58"/>
        <v>2.5983254362344985E-3</v>
      </c>
      <c r="W71" s="2"/>
      <c r="X71" s="6">
        <f t="shared" si="59"/>
        <v>-782.42000000000007</v>
      </c>
      <c r="Y71" s="2"/>
      <c r="Z71" s="7">
        <f t="shared" si="60"/>
        <v>-0.49538124513273779</v>
      </c>
    </row>
    <row r="72" spans="1:26" s="25" customFormat="1" outlineLevel="1" collapsed="1" x14ac:dyDescent="0.25">
      <c r="A72" s="27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SUM(OSRRefD22_14x_0)</f>
        <v>71.180000000000007</v>
      </c>
      <c r="E72" s="1"/>
      <c r="F72" s="5">
        <f t="shared" ref="F72:F81" si="61">IF(D$12=0,0,D72/D$12)</f>
        <v>0</v>
      </c>
      <c r="G72" s="1"/>
      <c r="H72" s="1">
        <f>SUM(OSRRefH22_14x_0)</f>
        <v>2026.9299999999998</v>
      </c>
      <c r="I72" s="1"/>
      <c r="J72" s="5">
        <f t="shared" ref="J72:J81" si="62">IF(H$12=0,0,H72/H$12)</f>
        <v>1.9025382444982173E-2</v>
      </c>
      <c r="K72" s="1"/>
      <c r="L72" s="1">
        <f t="shared" ref="L72:L81" si="63">+D72-H72</f>
        <v>-1955.7499999999998</v>
      </c>
      <c r="M72" s="1"/>
      <c r="N72" s="5">
        <f t="shared" ref="N72:N81" si="64">IF(H72=0,0,L72/H72)</f>
        <v>-0.96488285239253446</v>
      </c>
      <c r="O72" s="13"/>
      <c r="P72" s="1">
        <f>SUM(OSRRefP22_14x_0)</f>
        <v>7657.0099999999993</v>
      </c>
      <c r="Q72" s="1"/>
      <c r="R72" s="5">
        <f t="shared" ref="R72:R81" si="65">IF(P$12=0,0,P72/P$12)</f>
        <v>0.16964420624915533</v>
      </c>
      <c r="S72" s="1"/>
      <c r="T72" s="1">
        <f>SUM(OSRRefT22_14x_0)</f>
        <v>19964.260000000002</v>
      </c>
      <c r="U72" s="1"/>
      <c r="V72" s="5">
        <f t="shared" ref="V72:V81" si="66">IF(T$12=0,0,T72/T$12)</f>
        <v>3.2843269137346351E-2</v>
      </c>
      <c r="W72" s="1"/>
      <c r="X72" s="1">
        <f t="shared" ref="X72:X81" si="67">+P72-T72</f>
        <v>-12307.250000000004</v>
      </c>
      <c r="Y72" s="1"/>
      <c r="Z72" s="5">
        <f t="shared" ref="Z72:Z81" si="68">IF(T72=0,0,X72/T72)</f>
        <v>-0.61646412138491491</v>
      </c>
    </row>
    <row r="73" spans="1:26" s="24" customFormat="1" hidden="1" outlineLevel="2" x14ac:dyDescent="0.25">
      <c r="A73" s="26"/>
      <c r="B73" s="11" t="str">
        <f>CONCATENATE("          ", "6234", " - ", "EXPENDABLE SUPPLIES &amp; EQUIPMEN")</f>
        <v xml:space="preserve">          6234 - EXPENDABLE SUPPLIES &amp; EQUIPMEN</v>
      </c>
      <c r="C73" s="11"/>
      <c r="D73" s="6"/>
      <c r="E73" s="2"/>
      <c r="F73" s="7">
        <f t="shared" si="61"/>
        <v>0</v>
      </c>
      <c r="G73" s="2"/>
      <c r="H73" s="6"/>
      <c r="I73" s="2"/>
      <c r="J73" s="7">
        <f t="shared" si="62"/>
        <v>0</v>
      </c>
      <c r="K73" s="2"/>
      <c r="L73" s="6">
        <f t="shared" si="63"/>
        <v>0</v>
      </c>
      <c r="M73" s="2"/>
      <c r="N73" s="7">
        <f t="shared" si="64"/>
        <v>0</v>
      </c>
      <c r="O73" s="11"/>
      <c r="P73" s="6">
        <v>310.91000000000003</v>
      </c>
      <c r="Q73" s="2"/>
      <c r="R73" s="7">
        <f t="shared" si="65"/>
        <v>6.8883389423449737E-3</v>
      </c>
      <c r="S73" s="2"/>
      <c r="T73" s="6">
        <v>1076.51</v>
      </c>
      <c r="U73" s="2"/>
      <c r="V73" s="7">
        <f t="shared" si="66"/>
        <v>1.7709701065326097E-3</v>
      </c>
      <c r="W73" s="2"/>
      <c r="X73" s="6">
        <f t="shared" si="67"/>
        <v>-765.59999999999991</v>
      </c>
      <c r="Y73" s="2"/>
      <c r="Z73" s="7">
        <f t="shared" si="68"/>
        <v>-0.71118707675729897</v>
      </c>
    </row>
    <row r="74" spans="1:26" s="24" customFormat="1" hidden="1" outlineLevel="2" x14ac:dyDescent="0.25">
      <c r="A74" s="26"/>
      <c r="B74" s="11" t="str">
        <f>CONCATENATE("          ", "6235", " - ", "COVID-19 EXPENSES")</f>
        <v xml:space="preserve">          6235 - COVID-19 EXPENSES</v>
      </c>
      <c r="C74" s="11"/>
      <c r="D74" s="6"/>
      <c r="E74" s="2"/>
      <c r="F74" s="7">
        <f t="shared" si="61"/>
        <v>0</v>
      </c>
      <c r="G74" s="2"/>
      <c r="H74" s="6"/>
      <c r="I74" s="2"/>
      <c r="J74" s="7">
        <f t="shared" si="62"/>
        <v>0</v>
      </c>
      <c r="K74" s="2"/>
      <c r="L74" s="6">
        <f t="shared" si="63"/>
        <v>0</v>
      </c>
      <c r="M74" s="2"/>
      <c r="N74" s="7">
        <f t="shared" si="64"/>
        <v>0</v>
      </c>
      <c r="O74" s="11"/>
      <c r="P74" s="6">
        <v>6753.97</v>
      </c>
      <c r="Q74" s="2"/>
      <c r="R74" s="7">
        <f t="shared" si="65"/>
        <v>0.14963698358505576</v>
      </c>
      <c r="S74" s="2"/>
      <c r="T74" s="6"/>
      <c r="U74" s="2"/>
      <c r="V74" s="7">
        <f t="shared" si="66"/>
        <v>0</v>
      </c>
      <c r="W74" s="2"/>
      <c r="X74" s="6">
        <f t="shared" si="67"/>
        <v>6753.97</v>
      </c>
      <c r="Y74" s="2"/>
      <c r="Z74" s="7">
        <f t="shared" si="68"/>
        <v>0</v>
      </c>
    </row>
    <row r="75" spans="1:26" s="24" customFormat="1" hidden="1" outlineLevel="2" x14ac:dyDescent="0.25">
      <c r="A75" s="26"/>
      <c r="B75" s="11" t="str">
        <f>CONCATENATE("          ", "6237", " - ", "JANITORIAL SUPPLIES")</f>
        <v xml:space="preserve">          6237 - JANITORIAL SUPPLIES</v>
      </c>
      <c r="C75" s="11"/>
      <c r="D75" s="6"/>
      <c r="E75" s="2"/>
      <c r="F75" s="7">
        <f t="shared" si="61"/>
        <v>0</v>
      </c>
      <c r="G75" s="2"/>
      <c r="H75" s="6">
        <v>1320.3</v>
      </c>
      <c r="I75" s="2"/>
      <c r="J75" s="7">
        <f t="shared" si="62"/>
        <v>1.2392738003833365E-2</v>
      </c>
      <c r="K75" s="2"/>
      <c r="L75" s="6">
        <f t="shared" si="63"/>
        <v>-1320.3</v>
      </c>
      <c r="M75" s="2"/>
      <c r="N75" s="7">
        <f t="shared" si="64"/>
        <v>-1</v>
      </c>
      <c r="O75" s="11"/>
      <c r="P75" s="6">
        <v>286.91000000000003</v>
      </c>
      <c r="Q75" s="2"/>
      <c r="R75" s="7">
        <f t="shared" si="65"/>
        <v>6.3566090699822986E-3</v>
      </c>
      <c r="S75" s="2"/>
      <c r="T75" s="6">
        <v>7848.57</v>
      </c>
      <c r="U75" s="2"/>
      <c r="V75" s="7">
        <f t="shared" si="66"/>
        <v>1.2911708064977236E-2</v>
      </c>
      <c r="W75" s="2"/>
      <c r="X75" s="6">
        <f t="shared" si="67"/>
        <v>-7561.66</v>
      </c>
      <c r="Y75" s="2"/>
      <c r="Z75" s="7">
        <f t="shared" si="68"/>
        <v>-0.96344429622211436</v>
      </c>
    </row>
    <row r="76" spans="1:26" s="24" customFormat="1" hidden="1" outlineLevel="2" x14ac:dyDescent="0.25">
      <c r="A76" s="26"/>
      <c r="B76" s="11" t="str">
        <f>CONCATENATE("          ", "6239", " - ", "KITCHEN SUPPLIES")</f>
        <v xml:space="preserve">          6239 - KITCHEN SUPPLIES</v>
      </c>
      <c r="C76" s="11"/>
      <c r="D76" s="6"/>
      <c r="E76" s="2"/>
      <c r="F76" s="7">
        <f t="shared" si="61"/>
        <v>0</v>
      </c>
      <c r="G76" s="2"/>
      <c r="H76" s="6">
        <v>111.41</v>
      </c>
      <c r="I76" s="2"/>
      <c r="J76" s="7">
        <f t="shared" si="62"/>
        <v>1.0457281988995495E-3</v>
      </c>
      <c r="K76" s="2"/>
      <c r="L76" s="6">
        <f t="shared" si="63"/>
        <v>-111.41</v>
      </c>
      <c r="M76" s="2"/>
      <c r="N76" s="7">
        <f t="shared" si="64"/>
        <v>-1</v>
      </c>
      <c r="O76" s="11"/>
      <c r="P76" s="6">
        <v>19.829999999999998</v>
      </c>
      <c r="Q76" s="2"/>
      <c r="R76" s="7">
        <f t="shared" si="65"/>
        <v>4.3934180703966041E-4</v>
      </c>
      <c r="S76" s="2"/>
      <c r="T76" s="6">
        <v>342.67</v>
      </c>
      <c r="U76" s="2"/>
      <c r="V76" s="7">
        <f t="shared" si="66"/>
        <v>5.6372753286595522E-4</v>
      </c>
      <c r="W76" s="2"/>
      <c r="X76" s="6">
        <f t="shared" si="67"/>
        <v>-322.84000000000003</v>
      </c>
      <c r="Y76" s="2"/>
      <c r="Z76" s="7">
        <f t="shared" si="68"/>
        <v>-0.94213091312341324</v>
      </c>
    </row>
    <row r="77" spans="1:26" s="24" customFormat="1" hidden="1" outlineLevel="2" x14ac:dyDescent="0.25">
      <c r="A77" s="26"/>
      <c r="B77" s="11" t="str">
        <f>CONCATENATE("          ", "6241", " - ", "OFFICE EXPENSE")</f>
        <v xml:space="preserve">          6241 - OFFICE EXPENSE</v>
      </c>
      <c r="C77" s="11"/>
      <c r="D77" s="6">
        <v>71.180000000000007</v>
      </c>
      <c r="E77" s="2"/>
      <c r="F77" s="7">
        <f t="shared" si="61"/>
        <v>0</v>
      </c>
      <c r="G77" s="2"/>
      <c r="H77" s="6"/>
      <c r="I77" s="2"/>
      <c r="J77" s="7">
        <f t="shared" si="62"/>
        <v>0</v>
      </c>
      <c r="K77" s="2"/>
      <c r="L77" s="6">
        <f t="shared" si="63"/>
        <v>71.180000000000007</v>
      </c>
      <c r="M77" s="2"/>
      <c r="N77" s="7">
        <f t="shared" si="64"/>
        <v>0</v>
      </c>
      <c r="O77" s="11"/>
      <c r="P77" s="6">
        <v>219.9</v>
      </c>
      <c r="Q77" s="2"/>
      <c r="R77" s="7">
        <f t="shared" si="65"/>
        <v>4.8719749555230125E-3</v>
      </c>
      <c r="S77" s="2"/>
      <c r="T77" s="6">
        <v>5626.26</v>
      </c>
      <c r="U77" s="2"/>
      <c r="V77" s="7">
        <f t="shared" si="66"/>
        <v>9.2557786472769986E-3</v>
      </c>
      <c r="W77" s="2"/>
      <c r="X77" s="6">
        <f t="shared" si="67"/>
        <v>-5406.3600000000006</v>
      </c>
      <c r="Y77" s="2"/>
      <c r="Z77" s="7">
        <f t="shared" si="68"/>
        <v>-0.96091542161222554</v>
      </c>
    </row>
    <row r="78" spans="1:26" s="24" customFormat="1" hidden="1" outlineLevel="2" x14ac:dyDescent="0.25">
      <c r="A78" s="26"/>
      <c r="B78" s="11" t="str">
        <f>CONCATENATE("          ", "6243", " - ", "PAPER SUPPLIES")</f>
        <v xml:space="preserve">          6243 - PAPER SUPPLIES</v>
      </c>
      <c r="C78" s="11"/>
      <c r="D78" s="6"/>
      <c r="E78" s="2"/>
      <c r="F78" s="7">
        <f t="shared" si="61"/>
        <v>0</v>
      </c>
      <c r="G78" s="2"/>
      <c r="H78" s="6">
        <v>629.35</v>
      </c>
      <c r="I78" s="2"/>
      <c r="J78" s="7">
        <f t="shared" si="62"/>
        <v>5.9072708192929859E-3</v>
      </c>
      <c r="K78" s="2"/>
      <c r="L78" s="6">
        <f t="shared" si="63"/>
        <v>-629.35</v>
      </c>
      <c r="M78" s="2"/>
      <c r="N78" s="7">
        <f t="shared" si="64"/>
        <v>-1</v>
      </c>
      <c r="O78" s="11"/>
      <c r="P78" s="6">
        <v>65.489999999999995</v>
      </c>
      <c r="Q78" s="2"/>
      <c r="R78" s="7">
        <f t="shared" si="65"/>
        <v>1.45095788920965E-3</v>
      </c>
      <c r="S78" s="2"/>
      <c r="T78" s="6">
        <v>4618.3500000000004</v>
      </c>
      <c r="U78" s="2"/>
      <c r="V78" s="7">
        <f t="shared" si="66"/>
        <v>7.5976626241325016E-3</v>
      </c>
      <c r="W78" s="2"/>
      <c r="X78" s="6">
        <f t="shared" si="67"/>
        <v>-4552.8600000000006</v>
      </c>
      <c r="Y78" s="2"/>
      <c r="Z78" s="7">
        <f t="shared" si="68"/>
        <v>-0.98581961089999681</v>
      </c>
    </row>
    <row r="79" spans="1:26" s="24" customFormat="1" hidden="1" outlineLevel="2" x14ac:dyDescent="0.25">
      <c r="A79" s="26"/>
      <c r="B79" s="11" t="str">
        <f>CONCATENATE("          ", "6246", " - ", "REPLACEMENTS")</f>
        <v xml:space="preserve">          6246 - REPLACEMENTS</v>
      </c>
      <c r="C79" s="11"/>
      <c r="D79" s="6"/>
      <c r="E79" s="2"/>
      <c r="F79" s="7">
        <f t="shared" si="61"/>
        <v>0</v>
      </c>
      <c r="G79" s="2"/>
      <c r="H79" s="6">
        <v>25.87</v>
      </c>
      <c r="I79" s="2"/>
      <c r="J79" s="7">
        <f t="shared" si="62"/>
        <v>2.4282370079464454E-4</v>
      </c>
      <c r="K79" s="2"/>
      <c r="L79" s="6">
        <f t="shared" si="63"/>
        <v>-25.87</v>
      </c>
      <c r="M79" s="2"/>
      <c r="N79" s="7">
        <f t="shared" si="64"/>
        <v>-1</v>
      </c>
      <c r="O79" s="11"/>
      <c r="P79" s="6"/>
      <c r="Q79" s="2"/>
      <c r="R79" s="7">
        <f t="shared" si="65"/>
        <v>0</v>
      </c>
      <c r="S79" s="2"/>
      <c r="T79" s="6">
        <v>25.87</v>
      </c>
      <c r="U79" s="2"/>
      <c r="V79" s="7">
        <f t="shared" si="66"/>
        <v>4.255882124271824E-5</v>
      </c>
      <c r="W79" s="2"/>
      <c r="X79" s="6">
        <f t="shared" si="67"/>
        <v>-25.87</v>
      </c>
      <c r="Y79" s="2"/>
      <c r="Z79" s="7">
        <f t="shared" si="68"/>
        <v>-1</v>
      </c>
    </row>
    <row r="80" spans="1:26" s="24" customFormat="1" hidden="1" outlineLevel="2" x14ac:dyDescent="0.25">
      <c r="A80" s="26"/>
      <c r="B80" s="11" t="str">
        <f>CONCATENATE("          ", "6247", " - ", "STORE SUPPLIES")</f>
        <v xml:space="preserve">          6247 - STORE SUPPLIES</v>
      </c>
      <c r="C80" s="11"/>
      <c r="D80" s="6"/>
      <c r="E80" s="2"/>
      <c r="F80" s="7">
        <f t="shared" si="61"/>
        <v>0</v>
      </c>
      <c r="G80" s="2"/>
      <c r="H80" s="6">
        <v>-60</v>
      </c>
      <c r="I80" s="2"/>
      <c r="J80" s="7">
        <f t="shared" si="62"/>
        <v>-5.6317827783837157E-4</v>
      </c>
      <c r="K80" s="2"/>
      <c r="L80" s="6">
        <f t="shared" si="63"/>
        <v>60</v>
      </c>
      <c r="M80" s="2"/>
      <c r="N80" s="7">
        <f t="shared" si="64"/>
        <v>-1</v>
      </c>
      <c r="O80" s="11"/>
      <c r="P80" s="6"/>
      <c r="Q80" s="2"/>
      <c r="R80" s="7">
        <f t="shared" si="65"/>
        <v>0</v>
      </c>
      <c r="S80" s="2"/>
      <c r="T80" s="6">
        <v>410.56</v>
      </c>
      <c r="U80" s="2"/>
      <c r="V80" s="7">
        <f t="shared" si="66"/>
        <v>6.7541359294203329E-4</v>
      </c>
      <c r="W80" s="2"/>
      <c r="X80" s="6">
        <f t="shared" si="67"/>
        <v>-410.56</v>
      </c>
      <c r="Y80" s="2"/>
      <c r="Z80" s="7">
        <f t="shared" si="68"/>
        <v>-1</v>
      </c>
    </row>
    <row r="81" spans="1:26" s="24" customFormat="1" hidden="1" outlineLevel="2" x14ac:dyDescent="0.25">
      <c r="A81" s="26"/>
      <c r="B81" s="11" t="str">
        <f>CONCATENATE("          ", "6248", " - ", "UNIFORMS")</f>
        <v xml:space="preserve">          6248 - UNIFORMS</v>
      </c>
      <c r="C81" s="11"/>
      <c r="D81" s="6"/>
      <c r="E81" s="2"/>
      <c r="F81" s="7">
        <f t="shared" si="61"/>
        <v>0</v>
      </c>
      <c r="G81" s="2"/>
      <c r="H81" s="6"/>
      <c r="I81" s="2"/>
      <c r="J81" s="7">
        <f t="shared" si="62"/>
        <v>0</v>
      </c>
      <c r="K81" s="2"/>
      <c r="L81" s="6">
        <f t="shared" si="63"/>
        <v>0</v>
      </c>
      <c r="M81" s="2"/>
      <c r="N81" s="7">
        <f t="shared" si="64"/>
        <v>0</v>
      </c>
      <c r="O81" s="11"/>
      <c r="P81" s="6"/>
      <c r="Q81" s="2"/>
      <c r="R81" s="7">
        <f t="shared" si="65"/>
        <v>0</v>
      </c>
      <c r="S81" s="2"/>
      <c r="T81" s="6">
        <v>15.47</v>
      </c>
      <c r="U81" s="2"/>
      <c r="V81" s="7">
        <f t="shared" si="66"/>
        <v>2.5449747376298849E-5</v>
      </c>
      <c r="W81" s="2"/>
      <c r="X81" s="6">
        <f t="shared" si="67"/>
        <v>-15.47</v>
      </c>
      <c r="Y81" s="2"/>
      <c r="Z81" s="7">
        <f t="shared" si="68"/>
        <v>-1</v>
      </c>
    </row>
    <row r="82" spans="1:26" s="25" customFormat="1" outlineLevel="1" collapsed="1" x14ac:dyDescent="0.25">
      <c r="A82" s="27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SUM(OSRRefD22_15x_0)</f>
        <v>-68</v>
      </c>
      <c r="E82" s="1"/>
      <c r="F82" s="5">
        <f t="shared" ref="F82:F87" si="69">IF(D$12=0,0,D82/D$12)</f>
        <v>0</v>
      </c>
      <c r="G82" s="1"/>
      <c r="H82" s="1">
        <f>SUM(OSRRefH22_15x_0)</f>
        <v>135.05000000000001</v>
      </c>
      <c r="I82" s="1"/>
      <c r="J82" s="5">
        <f t="shared" ref="J82:J87" si="70">IF(H$12=0,0,H82/H$12)</f>
        <v>1.2676204403678679E-3</v>
      </c>
      <c r="K82" s="1"/>
      <c r="L82" s="1">
        <f t="shared" ref="L82:L87" si="71">+D82-H82</f>
        <v>-203.05</v>
      </c>
      <c r="M82" s="1"/>
      <c r="N82" s="5">
        <f t="shared" ref="N82:N87" si="72">IF(H82=0,0,L82/H82)</f>
        <v>-1.5035172158459829</v>
      </c>
      <c r="O82" s="13"/>
      <c r="P82" s="1">
        <f>SUM(OSRRefP22_15x_0)</f>
        <v>1609</v>
      </c>
      <c r="Q82" s="1"/>
      <c r="R82" s="5">
        <f t="shared" ref="R82:R87" si="73">IF(P$12=0,0,P82/P$12)</f>
        <v>3.5648056859647684E-2</v>
      </c>
      <c r="S82" s="1"/>
      <c r="T82" s="1">
        <f>SUM(OSRRefT22_15x_0)</f>
        <v>1121.25</v>
      </c>
      <c r="U82" s="1"/>
      <c r="V82" s="5">
        <f t="shared" ref="V82:V87" si="74">IF(T$12=0,0,T82/T$12)</f>
        <v>1.8445720262233408E-3</v>
      </c>
      <c r="W82" s="1"/>
      <c r="X82" s="1">
        <f t="shared" ref="X82:X87" si="75">+P82-T82</f>
        <v>487.75</v>
      </c>
      <c r="Y82" s="1"/>
      <c r="Z82" s="5">
        <f t="shared" ref="Z82:Z87" si="76">IF(T82=0,0,X82/T82)</f>
        <v>0.43500557413600893</v>
      </c>
    </row>
    <row r="83" spans="1:26" s="24" customFormat="1" hidden="1" outlineLevel="2" x14ac:dyDescent="0.25">
      <c r="A83" s="26"/>
      <c r="B83" s="11" t="str">
        <f>CONCATENATE("          ", "6309", " - ", "TELEPHONE")</f>
        <v xml:space="preserve">          6309 - TELEPHONE</v>
      </c>
      <c r="C83" s="11"/>
      <c r="D83" s="6">
        <v>-68</v>
      </c>
      <c r="E83" s="2"/>
      <c r="F83" s="7">
        <f t="shared" si="69"/>
        <v>0</v>
      </c>
      <c r="G83" s="2"/>
      <c r="H83" s="6">
        <v>135.05000000000001</v>
      </c>
      <c r="I83" s="2"/>
      <c r="J83" s="7">
        <f t="shared" si="70"/>
        <v>1.2676204403678679E-3</v>
      </c>
      <c r="K83" s="2"/>
      <c r="L83" s="6">
        <f t="shared" si="71"/>
        <v>-203.05</v>
      </c>
      <c r="M83" s="2"/>
      <c r="N83" s="7">
        <f t="shared" si="72"/>
        <v>-1.5035172158459829</v>
      </c>
      <c r="O83" s="11"/>
      <c r="P83" s="6">
        <v>1609</v>
      </c>
      <c r="Q83" s="2"/>
      <c r="R83" s="7">
        <f t="shared" si="73"/>
        <v>3.5648056859647684E-2</v>
      </c>
      <c r="S83" s="2"/>
      <c r="T83" s="6">
        <v>1121.25</v>
      </c>
      <c r="U83" s="2"/>
      <c r="V83" s="7">
        <f t="shared" si="74"/>
        <v>1.8445720262233408E-3</v>
      </c>
      <c r="W83" s="2"/>
      <c r="X83" s="6">
        <f t="shared" si="75"/>
        <v>487.75</v>
      </c>
      <c r="Y83" s="2"/>
      <c r="Z83" s="7">
        <f t="shared" si="76"/>
        <v>0.43500557413600893</v>
      </c>
    </row>
    <row r="84" spans="1:26" s="25" customFormat="1" outlineLevel="1" collapsed="1" x14ac:dyDescent="0.25">
      <c r="A84" s="27"/>
      <c r="B84" s="13" t="str">
        <f>CONCATENATE("     ","Training                                          ")</f>
        <v xml:space="preserve">     Training                                          </v>
      </c>
      <c r="C84" s="13"/>
      <c r="D84" s="1">
        <f>SUM(OSRRefD22_16x_0)</f>
        <v>0</v>
      </c>
      <c r="E84" s="1"/>
      <c r="F84" s="5">
        <f t="shared" si="69"/>
        <v>0</v>
      </c>
      <c r="G84" s="1"/>
      <c r="H84" s="1">
        <f>SUM(OSRRefH22_16x_0)</f>
        <v>21</v>
      </c>
      <c r="I84" s="1"/>
      <c r="J84" s="5">
        <f t="shared" si="70"/>
        <v>1.9711239724343004E-4</v>
      </c>
      <c r="K84" s="1"/>
      <c r="L84" s="1">
        <f t="shared" si="71"/>
        <v>-21</v>
      </c>
      <c r="M84" s="1"/>
      <c r="N84" s="5">
        <f t="shared" si="72"/>
        <v>-1</v>
      </c>
      <c r="O84" s="13"/>
      <c r="P84" s="1">
        <f>SUM(OSRRefP22_16x_0)</f>
        <v>400</v>
      </c>
      <c r="Q84" s="1"/>
      <c r="R84" s="5">
        <f t="shared" si="73"/>
        <v>8.8621645393779213E-3</v>
      </c>
      <c r="S84" s="1"/>
      <c r="T84" s="1">
        <f>SUM(OSRRefT22_16x_0)</f>
        <v>185</v>
      </c>
      <c r="U84" s="1"/>
      <c r="V84" s="5">
        <f t="shared" si="74"/>
        <v>3.0434410243149884E-4</v>
      </c>
      <c r="W84" s="1"/>
      <c r="X84" s="1">
        <f t="shared" si="75"/>
        <v>215</v>
      </c>
      <c r="Y84" s="1"/>
      <c r="Z84" s="5">
        <f t="shared" si="76"/>
        <v>1.1621621621621621</v>
      </c>
    </row>
    <row r="85" spans="1:26" s="24" customFormat="1" hidden="1" outlineLevel="2" x14ac:dyDescent="0.25">
      <c r="A85" s="26"/>
      <c r="B85" s="11" t="str">
        <f>CONCATENATE("          ", "6376", " - ", "TRAINING")</f>
        <v xml:space="preserve">          6376 - TRAINING</v>
      </c>
      <c r="C85" s="11"/>
      <c r="D85" s="6"/>
      <c r="E85" s="2"/>
      <c r="F85" s="7">
        <f t="shared" si="69"/>
        <v>0</v>
      </c>
      <c r="G85" s="2"/>
      <c r="H85" s="6">
        <v>21</v>
      </c>
      <c r="I85" s="2"/>
      <c r="J85" s="7">
        <f t="shared" si="70"/>
        <v>1.9711239724343004E-4</v>
      </c>
      <c r="K85" s="2"/>
      <c r="L85" s="6">
        <f t="shared" si="71"/>
        <v>-21</v>
      </c>
      <c r="M85" s="2"/>
      <c r="N85" s="7">
        <f t="shared" si="72"/>
        <v>-1</v>
      </c>
      <c r="O85" s="11"/>
      <c r="P85" s="6">
        <v>400</v>
      </c>
      <c r="Q85" s="2"/>
      <c r="R85" s="7">
        <f t="shared" si="73"/>
        <v>8.8621645393779213E-3</v>
      </c>
      <c r="S85" s="2"/>
      <c r="T85" s="6">
        <v>185</v>
      </c>
      <c r="U85" s="2"/>
      <c r="V85" s="7">
        <f t="shared" si="74"/>
        <v>3.0434410243149884E-4</v>
      </c>
      <c r="W85" s="2"/>
      <c r="X85" s="6">
        <f t="shared" si="75"/>
        <v>215</v>
      </c>
      <c r="Y85" s="2"/>
      <c r="Z85" s="7">
        <f t="shared" si="76"/>
        <v>1.1621621621621621</v>
      </c>
    </row>
    <row r="86" spans="1:26" s="25" customFormat="1" outlineLevel="1" collapsed="1" x14ac:dyDescent="0.25">
      <c r="A86" s="27"/>
      <c r="B86" s="13" t="str">
        <f>CONCATENATE("     ","Utilities                                         ")</f>
        <v xml:space="preserve">     Utilities                                         </v>
      </c>
      <c r="C86" s="13"/>
      <c r="D86" s="1">
        <f>SUM(OSRRefD22_17x_0)</f>
        <v>2312</v>
      </c>
      <c r="E86" s="1"/>
      <c r="F86" s="5">
        <f t="shared" si="69"/>
        <v>0</v>
      </c>
      <c r="G86" s="1"/>
      <c r="H86" s="1">
        <f>SUM(OSRRefH22_17x_0)</f>
        <v>2312</v>
      </c>
      <c r="I86" s="1"/>
      <c r="J86" s="5">
        <f t="shared" si="70"/>
        <v>2.1701136306038583E-2</v>
      </c>
      <c r="K86" s="1"/>
      <c r="L86" s="1">
        <f t="shared" si="71"/>
        <v>0</v>
      </c>
      <c r="M86" s="1"/>
      <c r="N86" s="5">
        <f t="shared" si="72"/>
        <v>0</v>
      </c>
      <c r="O86" s="13"/>
      <c r="P86" s="1">
        <f>SUM(OSRRefP22_17x_0)</f>
        <v>18448</v>
      </c>
      <c r="Q86" s="1"/>
      <c r="R86" s="5">
        <f t="shared" si="73"/>
        <v>0.4087230285561097</v>
      </c>
      <c r="S86" s="1"/>
      <c r="T86" s="1">
        <f>SUM(OSRRefT22_17x_0)</f>
        <v>17836</v>
      </c>
      <c r="U86" s="1"/>
      <c r="V86" s="5">
        <f t="shared" si="74"/>
        <v>2.9342061680909259E-2</v>
      </c>
      <c r="W86" s="1"/>
      <c r="X86" s="1">
        <f t="shared" si="75"/>
        <v>612</v>
      </c>
      <c r="Y86" s="1"/>
      <c r="Z86" s="5">
        <f t="shared" si="76"/>
        <v>3.4312626149360842E-2</v>
      </c>
    </row>
    <row r="87" spans="1:26" s="24" customFormat="1" hidden="1" outlineLevel="2" x14ac:dyDescent="0.25">
      <c r="A87" s="26"/>
      <c r="B87" s="11" t="str">
        <f>CONCATENATE("          ", "6274", " - ", "UTILITIES")</f>
        <v xml:space="preserve">          6274 - UTILITIES</v>
      </c>
      <c r="C87" s="11"/>
      <c r="D87" s="6">
        <v>2312</v>
      </c>
      <c r="E87" s="2"/>
      <c r="F87" s="7">
        <f t="shared" si="69"/>
        <v>0</v>
      </c>
      <c r="G87" s="2"/>
      <c r="H87" s="6">
        <v>2312</v>
      </c>
      <c r="I87" s="2"/>
      <c r="J87" s="7">
        <f t="shared" si="70"/>
        <v>2.1701136306038583E-2</v>
      </c>
      <c r="K87" s="2"/>
      <c r="L87" s="6">
        <f t="shared" si="71"/>
        <v>0</v>
      </c>
      <c r="M87" s="2"/>
      <c r="N87" s="7">
        <f t="shared" si="72"/>
        <v>0</v>
      </c>
      <c r="O87" s="11"/>
      <c r="P87" s="6">
        <v>18448</v>
      </c>
      <c r="Q87" s="2"/>
      <c r="R87" s="7">
        <f t="shared" si="73"/>
        <v>0.4087230285561097</v>
      </c>
      <c r="S87" s="2"/>
      <c r="T87" s="6">
        <v>17836</v>
      </c>
      <c r="U87" s="2"/>
      <c r="V87" s="7">
        <f t="shared" si="74"/>
        <v>2.9342061680909259E-2</v>
      </c>
      <c r="W87" s="2"/>
      <c r="X87" s="6">
        <f t="shared" si="75"/>
        <v>612</v>
      </c>
      <c r="Y87" s="2"/>
      <c r="Z87" s="7">
        <f t="shared" si="76"/>
        <v>3.4312626149360842E-2</v>
      </c>
    </row>
    <row r="88" spans="1:26" s="52" customFormat="1" x14ac:dyDescent="0.25">
      <c r="A88" s="37"/>
      <c r="B88" s="37"/>
      <c r="C88" s="37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7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collapsed="1" x14ac:dyDescent="0.25">
      <c r="A89" s="10"/>
      <c r="B89" s="28" t="s">
        <v>0</v>
      </c>
      <c r="C89" s="10"/>
      <c r="D89" s="4">
        <f>SUM(OSRRefD25x_0)</f>
        <v>0</v>
      </c>
      <c r="E89" s="4"/>
      <c r="F89" s="12">
        <f t="shared" ref="F89:F90" si="77">IF(D$12=0,0,D89/D$12)</f>
        <v>0</v>
      </c>
      <c r="G89" s="4"/>
      <c r="H89" s="4">
        <f>SUM(OSRRefH25x_0)</f>
        <v>0</v>
      </c>
      <c r="I89" s="4"/>
      <c r="J89" s="12">
        <f t="shared" ref="J89:J90" si="78">IF(H$12=0,0,H89/H$12)</f>
        <v>0</v>
      </c>
      <c r="K89" s="4"/>
      <c r="L89" s="4">
        <f t="shared" ref="L89:L90" si="79">+D89-H89</f>
        <v>0</v>
      </c>
      <c r="M89" s="4"/>
      <c r="N89" s="12">
        <f t="shared" ref="N89:N90" si="80">IF(H89=0,0,L89/H89)</f>
        <v>0</v>
      </c>
      <c r="O89" s="10"/>
      <c r="P89" s="4">
        <f>SUM(OSRRefP25x_0)</f>
        <v>0</v>
      </c>
      <c r="Q89" s="4"/>
      <c r="R89" s="12">
        <f t="shared" ref="R89:R90" si="81">IF(P$12=0,0,P89/P$12)</f>
        <v>0</v>
      </c>
      <c r="S89" s="4"/>
      <c r="T89" s="4">
        <f>SUM(OSRRefT25x_0)</f>
        <v>68.760000000000005</v>
      </c>
      <c r="U89" s="4"/>
      <c r="V89" s="12">
        <f t="shared" ref="V89:V90" si="82">IF(T$12=0,0,T89/T$12)</f>
        <v>1.1311729990913439E-4</v>
      </c>
      <c r="W89" s="4"/>
      <c r="X89" s="4">
        <f t="shared" ref="X89:X90" si="83">+P89-T89</f>
        <v>-68.760000000000005</v>
      </c>
      <c r="Y89" s="4"/>
      <c r="Z89" s="12">
        <f t="shared" ref="Z89:Z90" si="84">IF(T89=0,0,X89/T89)</f>
        <v>-1</v>
      </c>
    </row>
    <row r="90" spans="1:26" s="24" customFormat="1" hidden="1" outlineLevel="1" x14ac:dyDescent="0.25">
      <c r="A90" s="44"/>
      <c r="B90" s="11" t="str">
        <f>CONCATENATE("          ", "9150", " - ", "MISC. INCOME")</f>
        <v xml:space="preserve">          9150 - MISC. INCOME</v>
      </c>
      <c r="C90" s="11"/>
      <c r="D90" s="2">
        <f>0</f>
        <v>0</v>
      </c>
      <c r="E90" s="2"/>
      <c r="F90" s="19">
        <f t="shared" si="77"/>
        <v>0</v>
      </c>
      <c r="G90" s="2"/>
      <c r="H90" s="2">
        <f>0</f>
        <v>0</v>
      </c>
      <c r="I90" s="2"/>
      <c r="J90" s="19">
        <f t="shared" si="78"/>
        <v>0</v>
      </c>
      <c r="K90" s="2"/>
      <c r="L90" s="2">
        <f t="shared" si="79"/>
        <v>0</v>
      </c>
      <c r="M90" s="2"/>
      <c r="N90" s="19">
        <f t="shared" si="80"/>
        <v>0</v>
      </c>
      <c r="O90" s="11"/>
      <c r="P90" s="2">
        <f>0</f>
        <v>0</v>
      </c>
      <c r="Q90" s="2"/>
      <c r="R90" s="19">
        <f t="shared" si="81"/>
        <v>0</v>
      </c>
      <c r="S90" s="2"/>
      <c r="T90" s="2">
        <f>--68.76</f>
        <v>68.760000000000005</v>
      </c>
      <c r="U90" s="2"/>
      <c r="V90" s="19">
        <f t="shared" si="82"/>
        <v>1.1311729990913439E-4</v>
      </c>
      <c r="W90" s="2"/>
      <c r="X90" s="2">
        <f t="shared" si="83"/>
        <v>-68.760000000000005</v>
      </c>
      <c r="Y90" s="2"/>
      <c r="Z90" s="19">
        <f t="shared" si="84"/>
        <v>-1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9" t="s">
        <v>3</v>
      </c>
      <c r="C92" s="29"/>
      <c r="D92" s="22">
        <f>+D20-D22+D89</f>
        <v>-54150.95</v>
      </c>
      <c r="E92" s="14"/>
      <c r="F92" s="20">
        <f>IF(D$12=0,0,D92/D$12)</f>
        <v>0</v>
      </c>
      <c r="G92" s="14"/>
      <c r="H92" s="22">
        <f>+H20-H22+H89</f>
        <v>-271.09000000002561</v>
      </c>
      <c r="I92" s="14"/>
      <c r="J92" s="20">
        <f>IF(H$12=0,0,H92/H$12)</f>
        <v>-2.5445333223203092E-3</v>
      </c>
      <c r="K92" s="16"/>
      <c r="L92" s="22">
        <f>+D92-H92</f>
        <v>-53879.859999999971</v>
      </c>
      <c r="M92" s="16"/>
      <c r="N92" s="20">
        <f>IF(H92=0,0,L92/H92)</f>
        <v>198.75266516653096</v>
      </c>
      <c r="O92" s="28"/>
      <c r="P92" s="22">
        <f>+P20-P22+P89</f>
        <v>-470557.41999999993</v>
      </c>
      <c r="Q92" s="14"/>
      <c r="R92" s="20">
        <f>IF(P$12=0,0,P92/P$12)</f>
        <v>-10.425393203162905</v>
      </c>
      <c r="S92" s="14"/>
      <c r="T92" s="22">
        <f>+T20-T22+T89</f>
        <v>-152036.00000000012</v>
      </c>
      <c r="U92" s="14"/>
      <c r="V92" s="20">
        <f>IF(T$12=0,0,T92/T$12)</f>
        <v>-0.25011491868797509</v>
      </c>
      <c r="W92" s="16"/>
      <c r="X92" s="22">
        <f>+P92-T92</f>
        <v>-318521.41999999981</v>
      </c>
      <c r="Y92" s="16"/>
      <c r="Z92" s="20">
        <f>IF(T92=0,0,X92/T92)</f>
        <v>2.0950394643373911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1"/>
      <c r="B94" s="10" t="s">
        <v>13</v>
      </c>
      <c r="C94" s="10"/>
      <c r="D94" s="4">
        <v>745.16</v>
      </c>
      <c r="E94" s="4"/>
      <c r="F94" s="12">
        <f>IF(D$12=0,0,D94/D$12)</f>
        <v>0</v>
      </c>
      <c r="G94" s="4"/>
      <c r="H94" s="4">
        <v>9672.18</v>
      </c>
      <c r="I94" s="4"/>
      <c r="J94" s="12">
        <f>IF(H$12=0,0,H94/H$12)</f>
        <v>9.0786027922379012E-2</v>
      </c>
      <c r="K94" s="4"/>
      <c r="L94" s="4">
        <f>+D94-H94</f>
        <v>-8927.02</v>
      </c>
      <c r="M94" s="4"/>
      <c r="N94" s="12">
        <f>IF(H94=0,0,L94/H94)</f>
        <v>-0.92295842302355835</v>
      </c>
      <c r="O94" s="10"/>
      <c r="P94" s="4">
        <v>8938.48</v>
      </c>
      <c r="Q94" s="4"/>
      <c r="R94" s="12">
        <f>IF(P$12=0,0,P94/P$12)</f>
        <v>0.1980357012298469</v>
      </c>
      <c r="S94" s="4"/>
      <c r="T94" s="4">
        <v>61953.420000000006</v>
      </c>
      <c r="U94" s="4"/>
      <c r="V94" s="12">
        <f>IF(T$12=0,0,T94/T$12)</f>
        <v>0.1019197729862793</v>
      </c>
      <c r="W94" s="4"/>
      <c r="X94" s="4">
        <f>+P94-T94</f>
        <v>-53014.94</v>
      </c>
      <c r="Y94" s="4"/>
      <c r="Z94" s="12">
        <f>IF(T94=0,0,X94/T94)</f>
        <v>-0.85572257350764491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9" t="s">
        <v>4</v>
      </c>
      <c r="C96" s="29"/>
      <c r="D96" s="35">
        <f>+D92-D94</f>
        <v>-54896.11</v>
      </c>
      <c r="E96" s="14"/>
      <c r="F96" s="36">
        <f>IF(D$12=0,0,D96/D$12)</f>
        <v>0</v>
      </c>
      <c r="G96" s="14"/>
      <c r="H96" s="35">
        <f>+H92-H94</f>
        <v>-9943.2700000000259</v>
      </c>
      <c r="I96" s="14"/>
      <c r="J96" s="36">
        <f>IF(H$12=0,0,H96/H$12)</f>
        <v>-9.3330561244699323E-2</v>
      </c>
      <c r="K96" s="16"/>
      <c r="L96" s="35">
        <f>D96-H96</f>
        <v>-44952.839999999975</v>
      </c>
      <c r="M96" s="16"/>
      <c r="N96" s="36">
        <f>IF(H96=0,0,L96/H96)</f>
        <v>4.5209312429411908</v>
      </c>
      <c r="O96" s="28"/>
      <c r="P96" s="35">
        <f>+P92-P94</f>
        <v>-479495.89999999991</v>
      </c>
      <c r="Q96" s="14"/>
      <c r="R96" s="36">
        <f>IF(P$12=0,0,P96/P$12)</f>
        <v>-10.623428904392751</v>
      </c>
      <c r="S96" s="14"/>
      <c r="T96" s="35">
        <f>+T92-T94</f>
        <v>-213989.42000000013</v>
      </c>
      <c r="U96" s="14"/>
      <c r="V96" s="36">
        <f>IF(T$12=0,0,T96/T$12)</f>
        <v>-0.35203469167425439</v>
      </c>
      <c r="W96" s="16"/>
      <c r="X96" s="35">
        <f>P96-T96</f>
        <v>-265506.47999999975</v>
      </c>
      <c r="Y96" s="16"/>
      <c r="Z96" s="36">
        <f>IF(T96=0,0,X96/T96)</f>
        <v>1.2407458275273591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5</v>
      </c>
      <c r="C99" s="29"/>
      <c r="D99" s="31">
        <f>SUM(D96:D98)</f>
        <v>-54896.11</v>
      </c>
      <c r="E99" s="14"/>
      <c r="F99" s="33">
        <f>IF(D$12=0,0,D99/D$12)</f>
        <v>0</v>
      </c>
      <c r="G99" s="14"/>
      <c r="H99" s="31">
        <f>SUM(H96:H98)</f>
        <v>-9943.2700000000259</v>
      </c>
      <c r="I99" s="14"/>
      <c r="J99" s="33">
        <f>IF(H$12=0,0,H99/H$12)</f>
        <v>-9.3330561244699323E-2</v>
      </c>
      <c r="K99" s="16"/>
      <c r="L99" s="31">
        <f>+D99-H99</f>
        <v>-44952.839999999975</v>
      </c>
      <c r="M99" s="16"/>
      <c r="N99" s="33">
        <f>IF(H99=0,0,L99/H99)</f>
        <v>4.5209312429411908</v>
      </c>
      <c r="O99" s="28"/>
      <c r="P99" s="31">
        <f>SUM(P96:P98)</f>
        <v>-479495.89999999991</v>
      </c>
      <c r="Q99" s="14"/>
      <c r="R99" s="33">
        <f>IF(P$12=0,0,P99/P$12)</f>
        <v>-10.623428904392751</v>
      </c>
      <c r="S99" s="14"/>
      <c r="T99" s="31">
        <f>SUM(T96:T98)</f>
        <v>-213989.42000000013</v>
      </c>
      <c r="U99" s="14"/>
      <c r="V99" s="33">
        <f>IF(T$12=0,0,T99/T$12)</f>
        <v>-0.35203469167425439</v>
      </c>
      <c r="W99" s="16"/>
      <c r="X99" s="31">
        <f>+P99-T99</f>
        <v>-265506.47999999975</v>
      </c>
      <c r="Y99" s="16"/>
      <c r="Z99" s="33">
        <f>IF(T99=0,0,X99/T99)</f>
        <v>1.2407458275273591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6">
        <v>44267.66858020833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4" t="s">
        <v>313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58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","418", " - ", "Nugget")</f>
        <v>Department 418 - Nugget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154319.69</v>
      </c>
      <c r="I12" s="4"/>
      <c r="J12" s="12"/>
      <c r="K12" s="4"/>
      <c r="L12" s="4">
        <f t="shared" ref="L12:L14" si="0">+D12-H12</f>
        <v>-154319.69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1000694.8</v>
      </c>
      <c r="U12" s="4"/>
      <c r="V12" s="12"/>
      <c r="W12" s="4"/>
      <c r="X12" s="4">
        <f t="shared" ref="X12:X14" si="2">+P12-T12</f>
        <v>-1000694.8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4" si="4">0</f>
        <v>0</v>
      </c>
      <c r="E13" s="2"/>
      <c r="F13" s="19"/>
      <c r="G13" s="2"/>
      <c r="H13" s="2">
        <f>--54029.26</f>
        <v>54029.26</v>
      </c>
      <c r="I13" s="2"/>
      <c r="J13" s="19"/>
      <c r="K13" s="2"/>
      <c r="L13" s="2">
        <f t="shared" si="0"/>
        <v>-54029.26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--357243.21</f>
        <v>357243.21</v>
      </c>
      <c r="U13" s="2"/>
      <c r="V13" s="19"/>
      <c r="W13" s="2"/>
      <c r="X13" s="2">
        <f t="shared" si="2"/>
        <v>-357243.21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"4155", " - ", "NON-TAXABLE SALES-FOOD")</f>
        <v xml:space="preserve">          4155 - NON-TAXABLE SALES-FOOD</v>
      </c>
      <c r="C14" s="11"/>
      <c r="D14" s="2">
        <f t="shared" si="4"/>
        <v>0</v>
      </c>
      <c r="E14" s="2"/>
      <c r="F14" s="19"/>
      <c r="G14" s="2"/>
      <c r="H14" s="2">
        <f>--100290.43</f>
        <v>100290.43</v>
      </c>
      <c r="I14" s="2"/>
      <c r="J14" s="19"/>
      <c r="K14" s="2"/>
      <c r="L14" s="2">
        <f t="shared" si="0"/>
        <v>-100290.43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--643451.59</f>
        <v>643451.59</v>
      </c>
      <c r="U14" s="2"/>
      <c r="V14" s="19"/>
      <c r="W14" s="2"/>
      <c r="X14" s="2">
        <f t="shared" si="2"/>
        <v>-643451.59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50659.11</v>
      </c>
      <c r="I16" s="4"/>
      <c r="J16" s="12">
        <f t="shared" ref="J16:J18" si="7">IF(H$12=0,0,H16/H$12)</f>
        <v>0.32827379318867217</v>
      </c>
      <c r="K16" s="4"/>
      <c r="L16" s="4">
        <f t="shared" ref="L16:L18" si="8">+D16-H16</f>
        <v>-50659.11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332896.19</v>
      </c>
      <c r="U16" s="4"/>
      <c r="V16" s="12">
        <f t="shared" ref="V16:V18" si="11">IF(T$12=0,0,T16/T$12)</f>
        <v>0.33266505432025828</v>
      </c>
      <c r="W16" s="4"/>
      <c r="X16" s="4">
        <f t="shared" ref="X16:X18" si="12">+P16-T16</f>
        <v>-332896.19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51517.11</v>
      </c>
      <c r="I17" s="2"/>
      <c r="J17" s="19">
        <f t="shared" si="7"/>
        <v>0.33383367994064789</v>
      </c>
      <c r="K17" s="2"/>
      <c r="L17" s="2">
        <f t="shared" si="8"/>
        <v>-51517.11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338410.52</v>
      </c>
      <c r="U17" s="2"/>
      <c r="V17" s="19">
        <f t="shared" si="11"/>
        <v>0.33817555562395246</v>
      </c>
      <c r="W17" s="2"/>
      <c r="X17" s="2">
        <f t="shared" si="12"/>
        <v>-338410.52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-858</v>
      </c>
      <c r="I18" s="2"/>
      <c r="J18" s="19">
        <f t="shared" si="7"/>
        <v>-5.5598867519757195E-3</v>
      </c>
      <c r="K18" s="2"/>
      <c r="L18" s="2">
        <f t="shared" si="8"/>
        <v>858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-5514.33</v>
      </c>
      <c r="U18" s="2"/>
      <c r="V18" s="19">
        <f t="shared" si="11"/>
        <v>-5.5105013036941932E-3</v>
      </c>
      <c r="W18" s="2"/>
      <c r="X18" s="2">
        <f t="shared" si="12"/>
        <v>5514.33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2">
        <f>D12-D16</f>
        <v>0</v>
      </c>
      <c r="E20" s="14"/>
      <c r="F20" s="20">
        <f>IF(D$12=0,0,D20/D$12)</f>
        <v>0</v>
      </c>
      <c r="G20" s="14"/>
      <c r="H20" s="22">
        <f>H12-H16</f>
        <v>103660.58</v>
      </c>
      <c r="I20" s="14"/>
      <c r="J20" s="20">
        <f>IF(H$12=0,0,H20/H$12)</f>
        <v>0.67172620681132789</v>
      </c>
      <c r="K20" s="16"/>
      <c r="L20" s="22">
        <f>+D20-H20</f>
        <v>-103660.58</v>
      </c>
      <c r="M20" s="16"/>
      <c r="N20" s="20">
        <f>IF(H20=0,0,L20/H20)</f>
        <v>-1</v>
      </c>
      <c r="O20" s="28"/>
      <c r="P20" s="22">
        <f>P12-P16</f>
        <v>0</v>
      </c>
      <c r="Q20" s="14"/>
      <c r="R20" s="20">
        <f>IF(P$12=0,0,P20/P$12)</f>
        <v>0</v>
      </c>
      <c r="S20" s="14"/>
      <c r="T20" s="22">
        <f>T12-T16</f>
        <v>667798.6100000001</v>
      </c>
      <c r="U20" s="14"/>
      <c r="V20" s="20">
        <f>IF(T$12=0,0,T20/T$12)</f>
        <v>0.66733494567974183</v>
      </c>
      <c r="W20" s="16"/>
      <c r="X20" s="22">
        <f>+P20-T20</f>
        <v>-667798.6100000001</v>
      </c>
      <c r="Y20" s="16"/>
      <c r="Z20" s="20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1">
        <f>SUM(OSRRefD22x_0)</f>
        <v>8430.17</v>
      </c>
      <c r="E22" s="21"/>
      <c r="F22" s="32">
        <f t="shared" ref="F22:F31" si="14">IF(D$12=0,0,D22/D$12)</f>
        <v>0</v>
      </c>
      <c r="G22" s="21"/>
      <c r="H22" s="21">
        <f>SUM(OSRRefH22x_0)</f>
        <v>67393.939999999988</v>
      </c>
      <c r="I22" s="21"/>
      <c r="J22" s="32">
        <f t="shared" ref="J22:J31" si="15">IF(H$12=0,0,H22/H$12)</f>
        <v>0.43671640346089335</v>
      </c>
      <c r="K22" s="4"/>
      <c r="L22" s="21">
        <f t="shared" ref="L22:L31" si="16">+D22-H22</f>
        <v>-58963.76999999999</v>
      </c>
      <c r="M22" s="4"/>
      <c r="N22" s="32">
        <f t="shared" ref="N22:N31" si="17">IF(H22=0,0,L22/H22)</f>
        <v>-0.87491204698820102</v>
      </c>
      <c r="O22" s="10"/>
      <c r="P22" s="21">
        <f>SUM(OSRRefP22x_0)</f>
        <v>67456.990000000005</v>
      </c>
      <c r="Q22" s="21"/>
      <c r="R22" s="32">
        <f t="shared" ref="R22:R31" si="18">IF(P$12=0,0,P22/P$12)</f>
        <v>0</v>
      </c>
      <c r="S22" s="21"/>
      <c r="T22" s="21">
        <f>SUM(OSRRefT22x_0)</f>
        <v>500059.13000000006</v>
      </c>
      <c r="U22" s="21"/>
      <c r="V22" s="32">
        <f t="shared" ref="V22:V31" si="19">IF(T$12=0,0,T22/T$12)</f>
        <v>0.49971193015093118</v>
      </c>
      <c r="W22" s="4"/>
      <c r="X22" s="21">
        <f t="shared" ref="X22:X31" si="20">+P22-T22</f>
        <v>-432602.14000000007</v>
      </c>
      <c r="Y22" s="4"/>
      <c r="Z22" s="32">
        <f t="shared" ref="Z22:Z31" si="21">IF(T22=0,0,X22/T22)</f>
        <v>-0.86510197304066827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11740.229999999998</v>
      </c>
      <c r="I23" s="1"/>
      <c r="J23" s="5">
        <f t="shared" si="15"/>
        <v>7.6077330119053488E-2</v>
      </c>
      <c r="K23" s="1"/>
      <c r="L23" s="1">
        <f t="shared" si="16"/>
        <v>-11740.229999999998</v>
      </c>
      <c r="M23" s="1"/>
      <c r="N23" s="5">
        <f t="shared" si="17"/>
        <v>-1</v>
      </c>
      <c r="O23" s="13"/>
      <c r="P23" s="1">
        <f>SUM(OSRRefP22_0x_0)</f>
        <v>6086.32</v>
      </c>
      <c r="Q23" s="1"/>
      <c r="R23" s="5">
        <f t="shared" si="18"/>
        <v>0</v>
      </c>
      <c r="S23" s="1"/>
      <c r="T23" s="1">
        <f>SUM(OSRRefT22_0x_0)</f>
        <v>72518.340000000011</v>
      </c>
      <c r="U23" s="1"/>
      <c r="V23" s="5">
        <f t="shared" si="19"/>
        <v>7.2467989241075309E-2</v>
      </c>
      <c r="W23" s="1"/>
      <c r="X23" s="1">
        <f t="shared" si="20"/>
        <v>-66432.020000000019</v>
      </c>
      <c r="Y23" s="1"/>
      <c r="Z23" s="5">
        <f t="shared" si="21"/>
        <v>-0.91607198951327362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2032.12</v>
      </c>
      <c r="I24" s="2"/>
      <c r="J24" s="7">
        <f t="shared" si="15"/>
        <v>1.3168248329166549E-2</v>
      </c>
      <c r="K24" s="2"/>
      <c r="L24" s="6">
        <f t="shared" si="16"/>
        <v>-2032.12</v>
      </c>
      <c r="M24" s="2"/>
      <c r="N24" s="7">
        <f t="shared" si="17"/>
        <v>-1</v>
      </c>
      <c r="O24" s="11"/>
      <c r="P24" s="6">
        <v>237.51</v>
      </c>
      <c r="Q24" s="2"/>
      <c r="R24" s="7">
        <f t="shared" si="18"/>
        <v>0</v>
      </c>
      <c r="S24" s="2"/>
      <c r="T24" s="6">
        <v>14698.3</v>
      </c>
      <c r="U24" s="2"/>
      <c r="V24" s="7">
        <f t="shared" si="19"/>
        <v>1.4688094711794244E-2</v>
      </c>
      <c r="W24" s="2"/>
      <c r="X24" s="6">
        <f t="shared" si="20"/>
        <v>-14460.789999999999</v>
      </c>
      <c r="Y24" s="2"/>
      <c r="Z24" s="7">
        <f t="shared" si="21"/>
        <v>-0.98384098841362611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1559.27</v>
      </c>
      <c r="I25" s="2"/>
      <c r="J25" s="7">
        <f t="shared" si="15"/>
        <v>1.0104154563814896E-2</v>
      </c>
      <c r="K25" s="2"/>
      <c r="L25" s="6">
        <f t="shared" si="16"/>
        <v>-1559.27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8284.0400000000009</v>
      </c>
      <c r="U25" s="2"/>
      <c r="V25" s="7">
        <f t="shared" si="19"/>
        <v>8.2782882453271475E-3</v>
      </c>
      <c r="W25" s="2"/>
      <c r="X25" s="6">
        <f t="shared" si="20"/>
        <v>-8284.0400000000009</v>
      </c>
      <c r="Y25" s="2"/>
      <c r="Z25" s="7">
        <f t="shared" si="21"/>
        <v>-1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5413.82</v>
      </c>
      <c r="I26" s="2"/>
      <c r="J26" s="7">
        <f t="shared" si="15"/>
        <v>3.5081848596248473E-2</v>
      </c>
      <c r="K26" s="2"/>
      <c r="L26" s="6">
        <f t="shared" si="16"/>
        <v>-5413.82</v>
      </c>
      <c r="M26" s="2"/>
      <c r="N26" s="7">
        <f t="shared" si="17"/>
        <v>-1</v>
      </c>
      <c r="O26" s="11"/>
      <c r="P26" s="6">
        <v>4780.67</v>
      </c>
      <c r="Q26" s="2"/>
      <c r="R26" s="7">
        <f t="shared" si="18"/>
        <v>0</v>
      </c>
      <c r="S26" s="2"/>
      <c r="T26" s="6">
        <v>31255.939999999995</v>
      </c>
      <c r="U26" s="2"/>
      <c r="V26" s="7">
        <f t="shared" si="19"/>
        <v>3.1234238451124153E-2</v>
      </c>
      <c r="W26" s="2"/>
      <c r="X26" s="6">
        <f t="shared" si="20"/>
        <v>-26475.269999999997</v>
      </c>
      <c r="Y26" s="2"/>
      <c r="Z26" s="7">
        <f t="shared" si="21"/>
        <v>-0.84704763318588405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104.49</v>
      </c>
      <c r="I27" s="2"/>
      <c r="J27" s="7">
        <f t="shared" si="15"/>
        <v>6.7710089360599414E-4</v>
      </c>
      <c r="K27" s="2"/>
      <c r="L27" s="6">
        <f t="shared" si="16"/>
        <v>-104.49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692.39</v>
      </c>
      <c r="U27" s="2"/>
      <c r="V27" s="7">
        <f t="shared" si="19"/>
        <v>6.9190926144514786E-4</v>
      </c>
      <c r="W27" s="2"/>
      <c r="X27" s="6">
        <f t="shared" si="20"/>
        <v>-692.39</v>
      </c>
      <c r="Y27" s="2"/>
      <c r="Z27" s="7">
        <f t="shared" si="21"/>
        <v>-1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639.83000000000004</v>
      </c>
      <c r="I28" s="2"/>
      <c r="J28" s="7">
        <f t="shared" si="15"/>
        <v>4.1461332640053902E-3</v>
      </c>
      <c r="K28" s="2"/>
      <c r="L28" s="6">
        <f t="shared" si="16"/>
        <v>-639.83000000000004</v>
      </c>
      <c r="M28" s="2"/>
      <c r="N28" s="7">
        <f t="shared" si="17"/>
        <v>-1</v>
      </c>
      <c r="O28" s="11"/>
      <c r="P28" s="6">
        <v>678.15</v>
      </c>
      <c r="Q28" s="2"/>
      <c r="R28" s="7">
        <f t="shared" si="18"/>
        <v>0</v>
      </c>
      <c r="S28" s="2"/>
      <c r="T28" s="6">
        <v>4489.9399999999996</v>
      </c>
      <c r="U28" s="2"/>
      <c r="V28" s="7">
        <f t="shared" si="19"/>
        <v>4.4868225556883076E-3</v>
      </c>
      <c r="W28" s="2"/>
      <c r="X28" s="6">
        <f t="shared" si="20"/>
        <v>-3811.7899999999995</v>
      </c>
      <c r="Y28" s="2"/>
      <c r="Z28" s="7">
        <f t="shared" si="21"/>
        <v>-0.8489623469355938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647.76</v>
      </c>
      <c r="I29" s="2"/>
      <c r="J29" s="7">
        <f t="shared" si="15"/>
        <v>4.1975200961069841E-3</v>
      </c>
      <c r="K29" s="2"/>
      <c r="L29" s="6">
        <f t="shared" si="16"/>
        <v>-647.76</v>
      </c>
      <c r="M29" s="2"/>
      <c r="N29" s="7">
        <f t="shared" si="17"/>
        <v>-1</v>
      </c>
      <c r="O29" s="11"/>
      <c r="P29" s="6">
        <v>248.21</v>
      </c>
      <c r="Q29" s="2"/>
      <c r="R29" s="7">
        <f t="shared" si="18"/>
        <v>0</v>
      </c>
      <c r="S29" s="2"/>
      <c r="T29" s="6">
        <v>4716.43</v>
      </c>
      <c r="U29" s="2"/>
      <c r="V29" s="7">
        <f t="shared" si="19"/>
        <v>4.7131552996977702E-3</v>
      </c>
      <c r="W29" s="2"/>
      <c r="X29" s="6">
        <f t="shared" si="20"/>
        <v>-4468.22</v>
      </c>
      <c r="Y29" s="2"/>
      <c r="Z29" s="7">
        <f t="shared" si="21"/>
        <v>-0.94737333110000577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680.72</v>
      </c>
      <c r="I30" s="2"/>
      <c r="J30" s="7">
        <f t="shared" si="15"/>
        <v>4.4111026920803176E-3</v>
      </c>
      <c r="K30" s="2"/>
      <c r="L30" s="6">
        <f t="shared" si="16"/>
        <v>-680.72</v>
      </c>
      <c r="M30" s="2"/>
      <c r="N30" s="7">
        <f t="shared" si="17"/>
        <v>-1</v>
      </c>
      <c r="O30" s="11"/>
      <c r="P30" s="6">
        <v>141.78</v>
      </c>
      <c r="Q30" s="2"/>
      <c r="R30" s="7">
        <f t="shared" si="18"/>
        <v>0</v>
      </c>
      <c r="S30" s="2"/>
      <c r="T30" s="6">
        <v>4861.34</v>
      </c>
      <c r="U30" s="2"/>
      <c r="V30" s="7">
        <f t="shared" si="19"/>
        <v>4.8579646861360726E-3</v>
      </c>
      <c r="W30" s="2"/>
      <c r="X30" s="6">
        <f t="shared" si="20"/>
        <v>-4719.5600000000004</v>
      </c>
      <c r="Y30" s="2"/>
      <c r="Z30" s="7">
        <f t="shared" si="21"/>
        <v>-0.97083520181678307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662.22</v>
      </c>
      <c r="I31" s="2"/>
      <c r="J31" s="7">
        <f t="shared" si="15"/>
        <v>4.2912216840248971E-3</v>
      </c>
      <c r="K31" s="2"/>
      <c r="L31" s="6">
        <f t="shared" si="16"/>
        <v>-662.22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3519.96</v>
      </c>
      <c r="U31" s="2"/>
      <c r="V31" s="7">
        <f t="shared" si="19"/>
        <v>3.5175160298624515E-3</v>
      </c>
      <c r="W31" s="2"/>
      <c r="X31" s="6">
        <f t="shared" si="20"/>
        <v>-3519.96</v>
      </c>
      <c r="Y31" s="2"/>
      <c r="Z31" s="7">
        <f t="shared" si="21"/>
        <v>-1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8" si="22">IF(D$12=0,0,D32/D$12)</f>
        <v>0</v>
      </c>
      <c r="G32" s="1"/>
      <c r="H32" s="1">
        <f>SUM(OSRRefH22_1x_0)</f>
        <v>37553.72</v>
      </c>
      <c r="I32" s="1"/>
      <c r="J32" s="5">
        <f t="shared" ref="J32:J38" si="23">IF(H$12=0,0,H32/H$12)</f>
        <v>0.24335015188275716</v>
      </c>
      <c r="K32" s="1"/>
      <c r="L32" s="1">
        <f t="shared" ref="L32:L38" si="24">+D32-H32</f>
        <v>-37553.72</v>
      </c>
      <c r="M32" s="1"/>
      <c r="N32" s="5">
        <f t="shared" ref="N32:N38" si="25">IF(H32=0,0,L32/H32)</f>
        <v>-1</v>
      </c>
      <c r="O32" s="13"/>
      <c r="P32" s="1">
        <f>SUM(OSRRefP22_1x_0)</f>
        <v>2151.69</v>
      </c>
      <c r="Q32" s="1"/>
      <c r="R32" s="5">
        <f t="shared" ref="R32:R38" si="26">IF(P$12=0,0,P32/P$12)</f>
        <v>0</v>
      </c>
      <c r="S32" s="1"/>
      <c r="T32" s="1">
        <f>SUM(OSRRefT22_1x_0)</f>
        <v>267202.88</v>
      </c>
      <c r="U32" s="1"/>
      <c r="V32" s="5">
        <f t="shared" ref="V32:V38" si="27">IF(T$12=0,0,T32/T$12)</f>
        <v>0.26701735634081442</v>
      </c>
      <c r="W32" s="1"/>
      <c r="X32" s="1">
        <f t="shared" ref="X32:X38" si="28">+P32-T32</f>
        <v>-265051.19</v>
      </c>
      <c r="Y32" s="1"/>
      <c r="Z32" s="5">
        <f t="shared" ref="Z32:Z38" si="29">IF(T32=0,0,X32/T32)</f>
        <v>-0.99194735475905049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9160</v>
      </c>
      <c r="I33" s="2"/>
      <c r="J33" s="7">
        <f t="shared" si="23"/>
        <v>5.9357299123656872E-2</v>
      </c>
      <c r="K33" s="2"/>
      <c r="L33" s="6">
        <f t="shared" si="24"/>
        <v>-9160</v>
      </c>
      <c r="M33" s="2"/>
      <c r="N33" s="7">
        <f t="shared" si="25"/>
        <v>-1</v>
      </c>
      <c r="O33" s="11"/>
      <c r="P33" s="6">
        <v>2151.69</v>
      </c>
      <c r="Q33" s="2"/>
      <c r="R33" s="7">
        <f t="shared" si="26"/>
        <v>0</v>
      </c>
      <c r="S33" s="2"/>
      <c r="T33" s="6">
        <v>64602</v>
      </c>
      <c r="U33" s="2"/>
      <c r="V33" s="7">
        <f t="shared" si="27"/>
        <v>6.4557145695170987E-2</v>
      </c>
      <c r="W33" s="2"/>
      <c r="X33" s="6">
        <f t="shared" si="28"/>
        <v>-62450.31</v>
      </c>
      <c r="Y33" s="2"/>
      <c r="Z33" s="7">
        <f t="shared" si="29"/>
        <v>-0.96669313643540444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2"/>
        <v>0</v>
      </c>
      <c r="G34" s="2"/>
      <c r="H34" s="6">
        <v>4926.8500000000004</v>
      </c>
      <c r="I34" s="2"/>
      <c r="J34" s="7">
        <f t="shared" si="23"/>
        <v>3.1926256461505334E-2</v>
      </c>
      <c r="K34" s="2"/>
      <c r="L34" s="6">
        <f t="shared" si="24"/>
        <v>-4926.8500000000004</v>
      </c>
      <c r="M34" s="2"/>
      <c r="N34" s="7">
        <f t="shared" si="25"/>
        <v>-1</v>
      </c>
      <c r="O34" s="11"/>
      <c r="P34" s="6"/>
      <c r="Q34" s="2"/>
      <c r="R34" s="7">
        <f t="shared" si="26"/>
        <v>0</v>
      </c>
      <c r="S34" s="2"/>
      <c r="T34" s="6">
        <v>31488.92</v>
      </c>
      <c r="U34" s="2"/>
      <c r="V34" s="7">
        <f t="shared" si="27"/>
        <v>3.1467056689012472E-2</v>
      </c>
      <c r="W34" s="2"/>
      <c r="X34" s="6">
        <f t="shared" si="28"/>
        <v>-31488.92</v>
      </c>
      <c r="Y34" s="2"/>
      <c r="Z34" s="7">
        <f t="shared" si="29"/>
        <v>-1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2"/>
        <v>0</v>
      </c>
      <c r="G35" s="2"/>
      <c r="H35" s="6">
        <v>12356.12</v>
      </c>
      <c r="I35" s="2"/>
      <c r="J35" s="7">
        <f t="shared" si="23"/>
        <v>8.0068330878580701E-2</v>
      </c>
      <c r="K35" s="2"/>
      <c r="L35" s="6">
        <f t="shared" si="24"/>
        <v>-12356.12</v>
      </c>
      <c r="M35" s="2"/>
      <c r="N35" s="7">
        <f t="shared" si="25"/>
        <v>-1</v>
      </c>
      <c r="O35" s="11"/>
      <c r="P35" s="6"/>
      <c r="Q35" s="2"/>
      <c r="R35" s="7">
        <f t="shared" si="26"/>
        <v>0</v>
      </c>
      <c r="S35" s="2"/>
      <c r="T35" s="6">
        <v>77551</v>
      </c>
      <c r="U35" s="2"/>
      <c r="V35" s="7">
        <f t="shared" si="27"/>
        <v>7.7497154976722174E-2</v>
      </c>
      <c r="W35" s="2"/>
      <c r="X35" s="6">
        <f t="shared" si="28"/>
        <v>-77551</v>
      </c>
      <c r="Y35" s="2"/>
      <c r="Z35" s="7">
        <f t="shared" si="29"/>
        <v>-1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2"/>
        <v>0</v>
      </c>
      <c r="G36" s="2"/>
      <c r="H36" s="6"/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1"/>
      <c r="P36" s="6"/>
      <c r="Q36" s="2"/>
      <c r="R36" s="7">
        <f t="shared" si="26"/>
        <v>0</v>
      </c>
      <c r="S36" s="2"/>
      <c r="T36" s="6">
        <v>7215.01</v>
      </c>
      <c r="U36" s="2"/>
      <c r="V36" s="7">
        <f t="shared" si="27"/>
        <v>7.2100004916583957E-3</v>
      </c>
      <c r="W36" s="2"/>
      <c r="X36" s="6">
        <f t="shared" si="28"/>
        <v>-7215.01</v>
      </c>
      <c r="Y36" s="2"/>
      <c r="Z36" s="7">
        <f t="shared" si="29"/>
        <v>-1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22"/>
        <v>0</v>
      </c>
      <c r="G37" s="2"/>
      <c r="H37" s="6">
        <v>11110.75</v>
      </c>
      <c r="I37" s="2"/>
      <c r="J37" s="7">
        <f t="shared" si="23"/>
        <v>7.199826541901426E-2</v>
      </c>
      <c r="K37" s="2"/>
      <c r="L37" s="6">
        <f t="shared" si="24"/>
        <v>-11110.75</v>
      </c>
      <c r="M37" s="2"/>
      <c r="N37" s="7">
        <f t="shared" si="25"/>
        <v>-1</v>
      </c>
      <c r="O37" s="11"/>
      <c r="P37" s="6"/>
      <c r="Q37" s="2"/>
      <c r="R37" s="7">
        <f t="shared" si="26"/>
        <v>0</v>
      </c>
      <c r="S37" s="2"/>
      <c r="T37" s="6">
        <v>84515.95</v>
      </c>
      <c r="U37" s="2"/>
      <c r="V37" s="7">
        <f t="shared" si="27"/>
        <v>8.4457269089436654E-2</v>
      </c>
      <c r="W37" s="2"/>
      <c r="X37" s="6">
        <f t="shared" si="28"/>
        <v>-84515.95</v>
      </c>
      <c r="Y37" s="2"/>
      <c r="Z37" s="7">
        <f t="shared" si="29"/>
        <v>-1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2"/>
        <v>0</v>
      </c>
      <c r="G38" s="2"/>
      <c r="H38" s="6"/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/>
      <c r="Q38" s="2"/>
      <c r="R38" s="7">
        <f t="shared" si="26"/>
        <v>0</v>
      </c>
      <c r="S38" s="2"/>
      <c r="T38" s="6">
        <v>1830</v>
      </c>
      <c r="U38" s="2"/>
      <c r="V38" s="7">
        <f t="shared" si="27"/>
        <v>1.8287293988137041E-3</v>
      </c>
      <c r="W38" s="2"/>
      <c r="X38" s="6">
        <f t="shared" si="28"/>
        <v>-1830</v>
      </c>
      <c r="Y38" s="2"/>
      <c r="Z38" s="7">
        <f t="shared" si="29"/>
        <v>-1</v>
      </c>
    </row>
    <row r="39" spans="1:26" s="25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0</v>
      </c>
      <c r="E39" s="1"/>
      <c r="F39" s="5">
        <f t="shared" ref="F39:F47" si="30">IF(D$12=0,0,D39/D$12)</f>
        <v>0</v>
      </c>
      <c r="G39" s="1"/>
      <c r="H39" s="1">
        <f>SUM(OSRRefH22_2x_0)</f>
        <v>187.01</v>
      </c>
      <c r="I39" s="1"/>
      <c r="J39" s="5">
        <f t="shared" ref="J39:J47" si="31">IF(H$12=0,0,H39/H$12)</f>
        <v>1.2118349900780644E-3</v>
      </c>
      <c r="K39" s="1"/>
      <c r="L39" s="1">
        <f t="shared" ref="L39:L47" si="32">+D39-H39</f>
        <v>-187.01</v>
      </c>
      <c r="M39" s="1"/>
      <c r="N39" s="5">
        <f t="shared" ref="N39:N47" si="33">IF(H39=0,0,L39/H39)</f>
        <v>-1</v>
      </c>
      <c r="O39" s="13"/>
      <c r="P39" s="1">
        <f>SUM(OSRRefP22_2x_0)</f>
        <v>0</v>
      </c>
      <c r="Q39" s="1"/>
      <c r="R39" s="5">
        <f t="shared" ref="R39:R47" si="34">IF(P$12=0,0,P39/P$12)</f>
        <v>0</v>
      </c>
      <c r="S39" s="1"/>
      <c r="T39" s="1">
        <f>SUM(OSRRefT22_2x_0)</f>
        <v>4282.6400000000003</v>
      </c>
      <c r="U39" s="1"/>
      <c r="V39" s="5">
        <f t="shared" ref="V39:V47" si="35">IF(T$12=0,0,T39/T$12)</f>
        <v>4.2796664877243294E-3</v>
      </c>
      <c r="W39" s="1"/>
      <c r="X39" s="1">
        <f t="shared" ref="X39:X47" si="36">+P39-T39</f>
        <v>-4282.6400000000003</v>
      </c>
      <c r="Y39" s="1"/>
      <c r="Z39" s="5">
        <f t="shared" ref="Z39:Z47" si="37">IF(T39=0,0,X39/T39)</f>
        <v>-1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/>
      <c r="E40" s="2"/>
      <c r="F40" s="7">
        <f t="shared" si="30"/>
        <v>0</v>
      </c>
      <c r="G40" s="2"/>
      <c r="H40" s="6">
        <v>187.01</v>
      </c>
      <c r="I40" s="2"/>
      <c r="J40" s="7">
        <f t="shared" si="31"/>
        <v>1.2118349900780644E-3</v>
      </c>
      <c r="K40" s="2"/>
      <c r="L40" s="6">
        <f t="shared" si="32"/>
        <v>-187.01</v>
      </c>
      <c r="M40" s="2"/>
      <c r="N40" s="7">
        <f t="shared" si="33"/>
        <v>-1</v>
      </c>
      <c r="O40" s="11"/>
      <c r="P40" s="6"/>
      <c r="Q40" s="2"/>
      <c r="R40" s="7">
        <f t="shared" si="34"/>
        <v>0</v>
      </c>
      <c r="S40" s="2"/>
      <c r="T40" s="6">
        <v>4282.6400000000003</v>
      </c>
      <c r="U40" s="2"/>
      <c r="V40" s="7">
        <f t="shared" si="35"/>
        <v>4.2796664877243294E-3</v>
      </c>
      <c r="W40" s="2"/>
      <c r="X40" s="6">
        <f t="shared" si="36"/>
        <v>-4282.6400000000003</v>
      </c>
      <c r="Y40" s="2"/>
      <c r="Z40" s="7">
        <f t="shared" si="37"/>
        <v>-1</v>
      </c>
    </row>
    <row r="41" spans="1:26" s="25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0</v>
      </c>
      <c r="E41" s="1"/>
      <c r="F41" s="5">
        <f t="shared" si="30"/>
        <v>0</v>
      </c>
      <c r="G41" s="1"/>
      <c r="H41" s="1">
        <f>SUM(OSRRefH22_3x_0)</f>
        <v>1.95</v>
      </c>
      <c r="I41" s="1"/>
      <c r="J41" s="5">
        <f t="shared" si="31"/>
        <v>1.2636106254490272E-5</v>
      </c>
      <c r="K41" s="1"/>
      <c r="L41" s="1">
        <f t="shared" si="32"/>
        <v>-1.95</v>
      </c>
      <c r="M41" s="1"/>
      <c r="N41" s="5">
        <f t="shared" si="33"/>
        <v>-1</v>
      </c>
      <c r="O41" s="13"/>
      <c r="P41" s="1">
        <f>SUM(OSRRefP22_3x_0)</f>
        <v>0</v>
      </c>
      <c r="Q41" s="1"/>
      <c r="R41" s="5">
        <f t="shared" si="34"/>
        <v>0</v>
      </c>
      <c r="S41" s="1"/>
      <c r="T41" s="1">
        <f>SUM(OSRRefT22_3x_0)</f>
        <v>-321.92</v>
      </c>
      <c r="U41" s="1"/>
      <c r="V41" s="5">
        <f t="shared" si="35"/>
        <v>-3.2169648528202605E-4</v>
      </c>
      <c r="W41" s="1"/>
      <c r="X41" s="1">
        <f t="shared" si="36"/>
        <v>321.92</v>
      </c>
      <c r="Y41" s="1"/>
      <c r="Z41" s="5">
        <f t="shared" si="37"/>
        <v>-1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6"/>
      <c r="E42" s="2"/>
      <c r="F42" s="7">
        <f t="shared" si="30"/>
        <v>0</v>
      </c>
      <c r="G42" s="2"/>
      <c r="H42" s="6">
        <v>1.95</v>
      </c>
      <c r="I42" s="2"/>
      <c r="J42" s="7">
        <f t="shared" si="31"/>
        <v>1.2636106254490272E-5</v>
      </c>
      <c r="K42" s="2"/>
      <c r="L42" s="6">
        <f t="shared" si="32"/>
        <v>-1.95</v>
      </c>
      <c r="M42" s="2"/>
      <c r="N42" s="7">
        <f t="shared" si="33"/>
        <v>-1</v>
      </c>
      <c r="O42" s="11"/>
      <c r="P42" s="6"/>
      <c r="Q42" s="2"/>
      <c r="R42" s="7">
        <f t="shared" si="34"/>
        <v>0</v>
      </c>
      <c r="S42" s="2"/>
      <c r="T42" s="6">
        <v>-321.92</v>
      </c>
      <c r="U42" s="2"/>
      <c r="V42" s="7">
        <f t="shared" si="35"/>
        <v>-3.2169648528202605E-4</v>
      </c>
      <c r="W42" s="2"/>
      <c r="X42" s="6">
        <f t="shared" si="36"/>
        <v>321.92</v>
      </c>
      <c r="Y42" s="2"/>
      <c r="Z42" s="7">
        <f t="shared" si="37"/>
        <v>-1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0</v>
      </c>
      <c r="E43" s="1"/>
      <c r="F43" s="5">
        <f t="shared" si="30"/>
        <v>0</v>
      </c>
      <c r="G43" s="1"/>
      <c r="H43" s="1">
        <f>SUM(OSRRefH22_4x_0)</f>
        <v>4581.24</v>
      </c>
      <c r="I43" s="1"/>
      <c r="J43" s="5">
        <f t="shared" si="31"/>
        <v>2.9686684829395391E-2</v>
      </c>
      <c r="K43" s="1"/>
      <c r="L43" s="1">
        <f t="shared" si="32"/>
        <v>-4581.24</v>
      </c>
      <c r="M43" s="1"/>
      <c r="N43" s="5">
        <f t="shared" si="33"/>
        <v>-1</v>
      </c>
      <c r="O43" s="13"/>
      <c r="P43" s="1">
        <f>SUM(OSRRefP22_4x_0)</f>
        <v>0</v>
      </c>
      <c r="Q43" s="1"/>
      <c r="R43" s="5">
        <f t="shared" si="34"/>
        <v>0</v>
      </c>
      <c r="S43" s="1"/>
      <c r="T43" s="1">
        <f>SUM(OSRRefT22_4x_0)</f>
        <v>38497.43</v>
      </c>
      <c r="U43" s="1"/>
      <c r="V43" s="5">
        <f t="shared" si="35"/>
        <v>3.8470700557252817E-2</v>
      </c>
      <c r="W43" s="1"/>
      <c r="X43" s="1">
        <f t="shared" si="36"/>
        <v>-38497.43</v>
      </c>
      <c r="Y43" s="1"/>
      <c r="Z43" s="5">
        <f t="shared" si="37"/>
        <v>-1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/>
      <c r="E44" s="2"/>
      <c r="F44" s="7">
        <f t="shared" si="30"/>
        <v>0</v>
      </c>
      <c r="G44" s="2"/>
      <c r="H44" s="6">
        <v>4581.24</v>
      </c>
      <c r="I44" s="2"/>
      <c r="J44" s="7">
        <f t="shared" si="31"/>
        <v>2.9686684829395391E-2</v>
      </c>
      <c r="K44" s="2"/>
      <c r="L44" s="6">
        <f t="shared" si="32"/>
        <v>-4581.24</v>
      </c>
      <c r="M44" s="2"/>
      <c r="N44" s="7">
        <f t="shared" si="33"/>
        <v>-1</v>
      </c>
      <c r="O44" s="11"/>
      <c r="P44" s="6"/>
      <c r="Q44" s="2"/>
      <c r="R44" s="7">
        <f t="shared" si="34"/>
        <v>0</v>
      </c>
      <c r="S44" s="2"/>
      <c r="T44" s="6">
        <v>38497.43</v>
      </c>
      <c r="U44" s="2"/>
      <c r="V44" s="7">
        <f t="shared" si="35"/>
        <v>3.8470700557252817E-2</v>
      </c>
      <c r="W44" s="2"/>
      <c r="X44" s="6">
        <f t="shared" si="36"/>
        <v>-38497.43</v>
      </c>
      <c r="Y44" s="2"/>
      <c r="Z44" s="7">
        <f t="shared" si="37"/>
        <v>-1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6745.17</v>
      </c>
      <c r="E45" s="1"/>
      <c r="F45" s="5">
        <f t="shared" si="30"/>
        <v>0</v>
      </c>
      <c r="G45" s="1"/>
      <c r="H45" s="1">
        <f>SUM(OSRRefH22_5x_0)</f>
        <v>8263.4700000000012</v>
      </c>
      <c r="I45" s="1"/>
      <c r="J45" s="5">
        <f t="shared" si="31"/>
        <v>5.3547735872201407E-2</v>
      </c>
      <c r="K45" s="1"/>
      <c r="L45" s="1">
        <f t="shared" si="32"/>
        <v>-1518.3000000000011</v>
      </c>
      <c r="M45" s="1"/>
      <c r="N45" s="5">
        <f t="shared" si="33"/>
        <v>-0.18373637225039854</v>
      </c>
      <c r="O45" s="13"/>
      <c r="P45" s="1">
        <f>SUM(OSRRefP22_5x_0)</f>
        <v>55258.51</v>
      </c>
      <c r="Q45" s="1"/>
      <c r="R45" s="5">
        <f t="shared" si="34"/>
        <v>0</v>
      </c>
      <c r="S45" s="1"/>
      <c r="T45" s="1">
        <f>SUM(OSRRefT22_5x_0)</f>
        <v>66107.760000000009</v>
      </c>
      <c r="U45" s="1"/>
      <c r="V45" s="5">
        <f t="shared" si="35"/>
        <v>6.6061860219519486E-2</v>
      </c>
      <c r="W45" s="1"/>
      <c r="X45" s="1">
        <f t="shared" si="36"/>
        <v>-10849.250000000007</v>
      </c>
      <c r="Y45" s="1"/>
      <c r="Z45" s="5">
        <f t="shared" si="37"/>
        <v>-0.16411462133946159</v>
      </c>
    </row>
    <row r="46" spans="1:26" s="24" customFormat="1" hidden="1" outlineLevel="2" x14ac:dyDescent="0.25">
      <c r="A46" s="26"/>
      <c r="B46" s="11" t="str">
        <f>CONCATENATE("          ", "6321", " - ", "BUILDING DEPRECIATION")</f>
        <v xml:space="preserve">          6321 - BUILDING DEPRECIATION</v>
      </c>
      <c r="C46" s="11"/>
      <c r="D46" s="6">
        <v>6537.05</v>
      </c>
      <c r="E46" s="2"/>
      <c r="F46" s="7">
        <f t="shared" si="30"/>
        <v>0</v>
      </c>
      <c r="G46" s="2"/>
      <c r="H46" s="6">
        <v>6537.05</v>
      </c>
      <c r="I46" s="2"/>
      <c r="J46" s="7">
        <f t="shared" si="31"/>
        <v>4.2360440200469557E-2</v>
      </c>
      <c r="K46" s="2"/>
      <c r="L46" s="6">
        <f t="shared" si="32"/>
        <v>0</v>
      </c>
      <c r="M46" s="2"/>
      <c r="N46" s="7">
        <f t="shared" si="33"/>
        <v>0</v>
      </c>
      <c r="O46" s="11"/>
      <c r="P46" s="6">
        <v>52296.4</v>
      </c>
      <c r="Q46" s="2"/>
      <c r="R46" s="7">
        <f t="shared" si="34"/>
        <v>0</v>
      </c>
      <c r="S46" s="2"/>
      <c r="T46" s="6">
        <v>52296.4</v>
      </c>
      <c r="U46" s="2"/>
      <c r="V46" s="7">
        <f t="shared" si="35"/>
        <v>5.2260089689683605E-2</v>
      </c>
      <c r="W46" s="2"/>
      <c r="X46" s="6">
        <f t="shared" si="36"/>
        <v>0</v>
      </c>
      <c r="Y46" s="2"/>
      <c r="Z46" s="7">
        <f t="shared" si="37"/>
        <v>0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208.12</v>
      </c>
      <c r="E47" s="2"/>
      <c r="F47" s="7">
        <f t="shared" si="30"/>
        <v>0</v>
      </c>
      <c r="G47" s="2"/>
      <c r="H47" s="6">
        <v>1726.42</v>
      </c>
      <c r="I47" s="2"/>
      <c r="J47" s="7">
        <f t="shared" si="31"/>
        <v>1.1187295671731845E-2</v>
      </c>
      <c r="K47" s="2"/>
      <c r="L47" s="6">
        <f t="shared" si="32"/>
        <v>-1518.3000000000002</v>
      </c>
      <c r="M47" s="2"/>
      <c r="N47" s="7">
        <f t="shared" si="33"/>
        <v>-0.87944996003290055</v>
      </c>
      <c r="O47" s="11"/>
      <c r="P47" s="6">
        <v>2962.11</v>
      </c>
      <c r="Q47" s="2"/>
      <c r="R47" s="7">
        <f t="shared" si="34"/>
        <v>0</v>
      </c>
      <c r="S47" s="2"/>
      <c r="T47" s="6">
        <v>13811.36</v>
      </c>
      <c r="U47" s="2"/>
      <c r="V47" s="7">
        <f t="shared" si="35"/>
        <v>1.3801770529835869E-2</v>
      </c>
      <c r="W47" s="2"/>
      <c r="X47" s="6">
        <f t="shared" si="36"/>
        <v>-10849.25</v>
      </c>
      <c r="Y47" s="2"/>
      <c r="Z47" s="7">
        <f t="shared" si="37"/>
        <v>-0.78553089630564976</v>
      </c>
    </row>
    <row r="48" spans="1:26" s="25" customFormat="1" outlineLevel="1" collapsed="1" x14ac:dyDescent="0.25">
      <c r="A48" s="27"/>
      <c r="B48" s="13" t="str">
        <f>CONCATENATE("     ","Discounts and Markdowns                           ")</f>
        <v xml:space="preserve">     Discounts and Markdowns                           </v>
      </c>
      <c r="C48" s="13"/>
      <c r="D48" s="1">
        <f>SUM(OSRRefD22_6x_0)</f>
        <v>0</v>
      </c>
      <c r="E48" s="1"/>
      <c r="F48" s="5">
        <f t="shared" ref="F48:F58" si="38">IF(D$12=0,0,D48/D$12)</f>
        <v>0</v>
      </c>
      <c r="G48" s="1"/>
      <c r="H48" s="1">
        <f>SUM(OSRRefH22_6x_0)</f>
        <v>0</v>
      </c>
      <c r="I48" s="1"/>
      <c r="J48" s="5">
        <f t="shared" ref="J48:J58" si="39">IF(H$12=0,0,H48/H$12)</f>
        <v>0</v>
      </c>
      <c r="K48" s="1"/>
      <c r="L48" s="1">
        <f t="shared" ref="L48:L58" si="40">+D48-H48</f>
        <v>0</v>
      </c>
      <c r="M48" s="1"/>
      <c r="N48" s="5">
        <f t="shared" ref="N48:N58" si="41">IF(H48=0,0,L48/H48)</f>
        <v>0</v>
      </c>
      <c r="O48" s="13"/>
      <c r="P48" s="1">
        <f>SUM(OSRRefP22_6x_0)</f>
        <v>0</v>
      </c>
      <c r="Q48" s="1"/>
      <c r="R48" s="5">
        <f t="shared" ref="R48:R58" si="42">IF(P$12=0,0,P48/P$12)</f>
        <v>0</v>
      </c>
      <c r="S48" s="1"/>
      <c r="T48" s="1">
        <f>SUM(OSRRefT22_6x_0)</f>
        <v>0.09</v>
      </c>
      <c r="U48" s="1"/>
      <c r="V48" s="5">
        <f t="shared" ref="V48:V58" si="43">IF(T$12=0,0,T48/T$12)</f>
        <v>8.993751141706741E-8</v>
      </c>
      <c r="W48" s="1"/>
      <c r="X48" s="1">
        <f t="shared" ref="X48:X58" si="44">+P48-T48</f>
        <v>-0.09</v>
      </c>
      <c r="Y48" s="1"/>
      <c r="Z48" s="5">
        <f t="shared" ref="Z48:Z58" si="45">IF(T48=0,0,X48/T48)</f>
        <v>-1</v>
      </c>
    </row>
    <row r="49" spans="1:26" s="24" customFormat="1" hidden="1" outlineLevel="2" x14ac:dyDescent="0.25">
      <c r="A49" s="26"/>
      <c r="B49" s="11" t="str">
        <f>CONCATENATE("          ", "6382", " - ", "DISCOUNTS/MARK DOWNS")</f>
        <v xml:space="preserve">          6382 - DISCOUNTS/MARK DOWNS</v>
      </c>
      <c r="C49" s="11"/>
      <c r="D49" s="6"/>
      <c r="E49" s="2"/>
      <c r="F49" s="7">
        <f t="shared" si="38"/>
        <v>0</v>
      </c>
      <c r="G49" s="2"/>
      <c r="H49" s="6"/>
      <c r="I49" s="2"/>
      <c r="J49" s="7">
        <f t="shared" si="39"/>
        <v>0</v>
      </c>
      <c r="K49" s="2"/>
      <c r="L49" s="6">
        <f t="shared" si="40"/>
        <v>0</v>
      </c>
      <c r="M49" s="2"/>
      <c r="N49" s="7">
        <f t="shared" si="41"/>
        <v>0</v>
      </c>
      <c r="O49" s="11"/>
      <c r="P49" s="6"/>
      <c r="Q49" s="2"/>
      <c r="R49" s="7">
        <f t="shared" si="42"/>
        <v>0</v>
      </c>
      <c r="S49" s="2"/>
      <c r="T49" s="6">
        <v>0.09</v>
      </c>
      <c r="U49" s="2"/>
      <c r="V49" s="7">
        <f t="shared" si="43"/>
        <v>8.993751141706741E-8</v>
      </c>
      <c r="W49" s="2"/>
      <c r="X49" s="6">
        <f t="shared" si="44"/>
        <v>-0.09</v>
      </c>
      <c r="Y49" s="2"/>
      <c r="Z49" s="7">
        <f t="shared" si="45"/>
        <v>-1</v>
      </c>
    </row>
    <row r="50" spans="1:26" s="25" customFormat="1" outlineLevel="1" collapsed="1" x14ac:dyDescent="0.25">
      <c r="A50" s="27"/>
      <c r="B50" s="13" t="str">
        <f>CONCATENATE("     ","Donations                                         ")</f>
        <v xml:space="preserve">     Donations                                         </v>
      </c>
      <c r="C50" s="13"/>
      <c r="D50" s="1">
        <f>SUM(OSRRefD22_7x_0)</f>
        <v>0</v>
      </c>
      <c r="E50" s="1"/>
      <c r="F50" s="5">
        <f t="shared" si="38"/>
        <v>0</v>
      </c>
      <c r="G50" s="1"/>
      <c r="H50" s="1">
        <f>SUM(OSRRefH22_7x_0)</f>
        <v>0</v>
      </c>
      <c r="I50" s="1"/>
      <c r="J50" s="5">
        <f t="shared" si="39"/>
        <v>0</v>
      </c>
      <c r="K50" s="1"/>
      <c r="L50" s="1">
        <f t="shared" si="40"/>
        <v>0</v>
      </c>
      <c r="M50" s="1"/>
      <c r="N50" s="5">
        <f t="shared" si="41"/>
        <v>0</v>
      </c>
      <c r="O50" s="13"/>
      <c r="P50" s="1">
        <f>SUM(OSRRefP22_7x_0)</f>
        <v>0</v>
      </c>
      <c r="Q50" s="1"/>
      <c r="R50" s="5">
        <f t="shared" si="42"/>
        <v>0</v>
      </c>
      <c r="S50" s="1"/>
      <c r="T50" s="1">
        <f>SUM(OSRRefT22_7x_0)</f>
        <v>73</v>
      </c>
      <c r="U50" s="1"/>
      <c r="V50" s="5">
        <f t="shared" si="43"/>
        <v>7.294931481606579E-5</v>
      </c>
      <c r="W50" s="1"/>
      <c r="X50" s="1">
        <f t="shared" si="44"/>
        <v>-73</v>
      </c>
      <c r="Y50" s="1"/>
      <c r="Z50" s="5">
        <f t="shared" si="45"/>
        <v>-1</v>
      </c>
    </row>
    <row r="51" spans="1:26" s="24" customFormat="1" hidden="1" outlineLevel="2" x14ac:dyDescent="0.25">
      <c r="A51" s="26"/>
      <c r="B51" s="11" t="str">
        <f>CONCATENATE("          ", "6399", " - ", "DONATION-ON CAMPUS")</f>
        <v xml:space="preserve">          6399 - DONATION-ON CAMPUS</v>
      </c>
      <c r="C51" s="11"/>
      <c r="D51" s="6"/>
      <c r="E51" s="2"/>
      <c r="F51" s="7">
        <f t="shared" si="38"/>
        <v>0</v>
      </c>
      <c r="G51" s="2"/>
      <c r="H51" s="6"/>
      <c r="I51" s="2"/>
      <c r="J51" s="7">
        <f t="shared" si="39"/>
        <v>0</v>
      </c>
      <c r="K51" s="2"/>
      <c r="L51" s="6">
        <f t="shared" si="40"/>
        <v>0</v>
      </c>
      <c r="M51" s="2"/>
      <c r="N51" s="7">
        <f t="shared" si="41"/>
        <v>0</v>
      </c>
      <c r="O51" s="11"/>
      <c r="P51" s="6"/>
      <c r="Q51" s="2"/>
      <c r="R51" s="7">
        <f t="shared" si="42"/>
        <v>0</v>
      </c>
      <c r="S51" s="2"/>
      <c r="T51" s="6">
        <v>73</v>
      </c>
      <c r="U51" s="2"/>
      <c r="V51" s="7">
        <f t="shared" si="43"/>
        <v>7.294931481606579E-5</v>
      </c>
      <c r="W51" s="2"/>
      <c r="X51" s="6">
        <f t="shared" si="44"/>
        <v>-73</v>
      </c>
      <c r="Y51" s="2"/>
      <c r="Z51" s="7">
        <f t="shared" si="45"/>
        <v>-1</v>
      </c>
    </row>
    <row r="52" spans="1:26" s="25" customFormat="1" outlineLevel="1" collapsed="1" x14ac:dyDescent="0.25">
      <c r="A52" s="27"/>
      <c r="B52" s="13" t="str">
        <f>CONCATENATE("     ","Employees' Appreciation                           ")</f>
        <v xml:space="preserve">     Employees' Appreciation                           </v>
      </c>
      <c r="C52" s="13"/>
      <c r="D52" s="1">
        <f>SUM(OSRRefD22_8x_0)</f>
        <v>0</v>
      </c>
      <c r="E52" s="1"/>
      <c r="F52" s="5">
        <f t="shared" si="38"/>
        <v>0</v>
      </c>
      <c r="G52" s="1"/>
      <c r="H52" s="1">
        <f>SUM(OSRRefH22_8x_0)</f>
        <v>0</v>
      </c>
      <c r="I52" s="1"/>
      <c r="J52" s="5">
        <f t="shared" si="39"/>
        <v>0</v>
      </c>
      <c r="K52" s="1"/>
      <c r="L52" s="1">
        <f t="shared" si="40"/>
        <v>0</v>
      </c>
      <c r="M52" s="1"/>
      <c r="N52" s="5">
        <f t="shared" si="41"/>
        <v>0</v>
      </c>
      <c r="O52" s="13"/>
      <c r="P52" s="1">
        <f>SUM(OSRRefP22_8x_0)</f>
        <v>0</v>
      </c>
      <c r="Q52" s="1"/>
      <c r="R52" s="5">
        <f t="shared" si="42"/>
        <v>0</v>
      </c>
      <c r="S52" s="1"/>
      <c r="T52" s="1">
        <f>SUM(OSRRefT22_8x_0)</f>
        <v>8.25</v>
      </c>
      <c r="U52" s="1"/>
      <c r="V52" s="5">
        <f t="shared" si="43"/>
        <v>8.2442718798978466E-6</v>
      </c>
      <c r="W52" s="1"/>
      <c r="X52" s="1">
        <f t="shared" si="44"/>
        <v>-8.25</v>
      </c>
      <c r="Y52" s="1"/>
      <c r="Z52" s="5">
        <f t="shared" si="45"/>
        <v>-1</v>
      </c>
    </row>
    <row r="53" spans="1:26" s="24" customFormat="1" hidden="1" outlineLevel="2" x14ac:dyDescent="0.25">
      <c r="A53" s="26"/>
      <c r="B53" s="11" t="str">
        <f>CONCATENATE("          ", "6277", " - ", "EMPLOYEE APPRECIATION")</f>
        <v xml:space="preserve">          6277 - EMPLOYEE APPRECIATION</v>
      </c>
      <c r="C53" s="11"/>
      <c r="D53" s="6"/>
      <c r="E53" s="2"/>
      <c r="F53" s="7">
        <f t="shared" si="38"/>
        <v>0</v>
      </c>
      <c r="G53" s="2"/>
      <c r="H53" s="6"/>
      <c r="I53" s="2"/>
      <c r="J53" s="7">
        <f t="shared" si="39"/>
        <v>0</v>
      </c>
      <c r="K53" s="2"/>
      <c r="L53" s="6">
        <f t="shared" si="40"/>
        <v>0</v>
      </c>
      <c r="M53" s="2"/>
      <c r="N53" s="7">
        <f t="shared" si="41"/>
        <v>0</v>
      </c>
      <c r="O53" s="11"/>
      <c r="P53" s="6"/>
      <c r="Q53" s="2"/>
      <c r="R53" s="7">
        <f t="shared" si="42"/>
        <v>0</v>
      </c>
      <c r="S53" s="2"/>
      <c r="T53" s="6">
        <v>8.25</v>
      </c>
      <c r="U53" s="2"/>
      <c r="V53" s="7">
        <f t="shared" si="43"/>
        <v>8.2442718798978466E-6</v>
      </c>
      <c r="W53" s="2"/>
      <c r="X53" s="6">
        <f t="shared" si="44"/>
        <v>-8.25</v>
      </c>
      <c r="Y53" s="2"/>
      <c r="Z53" s="7">
        <f t="shared" si="45"/>
        <v>-1</v>
      </c>
    </row>
    <row r="54" spans="1:26" s="25" customFormat="1" outlineLevel="1" collapsed="1" x14ac:dyDescent="0.25">
      <c r="A54" s="27"/>
      <c r="B54" s="13" t="str">
        <f>CONCATENATE("     ","Equipment Rental                                  ")</f>
        <v xml:space="preserve">     Equipment Rental                                  </v>
      </c>
      <c r="C54" s="13"/>
      <c r="D54" s="1">
        <f>SUM(OSRRefD22_9x_0)</f>
        <v>0</v>
      </c>
      <c r="E54" s="1"/>
      <c r="F54" s="5">
        <f t="shared" si="38"/>
        <v>0</v>
      </c>
      <c r="G54" s="1"/>
      <c r="H54" s="1">
        <f>SUM(OSRRefH22_9x_0)</f>
        <v>263.72000000000003</v>
      </c>
      <c r="I54" s="1"/>
      <c r="J54" s="5">
        <f t="shared" si="39"/>
        <v>1.7089199699662435E-3</v>
      </c>
      <c r="K54" s="1"/>
      <c r="L54" s="1">
        <f t="shared" si="40"/>
        <v>-263.72000000000003</v>
      </c>
      <c r="M54" s="1"/>
      <c r="N54" s="5">
        <f t="shared" si="41"/>
        <v>-1</v>
      </c>
      <c r="O54" s="13"/>
      <c r="P54" s="1">
        <f>SUM(OSRRefP22_9x_0)</f>
        <v>263.72000000000003</v>
      </c>
      <c r="Q54" s="1"/>
      <c r="R54" s="5">
        <f t="shared" si="42"/>
        <v>0</v>
      </c>
      <c r="S54" s="1"/>
      <c r="T54" s="1">
        <f>SUM(OSRRefT22_9x_0)</f>
        <v>5567.75</v>
      </c>
      <c r="U54" s="1"/>
      <c r="V54" s="5">
        <f t="shared" si="43"/>
        <v>5.5638842132486347E-3</v>
      </c>
      <c r="W54" s="1"/>
      <c r="X54" s="1">
        <f t="shared" si="44"/>
        <v>-5304.03</v>
      </c>
      <c r="Y54" s="1"/>
      <c r="Z54" s="5">
        <f t="shared" si="45"/>
        <v>-0.95263436756319875</v>
      </c>
    </row>
    <row r="55" spans="1:26" s="24" customFormat="1" hidden="1" outlineLevel="2" x14ac:dyDescent="0.25">
      <c r="A55" s="26"/>
      <c r="B55" s="11" t="str">
        <f>CONCATENATE("          ", "6351", " - ", "EQUIPMENT RENTAL")</f>
        <v xml:space="preserve">          6351 - EQUIPMENT RENTAL</v>
      </c>
      <c r="C55" s="11"/>
      <c r="D55" s="6"/>
      <c r="E55" s="2"/>
      <c r="F55" s="7">
        <f t="shared" si="38"/>
        <v>0</v>
      </c>
      <c r="G55" s="2"/>
      <c r="H55" s="6">
        <v>263.72000000000003</v>
      </c>
      <c r="I55" s="2"/>
      <c r="J55" s="7">
        <f t="shared" si="39"/>
        <v>1.7089199699662435E-3</v>
      </c>
      <c r="K55" s="2"/>
      <c r="L55" s="6">
        <f t="shared" si="40"/>
        <v>-263.72000000000003</v>
      </c>
      <c r="M55" s="2"/>
      <c r="N55" s="7">
        <f t="shared" si="41"/>
        <v>-1</v>
      </c>
      <c r="O55" s="11"/>
      <c r="P55" s="6">
        <v>263.72000000000003</v>
      </c>
      <c r="Q55" s="2"/>
      <c r="R55" s="7">
        <f t="shared" si="42"/>
        <v>0</v>
      </c>
      <c r="S55" s="2"/>
      <c r="T55" s="6">
        <v>5567.75</v>
      </c>
      <c r="U55" s="2"/>
      <c r="V55" s="7">
        <f t="shared" si="43"/>
        <v>5.5638842132486347E-3</v>
      </c>
      <c r="W55" s="2"/>
      <c r="X55" s="6">
        <f t="shared" si="44"/>
        <v>-5304.03</v>
      </c>
      <c r="Y55" s="2"/>
      <c r="Z55" s="7">
        <f t="shared" si="45"/>
        <v>-0.95263436756319875</v>
      </c>
    </row>
    <row r="56" spans="1:26" s="25" customFormat="1" outlineLevel="1" collapsed="1" x14ac:dyDescent="0.25">
      <c r="A56" s="27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SUM(OSRRefD22_10x_0)</f>
        <v>1685</v>
      </c>
      <c r="E56" s="1"/>
      <c r="F56" s="5">
        <f t="shared" si="38"/>
        <v>0</v>
      </c>
      <c r="G56" s="1"/>
      <c r="H56" s="1">
        <f>SUM(OSRRefH22_10x_0)</f>
        <v>2830.1</v>
      </c>
      <c r="I56" s="1"/>
      <c r="J56" s="5">
        <f t="shared" si="39"/>
        <v>1.8339202210683549E-2</v>
      </c>
      <c r="K56" s="1"/>
      <c r="L56" s="1">
        <f t="shared" si="40"/>
        <v>-1145.0999999999999</v>
      </c>
      <c r="M56" s="1"/>
      <c r="N56" s="5">
        <f t="shared" si="41"/>
        <v>-0.40461467792657502</v>
      </c>
      <c r="O56" s="13"/>
      <c r="P56" s="1">
        <f>SUM(OSRRefP22_10x_0)</f>
        <v>2969.55</v>
      </c>
      <c r="Q56" s="1"/>
      <c r="R56" s="5">
        <f t="shared" si="42"/>
        <v>0</v>
      </c>
      <c r="S56" s="1"/>
      <c r="T56" s="1">
        <f>SUM(OSRRefT22_10x_0)</f>
        <v>13389.58</v>
      </c>
      <c r="U56" s="1"/>
      <c r="V56" s="5">
        <f t="shared" si="43"/>
        <v>1.3380283379108194E-2</v>
      </c>
      <c r="W56" s="1"/>
      <c r="X56" s="1">
        <f t="shared" si="44"/>
        <v>-10420.029999999999</v>
      </c>
      <c r="Y56" s="1"/>
      <c r="Z56" s="5">
        <f t="shared" si="45"/>
        <v>-0.7782193317490167</v>
      </c>
    </row>
    <row r="57" spans="1:26" s="24" customFormat="1" hidden="1" outlineLevel="2" x14ac:dyDescent="0.25">
      <c r="A57" s="26"/>
      <c r="B57" s="11" t="str">
        <f>CONCATENATE("          ", "6269", " - ", "ENTERTAINMENT")</f>
        <v xml:space="preserve">          6269 - ENTERTAINMENT</v>
      </c>
      <c r="C57" s="11"/>
      <c r="D57" s="6"/>
      <c r="E57" s="2"/>
      <c r="F57" s="7">
        <f t="shared" si="38"/>
        <v>0</v>
      </c>
      <c r="G57" s="2"/>
      <c r="H57" s="6">
        <v>2700</v>
      </c>
      <c r="I57" s="2"/>
      <c r="J57" s="7">
        <f t="shared" si="39"/>
        <v>1.7496147121601916E-2</v>
      </c>
      <c r="K57" s="2"/>
      <c r="L57" s="6">
        <f t="shared" si="40"/>
        <v>-2700</v>
      </c>
      <c r="M57" s="2"/>
      <c r="N57" s="7">
        <f t="shared" si="41"/>
        <v>-1</v>
      </c>
      <c r="O57" s="11"/>
      <c r="P57" s="6"/>
      <c r="Q57" s="2"/>
      <c r="R57" s="7">
        <f t="shared" si="42"/>
        <v>0</v>
      </c>
      <c r="S57" s="2"/>
      <c r="T57" s="6">
        <v>10050</v>
      </c>
      <c r="U57" s="2"/>
      <c r="V57" s="7">
        <f t="shared" si="43"/>
        <v>1.0043022108239196E-2</v>
      </c>
      <c r="W57" s="2"/>
      <c r="X57" s="6">
        <f t="shared" si="44"/>
        <v>-10050</v>
      </c>
      <c r="Y57" s="2"/>
      <c r="Z57" s="7">
        <f t="shared" si="45"/>
        <v>-1</v>
      </c>
    </row>
    <row r="58" spans="1:26" s="24" customFormat="1" hidden="1" outlineLevel="2" x14ac:dyDescent="0.25">
      <c r="A58" s="26"/>
      <c r="B58" s="11" t="str">
        <f>CONCATENATE("          ", "6279", " - ", "GENERAL EXPENSE")</f>
        <v xml:space="preserve">          6279 - GENERAL EXPENSE</v>
      </c>
      <c r="C58" s="11"/>
      <c r="D58" s="6">
        <v>1685</v>
      </c>
      <c r="E58" s="2"/>
      <c r="F58" s="7">
        <f t="shared" si="38"/>
        <v>0</v>
      </c>
      <c r="G58" s="2"/>
      <c r="H58" s="6">
        <v>130.1</v>
      </c>
      <c r="I58" s="2"/>
      <c r="J58" s="7">
        <f t="shared" si="39"/>
        <v>8.4305508908163302E-4</v>
      </c>
      <c r="K58" s="2"/>
      <c r="L58" s="6">
        <f t="shared" si="40"/>
        <v>1554.9</v>
      </c>
      <c r="M58" s="2"/>
      <c r="N58" s="7">
        <f t="shared" si="41"/>
        <v>11.951575710991547</v>
      </c>
      <c r="O58" s="11"/>
      <c r="P58" s="6">
        <v>2969.55</v>
      </c>
      <c r="Q58" s="2"/>
      <c r="R58" s="7">
        <f t="shared" si="42"/>
        <v>0</v>
      </c>
      <c r="S58" s="2"/>
      <c r="T58" s="6">
        <v>3339.58</v>
      </c>
      <c r="U58" s="2"/>
      <c r="V58" s="7">
        <f t="shared" si="43"/>
        <v>3.3372612708690002E-3</v>
      </c>
      <c r="W58" s="2"/>
      <c r="X58" s="6">
        <f t="shared" si="44"/>
        <v>-370.02999999999975</v>
      </c>
      <c r="Y58" s="2"/>
      <c r="Z58" s="7">
        <f t="shared" si="45"/>
        <v>-0.11080135825463075</v>
      </c>
    </row>
    <row r="59" spans="1:26" s="25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0</v>
      </c>
      <c r="E59" s="1"/>
      <c r="F59" s="5">
        <f t="shared" ref="F59:F62" si="46">IF(D$12=0,0,D59/D$12)</f>
        <v>0</v>
      </c>
      <c r="G59" s="1"/>
      <c r="H59" s="1">
        <f>SUM(OSRRefH22_11x_0)</f>
        <v>878.32</v>
      </c>
      <c r="I59" s="1"/>
      <c r="J59" s="5">
        <f t="shared" ref="J59:J62" si="47">IF(H$12=0,0,H59/H$12)</f>
        <v>5.691561459201998E-3</v>
      </c>
      <c r="K59" s="1"/>
      <c r="L59" s="1">
        <f t="shared" ref="L59:L62" si="48">+D59-H59</f>
        <v>-878.32</v>
      </c>
      <c r="M59" s="1"/>
      <c r="N59" s="5">
        <f t="shared" ref="N59:N62" si="49">IF(H59=0,0,L59/H59)</f>
        <v>-1</v>
      </c>
      <c r="O59" s="13"/>
      <c r="P59" s="1">
        <f>SUM(OSRRefP22_11x_0)</f>
        <v>476.33</v>
      </c>
      <c r="Q59" s="1"/>
      <c r="R59" s="5">
        <f t="shared" ref="R59:R62" si="50">IF(P$12=0,0,P59/P$12)</f>
        <v>0</v>
      </c>
      <c r="S59" s="1"/>
      <c r="T59" s="1">
        <f>SUM(OSRRefT22_11x_0)</f>
        <v>17658.11</v>
      </c>
      <c r="U59" s="1"/>
      <c r="V59" s="5">
        <f t="shared" ref="V59:V62" si="51">IF(T$12=0,0,T59/T$12)</f>
        <v>1.7645849663653693E-2</v>
      </c>
      <c r="W59" s="1"/>
      <c r="X59" s="1">
        <f t="shared" ref="X59:X62" si="52">+P59-T59</f>
        <v>-17181.78</v>
      </c>
      <c r="Y59" s="1"/>
      <c r="Z59" s="5">
        <f t="shared" ref="Z59:Z62" si="53">IF(T59=0,0,X59/T59)</f>
        <v>-0.97302485939888239</v>
      </c>
    </row>
    <row r="60" spans="1:26" s="24" customFormat="1" hidden="1" outlineLevel="2" x14ac:dyDescent="0.25">
      <c r="A60" s="26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46"/>
        <v>0</v>
      </c>
      <c r="G60" s="2"/>
      <c r="H60" s="6"/>
      <c r="I60" s="2"/>
      <c r="J60" s="7">
        <f t="shared" si="47"/>
        <v>0</v>
      </c>
      <c r="K60" s="2"/>
      <c r="L60" s="6">
        <f t="shared" si="48"/>
        <v>0</v>
      </c>
      <c r="M60" s="2"/>
      <c r="N60" s="7">
        <f t="shared" si="49"/>
        <v>0</v>
      </c>
      <c r="O60" s="11"/>
      <c r="P60" s="6"/>
      <c r="Q60" s="2"/>
      <c r="R60" s="7">
        <f t="shared" si="50"/>
        <v>0</v>
      </c>
      <c r="S60" s="2"/>
      <c r="T60" s="6">
        <v>2623.85</v>
      </c>
      <c r="U60" s="2"/>
      <c r="V60" s="7">
        <f t="shared" si="51"/>
        <v>2.6220282147963593E-3</v>
      </c>
      <c r="W60" s="2"/>
      <c r="X60" s="6">
        <f t="shared" si="52"/>
        <v>-2623.85</v>
      </c>
      <c r="Y60" s="2"/>
      <c r="Z60" s="7">
        <f t="shared" si="53"/>
        <v>-1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46"/>
        <v>0</v>
      </c>
      <c r="G61" s="2"/>
      <c r="H61" s="6"/>
      <c r="I61" s="2"/>
      <c r="J61" s="7">
        <f t="shared" si="47"/>
        <v>0</v>
      </c>
      <c r="K61" s="2"/>
      <c r="L61" s="6">
        <f t="shared" si="48"/>
        <v>0</v>
      </c>
      <c r="M61" s="2"/>
      <c r="N61" s="7">
        <f t="shared" si="49"/>
        <v>0</v>
      </c>
      <c r="O61" s="11"/>
      <c r="P61" s="6">
        <v>476.33</v>
      </c>
      <c r="Q61" s="2"/>
      <c r="R61" s="7">
        <f t="shared" si="50"/>
        <v>0</v>
      </c>
      <c r="S61" s="2"/>
      <c r="T61" s="6">
        <v>1245.08</v>
      </c>
      <c r="U61" s="2"/>
      <c r="V61" s="7">
        <f t="shared" si="51"/>
        <v>1.2442155190573588E-3</v>
      </c>
      <c r="W61" s="2"/>
      <c r="X61" s="6">
        <f t="shared" si="52"/>
        <v>-768.75</v>
      </c>
      <c r="Y61" s="2"/>
      <c r="Z61" s="7">
        <f t="shared" si="53"/>
        <v>-0.61743020528801362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46"/>
        <v>0</v>
      </c>
      <c r="G62" s="2"/>
      <c r="H62" s="6">
        <v>878.32</v>
      </c>
      <c r="I62" s="2"/>
      <c r="J62" s="7">
        <f t="shared" si="47"/>
        <v>5.691561459201998E-3</v>
      </c>
      <c r="K62" s="2"/>
      <c r="L62" s="6">
        <f t="shared" si="48"/>
        <v>-878.32</v>
      </c>
      <c r="M62" s="2"/>
      <c r="N62" s="7">
        <f t="shared" si="49"/>
        <v>-1</v>
      </c>
      <c r="O62" s="11"/>
      <c r="P62" s="6"/>
      <c r="Q62" s="2"/>
      <c r="R62" s="7">
        <f t="shared" si="50"/>
        <v>0</v>
      </c>
      <c r="S62" s="2"/>
      <c r="T62" s="6">
        <v>13789.18</v>
      </c>
      <c r="U62" s="2"/>
      <c r="V62" s="7">
        <f t="shared" si="51"/>
        <v>1.3779605929799975E-2</v>
      </c>
      <c r="W62" s="2"/>
      <c r="X62" s="6">
        <f t="shared" si="52"/>
        <v>-13789.18</v>
      </c>
      <c r="Y62" s="2"/>
      <c r="Z62" s="7">
        <f t="shared" si="53"/>
        <v>-1</v>
      </c>
    </row>
    <row r="63" spans="1:26" s="25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0</v>
      </c>
      <c r="E63" s="1"/>
      <c r="F63" s="5">
        <f t="shared" ref="F63:F66" si="54">IF(D$12=0,0,D63/D$12)</f>
        <v>0</v>
      </c>
      <c r="G63" s="1"/>
      <c r="H63" s="1">
        <f>SUM(OSRRefH22_12x_0)</f>
        <v>553.35</v>
      </c>
      <c r="I63" s="1"/>
      <c r="J63" s="5">
        <f t="shared" ref="J63:J66" si="55">IF(H$12=0,0,H63/H$12)</f>
        <v>3.5857381517549708E-3</v>
      </c>
      <c r="K63" s="1"/>
      <c r="L63" s="1">
        <f t="shared" ref="L63:L66" si="56">+D63-H63</f>
        <v>-553.35</v>
      </c>
      <c r="M63" s="1"/>
      <c r="N63" s="5">
        <f t="shared" ref="N63:N66" si="57">IF(H63=0,0,L63/H63)</f>
        <v>-1</v>
      </c>
      <c r="O63" s="13"/>
      <c r="P63" s="1">
        <f>SUM(OSRRefP22_12x_0)</f>
        <v>0</v>
      </c>
      <c r="Q63" s="1"/>
      <c r="R63" s="5">
        <f t="shared" ref="R63:R66" si="58">IF(P$12=0,0,P63/P$12)</f>
        <v>0</v>
      </c>
      <c r="S63" s="1"/>
      <c r="T63" s="1">
        <f>SUM(OSRRefT22_12x_0)</f>
        <v>2988</v>
      </c>
      <c r="U63" s="1"/>
      <c r="V63" s="5">
        <f t="shared" ref="V63:V66" si="59">IF(T$12=0,0,T63/T$12)</f>
        <v>2.9859253790466382E-3</v>
      </c>
      <c r="W63" s="1"/>
      <c r="X63" s="1">
        <f t="shared" ref="X63:X66" si="60">+P63-T63</f>
        <v>-2988</v>
      </c>
      <c r="Y63" s="1"/>
      <c r="Z63" s="5">
        <f t="shared" ref="Z63:Z66" si="61">IF(T63=0,0,X63/T63)</f>
        <v>-1</v>
      </c>
    </row>
    <row r="64" spans="1:26" s="24" customFormat="1" hidden="1" outlineLevel="2" x14ac:dyDescent="0.25">
      <c r="A64" s="26"/>
      <c r="B64" s="11" t="str">
        <f>CONCATENATE("          ", "6283", " - ", "PLANT SERVICE")</f>
        <v xml:space="preserve">          6283 - PLANT SERVICE</v>
      </c>
      <c r="C64" s="11"/>
      <c r="D64" s="6"/>
      <c r="E64" s="2"/>
      <c r="F64" s="7">
        <f t="shared" si="54"/>
        <v>0</v>
      </c>
      <c r="G64" s="2"/>
      <c r="H64" s="6">
        <v>39.75</v>
      </c>
      <c r="I64" s="2"/>
      <c r="J64" s="7">
        <f t="shared" si="55"/>
        <v>2.5758216595691711E-4</v>
      </c>
      <c r="K64" s="2"/>
      <c r="L64" s="6">
        <f t="shared" si="56"/>
        <v>-39.75</v>
      </c>
      <c r="M64" s="2"/>
      <c r="N64" s="7">
        <f t="shared" si="57"/>
        <v>-1</v>
      </c>
      <c r="O64" s="11"/>
      <c r="P64" s="6"/>
      <c r="Q64" s="2"/>
      <c r="R64" s="7">
        <f t="shared" si="58"/>
        <v>0</v>
      </c>
      <c r="S64" s="2"/>
      <c r="T64" s="6">
        <v>198.75</v>
      </c>
      <c r="U64" s="2"/>
      <c r="V64" s="7">
        <f t="shared" si="59"/>
        <v>1.986120043793572E-4</v>
      </c>
      <c r="W64" s="2"/>
      <c r="X64" s="6">
        <f t="shared" si="60"/>
        <v>-198.75</v>
      </c>
      <c r="Y64" s="2"/>
      <c r="Z64" s="7">
        <f t="shared" si="61"/>
        <v>-1</v>
      </c>
    </row>
    <row r="65" spans="1:26" s="24" customFormat="1" hidden="1" outlineLevel="2" x14ac:dyDescent="0.25">
      <c r="A65" s="26"/>
      <c r="B65" s="11" t="str">
        <f>CONCATENATE("          ", "6285", " - ", "JANITORIAL SERVICES")</f>
        <v xml:space="preserve">          6285 - JANITORIAL SERVICES</v>
      </c>
      <c r="C65" s="11"/>
      <c r="D65" s="6"/>
      <c r="E65" s="2"/>
      <c r="F65" s="7">
        <f t="shared" si="54"/>
        <v>0</v>
      </c>
      <c r="G65" s="2"/>
      <c r="H65" s="6">
        <v>330</v>
      </c>
      <c r="I65" s="2"/>
      <c r="J65" s="7">
        <f t="shared" si="55"/>
        <v>2.1384179815291233E-3</v>
      </c>
      <c r="K65" s="2"/>
      <c r="L65" s="6">
        <f t="shared" si="56"/>
        <v>-330</v>
      </c>
      <c r="M65" s="2"/>
      <c r="N65" s="7">
        <f t="shared" si="57"/>
        <v>-1</v>
      </c>
      <c r="O65" s="11"/>
      <c r="P65" s="6"/>
      <c r="Q65" s="2"/>
      <c r="R65" s="7">
        <f t="shared" si="58"/>
        <v>0</v>
      </c>
      <c r="S65" s="2"/>
      <c r="T65" s="6">
        <v>1264</v>
      </c>
      <c r="U65" s="2"/>
      <c r="V65" s="7">
        <f t="shared" si="59"/>
        <v>1.2631223825685914E-3</v>
      </c>
      <c r="W65" s="2"/>
      <c r="X65" s="6">
        <f t="shared" si="60"/>
        <v>-1264</v>
      </c>
      <c r="Y65" s="2"/>
      <c r="Z65" s="7">
        <f t="shared" si="61"/>
        <v>-1</v>
      </c>
    </row>
    <row r="66" spans="1:26" s="24" customFormat="1" hidden="1" outlineLevel="2" x14ac:dyDescent="0.25">
      <c r="A66" s="26"/>
      <c r="B66" s="11" t="str">
        <f>CONCATENATE("          ", "6286", " - ", "LAUNDRY EXPENSE")</f>
        <v xml:space="preserve">          6286 - LAUNDRY EXPENSE</v>
      </c>
      <c r="C66" s="11"/>
      <c r="D66" s="6"/>
      <c r="E66" s="2"/>
      <c r="F66" s="7">
        <f t="shared" si="54"/>
        <v>0</v>
      </c>
      <c r="G66" s="2"/>
      <c r="H66" s="6">
        <v>183.6</v>
      </c>
      <c r="I66" s="2"/>
      <c r="J66" s="7">
        <f t="shared" si="55"/>
        <v>1.1897380042689303E-3</v>
      </c>
      <c r="K66" s="2"/>
      <c r="L66" s="6">
        <f t="shared" si="56"/>
        <v>-183.6</v>
      </c>
      <c r="M66" s="2"/>
      <c r="N66" s="7">
        <f t="shared" si="57"/>
        <v>-1</v>
      </c>
      <c r="O66" s="11"/>
      <c r="P66" s="6"/>
      <c r="Q66" s="2"/>
      <c r="R66" s="7">
        <f t="shared" si="58"/>
        <v>0</v>
      </c>
      <c r="S66" s="2"/>
      <c r="T66" s="6">
        <v>1525.25</v>
      </c>
      <c r="U66" s="2"/>
      <c r="V66" s="7">
        <f t="shared" si="59"/>
        <v>1.5241909920986898E-3</v>
      </c>
      <c r="W66" s="2"/>
      <c r="X66" s="6">
        <f t="shared" si="60"/>
        <v>-1525.25</v>
      </c>
      <c r="Y66" s="2"/>
      <c r="Z66" s="7">
        <f t="shared" si="61"/>
        <v>-1</v>
      </c>
    </row>
    <row r="67" spans="1:26" s="25" customFormat="1" outlineLevel="1" collapsed="1" x14ac:dyDescent="0.25">
      <c r="A67" s="27"/>
      <c r="B67" s="13" t="str">
        <f>CONCATENATE("     ","Subscriptions &amp; Dues                              ")</f>
        <v xml:space="preserve">     Subscriptions &amp; Dues                              </v>
      </c>
      <c r="C67" s="13"/>
      <c r="D67" s="1">
        <f>SUM(OSRRefD22_13x_0)</f>
        <v>0</v>
      </c>
      <c r="E67" s="1"/>
      <c r="F67" s="5">
        <f t="shared" ref="F67:F69" si="62">IF(D$12=0,0,D67/D$12)</f>
        <v>0</v>
      </c>
      <c r="G67" s="1"/>
      <c r="H67" s="1">
        <f>SUM(OSRRefH22_13x_0)</f>
        <v>202.47</v>
      </c>
      <c r="I67" s="1"/>
      <c r="J67" s="5">
        <f t="shared" ref="J67:J69" si="63">IF(H$12=0,0,H67/H$12)</f>
        <v>1.3120166324854592E-3</v>
      </c>
      <c r="K67" s="1"/>
      <c r="L67" s="1">
        <f t="shared" ref="L67:L69" si="64">+D67-H67</f>
        <v>-202.47</v>
      </c>
      <c r="M67" s="1"/>
      <c r="N67" s="5">
        <f t="shared" ref="N67:N69" si="65">IF(H67=0,0,L67/H67)</f>
        <v>-1</v>
      </c>
      <c r="O67" s="13"/>
      <c r="P67" s="1">
        <f>SUM(OSRRefP22_13x_0)</f>
        <v>0</v>
      </c>
      <c r="Q67" s="1"/>
      <c r="R67" s="5">
        <f t="shared" ref="R67:R69" si="66">IF(P$12=0,0,P67/P$12)</f>
        <v>0</v>
      </c>
      <c r="S67" s="1"/>
      <c r="T67" s="1">
        <f>SUM(OSRRefT22_13x_0)</f>
        <v>2557.44</v>
      </c>
      <c r="U67" s="1"/>
      <c r="V67" s="5">
        <f t="shared" ref="V67:V69" si="67">IF(T$12=0,0,T67/T$12)</f>
        <v>2.5556643244273878E-3</v>
      </c>
      <c r="W67" s="1"/>
      <c r="X67" s="1">
        <f t="shared" ref="X67:X69" si="68">+P67-T67</f>
        <v>-2557.44</v>
      </c>
      <c r="Y67" s="1"/>
      <c r="Z67" s="5">
        <f t="shared" ref="Z67:Z69" si="69">IF(T67=0,0,X67/T67)</f>
        <v>-1</v>
      </c>
    </row>
    <row r="68" spans="1:26" s="24" customFormat="1" hidden="1" outlineLevel="2" x14ac:dyDescent="0.25">
      <c r="A68" s="26"/>
      <c r="B68" s="11" t="str">
        <f>CONCATENATE("          ", "6258", " - ", "MEMBERSHIP DUES")</f>
        <v xml:space="preserve">          6258 - MEMBERSHIP DUES</v>
      </c>
      <c r="C68" s="11"/>
      <c r="D68" s="6"/>
      <c r="E68" s="2"/>
      <c r="F68" s="7">
        <f t="shared" si="62"/>
        <v>0</v>
      </c>
      <c r="G68" s="2"/>
      <c r="H68" s="6"/>
      <c r="I68" s="2"/>
      <c r="J68" s="7">
        <f t="shared" si="63"/>
        <v>0</v>
      </c>
      <c r="K68" s="2"/>
      <c r="L68" s="6">
        <f t="shared" si="64"/>
        <v>0</v>
      </c>
      <c r="M68" s="2"/>
      <c r="N68" s="7">
        <f t="shared" si="65"/>
        <v>0</v>
      </c>
      <c r="O68" s="11"/>
      <c r="P68" s="6"/>
      <c r="Q68" s="2"/>
      <c r="R68" s="7">
        <f t="shared" si="66"/>
        <v>0</v>
      </c>
      <c r="S68" s="2"/>
      <c r="T68" s="6">
        <v>978</v>
      </c>
      <c r="U68" s="2"/>
      <c r="V68" s="7">
        <f t="shared" si="67"/>
        <v>9.7732095739879918E-4</v>
      </c>
      <c r="W68" s="2"/>
      <c r="X68" s="6">
        <f t="shared" si="68"/>
        <v>-978</v>
      </c>
      <c r="Y68" s="2"/>
      <c r="Z68" s="7">
        <f t="shared" si="69"/>
        <v>-1</v>
      </c>
    </row>
    <row r="69" spans="1:26" s="24" customFormat="1" hidden="1" outlineLevel="2" x14ac:dyDescent="0.25">
      <c r="A69" s="26"/>
      <c r="B69" s="11" t="str">
        <f>CONCATENATE("          ", "6275", " - ", "SUBSCRIPTIONS")</f>
        <v xml:space="preserve">          6275 - SUBSCRIPTIONS</v>
      </c>
      <c r="C69" s="11"/>
      <c r="D69" s="6"/>
      <c r="E69" s="2"/>
      <c r="F69" s="7">
        <f t="shared" si="62"/>
        <v>0</v>
      </c>
      <c r="G69" s="2"/>
      <c r="H69" s="6">
        <v>202.47</v>
      </c>
      <c r="I69" s="2"/>
      <c r="J69" s="7">
        <f t="shared" si="63"/>
        <v>1.3120166324854592E-3</v>
      </c>
      <c r="K69" s="2"/>
      <c r="L69" s="6">
        <f t="shared" si="64"/>
        <v>-202.47</v>
      </c>
      <c r="M69" s="2"/>
      <c r="N69" s="7">
        <f t="shared" si="65"/>
        <v>-1</v>
      </c>
      <c r="O69" s="11"/>
      <c r="P69" s="6"/>
      <c r="Q69" s="2"/>
      <c r="R69" s="7">
        <f t="shared" si="66"/>
        <v>0</v>
      </c>
      <c r="S69" s="2"/>
      <c r="T69" s="6">
        <v>1579.44</v>
      </c>
      <c r="U69" s="2"/>
      <c r="V69" s="7">
        <f t="shared" si="67"/>
        <v>1.5783433670285886E-3</v>
      </c>
      <c r="W69" s="2"/>
      <c r="X69" s="6">
        <f t="shared" si="68"/>
        <v>-1579.44</v>
      </c>
      <c r="Y69" s="2"/>
      <c r="Z69" s="7">
        <f t="shared" si="69"/>
        <v>-1</v>
      </c>
    </row>
    <row r="70" spans="1:26" s="25" customFormat="1" outlineLevel="1" collapsed="1" x14ac:dyDescent="0.25">
      <c r="A70" s="27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SUM(OSRRefD22_14x_0)</f>
        <v>0</v>
      </c>
      <c r="E70" s="1"/>
      <c r="F70" s="5">
        <f t="shared" ref="F70:F77" si="70">IF(D$12=0,0,D70/D$12)</f>
        <v>0</v>
      </c>
      <c r="G70" s="1"/>
      <c r="H70" s="1">
        <f>SUM(OSRRefH22_14x_0)</f>
        <v>179.96</v>
      </c>
      <c r="I70" s="1"/>
      <c r="J70" s="5">
        <f t="shared" ref="J70:J77" si="71">IF(H$12=0,0,H70/H$12)</f>
        <v>1.1661506059272152E-3</v>
      </c>
      <c r="K70" s="1"/>
      <c r="L70" s="1">
        <f t="shared" ref="L70:L77" si="72">+D70-H70</f>
        <v>-179.96</v>
      </c>
      <c r="M70" s="1"/>
      <c r="N70" s="5">
        <f t="shared" ref="N70:N77" si="73">IF(H70=0,0,L70/H70)</f>
        <v>-1</v>
      </c>
      <c r="O70" s="13"/>
      <c r="P70" s="1">
        <f>SUM(OSRRefP22_14x_0)</f>
        <v>0</v>
      </c>
      <c r="Q70" s="1"/>
      <c r="R70" s="5">
        <f t="shared" ref="R70:R77" si="74">IF(P$12=0,0,P70/P$12)</f>
        <v>0</v>
      </c>
      <c r="S70" s="1"/>
      <c r="T70" s="1">
        <f>SUM(OSRRefT22_14x_0)</f>
        <v>8081.23</v>
      </c>
      <c r="U70" s="1"/>
      <c r="V70" s="5">
        <f t="shared" ref="V70:V77" si="75">IF(T$12=0,0,T70/T$12)</f>
        <v>8.0756190598771961E-3</v>
      </c>
      <c r="W70" s="1"/>
      <c r="X70" s="1">
        <f t="shared" ref="X70:X77" si="76">+P70-T70</f>
        <v>-8081.23</v>
      </c>
      <c r="Y70" s="1"/>
      <c r="Z70" s="5">
        <f t="shared" ref="Z70:Z77" si="77">IF(T70=0,0,X70/T70)</f>
        <v>-1</v>
      </c>
    </row>
    <row r="71" spans="1:26" s="24" customFormat="1" hidden="1" outlineLevel="2" x14ac:dyDescent="0.25">
      <c r="A71" s="26"/>
      <c r="B71" s="11" t="str">
        <f>CONCATENATE("          ", "6237", " - ", "JANITORIAL SUPPLIES")</f>
        <v xml:space="preserve">          6237 - JANITORIAL SUPPLIES</v>
      </c>
      <c r="C71" s="11"/>
      <c r="D71" s="6"/>
      <c r="E71" s="2"/>
      <c r="F71" s="7">
        <f t="shared" si="70"/>
        <v>0</v>
      </c>
      <c r="G71" s="2"/>
      <c r="H71" s="6"/>
      <c r="I71" s="2"/>
      <c r="J71" s="7">
        <f t="shared" si="71"/>
        <v>0</v>
      </c>
      <c r="K71" s="2"/>
      <c r="L71" s="6">
        <f t="shared" si="72"/>
        <v>0</v>
      </c>
      <c r="M71" s="2"/>
      <c r="N71" s="7">
        <f t="shared" si="73"/>
        <v>0</v>
      </c>
      <c r="O71" s="11"/>
      <c r="P71" s="6"/>
      <c r="Q71" s="2"/>
      <c r="R71" s="7">
        <f t="shared" si="74"/>
        <v>0</v>
      </c>
      <c r="S71" s="2"/>
      <c r="T71" s="6">
        <v>17.62</v>
      </c>
      <c r="U71" s="2"/>
      <c r="V71" s="7">
        <f t="shared" si="75"/>
        <v>1.7607766124096979E-5</v>
      </c>
      <c r="W71" s="2"/>
      <c r="X71" s="6">
        <f t="shared" si="76"/>
        <v>-17.62</v>
      </c>
      <c r="Y71" s="2"/>
      <c r="Z71" s="7">
        <f t="shared" si="77"/>
        <v>-1</v>
      </c>
    </row>
    <row r="72" spans="1:26" s="24" customFormat="1" hidden="1" outlineLevel="2" x14ac:dyDescent="0.25">
      <c r="A72" s="26"/>
      <c r="B72" s="11" t="str">
        <f>CONCATENATE("          ", "6239", " - ", "KITCHEN SUPPLIES")</f>
        <v xml:space="preserve">          6239 - KITCHEN SUPPLIES</v>
      </c>
      <c r="C72" s="11"/>
      <c r="D72" s="6"/>
      <c r="E72" s="2"/>
      <c r="F72" s="7">
        <f t="shared" si="70"/>
        <v>0</v>
      </c>
      <c r="G72" s="2"/>
      <c r="H72" s="6"/>
      <c r="I72" s="2"/>
      <c r="J72" s="7">
        <f t="shared" si="71"/>
        <v>0</v>
      </c>
      <c r="K72" s="2"/>
      <c r="L72" s="6">
        <f t="shared" si="72"/>
        <v>0</v>
      </c>
      <c r="M72" s="2"/>
      <c r="N72" s="7">
        <f t="shared" si="73"/>
        <v>0</v>
      </c>
      <c r="O72" s="11"/>
      <c r="P72" s="6"/>
      <c r="Q72" s="2"/>
      <c r="R72" s="7">
        <f t="shared" si="74"/>
        <v>0</v>
      </c>
      <c r="S72" s="2"/>
      <c r="T72" s="6">
        <v>788.08</v>
      </c>
      <c r="U72" s="2"/>
      <c r="V72" s="7">
        <f t="shared" si="75"/>
        <v>7.8753282219513887E-4</v>
      </c>
      <c r="W72" s="2"/>
      <c r="X72" s="6">
        <f t="shared" si="76"/>
        <v>-788.08</v>
      </c>
      <c r="Y72" s="2"/>
      <c r="Z72" s="7">
        <f t="shared" si="77"/>
        <v>-1</v>
      </c>
    </row>
    <row r="73" spans="1:26" s="24" customFormat="1" hidden="1" outlineLevel="2" x14ac:dyDescent="0.25">
      <c r="A73" s="26"/>
      <c r="B73" s="11" t="str">
        <f>CONCATENATE("          ", "6241", " - ", "OFFICE EXPENSE")</f>
        <v xml:space="preserve">          6241 - OFFICE EXPENSE</v>
      </c>
      <c r="C73" s="11"/>
      <c r="D73" s="6"/>
      <c r="E73" s="2"/>
      <c r="F73" s="7">
        <f t="shared" si="70"/>
        <v>0</v>
      </c>
      <c r="G73" s="2"/>
      <c r="H73" s="6">
        <v>12.68</v>
      </c>
      <c r="I73" s="2"/>
      <c r="J73" s="7">
        <f t="shared" si="71"/>
        <v>8.2167090926634184E-5</v>
      </c>
      <c r="K73" s="2"/>
      <c r="L73" s="6">
        <f t="shared" si="72"/>
        <v>-12.68</v>
      </c>
      <c r="M73" s="2"/>
      <c r="N73" s="7">
        <f t="shared" si="73"/>
        <v>-1</v>
      </c>
      <c r="O73" s="11"/>
      <c r="P73" s="6"/>
      <c r="Q73" s="2"/>
      <c r="R73" s="7">
        <f t="shared" si="74"/>
        <v>0</v>
      </c>
      <c r="S73" s="2"/>
      <c r="T73" s="6">
        <v>1644.82</v>
      </c>
      <c r="U73" s="2"/>
      <c r="V73" s="7">
        <f t="shared" si="75"/>
        <v>1.6436779725446757E-3</v>
      </c>
      <c r="W73" s="2"/>
      <c r="X73" s="6">
        <f t="shared" si="76"/>
        <v>-1644.82</v>
      </c>
      <c r="Y73" s="2"/>
      <c r="Z73" s="7">
        <f t="shared" si="77"/>
        <v>-1</v>
      </c>
    </row>
    <row r="74" spans="1:26" s="24" customFormat="1" hidden="1" outlineLevel="2" x14ac:dyDescent="0.25">
      <c r="A74" s="26"/>
      <c r="B74" s="11" t="str">
        <f>CONCATENATE("          ", "6243", " - ", "PAPER SUPPLIES")</f>
        <v xml:space="preserve">          6243 - PAPER SUPPLIES</v>
      </c>
      <c r="C74" s="11"/>
      <c r="D74" s="6"/>
      <c r="E74" s="2"/>
      <c r="F74" s="7">
        <f t="shared" si="70"/>
        <v>0</v>
      </c>
      <c r="G74" s="2"/>
      <c r="H74" s="6">
        <v>107.28</v>
      </c>
      <c r="I74" s="2"/>
      <c r="J74" s="7">
        <f t="shared" si="71"/>
        <v>6.9518024563164946E-4</v>
      </c>
      <c r="K74" s="2"/>
      <c r="L74" s="6">
        <f t="shared" si="72"/>
        <v>-107.28</v>
      </c>
      <c r="M74" s="2"/>
      <c r="N74" s="7">
        <f t="shared" si="73"/>
        <v>-1</v>
      </c>
      <c r="O74" s="11"/>
      <c r="P74" s="6"/>
      <c r="Q74" s="2"/>
      <c r="R74" s="7">
        <f t="shared" si="74"/>
        <v>0</v>
      </c>
      <c r="S74" s="2"/>
      <c r="T74" s="6">
        <v>3383.81</v>
      </c>
      <c r="U74" s="2"/>
      <c r="V74" s="7">
        <f t="shared" si="75"/>
        <v>3.3814605612020768E-3</v>
      </c>
      <c r="W74" s="2"/>
      <c r="X74" s="6">
        <f t="shared" si="76"/>
        <v>-3383.81</v>
      </c>
      <c r="Y74" s="2"/>
      <c r="Z74" s="7">
        <f t="shared" si="77"/>
        <v>-1</v>
      </c>
    </row>
    <row r="75" spans="1:26" s="24" customFormat="1" hidden="1" outlineLevel="2" x14ac:dyDescent="0.25">
      <c r="A75" s="26"/>
      <c r="B75" s="11" t="str">
        <f>CONCATENATE("          ", "6245", " - ", "PRINTING")</f>
        <v xml:space="preserve">          6245 - PRINTING</v>
      </c>
      <c r="C75" s="11"/>
      <c r="D75" s="6"/>
      <c r="E75" s="2"/>
      <c r="F75" s="7">
        <f t="shared" si="70"/>
        <v>0</v>
      </c>
      <c r="G75" s="2"/>
      <c r="H75" s="6"/>
      <c r="I75" s="2"/>
      <c r="J75" s="7">
        <f t="shared" si="71"/>
        <v>0</v>
      </c>
      <c r="K75" s="2"/>
      <c r="L75" s="6">
        <f t="shared" si="72"/>
        <v>0</v>
      </c>
      <c r="M75" s="2"/>
      <c r="N75" s="7">
        <f t="shared" si="73"/>
        <v>0</v>
      </c>
      <c r="O75" s="11"/>
      <c r="P75" s="6"/>
      <c r="Q75" s="2"/>
      <c r="R75" s="7">
        <f t="shared" si="74"/>
        <v>0</v>
      </c>
      <c r="S75" s="2"/>
      <c r="T75" s="6">
        <v>22.05</v>
      </c>
      <c r="U75" s="2"/>
      <c r="V75" s="7">
        <f t="shared" si="75"/>
        <v>2.2034690297181517E-5</v>
      </c>
      <c r="W75" s="2"/>
      <c r="X75" s="6">
        <f t="shared" si="76"/>
        <v>-22.05</v>
      </c>
      <c r="Y75" s="2"/>
      <c r="Z75" s="7">
        <f t="shared" si="77"/>
        <v>-1</v>
      </c>
    </row>
    <row r="76" spans="1:26" s="24" customFormat="1" hidden="1" outlineLevel="2" x14ac:dyDescent="0.25">
      <c r="A76" s="26"/>
      <c r="B76" s="11" t="str">
        <f>CONCATENATE("          ", "6247", " - ", "STORE SUPPLIES")</f>
        <v xml:space="preserve">          6247 - STORE SUPPLIES</v>
      </c>
      <c r="C76" s="11"/>
      <c r="D76" s="6"/>
      <c r="E76" s="2"/>
      <c r="F76" s="7">
        <f t="shared" si="70"/>
        <v>0</v>
      </c>
      <c r="G76" s="2"/>
      <c r="H76" s="6">
        <v>60</v>
      </c>
      <c r="I76" s="2"/>
      <c r="J76" s="7">
        <f t="shared" si="71"/>
        <v>3.8880326936893147E-4</v>
      </c>
      <c r="K76" s="2"/>
      <c r="L76" s="6">
        <f t="shared" si="72"/>
        <v>-60</v>
      </c>
      <c r="M76" s="2"/>
      <c r="N76" s="7">
        <f t="shared" si="73"/>
        <v>-1</v>
      </c>
      <c r="O76" s="11"/>
      <c r="P76" s="6"/>
      <c r="Q76" s="2"/>
      <c r="R76" s="7">
        <f t="shared" si="74"/>
        <v>0</v>
      </c>
      <c r="S76" s="2"/>
      <c r="T76" s="6">
        <v>1444.61</v>
      </c>
      <c r="U76" s="2"/>
      <c r="V76" s="7">
        <f t="shared" si="75"/>
        <v>1.4436069818689972E-3</v>
      </c>
      <c r="W76" s="2"/>
      <c r="X76" s="6">
        <f t="shared" si="76"/>
        <v>-1444.61</v>
      </c>
      <c r="Y76" s="2"/>
      <c r="Z76" s="7">
        <f t="shared" si="77"/>
        <v>-1</v>
      </c>
    </row>
    <row r="77" spans="1:26" s="24" customFormat="1" hidden="1" outlineLevel="2" x14ac:dyDescent="0.25">
      <c r="A77" s="26"/>
      <c r="B77" s="11" t="str">
        <f>CONCATENATE("          ", "6248", " - ", "UNIFORMS")</f>
        <v xml:space="preserve">          6248 - UNIFORMS</v>
      </c>
      <c r="C77" s="11"/>
      <c r="D77" s="6"/>
      <c r="E77" s="2"/>
      <c r="F77" s="7">
        <f t="shared" si="70"/>
        <v>0</v>
      </c>
      <c r="G77" s="2"/>
      <c r="H77" s="6"/>
      <c r="I77" s="2"/>
      <c r="J77" s="7">
        <f t="shared" si="71"/>
        <v>0</v>
      </c>
      <c r="K77" s="2"/>
      <c r="L77" s="6">
        <f t="shared" si="72"/>
        <v>0</v>
      </c>
      <c r="M77" s="2"/>
      <c r="N77" s="7">
        <f t="shared" si="73"/>
        <v>0</v>
      </c>
      <c r="O77" s="11"/>
      <c r="P77" s="6"/>
      <c r="Q77" s="2"/>
      <c r="R77" s="7">
        <f t="shared" si="74"/>
        <v>0</v>
      </c>
      <c r="S77" s="2"/>
      <c r="T77" s="6">
        <v>780.24</v>
      </c>
      <c r="U77" s="2"/>
      <c r="V77" s="7">
        <f t="shared" si="75"/>
        <v>7.7969826564502985E-4</v>
      </c>
      <c r="W77" s="2"/>
      <c r="X77" s="6">
        <f t="shared" si="76"/>
        <v>-780.24</v>
      </c>
      <c r="Y77" s="2"/>
      <c r="Z77" s="7">
        <f t="shared" si="77"/>
        <v>-1</v>
      </c>
    </row>
    <row r="78" spans="1:26" s="25" customFormat="1" outlineLevel="1" collapsed="1" x14ac:dyDescent="0.25">
      <c r="A78" s="27"/>
      <c r="B78" s="13" t="str">
        <f>CONCATENATE("     ","Telephone/Data Lines                              ")</f>
        <v xml:space="preserve">     Telephone/Data Lines                              </v>
      </c>
      <c r="C78" s="13"/>
      <c r="D78" s="1">
        <f>SUM(OSRRefD22_15x_0)</f>
        <v>0</v>
      </c>
      <c r="E78" s="1"/>
      <c r="F78" s="5">
        <f t="shared" ref="F78:F81" si="78">IF(D$12=0,0,D78/D$12)</f>
        <v>0</v>
      </c>
      <c r="G78" s="1"/>
      <c r="H78" s="1">
        <f>SUM(OSRRefH22_15x_0)</f>
        <v>158.4</v>
      </c>
      <c r="I78" s="1"/>
      <c r="J78" s="5">
        <f t="shared" ref="J78:J81" si="79">IF(H$12=0,0,H78/H$12)</f>
        <v>1.0264406311339791E-3</v>
      </c>
      <c r="K78" s="1"/>
      <c r="L78" s="1">
        <f t="shared" ref="L78:L81" si="80">+D78-H78</f>
        <v>-158.4</v>
      </c>
      <c r="M78" s="1"/>
      <c r="N78" s="5">
        <f t="shared" ref="N78:N81" si="81">IF(H78=0,0,L78/H78)</f>
        <v>-1</v>
      </c>
      <c r="O78" s="13"/>
      <c r="P78" s="1">
        <f>SUM(OSRRefP22_15x_0)</f>
        <v>250.87</v>
      </c>
      <c r="Q78" s="1"/>
      <c r="R78" s="5">
        <f t="shared" ref="R78:R81" si="82">IF(P$12=0,0,P78/P$12)</f>
        <v>0</v>
      </c>
      <c r="S78" s="1"/>
      <c r="T78" s="1">
        <f>SUM(OSRRefT22_15x_0)</f>
        <v>1168.5999999999999</v>
      </c>
      <c r="U78" s="1"/>
      <c r="V78" s="5">
        <f t="shared" ref="V78:V81" si="83">IF(T$12=0,0,T78/T$12)</f>
        <v>1.1677886204664997E-3</v>
      </c>
      <c r="W78" s="1"/>
      <c r="X78" s="1">
        <f t="shared" ref="X78:X81" si="84">+P78-T78</f>
        <v>-917.7299999999999</v>
      </c>
      <c r="Y78" s="1"/>
      <c r="Z78" s="5">
        <f t="shared" ref="Z78:Z81" si="85">IF(T78=0,0,X78/T78)</f>
        <v>-0.7853243196987848</v>
      </c>
    </row>
    <row r="79" spans="1:26" s="24" customFormat="1" hidden="1" outlineLevel="2" x14ac:dyDescent="0.25">
      <c r="A79" s="26"/>
      <c r="B79" s="11" t="str">
        <f>CONCATENATE("          ", "6309", " - ", "TELEPHONE")</f>
        <v xml:space="preserve">          6309 - TELEPHONE</v>
      </c>
      <c r="C79" s="11"/>
      <c r="D79" s="6"/>
      <c r="E79" s="2"/>
      <c r="F79" s="7">
        <f t="shared" si="78"/>
        <v>0</v>
      </c>
      <c r="G79" s="2"/>
      <c r="H79" s="6">
        <v>158.4</v>
      </c>
      <c r="I79" s="2"/>
      <c r="J79" s="7">
        <f t="shared" si="79"/>
        <v>1.0264406311339791E-3</v>
      </c>
      <c r="K79" s="2"/>
      <c r="L79" s="6">
        <f t="shared" si="80"/>
        <v>-158.4</v>
      </c>
      <c r="M79" s="2"/>
      <c r="N79" s="7">
        <f t="shared" si="81"/>
        <v>-1</v>
      </c>
      <c r="O79" s="11"/>
      <c r="P79" s="6">
        <v>250.87</v>
      </c>
      <c r="Q79" s="2"/>
      <c r="R79" s="7">
        <f t="shared" si="82"/>
        <v>0</v>
      </c>
      <c r="S79" s="2"/>
      <c r="T79" s="6">
        <v>1168.5999999999999</v>
      </c>
      <c r="U79" s="2"/>
      <c r="V79" s="7">
        <f t="shared" si="83"/>
        <v>1.1677886204664997E-3</v>
      </c>
      <c r="W79" s="2"/>
      <c r="X79" s="6">
        <f t="shared" si="84"/>
        <v>-917.7299999999999</v>
      </c>
      <c r="Y79" s="2"/>
      <c r="Z79" s="7">
        <f t="shared" si="85"/>
        <v>-0.7853243196987848</v>
      </c>
    </row>
    <row r="80" spans="1:26" s="25" customFormat="1" outlineLevel="1" collapsed="1" x14ac:dyDescent="0.25">
      <c r="A80" s="27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SUM(OSRRefD22_16x_0)</f>
        <v>0</v>
      </c>
      <c r="E80" s="1"/>
      <c r="F80" s="5">
        <f t="shared" si="78"/>
        <v>0</v>
      </c>
      <c r="G80" s="1"/>
      <c r="H80" s="1">
        <f>SUM(OSRRefH22_16x_0)</f>
        <v>0</v>
      </c>
      <c r="I80" s="1"/>
      <c r="J80" s="5">
        <f t="shared" si="79"/>
        <v>0</v>
      </c>
      <c r="K80" s="1"/>
      <c r="L80" s="1">
        <f t="shared" si="80"/>
        <v>0</v>
      </c>
      <c r="M80" s="1"/>
      <c r="N80" s="5">
        <f t="shared" si="81"/>
        <v>0</v>
      </c>
      <c r="O80" s="13"/>
      <c r="P80" s="1">
        <f>SUM(OSRRefP22_16x_0)</f>
        <v>0</v>
      </c>
      <c r="Q80" s="1"/>
      <c r="R80" s="5">
        <f t="shared" si="82"/>
        <v>0</v>
      </c>
      <c r="S80" s="1"/>
      <c r="T80" s="1">
        <f>SUM(OSRRefT22_16x_0)</f>
        <v>279.95</v>
      </c>
      <c r="U80" s="1"/>
      <c r="V80" s="5">
        <f t="shared" si="83"/>
        <v>2.7975562579120024E-4</v>
      </c>
      <c r="W80" s="1"/>
      <c r="X80" s="1">
        <f t="shared" si="84"/>
        <v>-279.95</v>
      </c>
      <c r="Y80" s="1"/>
      <c r="Z80" s="5">
        <f t="shared" si="85"/>
        <v>-1</v>
      </c>
    </row>
    <row r="81" spans="1:26" s="24" customFormat="1" hidden="1" outlineLevel="2" x14ac:dyDescent="0.25">
      <c r="A81" s="26"/>
      <c r="B81" s="11" t="str">
        <f>CONCATENATE("          ", "6376", " - ", "TRAINING")</f>
        <v xml:space="preserve">          6376 - TRAINING</v>
      </c>
      <c r="C81" s="11"/>
      <c r="D81" s="6"/>
      <c r="E81" s="2"/>
      <c r="F81" s="7">
        <f t="shared" si="78"/>
        <v>0</v>
      </c>
      <c r="G81" s="2"/>
      <c r="H81" s="6"/>
      <c r="I81" s="2"/>
      <c r="J81" s="7">
        <f t="shared" si="79"/>
        <v>0</v>
      </c>
      <c r="K81" s="2"/>
      <c r="L81" s="6">
        <f t="shared" si="80"/>
        <v>0</v>
      </c>
      <c r="M81" s="2"/>
      <c r="N81" s="7">
        <f t="shared" si="81"/>
        <v>0</v>
      </c>
      <c r="O81" s="11"/>
      <c r="P81" s="6"/>
      <c r="Q81" s="2"/>
      <c r="R81" s="7">
        <f t="shared" si="82"/>
        <v>0</v>
      </c>
      <c r="S81" s="2"/>
      <c r="T81" s="6">
        <v>279.95</v>
      </c>
      <c r="U81" s="2"/>
      <c r="V81" s="7">
        <f t="shared" si="83"/>
        <v>2.7975562579120024E-4</v>
      </c>
      <c r="W81" s="2"/>
      <c r="X81" s="6">
        <f t="shared" si="84"/>
        <v>-279.95</v>
      </c>
      <c r="Y81" s="2"/>
      <c r="Z81" s="7">
        <f t="shared" si="85"/>
        <v>-1</v>
      </c>
    </row>
    <row r="82" spans="1:26" s="52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collapsed="1" x14ac:dyDescent="0.25">
      <c r="A83" s="10"/>
      <c r="B83" s="28" t="s">
        <v>0</v>
      </c>
      <c r="C83" s="10"/>
      <c r="D83" s="4">
        <f>SUM(OSRRefD25x_0)</f>
        <v>0</v>
      </c>
      <c r="E83" s="4"/>
      <c r="F83" s="12">
        <f t="shared" ref="F83:F84" si="86">IF(D$12=0,0,D83/D$12)</f>
        <v>0</v>
      </c>
      <c r="G83" s="4"/>
      <c r="H83" s="4">
        <f>SUM(OSRRefH25x_0)</f>
        <v>0</v>
      </c>
      <c r="I83" s="4"/>
      <c r="J83" s="12">
        <f t="shared" ref="J83:J84" si="87">IF(H$12=0,0,H83/H$12)</f>
        <v>0</v>
      </c>
      <c r="K83" s="4"/>
      <c r="L83" s="4">
        <f t="shared" ref="L83:L84" si="88">+D83-H83</f>
        <v>0</v>
      </c>
      <c r="M83" s="4"/>
      <c r="N83" s="12">
        <f t="shared" ref="N83:N84" si="89">IF(H83=0,0,L83/H83)</f>
        <v>0</v>
      </c>
      <c r="O83" s="10"/>
      <c r="P83" s="4">
        <f>SUM(OSRRefP25x_0)</f>
        <v>111.42</v>
      </c>
      <c r="Q83" s="4"/>
      <c r="R83" s="12">
        <f t="shared" ref="R83:R84" si="90">IF(P$12=0,0,P83/P$12)</f>
        <v>0</v>
      </c>
      <c r="S83" s="4"/>
      <c r="T83" s="4">
        <f>SUM(OSRRefT25x_0)</f>
        <v>0</v>
      </c>
      <c r="U83" s="4"/>
      <c r="V83" s="12">
        <f t="shared" ref="V83:V84" si="91">IF(T$12=0,0,T83/T$12)</f>
        <v>0</v>
      </c>
      <c r="W83" s="4"/>
      <c r="X83" s="4">
        <f t="shared" ref="X83:X84" si="92">+P83-T83</f>
        <v>111.42</v>
      </c>
      <c r="Y83" s="4"/>
      <c r="Z83" s="12">
        <f t="shared" ref="Z83:Z84" si="93">IF(T83=0,0,X83/T83)</f>
        <v>0</v>
      </c>
    </row>
    <row r="84" spans="1:26" s="24" customFormat="1" hidden="1" outlineLevel="1" x14ac:dyDescent="0.25">
      <c r="A84" s="44"/>
      <c r="B84" s="11" t="str">
        <f>CONCATENATE("          ", "9150", " - ", "MISC. INCOME")</f>
        <v xml:space="preserve">          9150 - MISC. INCOME</v>
      </c>
      <c r="C84" s="11"/>
      <c r="D84" s="2">
        <f>0</f>
        <v>0</v>
      </c>
      <c r="E84" s="2"/>
      <c r="F84" s="19">
        <f t="shared" si="86"/>
        <v>0</v>
      </c>
      <c r="G84" s="2"/>
      <c r="H84" s="2">
        <f>0</f>
        <v>0</v>
      </c>
      <c r="I84" s="2"/>
      <c r="J84" s="19">
        <f t="shared" si="87"/>
        <v>0</v>
      </c>
      <c r="K84" s="2"/>
      <c r="L84" s="2">
        <f t="shared" si="88"/>
        <v>0</v>
      </c>
      <c r="M84" s="2"/>
      <c r="N84" s="19">
        <f t="shared" si="89"/>
        <v>0</v>
      </c>
      <c r="O84" s="11"/>
      <c r="P84" s="2">
        <f>--111.42</f>
        <v>111.42</v>
      </c>
      <c r="Q84" s="2"/>
      <c r="R84" s="19">
        <f t="shared" si="90"/>
        <v>0</v>
      </c>
      <c r="S84" s="2"/>
      <c r="T84" s="2">
        <f>0</f>
        <v>0</v>
      </c>
      <c r="U84" s="2"/>
      <c r="V84" s="19">
        <f t="shared" si="91"/>
        <v>0</v>
      </c>
      <c r="W84" s="2"/>
      <c r="X84" s="2">
        <f t="shared" si="92"/>
        <v>111.42</v>
      </c>
      <c r="Y84" s="2"/>
      <c r="Z84" s="19">
        <f t="shared" si="93"/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9" t="s">
        <v>3</v>
      </c>
      <c r="C86" s="29"/>
      <c r="D86" s="22">
        <f>+D20-D22+D83</f>
        <v>-8430.17</v>
      </c>
      <c r="E86" s="14"/>
      <c r="F86" s="20">
        <f>IF(D$12=0,0,D86/D$12)</f>
        <v>0</v>
      </c>
      <c r="G86" s="14"/>
      <c r="H86" s="22">
        <f>+H20-H22+H83</f>
        <v>36266.640000000014</v>
      </c>
      <c r="I86" s="14"/>
      <c r="J86" s="20">
        <f>IF(H$12=0,0,H86/H$12)</f>
        <v>0.2350098033504345</v>
      </c>
      <c r="K86" s="16"/>
      <c r="L86" s="22">
        <f>+D86-H86</f>
        <v>-44696.810000000012</v>
      </c>
      <c r="M86" s="16"/>
      <c r="N86" s="20">
        <f>IF(H86=0,0,L86/H86)</f>
        <v>-1.2324497113600816</v>
      </c>
      <c r="O86" s="28"/>
      <c r="P86" s="22">
        <f>+P20-P22+P83</f>
        <v>-67345.570000000007</v>
      </c>
      <c r="Q86" s="14"/>
      <c r="R86" s="20">
        <f>IF(P$12=0,0,P86/P$12)</f>
        <v>0</v>
      </c>
      <c r="S86" s="14"/>
      <c r="T86" s="22">
        <f>+T20-T22+T83</f>
        <v>167739.48000000004</v>
      </c>
      <c r="U86" s="14"/>
      <c r="V86" s="20">
        <f>IF(T$12=0,0,T86/T$12)</f>
        <v>0.16762301552881062</v>
      </c>
      <c r="W86" s="16"/>
      <c r="X86" s="22">
        <f>+P86-T86</f>
        <v>-235085.05000000005</v>
      </c>
      <c r="Y86" s="16"/>
      <c r="Z86" s="20">
        <f>IF(T86=0,0,X86/T86)</f>
        <v>-1.4014890829517297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1"/>
      <c r="B88" s="10" t="s">
        <v>13</v>
      </c>
      <c r="C88" s="10"/>
      <c r="D88" s="4"/>
      <c r="E88" s="4"/>
      <c r="F88" s="12">
        <f>IF(D$12=0,0,D88/D$12)</f>
        <v>0</v>
      </c>
      <c r="G88" s="4"/>
      <c r="H88" s="4">
        <v>13725.65</v>
      </c>
      <c r="I88" s="4"/>
      <c r="J88" s="12">
        <f>IF(H$12=0,0,H88/H$12)</f>
        <v>8.8942959903561228E-2</v>
      </c>
      <c r="K88" s="4"/>
      <c r="L88" s="4">
        <f>+D88-H88</f>
        <v>-13725.65</v>
      </c>
      <c r="M88" s="4"/>
      <c r="N88" s="12">
        <f>IF(H88=0,0,L88/H88)</f>
        <v>-1</v>
      </c>
      <c r="O88" s="10"/>
      <c r="P88" s="4"/>
      <c r="Q88" s="4"/>
      <c r="R88" s="12">
        <f>IF(P$12=0,0,P88/P$12)</f>
        <v>0</v>
      </c>
      <c r="S88" s="4"/>
      <c r="T88" s="4">
        <v>101990.59</v>
      </c>
      <c r="U88" s="4"/>
      <c r="V88" s="12">
        <f>IF(T$12=0,0,T88/T$12)</f>
        <v>0.10191977613953825</v>
      </c>
      <c r="W88" s="4"/>
      <c r="X88" s="4">
        <f>+P88-T88</f>
        <v>-101990.59</v>
      </c>
      <c r="Y88" s="4"/>
      <c r="Z88" s="12">
        <f>IF(T88=0,0,X88/T88)</f>
        <v>-1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9" t="s">
        <v>4</v>
      </c>
      <c r="C90" s="29"/>
      <c r="D90" s="35">
        <f>+D86-D88</f>
        <v>-8430.17</v>
      </c>
      <c r="E90" s="14"/>
      <c r="F90" s="36">
        <f>IF(D$12=0,0,D90/D$12)</f>
        <v>0</v>
      </c>
      <c r="G90" s="14"/>
      <c r="H90" s="35">
        <f>+H86-H88</f>
        <v>22540.990000000013</v>
      </c>
      <c r="I90" s="14"/>
      <c r="J90" s="36">
        <f>IF(H$12=0,0,H90/H$12)</f>
        <v>0.14606684344687326</v>
      </c>
      <c r="K90" s="16"/>
      <c r="L90" s="35">
        <f>D90-H90</f>
        <v>-30971.160000000011</v>
      </c>
      <c r="M90" s="16"/>
      <c r="N90" s="36">
        <f>IF(H90=0,0,L90/H90)</f>
        <v>-1.3739928902856526</v>
      </c>
      <c r="O90" s="28"/>
      <c r="P90" s="35">
        <f>+P86-P88</f>
        <v>-67345.570000000007</v>
      </c>
      <c r="Q90" s="14"/>
      <c r="R90" s="36">
        <f>IF(P$12=0,0,P90/P$12)</f>
        <v>0</v>
      </c>
      <c r="S90" s="14"/>
      <c r="T90" s="35">
        <f>+T86-T88</f>
        <v>65748.890000000043</v>
      </c>
      <c r="U90" s="14"/>
      <c r="V90" s="36">
        <f>IF(T$12=0,0,T90/T$12)</f>
        <v>6.5703239389272375E-2</v>
      </c>
      <c r="W90" s="16"/>
      <c r="X90" s="35">
        <f>P90-T90</f>
        <v>-133094.46000000005</v>
      </c>
      <c r="Y90" s="16"/>
      <c r="Z90" s="36">
        <f>IF(T90=0,0,X90/T90)</f>
        <v>-2.0242845164382239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9" t="s">
        <v>5</v>
      </c>
      <c r="C93" s="29"/>
      <c r="D93" s="31">
        <f>SUM(D90:D92)</f>
        <v>-8430.17</v>
      </c>
      <c r="E93" s="14"/>
      <c r="F93" s="33">
        <f>IF(D$12=0,0,D93/D$12)</f>
        <v>0</v>
      </c>
      <c r="G93" s="14"/>
      <c r="H93" s="31">
        <f>SUM(H90:H92)</f>
        <v>22540.990000000013</v>
      </c>
      <c r="I93" s="14"/>
      <c r="J93" s="33">
        <f>IF(H$12=0,0,H93/H$12)</f>
        <v>0.14606684344687326</v>
      </c>
      <c r="K93" s="16"/>
      <c r="L93" s="31">
        <f>+D93-H93</f>
        <v>-30971.160000000011</v>
      </c>
      <c r="M93" s="16"/>
      <c r="N93" s="33">
        <f>IF(H93=0,0,L93/H93)</f>
        <v>-1.3739928902856526</v>
      </c>
      <c r="O93" s="28"/>
      <c r="P93" s="31">
        <f>SUM(P90:P92)</f>
        <v>-67345.570000000007</v>
      </c>
      <c r="Q93" s="14"/>
      <c r="R93" s="33">
        <f>IF(P$12=0,0,P93/P$12)</f>
        <v>0</v>
      </c>
      <c r="S93" s="14"/>
      <c r="T93" s="31">
        <f>SUM(T90:T92)</f>
        <v>65748.890000000043</v>
      </c>
      <c r="U93" s="14"/>
      <c r="V93" s="33">
        <f>IF(T$12=0,0,T93/T$12)</f>
        <v>6.5703239389272375E-2</v>
      </c>
      <c r="W93" s="16"/>
      <c r="X93" s="31">
        <f>+P93-T93</f>
        <v>-133094.46000000005</v>
      </c>
      <c r="Y93" s="16"/>
      <c r="Z93" s="33">
        <f>IF(T93=0,0,X93/T93)</f>
        <v>-2.0242845164382239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56">
        <v>44267.668609722219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4" t="s">
        <v>313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8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","420", " - ", "Catering")</f>
        <v>Department 420 - Catering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49980.95</v>
      </c>
      <c r="E12" s="4"/>
      <c r="F12" s="12"/>
      <c r="G12" s="4"/>
      <c r="H12" s="4">
        <f>SUM(OSRRefH13x_0)</f>
        <v>45434.89</v>
      </c>
      <c r="I12" s="4"/>
      <c r="J12" s="12"/>
      <c r="K12" s="4"/>
      <c r="L12" s="4">
        <f t="shared" ref="L12:L14" si="0">+D12-H12</f>
        <v>4546.0599999999977</v>
      </c>
      <c r="M12" s="4"/>
      <c r="N12" s="12">
        <f t="shared" ref="N12:N14" si="1">IF(H12=0,0,L12/H12)</f>
        <v>0.10005658646912093</v>
      </c>
      <c r="O12" s="10"/>
      <c r="P12" s="4">
        <f>SUM(OSRRefP13x_0)</f>
        <v>280157.8</v>
      </c>
      <c r="Q12" s="4"/>
      <c r="R12" s="12"/>
      <c r="S12" s="4"/>
      <c r="T12" s="4">
        <f>SUM(OSRRefT13x_0)</f>
        <v>181046.44999999998</v>
      </c>
      <c r="U12" s="4"/>
      <c r="V12" s="12"/>
      <c r="W12" s="4"/>
      <c r="X12" s="4">
        <f t="shared" ref="X12:X14" si="2">+P12-T12</f>
        <v>99111.35</v>
      </c>
      <c r="Y12" s="4"/>
      <c r="Z12" s="12">
        <f t="shared" ref="Z12:Z14" si="3">IF(T12=0,0,X12/T12)</f>
        <v>0.54743603091913717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--49980.95</f>
        <v>49980.95</v>
      </c>
      <c r="E13" s="2"/>
      <c r="F13" s="19"/>
      <c r="G13" s="2"/>
      <c r="H13" s="2">
        <f>--45089.6</f>
        <v>45089.599999999999</v>
      </c>
      <c r="I13" s="2"/>
      <c r="J13" s="19"/>
      <c r="K13" s="2"/>
      <c r="L13" s="2">
        <f t="shared" si="0"/>
        <v>4891.3499999999985</v>
      </c>
      <c r="M13" s="2"/>
      <c r="N13" s="19">
        <f t="shared" si="1"/>
        <v>0.10848066960008514</v>
      </c>
      <c r="O13" s="11"/>
      <c r="P13" s="2">
        <f>--280157.8</f>
        <v>280157.8</v>
      </c>
      <c r="Q13" s="2"/>
      <c r="R13" s="19"/>
      <c r="S13" s="2"/>
      <c r="T13" s="2">
        <f>--180327.65</f>
        <v>180327.65</v>
      </c>
      <c r="U13" s="2"/>
      <c r="V13" s="19"/>
      <c r="W13" s="2"/>
      <c r="X13" s="2">
        <f t="shared" si="2"/>
        <v>99830.15</v>
      </c>
      <c r="Y13" s="2"/>
      <c r="Z13" s="19">
        <f t="shared" si="3"/>
        <v>0.55360423096513489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>0</f>
        <v>0</v>
      </c>
      <c r="E14" s="2"/>
      <c r="F14" s="19"/>
      <c r="G14" s="2"/>
      <c r="H14" s="2">
        <f>--345.29</f>
        <v>345.29</v>
      </c>
      <c r="I14" s="2"/>
      <c r="J14" s="19"/>
      <c r="K14" s="2"/>
      <c r="L14" s="2">
        <f t="shared" si="0"/>
        <v>-345.29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--718.8</f>
        <v>718.8</v>
      </c>
      <c r="U14" s="2"/>
      <c r="V14" s="19"/>
      <c r="W14" s="2"/>
      <c r="X14" s="2">
        <f t="shared" si="2"/>
        <v>-718.8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0</v>
      </c>
      <c r="E16" s="4"/>
      <c r="F16" s="12">
        <f t="shared" ref="F16:F17" si="4">IF(D$12=0,0,D16/D$12)</f>
        <v>0</v>
      </c>
      <c r="G16" s="4"/>
      <c r="H16" s="4">
        <f>SUM(OSRRefH16x_0)</f>
        <v>30.73</v>
      </c>
      <c r="I16" s="4"/>
      <c r="J16" s="12">
        <f t="shared" ref="J16:J17" si="5">IF(H$12=0,0,H16/H$12)</f>
        <v>6.7635246833435715E-4</v>
      </c>
      <c r="K16" s="4"/>
      <c r="L16" s="4">
        <f t="shared" ref="L16:L17" si="6">+D16-H16</f>
        <v>-30.73</v>
      </c>
      <c r="M16" s="4"/>
      <c r="N16" s="12">
        <f t="shared" ref="N16:N17" si="7">IF(H16=0,0,L16/H16)</f>
        <v>-1</v>
      </c>
      <c r="O16" s="10"/>
      <c r="P16" s="4">
        <f>SUM(OSRRefP16x_0)</f>
        <v>0</v>
      </c>
      <c r="Q16" s="4"/>
      <c r="R16" s="12">
        <f t="shared" ref="R16:R17" si="8">IF(P$12=0,0,P16/P$12)</f>
        <v>0</v>
      </c>
      <c r="S16" s="4"/>
      <c r="T16" s="4">
        <f>SUM(OSRRefT16x_0)</f>
        <v>333.93</v>
      </c>
      <c r="U16" s="4"/>
      <c r="V16" s="12">
        <f t="shared" ref="V16:V17" si="9">IF(T$12=0,0,T16/T$12)</f>
        <v>1.8444437877682773E-3</v>
      </c>
      <c r="W16" s="4"/>
      <c r="X16" s="4">
        <f t="shared" ref="X16:X17" si="10">+P16-T16</f>
        <v>-333.93</v>
      </c>
      <c r="Y16" s="4"/>
      <c r="Z16" s="12">
        <f t="shared" ref="Z16:Z17" si="11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4"/>
        <v>0</v>
      </c>
      <c r="G17" s="2"/>
      <c r="H17" s="2">
        <v>30.73</v>
      </c>
      <c r="I17" s="2"/>
      <c r="J17" s="19">
        <f t="shared" si="5"/>
        <v>6.7635246833435715E-4</v>
      </c>
      <c r="K17" s="2"/>
      <c r="L17" s="2">
        <f t="shared" si="6"/>
        <v>-30.73</v>
      </c>
      <c r="M17" s="2"/>
      <c r="N17" s="19">
        <f t="shared" si="7"/>
        <v>-1</v>
      </c>
      <c r="O17" s="11"/>
      <c r="P17" s="2"/>
      <c r="Q17" s="2"/>
      <c r="R17" s="19">
        <f t="shared" si="8"/>
        <v>0</v>
      </c>
      <c r="S17" s="2"/>
      <c r="T17" s="2">
        <v>333.93</v>
      </c>
      <c r="U17" s="2"/>
      <c r="V17" s="19">
        <f t="shared" si="9"/>
        <v>1.8444437877682773E-3</v>
      </c>
      <c r="W17" s="2"/>
      <c r="X17" s="2">
        <f t="shared" si="10"/>
        <v>-333.93</v>
      </c>
      <c r="Y17" s="2"/>
      <c r="Z17" s="19">
        <f t="shared" si="11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9" t="s">
        <v>6</v>
      </c>
      <c r="C19" s="29"/>
      <c r="D19" s="22">
        <f>D12-D16</f>
        <v>49980.95</v>
      </c>
      <c r="E19" s="14"/>
      <c r="F19" s="20">
        <f>IF(D$12=0,0,D19/D$12)</f>
        <v>1</v>
      </c>
      <c r="G19" s="14"/>
      <c r="H19" s="22">
        <f>H12-H16</f>
        <v>45404.159999999996</v>
      </c>
      <c r="I19" s="14"/>
      <c r="J19" s="20">
        <f>IF(H$12=0,0,H19/H$12)</f>
        <v>0.99932364753166558</v>
      </c>
      <c r="K19" s="16"/>
      <c r="L19" s="22">
        <f>+D19-H19</f>
        <v>4576.7900000000009</v>
      </c>
      <c r="M19" s="16"/>
      <c r="N19" s="20">
        <f>IF(H19=0,0,L19/H19)</f>
        <v>0.10080111602108709</v>
      </c>
      <c r="O19" s="28"/>
      <c r="P19" s="22">
        <f>P12-P16</f>
        <v>280157.8</v>
      </c>
      <c r="Q19" s="14"/>
      <c r="R19" s="20">
        <f>IF(P$12=0,0,P19/P$12)</f>
        <v>1</v>
      </c>
      <c r="S19" s="14"/>
      <c r="T19" s="22">
        <f>T12-T16</f>
        <v>180712.52</v>
      </c>
      <c r="U19" s="14"/>
      <c r="V19" s="20">
        <f>IF(T$12=0,0,T19/T$12)</f>
        <v>0.99815555621223173</v>
      </c>
      <c r="W19" s="16"/>
      <c r="X19" s="22">
        <f>+P19-T19</f>
        <v>99445.28</v>
      </c>
      <c r="Y19" s="16"/>
      <c r="Z19" s="20">
        <f>IF(T19=0,0,X19/T19)</f>
        <v>0.55029546375646798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8" t="s">
        <v>9</v>
      </c>
      <c r="C21" s="10"/>
      <c r="D21" s="21">
        <f>SUM(OSRRefD22x_0)</f>
        <v>0</v>
      </c>
      <c r="E21" s="21"/>
      <c r="F21" s="32">
        <f t="shared" ref="F21:F30" si="12">IF(D$12=0,0,D21/D$12)</f>
        <v>0</v>
      </c>
      <c r="G21" s="21"/>
      <c r="H21" s="21">
        <f>SUM(OSRRefH22x_0)</f>
        <v>31764.1</v>
      </c>
      <c r="I21" s="21"/>
      <c r="J21" s="32">
        <f t="shared" ref="J21:J30" si="13">IF(H$12=0,0,H21/H$12)</f>
        <v>0.69911251023167431</v>
      </c>
      <c r="K21" s="4"/>
      <c r="L21" s="21">
        <f t="shared" ref="L21:L30" si="14">+D21-H21</f>
        <v>-31764.1</v>
      </c>
      <c r="M21" s="4"/>
      <c r="N21" s="32">
        <f t="shared" ref="N21:N30" si="15">IF(H21=0,0,L21/H21)</f>
        <v>-1</v>
      </c>
      <c r="O21" s="10"/>
      <c r="P21" s="21">
        <f>SUM(OSRRefP22x_0)</f>
        <v>7.86</v>
      </c>
      <c r="Q21" s="21"/>
      <c r="R21" s="32">
        <f t="shared" ref="R21:R30" si="16">IF(P$12=0,0,P21/P$12)</f>
        <v>2.8055617227148415E-5</v>
      </c>
      <c r="S21" s="21"/>
      <c r="T21" s="21">
        <f>SUM(OSRRefT22x_0)</f>
        <v>183304.52</v>
      </c>
      <c r="U21" s="21"/>
      <c r="V21" s="32">
        <f t="shared" ref="V21:V30" si="17">IF(T$12=0,0,T21/T$12)</f>
        <v>1.0124723240914142</v>
      </c>
      <c r="W21" s="4"/>
      <c r="X21" s="21">
        <f t="shared" ref="X21:X30" si="18">+P21-T21</f>
        <v>-183296.66</v>
      </c>
      <c r="Y21" s="4"/>
      <c r="Z21" s="32">
        <f t="shared" ref="Z21:Z30" si="19">IF(T21=0,0,X21/T21)</f>
        <v>-0.9999571205336345</v>
      </c>
    </row>
    <row r="22" spans="1:26" s="25" customFormat="1" outlineLevel="1" collapsed="1" x14ac:dyDescent="0.25">
      <c r="A22" s="27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0</v>
      </c>
      <c r="E22" s="1"/>
      <c r="F22" s="5">
        <f t="shared" si="12"/>
        <v>0</v>
      </c>
      <c r="G22" s="1"/>
      <c r="H22" s="1">
        <f>SUM(OSRRefH22_0x_0)</f>
        <v>12882.289999999999</v>
      </c>
      <c r="I22" s="1"/>
      <c r="J22" s="5">
        <f t="shared" si="13"/>
        <v>0.2835329853335179</v>
      </c>
      <c r="K22" s="1"/>
      <c r="L22" s="1">
        <f t="shared" si="14"/>
        <v>-12882.289999999999</v>
      </c>
      <c r="M22" s="1"/>
      <c r="N22" s="5">
        <f t="shared" si="15"/>
        <v>-1</v>
      </c>
      <c r="O22" s="13"/>
      <c r="P22" s="1">
        <f>SUM(OSRRefP22_0x_0)</f>
        <v>7.86</v>
      </c>
      <c r="Q22" s="1"/>
      <c r="R22" s="5">
        <f t="shared" si="16"/>
        <v>2.8055617227148415E-5</v>
      </c>
      <c r="S22" s="1"/>
      <c r="T22" s="1">
        <f>SUM(OSRRefT22_0x_0)</f>
        <v>48175.75</v>
      </c>
      <c r="U22" s="1"/>
      <c r="V22" s="5">
        <f t="shared" si="17"/>
        <v>0.26609607644888927</v>
      </c>
      <c r="W22" s="1"/>
      <c r="X22" s="1">
        <f t="shared" si="18"/>
        <v>-48167.89</v>
      </c>
      <c r="Y22" s="1"/>
      <c r="Z22" s="5">
        <f t="shared" si="19"/>
        <v>-0.99983684737653278</v>
      </c>
    </row>
    <row r="23" spans="1:26" s="24" customFormat="1" hidden="1" outlineLevel="2" x14ac:dyDescent="0.25">
      <c r="A23" s="26"/>
      <c r="B23" s="11" t="str">
        <f>CONCATENATE("          ", "6111", " - ", "F.I.C.A.")</f>
        <v xml:space="preserve">          6111 - F.I.C.A.</v>
      </c>
      <c r="C23" s="11"/>
      <c r="D23" s="6"/>
      <c r="E23" s="2"/>
      <c r="F23" s="7">
        <f t="shared" si="12"/>
        <v>0</v>
      </c>
      <c r="G23" s="2"/>
      <c r="H23" s="6">
        <v>1631.44</v>
      </c>
      <c r="I23" s="2"/>
      <c r="J23" s="7">
        <f t="shared" si="13"/>
        <v>3.5907206994448541E-2</v>
      </c>
      <c r="K23" s="2"/>
      <c r="L23" s="6">
        <f t="shared" si="14"/>
        <v>-1631.44</v>
      </c>
      <c r="M23" s="2"/>
      <c r="N23" s="7">
        <f t="shared" si="15"/>
        <v>-1</v>
      </c>
      <c r="O23" s="11"/>
      <c r="P23" s="6">
        <v>7.86</v>
      </c>
      <c r="Q23" s="2"/>
      <c r="R23" s="7">
        <f t="shared" si="16"/>
        <v>2.8055617227148415E-5</v>
      </c>
      <c r="S23" s="2"/>
      <c r="T23" s="6">
        <v>9876.9699999999993</v>
      </c>
      <c r="U23" s="2"/>
      <c r="V23" s="7">
        <f t="shared" si="17"/>
        <v>5.4554894614061752E-2</v>
      </c>
      <c r="W23" s="2"/>
      <c r="X23" s="6">
        <f t="shared" si="18"/>
        <v>-9869.1099999999988</v>
      </c>
      <c r="Y23" s="2"/>
      <c r="Z23" s="7">
        <f t="shared" si="19"/>
        <v>-0.99920420938810173</v>
      </c>
    </row>
    <row r="24" spans="1:26" s="24" customFormat="1" hidden="1" outlineLevel="2" x14ac:dyDescent="0.25">
      <c r="A24" s="26"/>
      <c r="B24" s="11" t="str">
        <f>CONCATENATE("          ", "6112", " - ", "COMPENSATION INSURANCE")</f>
        <v xml:space="preserve">          6112 - COMPENSATION INSURANCE</v>
      </c>
      <c r="C24" s="11"/>
      <c r="D24" s="6"/>
      <c r="E24" s="2"/>
      <c r="F24" s="7">
        <f t="shared" si="12"/>
        <v>0</v>
      </c>
      <c r="G24" s="2"/>
      <c r="H24" s="6">
        <v>865.07</v>
      </c>
      <c r="I24" s="2"/>
      <c r="J24" s="7">
        <f t="shared" si="13"/>
        <v>1.9039773178717943E-2</v>
      </c>
      <c r="K24" s="2"/>
      <c r="L24" s="6">
        <f t="shared" si="14"/>
        <v>-865.07</v>
      </c>
      <c r="M24" s="2"/>
      <c r="N24" s="7">
        <f t="shared" si="15"/>
        <v>-1</v>
      </c>
      <c r="O24" s="11"/>
      <c r="P24" s="6"/>
      <c r="Q24" s="2"/>
      <c r="R24" s="7">
        <f t="shared" si="16"/>
        <v>0</v>
      </c>
      <c r="S24" s="2"/>
      <c r="T24" s="6">
        <v>5858.88</v>
      </c>
      <c r="U24" s="2"/>
      <c r="V24" s="7">
        <f t="shared" si="17"/>
        <v>3.2361197913574113E-2</v>
      </c>
      <c r="W24" s="2"/>
      <c r="X24" s="6">
        <f t="shared" si="18"/>
        <v>-5858.88</v>
      </c>
      <c r="Y24" s="2"/>
      <c r="Z24" s="7">
        <f t="shared" si="19"/>
        <v>-1</v>
      </c>
    </row>
    <row r="25" spans="1:26" s="24" customFormat="1" hidden="1" outlineLevel="2" x14ac:dyDescent="0.25">
      <c r="A25" s="26"/>
      <c r="B25" s="11" t="str">
        <f>CONCATENATE("          ", "6113", " - ", "GROUP INSURANCE")</f>
        <v xml:space="preserve">          6113 - GROUP INSURANCE</v>
      </c>
      <c r="C25" s="11"/>
      <c r="D25" s="6"/>
      <c r="E25" s="2"/>
      <c r="F25" s="7">
        <f t="shared" si="12"/>
        <v>0</v>
      </c>
      <c r="G25" s="2"/>
      <c r="H25" s="6">
        <v>6448.79</v>
      </c>
      <c r="I25" s="2"/>
      <c r="J25" s="7">
        <f t="shared" si="13"/>
        <v>0.14193475542694173</v>
      </c>
      <c r="K25" s="2"/>
      <c r="L25" s="6">
        <f t="shared" si="14"/>
        <v>-6448.79</v>
      </c>
      <c r="M25" s="2"/>
      <c r="N25" s="7">
        <f t="shared" si="15"/>
        <v>-1</v>
      </c>
      <c r="O25" s="11"/>
      <c r="P25" s="6"/>
      <c r="Q25" s="2"/>
      <c r="R25" s="7">
        <f t="shared" si="16"/>
        <v>0</v>
      </c>
      <c r="S25" s="2"/>
      <c r="T25" s="6">
        <v>13326.32</v>
      </c>
      <c r="U25" s="2"/>
      <c r="V25" s="7">
        <f t="shared" si="17"/>
        <v>7.3607187547726022E-2</v>
      </c>
      <c r="W25" s="2"/>
      <c r="X25" s="6">
        <f t="shared" si="18"/>
        <v>-13326.32</v>
      </c>
      <c r="Y25" s="2"/>
      <c r="Z25" s="7">
        <f t="shared" si="19"/>
        <v>-1</v>
      </c>
    </row>
    <row r="26" spans="1:26" s="24" customFormat="1" hidden="1" outlineLevel="2" x14ac:dyDescent="0.25">
      <c r="A26" s="26"/>
      <c r="B26" s="11" t="str">
        <f>CONCATENATE("          ", "6114", " - ", "STATE UNEMPLOYMENT INSURANCE")</f>
        <v xml:space="preserve">          6114 - STATE UNEMPLOYMENT INSURANCE</v>
      </c>
      <c r="C26" s="11"/>
      <c r="D26" s="6"/>
      <c r="E26" s="2"/>
      <c r="F26" s="7">
        <f t="shared" si="12"/>
        <v>0</v>
      </c>
      <c r="G26" s="2"/>
      <c r="H26" s="6">
        <v>57.97</v>
      </c>
      <c r="I26" s="2"/>
      <c r="J26" s="7">
        <f t="shared" si="13"/>
        <v>1.2758917210980371E-3</v>
      </c>
      <c r="K26" s="2"/>
      <c r="L26" s="6">
        <f t="shared" si="14"/>
        <v>-57.97</v>
      </c>
      <c r="M26" s="2"/>
      <c r="N26" s="7">
        <f t="shared" si="15"/>
        <v>-1</v>
      </c>
      <c r="O26" s="11"/>
      <c r="P26" s="6"/>
      <c r="Q26" s="2"/>
      <c r="R26" s="7">
        <f t="shared" si="16"/>
        <v>0</v>
      </c>
      <c r="S26" s="2"/>
      <c r="T26" s="6">
        <v>392.61</v>
      </c>
      <c r="U26" s="2"/>
      <c r="V26" s="7">
        <f t="shared" si="17"/>
        <v>2.1685595050331009E-3</v>
      </c>
      <c r="W26" s="2"/>
      <c r="X26" s="6">
        <f t="shared" si="18"/>
        <v>-392.61</v>
      </c>
      <c r="Y26" s="2"/>
      <c r="Z26" s="7">
        <f t="shared" si="19"/>
        <v>-1</v>
      </c>
    </row>
    <row r="27" spans="1:26" s="24" customFormat="1" hidden="1" outlineLevel="2" x14ac:dyDescent="0.25">
      <c r="A27" s="26"/>
      <c r="B27" s="11" t="str">
        <f>CONCATENATE("          ", "6115", " - ", "P.E.R.S.")</f>
        <v xml:space="preserve">          6115 - P.E.R.S.</v>
      </c>
      <c r="C27" s="11"/>
      <c r="D27" s="6"/>
      <c r="E27" s="2"/>
      <c r="F27" s="7">
        <f t="shared" si="12"/>
        <v>0</v>
      </c>
      <c r="G27" s="2"/>
      <c r="H27" s="6">
        <v>1412.56</v>
      </c>
      <c r="I27" s="2"/>
      <c r="J27" s="7">
        <f t="shared" si="13"/>
        <v>3.1089763835677822E-2</v>
      </c>
      <c r="K27" s="2"/>
      <c r="L27" s="6">
        <f t="shared" si="14"/>
        <v>-1412.56</v>
      </c>
      <c r="M27" s="2"/>
      <c r="N27" s="7">
        <f t="shared" si="15"/>
        <v>-1</v>
      </c>
      <c r="O27" s="11"/>
      <c r="P27" s="6"/>
      <c r="Q27" s="2"/>
      <c r="R27" s="7">
        <f t="shared" si="16"/>
        <v>0</v>
      </c>
      <c r="S27" s="2"/>
      <c r="T27" s="6">
        <v>7336.92</v>
      </c>
      <c r="U27" s="2"/>
      <c r="V27" s="7">
        <f t="shared" si="17"/>
        <v>4.0525069671346781E-2</v>
      </c>
      <c r="W27" s="2"/>
      <c r="X27" s="6">
        <f t="shared" si="18"/>
        <v>-7336.92</v>
      </c>
      <c r="Y27" s="2"/>
      <c r="Z27" s="7">
        <f t="shared" si="19"/>
        <v>-1</v>
      </c>
    </row>
    <row r="28" spans="1:26" s="24" customFormat="1" hidden="1" outlineLevel="2" x14ac:dyDescent="0.25">
      <c r="A28" s="26"/>
      <c r="B28" s="11" t="str">
        <f>CONCATENATE("          ", "6118", " - ", "VACATION")</f>
        <v xml:space="preserve">          6118 - VACATION</v>
      </c>
      <c r="C28" s="11"/>
      <c r="D28" s="6"/>
      <c r="E28" s="2"/>
      <c r="F28" s="7">
        <f t="shared" si="12"/>
        <v>0</v>
      </c>
      <c r="G28" s="2"/>
      <c r="H28" s="6">
        <v>1091.78</v>
      </c>
      <c r="I28" s="2"/>
      <c r="J28" s="7">
        <f t="shared" si="13"/>
        <v>2.4029550858382182E-2</v>
      </c>
      <c r="K28" s="2"/>
      <c r="L28" s="6">
        <f t="shared" si="14"/>
        <v>-1091.78</v>
      </c>
      <c r="M28" s="2"/>
      <c r="N28" s="7">
        <f t="shared" si="15"/>
        <v>-1</v>
      </c>
      <c r="O28" s="11"/>
      <c r="P28" s="6"/>
      <c r="Q28" s="2"/>
      <c r="R28" s="7">
        <f t="shared" si="16"/>
        <v>0</v>
      </c>
      <c r="S28" s="2"/>
      <c r="T28" s="6">
        <v>5702.53</v>
      </c>
      <c r="U28" s="2"/>
      <c r="V28" s="7">
        <f t="shared" si="17"/>
        <v>3.1497607381972971E-2</v>
      </c>
      <c r="W28" s="2"/>
      <c r="X28" s="6">
        <f t="shared" si="18"/>
        <v>-5702.53</v>
      </c>
      <c r="Y28" s="2"/>
      <c r="Z28" s="7">
        <f t="shared" si="19"/>
        <v>-1</v>
      </c>
    </row>
    <row r="29" spans="1:26" s="24" customFormat="1" hidden="1" outlineLevel="2" x14ac:dyDescent="0.25">
      <c r="A29" s="26"/>
      <c r="B29" s="11" t="str">
        <f>CONCATENATE("          ", "6119", " - ", "SICK LEAVE")</f>
        <v xml:space="preserve">          6119 - SICK LEAVE</v>
      </c>
      <c r="C29" s="11"/>
      <c r="D29" s="6"/>
      <c r="E29" s="2"/>
      <c r="F29" s="7">
        <f t="shared" si="12"/>
        <v>0</v>
      </c>
      <c r="G29" s="2"/>
      <c r="H29" s="6">
        <v>853.34</v>
      </c>
      <c r="I29" s="2"/>
      <c r="J29" s="7">
        <f t="shared" si="13"/>
        <v>1.8781601540137988E-2</v>
      </c>
      <c r="K29" s="2"/>
      <c r="L29" s="6">
        <f t="shared" si="14"/>
        <v>-853.34</v>
      </c>
      <c r="M29" s="2"/>
      <c r="N29" s="7">
        <f t="shared" si="15"/>
        <v>-1</v>
      </c>
      <c r="O29" s="11"/>
      <c r="P29" s="6"/>
      <c r="Q29" s="2"/>
      <c r="R29" s="7">
        <f t="shared" si="16"/>
        <v>0</v>
      </c>
      <c r="S29" s="2"/>
      <c r="T29" s="6">
        <v>4693.37</v>
      </c>
      <c r="U29" s="2"/>
      <c r="V29" s="7">
        <f t="shared" si="17"/>
        <v>2.5923568233456113E-2</v>
      </c>
      <c r="W29" s="2"/>
      <c r="X29" s="6">
        <f t="shared" si="18"/>
        <v>-4693.37</v>
      </c>
      <c r="Y29" s="2"/>
      <c r="Z29" s="7">
        <f t="shared" si="19"/>
        <v>-1</v>
      </c>
    </row>
    <row r="30" spans="1:26" s="24" customFormat="1" hidden="1" outlineLevel="2" x14ac:dyDescent="0.25">
      <c r="A30" s="26"/>
      <c r="B30" s="11" t="str">
        <f>CONCATENATE("          ", "6156", " - ", "EMPLOYEE MEALS")</f>
        <v xml:space="preserve">          6156 - EMPLOYEE MEALS</v>
      </c>
      <c r="C30" s="11"/>
      <c r="D30" s="6"/>
      <c r="E30" s="2"/>
      <c r="F30" s="7">
        <f t="shared" si="12"/>
        <v>0</v>
      </c>
      <c r="G30" s="2"/>
      <c r="H30" s="6">
        <v>521.34</v>
      </c>
      <c r="I30" s="2"/>
      <c r="J30" s="7">
        <f t="shared" si="13"/>
        <v>1.1474441778113693E-2</v>
      </c>
      <c r="K30" s="2"/>
      <c r="L30" s="6">
        <f t="shared" si="14"/>
        <v>-521.34</v>
      </c>
      <c r="M30" s="2"/>
      <c r="N30" s="7">
        <f t="shared" si="15"/>
        <v>-1</v>
      </c>
      <c r="O30" s="11"/>
      <c r="P30" s="6"/>
      <c r="Q30" s="2"/>
      <c r="R30" s="7">
        <f t="shared" si="16"/>
        <v>0</v>
      </c>
      <c r="S30" s="2"/>
      <c r="T30" s="6">
        <v>988.15</v>
      </c>
      <c r="U30" s="2"/>
      <c r="V30" s="7">
        <f t="shared" si="17"/>
        <v>5.4579915817183937E-3</v>
      </c>
      <c r="W30" s="2"/>
      <c r="X30" s="6">
        <f t="shared" si="18"/>
        <v>-988.15</v>
      </c>
      <c r="Y30" s="2"/>
      <c r="Z30" s="7">
        <f t="shared" si="19"/>
        <v>-1</v>
      </c>
    </row>
    <row r="31" spans="1:26" s="25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0</v>
      </c>
      <c r="E31" s="1"/>
      <c r="F31" s="5">
        <f t="shared" ref="F31:F35" si="20">IF(D$12=0,0,D31/D$12)</f>
        <v>0</v>
      </c>
      <c r="G31" s="1"/>
      <c r="H31" s="1">
        <f>SUM(OSRRefH22_1x_0)</f>
        <v>18800.870000000003</v>
      </c>
      <c r="I31" s="1"/>
      <c r="J31" s="5">
        <f t="shared" ref="J31:J35" si="21">IF(H$12=0,0,H31/H$12)</f>
        <v>0.41379807456340278</v>
      </c>
      <c r="K31" s="1"/>
      <c r="L31" s="1">
        <f t="shared" ref="L31:L35" si="22">+D31-H31</f>
        <v>-18800.870000000003</v>
      </c>
      <c r="M31" s="1"/>
      <c r="N31" s="5">
        <f t="shared" ref="N31:N35" si="23">IF(H31=0,0,L31/H31)</f>
        <v>-1</v>
      </c>
      <c r="O31" s="13"/>
      <c r="P31" s="1">
        <f>SUM(OSRRefP22_1x_0)</f>
        <v>0</v>
      </c>
      <c r="Q31" s="1"/>
      <c r="R31" s="5">
        <f t="shared" ref="R31:R35" si="24">IF(P$12=0,0,P31/P$12)</f>
        <v>0</v>
      </c>
      <c r="S31" s="1"/>
      <c r="T31" s="1">
        <f>SUM(OSRRefT22_1x_0)</f>
        <v>130682.27999999998</v>
      </c>
      <c r="U31" s="1"/>
      <c r="V31" s="5">
        <f t="shared" ref="V31:V35" si="25">IF(T$12=0,0,T31/T$12)</f>
        <v>0.72181630736200575</v>
      </c>
      <c r="W31" s="1"/>
      <c r="X31" s="1">
        <f t="shared" ref="X31:X35" si="26">+P31-T31</f>
        <v>-130682.27999999998</v>
      </c>
      <c r="Y31" s="1"/>
      <c r="Z31" s="5">
        <f t="shared" ref="Z31:Z35" si="27">IF(T31=0,0,X31/T31)</f>
        <v>-1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20"/>
        <v>0</v>
      </c>
      <c r="G32" s="2"/>
      <c r="H32" s="6">
        <v>12800.37</v>
      </c>
      <c r="I32" s="2"/>
      <c r="J32" s="7">
        <f t="shared" si="21"/>
        <v>0.28172996567175579</v>
      </c>
      <c r="K32" s="2"/>
      <c r="L32" s="6">
        <f t="shared" si="22"/>
        <v>-12800.37</v>
      </c>
      <c r="M32" s="2"/>
      <c r="N32" s="7">
        <f t="shared" si="23"/>
        <v>-1</v>
      </c>
      <c r="O32" s="11"/>
      <c r="P32" s="6"/>
      <c r="Q32" s="2"/>
      <c r="R32" s="7">
        <f t="shared" si="24"/>
        <v>0</v>
      </c>
      <c r="S32" s="2"/>
      <c r="T32" s="6">
        <v>93110.739999999991</v>
      </c>
      <c r="U32" s="2"/>
      <c r="V32" s="7">
        <f t="shared" si="25"/>
        <v>0.51429199523105806</v>
      </c>
      <c r="W32" s="2"/>
      <c r="X32" s="6">
        <f t="shared" si="26"/>
        <v>-93110.739999999991</v>
      </c>
      <c r="Y32" s="2"/>
      <c r="Z32" s="7">
        <f t="shared" si="27"/>
        <v>-1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20"/>
        <v>0</v>
      </c>
      <c r="G33" s="2"/>
      <c r="H33" s="6">
        <v>2152.69</v>
      </c>
      <c r="I33" s="2"/>
      <c r="J33" s="7">
        <f t="shared" si="21"/>
        <v>4.7379667916000241E-2</v>
      </c>
      <c r="K33" s="2"/>
      <c r="L33" s="6">
        <f t="shared" si="22"/>
        <v>-2152.69</v>
      </c>
      <c r="M33" s="2"/>
      <c r="N33" s="7">
        <f t="shared" si="23"/>
        <v>-1</v>
      </c>
      <c r="O33" s="11"/>
      <c r="P33" s="6"/>
      <c r="Q33" s="2"/>
      <c r="R33" s="7">
        <f t="shared" si="24"/>
        <v>0</v>
      </c>
      <c r="S33" s="2"/>
      <c r="T33" s="6">
        <v>13598.63</v>
      </c>
      <c r="U33" s="2"/>
      <c r="V33" s="7">
        <f t="shared" si="25"/>
        <v>7.5111276691699841E-2</v>
      </c>
      <c r="W33" s="2"/>
      <c r="X33" s="6">
        <f t="shared" si="26"/>
        <v>-13598.63</v>
      </c>
      <c r="Y33" s="2"/>
      <c r="Z33" s="7">
        <f t="shared" si="27"/>
        <v>-1</v>
      </c>
    </row>
    <row r="34" spans="1:26" s="24" customFormat="1" hidden="1" outlineLevel="2" x14ac:dyDescent="0.25">
      <c r="A34" s="26"/>
      <c r="B34" s="11" t="str">
        <f>CONCATENATE("          ", "6007", " - ", "STUDENT HOURLY")</f>
        <v xml:space="preserve">          6007 - STUDENT HOURLY</v>
      </c>
      <c r="C34" s="11"/>
      <c r="D34" s="6"/>
      <c r="E34" s="2"/>
      <c r="F34" s="7">
        <f t="shared" si="20"/>
        <v>0</v>
      </c>
      <c r="G34" s="2"/>
      <c r="H34" s="6">
        <v>3847.81</v>
      </c>
      <c r="I34" s="2"/>
      <c r="J34" s="7">
        <f t="shared" si="21"/>
        <v>8.4688440975646692E-2</v>
      </c>
      <c r="K34" s="2"/>
      <c r="L34" s="6">
        <f t="shared" si="22"/>
        <v>-3847.81</v>
      </c>
      <c r="M34" s="2"/>
      <c r="N34" s="7">
        <f t="shared" si="23"/>
        <v>-1</v>
      </c>
      <c r="O34" s="11"/>
      <c r="P34" s="6"/>
      <c r="Q34" s="2"/>
      <c r="R34" s="7">
        <f t="shared" si="24"/>
        <v>0</v>
      </c>
      <c r="S34" s="2"/>
      <c r="T34" s="6">
        <v>20165.46</v>
      </c>
      <c r="U34" s="2"/>
      <c r="V34" s="7">
        <f t="shared" si="25"/>
        <v>0.11138279706671962</v>
      </c>
      <c r="W34" s="2"/>
      <c r="X34" s="6">
        <f t="shared" si="26"/>
        <v>-20165.46</v>
      </c>
      <c r="Y34" s="2"/>
      <c r="Z34" s="7">
        <f t="shared" si="27"/>
        <v>-1</v>
      </c>
    </row>
    <row r="35" spans="1:26" s="24" customFormat="1" hidden="1" outlineLevel="2" x14ac:dyDescent="0.25">
      <c r="A35" s="26"/>
      <c r="B35" s="11" t="str">
        <f>CONCATENATE("          ", "6008", " - ", "STUDENT HOURLY-FICA EXEMPT")</f>
        <v xml:space="preserve">          6008 - STUDENT HOURLY-FICA EXEMPT</v>
      </c>
      <c r="C35" s="11"/>
      <c r="D35" s="6"/>
      <c r="E35" s="2"/>
      <c r="F35" s="7">
        <f t="shared" si="20"/>
        <v>0</v>
      </c>
      <c r="G35" s="2"/>
      <c r="H35" s="6"/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/>
      <c r="Q35" s="2"/>
      <c r="R35" s="7">
        <f t="shared" si="24"/>
        <v>0</v>
      </c>
      <c r="S35" s="2"/>
      <c r="T35" s="6">
        <v>3807.45</v>
      </c>
      <c r="U35" s="2"/>
      <c r="V35" s="7">
        <f t="shared" si="25"/>
        <v>2.1030238372528157E-2</v>
      </c>
      <c r="W35" s="2"/>
      <c r="X35" s="6">
        <f t="shared" si="26"/>
        <v>-3807.45</v>
      </c>
      <c r="Y35" s="2"/>
      <c r="Z35" s="7">
        <f t="shared" si="27"/>
        <v>-1</v>
      </c>
    </row>
    <row r="36" spans="1:26" s="25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4" si="28">IF(D$12=0,0,D36/D$12)</f>
        <v>0</v>
      </c>
      <c r="G36" s="1"/>
      <c r="H36" s="1">
        <f>SUM(OSRRefH22_2x_0)</f>
        <v>0</v>
      </c>
      <c r="I36" s="1"/>
      <c r="J36" s="5">
        <f t="shared" ref="J36:J44" si="29">IF(H$12=0,0,H36/H$12)</f>
        <v>0</v>
      </c>
      <c r="K36" s="1"/>
      <c r="L36" s="1">
        <f t="shared" ref="L36:L44" si="30">+D36-H36</f>
        <v>0</v>
      </c>
      <c r="M36" s="1"/>
      <c r="N36" s="5">
        <f t="shared" ref="N36:N44" si="31">IF(H36=0,0,L36/H36)</f>
        <v>0</v>
      </c>
      <c r="O36" s="13"/>
      <c r="P36" s="1">
        <f>SUM(OSRRefP22_2x_0)</f>
        <v>0</v>
      </c>
      <c r="Q36" s="1"/>
      <c r="R36" s="5">
        <f t="shared" ref="R36:R44" si="32">IF(P$12=0,0,P36/P$12)</f>
        <v>0</v>
      </c>
      <c r="S36" s="1"/>
      <c r="T36" s="1">
        <f>SUM(OSRRefT22_2x_0)</f>
        <v>500</v>
      </c>
      <c r="U36" s="1"/>
      <c r="V36" s="5">
        <f t="shared" ref="V36:V44" si="33">IF(T$12=0,0,T36/T$12)</f>
        <v>2.7617221989163559E-3</v>
      </c>
      <c r="W36" s="1"/>
      <c r="X36" s="1">
        <f t="shared" ref="X36:X44" si="34">+P36-T36</f>
        <v>-500</v>
      </c>
      <c r="Y36" s="1"/>
      <c r="Z36" s="5">
        <f t="shared" ref="Z36:Z44" si="35">IF(T36=0,0,X36/T36)</f>
        <v>-1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28"/>
        <v>0</v>
      </c>
      <c r="G37" s="2"/>
      <c r="H37" s="6"/>
      <c r="I37" s="2"/>
      <c r="J37" s="7">
        <f t="shared" si="29"/>
        <v>0</v>
      </c>
      <c r="K37" s="2"/>
      <c r="L37" s="6">
        <f t="shared" si="30"/>
        <v>0</v>
      </c>
      <c r="M37" s="2"/>
      <c r="N37" s="7">
        <f t="shared" si="31"/>
        <v>0</v>
      </c>
      <c r="O37" s="11"/>
      <c r="P37" s="6"/>
      <c r="Q37" s="2"/>
      <c r="R37" s="7">
        <f t="shared" si="32"/>
        <v>0</v>
      </c>
      <c r="S37" s="2"/>
      <c r="T37" s="6">
        <v>500</v>
      </c>
      <c r="U37" s="2"/>
      <c r="V37" s="7">
        <f t="shared" si="33"/>
        <v>2.7617221989163559E-3</v>
      </c>
      <c r="W37" s="2"/>
      <c r="X37" s="6">
        <f t="shared" si="34"/>
        <v>-500</v>
      </c>
      <c r="Y37" s="2"/>
      <c r="Z37" s="7">
        <f t="shared" si="35"/>
        <v>-1</v>
      </c>
    </row>
    <row r="38" spans="1:26" s="25" customFormat="1" outlineLevel="1" collapsed="1" x14ac:dyDescent="0.25">
      <c r="A38" s="27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0</v>
      </c>
      <c r="E38" s="1"/>
      <c r="F38" s="5">
        <f t="shared" si="28"/>
        <v>0</v>
      </c>
      <c r="G38" s="1"/>
      <c r="H38" s="1">
        <f>SUM(OSRRefH22_3x_0)</f>
        <v>80.94</v>
      </c>
      <c r="I38" s="1"/>
      <c r="J38" s="5">
        <f t="shared" si="29"/>
        <v>1.7814503347537542E-3</v>
      </c>
      <c r="K38" s="1"/>
      <c r="L38" s="1">
        <f t="shared" si="30"/>
        <v>-80.94</v>
      </c>
      <c r="M38" s="1"/>
      <c r="N38" s="5">
        <f t="shared" si="31"/>
        <v>-1</v>
      </c>
      <c r="O38" s="13"/>
      <c r="P38" s="1">
        <f>SUM(OSRRefP22_3x_0)</f>
        <v>0</v>
      </c>
      <c r="Q38" s="1"/>
      <c r="R38" s="5">
        <f t="shared" si="32"/>
        <v>0</v>
      </c>
      <c r="S38" s="1"/>
      <c r="T38" s="1">
        <f>SUM(OSRRefT22_3x_0)</f>
        <v>388.66</v>
      </c>
      <c r="U38" s="1"/>
      <c r="V38" s="5">
        <f t="shared" si="33"/>
        <v>2.1467418996616618E-3</v>
      </c>
      <c r="W38" s="1"/>
      <c r="X38" s="1">
        <f t="shared" si="34"/>
        <v>-388.66</v>
      </c>
      <c r="Y38" s="1"/>
      <c r="Z38" s="5">
        <f t="shared" si="35"/>
        <v>-1</v>
      </c>
    </row>
    <row r="39" spans="1:26" s="24" customFormat="1" hidden="1" outlineLevel="2" x14ac:dyDescent="0.25">
      <c r="A39" s="26"/>
      <c r="B39" s="11" t="str">
        <f>CONCATENATE("          ", "6381", " - ", "BANK/CREDIT CARD FEES")</f>
        <v xml:space="preserve">          6381 - BANK/CREDIT CARD FEES</v>
      </c>
      <c r="C39" s="11"/>
      <c r="D39" s="6"/>
      <c r="E39" s="2"/>
      <c r="F39" s="7">
        <f t="shared" si="28"/>
        <v>0</v>
      </c>
      <c r="G39" s="2"/>
      <c r="H39" s="6">
        <v>80.94</v>
      </c>
      <c r="I39" s="2"/>
      <c r="J39" s="7">
        <f t="shared" si="29"/>
        <v>1.7814503347537542E-3</v>
      </c>
      <c r="K39" s="2"/>
      <c r="L39" s="6">
        <f t="shared" si="30"/>
        <v>-80.94</v>
      </c>
      <c r="M39" s="2"/>
      <c r="N39" s="7">
        <f t="shared" si="31"/>
        <v>-1</v>
      </c>
      <c r="O39" s="11"/>
      <c r="P39" s="6"/>
      <c r="Q39" s="2"/>
      <c r="R39" s="7">
        <f t="shared" si="32"/>
        <v>0</v>
      </c>
      <c r="S39" s="2"/>
      <c r="T39" s="6">
        <v>388.66</v>
      </c>
      <c r="U39" s="2"/>
      <c r="V39" s="7">
        <f t="shared" si="33"/>
        <v>2.1467418996616618E-3</v>
      </c>
      <c r="W39" s="2"/>
      <c r="X39" s="6">
        <f t="shared" si="34"/>
        <v>-388.66</v>
      </c>
      <c r="Y39" s="2"/>
      <c r="Z39" s="7">
        <f t="shared" si="35"/>
        <v>-1</v>
      </c>
    </row>
    <row r="40" spans="1:26" s="25" customFormat="1" outlineLevel="1" collapsed="1" x14ac:dyDescent="0.25">
      <c r="A40" s="27"/>
      <c r="B40" s="13" t="str">
        <f>CONCATENATE("     ","Repair and Maintenance                            ")</f>
        <v xml:space="preserve">     Repair and Maintenance                            </v>
      </c>
      <c r="C40" s="13"/>
      <c r="D40" s="1">
        <f>SUM(OSRRefD22_4x_0)</f>
        <v>0</v>
      </c>
      <c r="E40" s="1"/>
      <c r="F40" s="5">
        <f t="shared" si="28"/>
        <v>0</v>
      </c>
      <c r="G40" s="1"/>
      <c r="H40" s="1">
        <f>SUM(OSRRefH22_4x_0)</f>
        <v>0</v>
      </c>
      <c r="I40" s="1"/>
      <c r="J40" s="5">
        <f t="shared" si="29"/>
        <v>0</v>
      </c>
      <c r="K40" s="1"/>
      <c r="L40" s="1">
        <f t="shared" si="30"/>
        <v>0</v>
      </c>
      <c r="M40" s="1"/>
      <c r="N40" s="5">
        <f t="shared" si="31"/>
        <v>0</v>
      </c>
      <c r="O40" s="13"/>
      <c r="P40" s="1">
        <f>SUM(OSRRefP22_4x_0)</f>
        <v>0</v>
      </c>
      <c r="Q40" s="1"/>
      <c r="R40" s="5">
        <f t="shared" si="32"/>
        <v>0</v>
      </c>
      <c r="S40" s="1"/>
      <c r="T40" s="1">
        <f>SUM(OSRRefT22_4x_0)</f>
        <v>1151.21</v>
      </c>
      <c r="U40" s="1"/>
      <c r="V40" s="5">
        <f t="shared" si="33"/>
        <v>6.3586444252289962E-3</v>
      </c>
      <c r="W40" s="1"/>
      <c r="X40" s="1">
        <f t="shared" si="34"/>
        <v>-1151.21</v>
      </c>
      <c r="Y40" s="1"/>
      <c r="Z40" s="5">
        <f t="shared" si="35"/>
        <v>-1</v>
      </c>
    </row>
    <row r="41" spans="1:26" s="24" customFormat="1" hidden="1" outlineLevel="2" x14ac:dyDescent="0.25">
      <c r="A41" s="26"/>
      <c r="B41" s="11" t="str">
        <f>CONCATENATE("          ", "6375", " - ", "OUTSIDE REPAIRS &amp; MAINTENANCE")</f>
        <v xml:space="preserve">          6375 - OUTSIDE REPAIRS &amp; MAINTENANCE</v>
      </c>
      <c r="C41" s="11"/>
      <c r="D41" s="6"/>
      <c r="E41" s="2"/>
      <c r="F41" s="7">
        <f t="shared" si="28"/>
        <v>0</v>
      </c>
      <c r="G41" s="2"/>
      <c r="H41" s="6"/>
      <c r="I41" s="2"/>
      <c r="J41" s="7">
        <f t="shared" si="29"/>
        <v>0</v>
      </c>
      <c r="K41" s="2"/>
      <c r="L41" s="6">
        <f t="shared" si="30"/>
        <v>0</v>
      </c>
      <c r="M41" s="2"/>
      <c r="N41" s="7">
        <f t="shared" si="31"/>
        <v>0</v>
      </c>
      <c r="O41" s="11"/>
      <c r="P41" s="6"/>
      <c r="Q41" s="2"/>
      <c r="R41" s="7">
        <f t="shared" si="32"/>
        <v>0</v>
      </c>
      <c r="S41" s="2"/>
      <c r="T41" s="6">
        <v>1151.21</v>
      </c>
      <c r="U41" s="2"/>
      <c r="V41" s="7">
        <f t="shared" si="33"/>
        <v>6.3586444252289962E-3</v>
      </c>
      <c r="W41" s="2"/>
      <c r="X41" s="6">
        <f t="shared" si="34"/>
        <v>-1151.21</v>
      </c>
      <c r="Y41" s="2"/>
      <c r="Z41" s="7">
        <f t="shared" si="35"/>
        <v>-1</v>
      </c>
    </row>
    <row r="42" spans="1:26" s="25" customFormat="1" outlineLevel="1" collapsed="1" x14ac:dyDescent="0.25">
      <c r="A42" s="27"/>
      <c r="B42" s="13" t="str">
        <f>CONCATENATE("     ","Supplies                                          ")</f>
        <v xml:space="preserve">     Supplies                                          </v>
      </c>
      <c r="C42" s="13"/>
      <c r="D42" s="1">
        <f>SUM(OSRRefD22_5x_0)</f>
        <v>0</v>
      </c>
      <c r="E42" s="1"/>
      <c r="F42" s="5">
        <f t="shared" si="28"/>
        <v>0</v>
      </c>
      <c r="G42" s="1"/>
      <c r="H42" s="1">
        <f>SUM(OSRRefH22_5x_0)</f>
        <v>0</v>
      </c>
      <c r="I42" s="1"/>
      <c r="J42" s="5">
        <f t="shared" si="29"/>
        <v>0</v>
      </c>
      <c r="K42" s="1"/>
      <c r="L42" s="1">
        <f t="shared" si="30"/>
        <v>0</v>
      </c>
      <c r="M42" s="1"/>
      <c r="N42" s="5">
        <f t="shared" si="31"/>
        <v>0</v>
      </c>
      <c r="O42" s="13"/>
      <c r="P42" s="1">
        <f>SUM(OSRRefP22_5x_0)</f>
        <v>0</v>
      </c>
      <c r="Q42" s="1"/>
      <c r="R42" s="5">
        <f t="shared" si="32"/>
        <v>0</v>
      </c>
      <c r="S42" s="1"/>
      <c r="T42" s="1">
        <f>SUM(OSRRefT22_5x_0)</f>
        <v>1137.47</v>
      </c>
      <c r="U42" s="1"/>
      <c r="V42" s="5">
        <f t="shared" si="33"/>
        <v>6.2827522992027745E-3</v>
      </c>
      <c r="W42" s="1"/>
      <c r="X42" s="1">
        <f t="shared" si="34"/>
        <v>-1137.47</v>
      </c>
      <c r="Y42" s="1"/>
      <c r="Z42" s="5">
        <f t="shared" si="35"/>
        <v>-1</v>
      </c>
    </row>
    <row r="43" spans="1:26" s="24" customFormat="1" hidden="1" outlineLevel="2" x14ac:dyDescent="0.25">
      <c r="A43" s="26"/>
      <c r="B43" s="11" t="str">
        <f>CONCATENATE("          ", "6241", " - ", "OFFICE EXPENSE")</f>
        <v xml:space="preserve">          6241 - OFFICE EXPENSE</v>
      </c>
      <c r="C43" s="11"/>
      <c r="D43" s="6"/>
      <c r="E43" s="2"/>
      <c r="F43" s="7">
        <f t="shared" si="28"/>
        <v>0</v>
      </c>
      <c r="G43" s="2"/>
      <c r="H43" s="6"/>
      <c r="I43" s="2"/>
      <c r="J43" s="7">
        <f t="shared" si="29"/>
        <v>0</v>
      </c>
      <c r="K43" s="2"/>
      <c r="L43" s="6">
        <f t="shared" si="30"/>
        <v>0</v>
      </c>
      <c r="M43" s="2"/>
      <c r="N43" s="7">
        <f t="shared" si="31"/>
        <v>0</v>
      </c>
      <c r="O43" s="11"/>
      <c r="P43" s="6"/>
      <c r="Q43" s="2"/>
      <c r="R43" s="7">
        <f t="shared" si="32"/>
        <v>0</v>
      </c>
      <c r="S43" s="2"/>
      <c r="T43" s="6">
        <v>914.08</v>
      </c>
      <c r="U43" s="2"/>
      <c r="V43" s="7">
        <f t="shared" si="33"/>
        <v>5.0488700551709247E-3</v>
      </c>
      <c r="W43" s="2"/>
      <c r="X43" s="6">
        <f t="shared" si="34"/>
        <v>-914.08</v>
      </c>
      <c r="Y43" s="2"/>
      <c r="Z43" s="7">
        <f t="shared" si="35"/>
        <v>-1</v>
      </c>
    </row>
    <row r="44" spans="1:26" s="24" customFormat="1" hidden="1" outlineLevel="2" x14ac:dyDescent="0.25">
      <c r="A44" s="26"/>
      <c r="B44" s="11" t="str">
        <f>CONCATENATE("          ", "6247", " - ", "STORE SUPPLIES")</f>
        <v xml:space="preserve">          6247 - STORE SUPPLIES</v>
      </c>
      <c r="C44" s="11"/>
      <c r="D44" s="6"/>
      <c r="E44" s="2"/>
      <c r="F44" s="7">
        <f t="shared" si="28"/>
        <v>0</v>
      </c>
      <c r="G44" s="2"/>
      <c r="H44" s="6"/>
      <c r="I44" s="2"/>
      <c r="J44" s="7">
        <f t="shared" si="29"/>
        <v>0</v>
      </c>
      <c r="K44" s="2"/>
      <c r="L44" s="6">
        <f t="shared" si="30"/>
        <v>0</v>
      </c>
      <c r="M44" s="2"/>
      <c r="N44" s="7">
        <f t="shared" si="31"/>
        <v>0</v>
      </c>
      <c r="O44" s="11"/>
      <c r="P44" s="6"/>
      <c r="Q44" s="2"/>
      <c r="R44" s="7">
        <f t="shared" si="32"/>
        <v>0</v>
      </c>
      <c r="S44" s="2"/>
      <c r="T44" s="6">
        <v>223.39</v>
      </c>
      <c r="U44" s="2"/>
      <c r="V44" s="7">
        <f t="shared" si="33"/>
        <v>1.2338822440318494E-3</v>
      </c>
      <c r="W44" s="2"/>
      <c r="X44" s="6">
        <f t="shared" si="34"/>
        <v>-223.39</v>
      </c>
      <c r="Y44" s="2"/>
      <c r="Z44" s="7">
        <f t="shared" si="35"/>
        <v>-1</v>
      </c>
    </row>
    <row r="45" spans="1:26" s="25" customFormat="1" outlineLevel="1" collapsed="1" x14ac:dyDescent="0.25">
      <c r="A45" s="27"/>
      <c r="B45" s="13" t="str">
        <f>CONCATENATE("     ","Travel                                            ")</f>
        <v xml:space="preserve">     Travel                                            </v>
      </c>
      <c r="C45" s="13"/>
      <c r="D45" s="1">
        <f>SUM(OSRRefD22_6x_0)</f>
        <v>0</v>
      </c>
      <c r="E45" s="1"/>
      <c r="F45" s="5">
        <f t="shared" ref="F45:F46" si="36">IF(D$12=0,0,D45/D$12)</f>
        <v>0</v>
      </c>
      <c r="G45" s="1"/>
      <c r="H45" s="1">
        <f>SUM(OSRRefH22_6x_0)</f>
        <v>0</v>
      </c>
      <c r="I45" s="1"/>
      <c r="J45" s="5">
        <f t="shared" ref="J45:J46" si="37">IF(H$12=0,0,H45/H$12)</f>
        <v>0</v>
      </c>
      <c r="K45" s="1"/>
      <c r="L45" s="1">
        <f t="shared" ref="L45:L46" si="38">+D45-H45</f>
        <v>0</v>
      </c>
      <c r="M45" s="1"/>
      <c r="N45" s="5">
        <f t="shared" ref="N45:N46" si="39">IF(H45=0,0,L45/H45)</f>
        <v>0</v>
      </c>
      <c r="O45" s="13"/>
      <c r="P45" s="1">
        <f>SUM(OSRRefP22_6x_0)</f>
        <v>0</v>
      </c>
      <c r="Q45" s="1"/>
      <c r="R45" s="5">
        <f t="shared" ref="R45:R46" si="40">IF(P$12=0,0,P45/P$12)</f>
        <v>0</v>
      </c>
      <c r="S45" s="1"/>
      <c r="T45" s="1">
        <f>SUM(OSRRefT22_6x_0)</f>
        <v>1269.1500000000001</v>
      </c>
      <c r="U45" s="1"/>
      <c r="V45" s="5">
        <f t="shared" ref="V45:V46" si="41">IF(T$12=0,0,T45/T$12)</f>
        <v>7.0100794575093861E-3</v>
      </c>
      <c r="W45" s="1"/>
      <c r="X45" s="1">
        <f t="shared" ref="X45:X46" si="42">+P45-T45</f>
        <v>-1269.1500000000001</v>
      </c>
      <c r="Y45" s="1"/>
      <c r="Z45" s="5">
        <f t="shared" ref="Z45:Z46" si="43">IF(T45=0,0,X45/T45)</f>
        <v>-1</v>
      </c>
    </row>
    <row r="46" spans="1:26" s="24" customFormat="1" hidden="1" outlineLevel="2" x14ac:dyDescent="0.25">
      <c r="A46" s="26"/>
      <c r="B46" s="11" t="str">
        <f>CONCATENATE("          ", "6292", " - ", "TRAVEL/CONFERENCE")</f>
        <v xml:space="preserve">          6292 - TRAVEL/CONFERENCE</v>
      </c>
      <c r="C46" s="11"/>
      <c r="D46" s="6"/>
      <c r="E46" s="2"/>
      <c r="F46" s="7">
        <f t="shared" si="36"/>
        <v>0</v>
      </c>
      <c r="G46" s="2"/>
      <c r="H46" s="6"/>
      <c r="I46" s="2"/>
      <c r="J46" s="7">
        <f t="shared" si="37"/>
        <v>0</v>
      </c>
      <c r="K46" s="2"/>
      <c r="L46" s="6">
        <f t="shared" si="38"/>
        <v>0</v>
      </c>
      <c r="M46" s="2"/>
      <c r="N46" s="7">
        <f t="shared" si="39"/>
        <v>0</v>
      </c>
      <c r="O46" s="11"/>
      <c r="P46" s="6"/>
      <c r="Q46" s="2"/>
      <c r="R46" s="7">
        <f t="shared" si="40"/>
        <v>0</v>
      </c>
      <c r="S46" s="2"/>
      <c r="T46" s="6">
        <v>1269.1500000000001</v>
      </c>
      <c r="U46" s="2"/>
      <c r="V46" s="7">
        <f t="shared" si="41"/>
        <v>7.0100794575093861E-3</v>
      </c>
      <c r="W46" s="2"/>
      <c r="X46" s="6">
        <f t="shared" si="42"/>
        <v>-1269.1500000000001</v>
      </c>
      <c r="Y46" s="2"/>
      <c r="Z46" s="7">
        <f t="shared" si="43"/>
        <v>-1</v>
      </c>
    </row>
    <row r="47" spans="1:26" s="52" customFormat="1" x14ac:dyDescent="0.25">
      <c r="A47" s="37"/>
      <c r="B47" s="37"/>
      <c r="C47" s="37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8" t="s">
        <v>0</v>
      </c>
      <c r="C48" s="10"/>
      <c r="D48" s="4">
        <f>SUM(0)</f>
        <v>0</v>
      </c>
      <c r="E48" s="4"/>
      <c r="F48" s="12">
        <f>IF(D$12=0,0,D48/D$12)</f>
        <v>0</v>
      </c>
      <c r="G48" s="4"/>
      <c r="H48" s="4">
        <f>SUM(0)</f>
        <v>0</v>
      </c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>
        <f>SUM(0)</f>
        <v>0</v>
      </c>
      <c r="Q48" s="4"/>
      <c r="R48" s="12">
        <f>IF(P$12=0,0,P48/P$12)</f>
        <v>0</v>
      </c>
      <c r="S48" s="4"/>
      <c r="T48" s="4">
        <f>SUM(0)</f>
        <v>0</v>
      </c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9" t="s">
        <v>3</v>
      </c>
      <c r="C50" s="29"/>
      <c r="D50" s="22">
        <f>+D19-D21+D48</f>
        <v>49980.95</v>
      </c>
      <c r="E50" s="14"/>
      <c r="F50" s="20">
        <f>IF(D$12=0,0,D50/D$12)</f>
        <v>1</v>
      </c>
      <c r="G50" s="14"/>
      <c r="H50" s="22">
        <f>+H19-H21+H48</f>
        <v>13640.059999999998</v>
      </c>
      <c r="I50" s="14"/>
      <c r="J50" s="20">
        <f>IF(H$12=0,0,H50/H$12)</f>
        <v>0.30021113729999122</v>
      </c>
      <c r="K50" s="16"/>
      <c r="L50" s="22">
        <f>+D50-H50</f>
        <v>36340.89</v>
      </c>
      <c r="M50" s="16"/>
      <c r="N50" s="20">
        <f>IF(H50=0,0,L50/H50)</f>
        <v>2.6642764034762316</v>
      </c>
      <c r="O50" s="28"/>
      <c r="P50" s="22">
        <f>+P19-P21+P48</f>
        <v>280149.94</v>
      </c>
      <c r="Q50" s="14"/>
      <c r="R50" s="20">
        <f>IF(P$12=0,0,P50/P$12)</f>
        <v>0.99997194438277293</v>
      </c>
      <c r="S50" s="14"/>
      <c r="T50" s="22">
        <f>+T19-T21+T48</f>
        <v>-2592</v>
      </c>
      <c r="U50" s="14"/>
      <c r="V50" s="20">
        <f>IF(T$12=0,0,T50/T$12)</f>
        <v>-1.4316767879182388E-2</v>
      </c>
      <c r="W50" s="16"/>
      <c r="X50" s="22">
        <f>+P50-T50</f>
        <v>282741.94</v>
      </c>
      <c r="Y50" s="16"/>
      <c r="Z50" s="20">
        <f>IF(T50=0,0,X50/T50)</f>
        <v>-109.08253858024692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51"/>
      <c r="B52" s="10" t="s">
        <v>13</v>
      </c>
      <c r="C52" s="10"/>
      <c r="D52" s="4">
        <v>13698.06</v>
      </c>
      <c r="E52" s="4"/>
      <c r="F52" s="12">
        <f>IF(D$12=0,0,D52/D$12)</f>
        <v>0.27406561900083931</v>
      </c>
      <c r="G52" s="4"/>
      <c r="H52" s="4">
        <v>4309.8500000000004</v>
      </c>
      <c r="I52" s="4"/>
      <c r="J52" s="12">
        <f>IF(H$12=0,0,H52/H$12)</f>
        <v>9.4857718374579542E-2</v>
      </c>
      <c r="K52" s="4"/>
      <c r="L52" s="4">
        <f>+D52-H52</f>
        <v>9388.2099999999991</v>
      </c>
      <c r="M52" s="4"/>
      <c r="N52" s="12">
        <f>IF(H52=0,0,L52/H52)</f>
        <v>2.1783147905379532</v>
      </c>
      <c r="O52" s="10"/>
      <c r="P52" s="4">
        <v>55481.270000000004</v>
      </c>
      <c r="Q52" s="4"/>
      <c r="R52" s="12">
        <f>IF(P$12=0,0,P52/P$12)</f>
        <v>0.19803578554657414</v>
      </c>
      <c r="S52" s="4"/>
      <c r="T52" s="4">
        <v>18452.21</v>
      </c>
      <c r="U52" s="4"/>
      <c r="V52" s="12">
        <f>IF(T$12=0,0,T52/T$12)</f>
        <v>0.10191975595213273</v>
      </c>
      <c r="W52" s="4"/>
      <c r="X52" s="4">
        <f>+P52-T52</f>
        <v>37029.060000000005</v>
      </c>
      <c r="Y52" s="4"/>
      <c r="Z52" s="12">
        <f>IF(T52=0,0,X52/T52)</f>
        <v>2.0067547464504254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.75" thickBot="1" x14ac:dyDescent="0.3">
      <c r="A54" s="10"/>
      <c r="B54" s="29" t="s">
        <v>4</v>
      </c>
      <c r="C54" s="29"/>
      <c r="D54" s="35">
        <f>+D50-D52</f>
        <v>36282.89</v>
      </c>
      <c r="E54" s="14"/>
      <c r="F54" s="36">
        <f>IF(D$12=0,0,D54/D$12)</f>
        <v>0.72593438099916074</v>
      </c>
      <c r="G54" s="14"/>
      <c r="H54" s="35">
        <f>+H50-H52</f>
        <v>9330.2099999999973</v>
      </c>
      <c r="I54" s="14"/>
      <c r="J54" s="36">
        <f>IF(H$12=0,0,H54/H$12)</f>
        <v>0.20535341892541167</v>
      </c>
      <c r="K54" s="16"/>
      <c r="L54" s="35">
        <f>D54-H54</f>
        <v>26952.68</v>
      </c>
      <c r="M54" s="16"/>
      <c r="N54" s="36">
        <f>IF(H54=0,0,L54/H54)</f>
        <v>2.8887538436969811</v>
      </c>
      <c r="O54" s="28"/>
      <c r="P54" s="35">
        <f>+P50-P52</f>
        <v>224668.66999999998</v>
      </c>
      <c r="Q54" s="14"/>
      <c r="R54" s="36">
        <f>IF(P$12=0,0,P54/P$12)</f>
        <v>0.80193615883619873</v>
      </c>
      <c r="S54" s="14"/>
      <c r="T54" s="35">
        <f>+T50-T52</f>
        <v>-21044.21</v>
      </c>
      <c r="U54" s="14"/>
      <c r="V54" s="36">
        <f>IF(T$12=0,0,T54/T$12)</f>
        <v>-0.11623652383131512</v>
      </c>
      <c r="W54" s="16"/>
      <c r="X54" s="35">
        <f>P54-T54</f>
        <v>245712.87999999998</v>
      </c>
      <c r="Y54" s="16"/>
      <c r="Z54" s="36">
        <f>IF(T54=0,0,X54/T54)</f>
        <v>-11.676032504902773</v>
      </c>
    </row>
    <row r="55" spans="1:26" ht="15.75" thickTop="1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9" t="s">
        <v>5</v>
      </c>
      <c r="C57" s="29"/>
      <c r="D57" s="31">
        <f>SUM(D54:D56)</f>
        <v>36282.89</v>
      </c>
      <c r="E57" s="14"/>
      <c r="F57" s="33">
        <f>IF(D$12=0,0,D57/D$12)</f>
        <v>0.72593438099916074</v>
      </c>
      <c r="G57" s="14"/>
      <c r="H57" s="31">
        <f>SUM(H54:H56)</f>
        <v>9330.2099999999973</v>
      </c>
      <c r="I57" s="14"/>
      <c r="J57" s="33">
        <f>IF(H$12=0,0,H57/H$12)</f>
        <v>0.20535341892541167</v>
      </c>
      <c r="K57" s="16"/>
      <c r="L57" s="31">
        <f>+D57-H57</f>
        <v>26952.68</v>
      </c>
      <c r="M57" s="16"/>
      <c r="N57" s="33">
        <f>IF(H57=0,0,L57/H57)</f>
        <v>2.8887538436969811</v>
      </c>
      <c r="O57" s="28"/>
      <c r="P57" s="31">
        <f>SUM(P54:P56)</f>
        <v>224668.66999999998</v>
      </c>
      <c r="Q57" s="14"/>
      <c r="R57" s="33">
        <f>IF(P$12=0,0,P57/P$12)</f>
        <v>0.80193615883619873</v>
      </c>
      <c r="S57" s="14"/>
      <c r="T57" s="31">
        <f>SUM(T54:T56)</f>
        <v>-21044.21</v>
      </c>
      <c r="U57" s="14"/>
      <c r="V57" s="33">
        <f>IF(T$12=0,0,T57/T$12)</f>
        <v>-0.11623652383131512</v>
      </c>
      <c r="W57" s="16"/>
      <c r="X57" s="31">
        <f>+P57-T57</f>
        <v>245712.87999999998</v>
      </c>
      <c r="Y57" s="16"/>
      <c r="Z57" s="33">
        <f>IF(T57=0,0,X57/T57)</f>
        <v>-11.676032504902773</v>
      </c>
    </row>
    <row r="58" spans="1:26" ht="15.75" thickTop="1" x14ac:dyDescent="0.25">
      <c r="A58" s="9"/>
      <c r="C58" s="9"/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  <row r="59" spans="1:26" x14ac:dyDescent="0.25">
      <c r="A59" s="9"/>
      <c r="B59" s="56">
        <v>44267.668628356485</v>
      </c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A60" s="9"/>
      <c r="B60" s="54" t="s">
        <v>313</v>
      </c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25">
      <c r="A61" s="9"/>
      <c r="B61" s="58"/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25"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","423", " - ", "Contract Revenue")</f>
        <v>Department 423 - Contract Revenue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8" t="s">
        <v>8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0</v>
      </c>
      <c r="Q14" s="4"/>
      <c r="R14" s="12">
        <f t="shared" ref="R14:R15" si="4">IF(P$12=0,0,P14/P$12)</f>
        <v>0</v>
      </c>
      <c r="S14" s="4"/>
      <c r="T14" s="4">
        <f>SUM(OSRRefT16x_0)</f>
        <v>-805.48</v>
      </c>
      <c r="U14" s="4"/>
      <c r="V14" s="12">
        <f t="shared" ref="V14:V15" si="5">IF(T$12=0,0,T14/T$12)</f>
        <v>0</v>
      </c>
      <c r="W14" s="4"/>
      <c r="X14" s="4">
        <f t="shared" ref="X14:X15" si="6">+P14-T14</f>
        <v>805.48</v>
      </c>
      <c r="Y14" s="4"/>
      <c r="Z14" s="12">
        <f t="shared" ref="Z14:Z15" si="7">IF(T14=0,0,X14/T14)</f>
        <v>-1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/>
      <c r="Q15" s="2"/>
      <c r="R15" s="19">
        <f t="shared" si="4"/>
        <v>0</v>
      </c>
      <c r="S15" s="2"/>
      <c r="T15" s="2">
        <v>-805.48</v>
      </c>
      <c r="U15" s="2"/>
      <c r="V15" s="19">
        <f t="shared" si="5"/>
        <v>0</v>
      </c>
      <c r="W15" s="2"/>
      <c r="X15" s="2">
        <f t="shared" si="6"/>
        <v>805.48</v>
      </c>
      <c r="Y15" s="2"/>
      <c r="Z15" s="19">
        <f t="shared" si="7"/>
        <v>-1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2">
        <f>D12-D14</f>
        <v>0</v>
      </c>
      <c r="E17" s="14"/>
      <c r="F17" s="20">
        <f>IF(D$12=0,0,D17/D$12)</f>
        <v>0</v>
      </c>
      <c r="G17" s="14"/>
      <c r="H17" s="22">
        <f>H12-H14</f>
        <v>0</v>
      </c>
      <c r="I17" s="14"/>
      <c r="J17" s="20">
        <f>IF(H$12=0,0,H17/H$12)</f>
        <v>0</v>
      </c>
      <c r="K17" s="16"/>
      <c r="L17" s="22">
        <f>+D17-H17</f>
        <v>0</v>
      </c>
      <c r="M17" s="16"/>
      <c r="N17" s="20">
        <f>IF(H17=0,0,L17/H17)</f>
        <v>0</v>
      </c>
      <c r="O17" s="28"/>
      <c r="P17" s="22">
        <f>P12-P14</f>
        <v>0</v>
      </c>
      <c r="Q17" s="14"/>
      <c r="R17" s="20">
        <f>IF(P$12=0,0,P17/P$12)</f>
        <v>0</v>
      </c>
      <c r="S17" s="14"/>
      <c r="T17" s="22">
        <f>T12-T14</f>
        <v>805.48</v>
      </c>
      <c r="U17" s="14"/>
      <c r="V17" s="20">
        <f>IF(T$12=0,0,T17/T$12)</f>
        <v>0</v>
      </c>
      <c r="W17" s="16"/>
      <c r="X17" s="22">
        <f>+P17-T17</f>
        <v>-805.48</v>
      </c>
      <c r="Y17" s="16"/>
      <c r="Z17" s="20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1">
        <f>SUM(OSRRefD22x_0)</f>
        <v>47.55</v>
      </c>
      <c r="E19" s="21"/>
      <c r="F19" s="32">
        <f t="shared" ref="F19:F28" si="8">IF(D$12=0,0,D19/D$12)</f>
        <v>0</v>
      </c>
      <c r="G19" s="21"/>
      <c r="H19" s="21">
        <f>SUM(OSRRefH22x_0)</f>
        <v>9262.1</v>
      </c>
      <c r="I19" s="21"/>
      <c r="J19" s="32">
        <f t="shared" ref="J19:J28" si="9">IF(H$12=0,0,H19/H$12)</f>
        <v>0</v>
      </c>
      <c r="K19" s="4"/>
      <c r="L19" s="21">
        <f t="shared" ref="L19:L28" si="10">+D19-H19</f>
        <v>-9214.5500000000011</v>
      </c>
      <c r="M19" s="4"/>
      <c r="N19" s="32">
        <f t="shared" ref="N19:N28" si="11">IF(H19=0,0,L19/H19)</f>
        <v>-0.99486617505749242</v>
      </c>
      <c r="O19" s="10"/>
      <c r="P19" s="21">
        <f>SUM(OSRRefP22x_0)</f>
        <v>3102.7400000000002</v>
      </c>
      <c r="Q19" s="21"/>
      <c r="R19" s="32">
        <f t="shared" ref="R19:R28" si="12">IF(P$12=0,0,P19/P$12)</f>
        <v>0</v>
      </c>
      <c r="S19" s="21"/>
      <c r="T19" s="21">
        <f>SUM(OSRRefT22x_0)</f>
        <v>87121.62</v>
      </c>
      <c r="U19" s="21"/>
      <c r="V19" s="32">
        <f t="shared" ref="V19:V28" si="13">IF(T$12=0,0,T19/T$12)</f>
        <v>0</v>
      </c>
      <c r="W19" s="4"/>
      <c r="X19" s="21">
        <f t="shared" ref="X19:X28" si="14">+P19-T19</f>
        <v>-84018.87999999999</v>
      </c>
      <c r="Y19" s="4"/>
      <c r="Z19" s="32">
        <f t="shared" ref="Z19:Z28" si="15">IF(T19=0,0,X19/T19)</f>
        <v>-0.96438610760451882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2789.3199999999997</v>
      </c>
      <c r="I20" s="1"/>
      <c r="J20" s="5">
        <f t="shared" si="9"/>
        <v>0</v>
      </c>
      <c r="K20" s="1"/>
      <c r="L20" s="1">
        <f t="shared" si="10"/>
        <v>-2789.3199999999997</v>
      </c>
      <c r="M20" s="1"/>
      <c r="N20" s="5">
        <f t="shared" si="11"/>
        <v>-1</v>
      </c>
      <c r="O20" s="13"/>
      <c r="P20" s="1">
        <f>SUM(OSRRefP22_0x_0)</f>
        <v>2478.73</v>
      </c>
      <c r="Q20" s="1"/>
      <c r="R20" s="5">
        <f t="shared" si="12"/>
        <v>0</v>
      </c>
      <c r="S20" s="1"/>
      <c r="T20" s="1">
        <f>SUM(OSRRefT22_0x_0)</f>
        <v>33315.369999999995</v>
      </c>
      <c r="U20" s="1"/>
      <c r="V20" s="5">
        <f t="shared" si="13"/>
        <v>0</v>
      </c>
      <c r="W20" s="1"/>
      <c r="X20" s="1">
        <f t="shared" si="14"/>
        <v>-30836.639999999996</v>
      </c>
      <c r="Y20" s="1"/>
      <c r="Z20" s="5">
        <f t="shared" si="15"/>
        <v>-0.92559800476476772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6"/>
      <c r="E21" s="2"/>
      <c r="F21" s="7">
        <f t="shared" si="8"/>
        <v>0</v>
      </c>
      <c r="G21" s="2"/>
      <c r="H21" s="6">
        <v>384.92</v>
      </c>
      <c r="I21" s="2"/>
      <c r="J21" s="7">
        <f t="shared" si="9"/>
        <v>0</v>
      </c>
      <c r="K21" s="2"/>
      <c r="L21" s="6">
        <f t="shared" si="10"/>
        <v>-384.92</v>
      </c>
      <c r="M21" s="2"/>
      <c r="N21" s="7">
        <f t="shared" si="11"/>
        <v>-1</v>
      </c>
      <c r="O21" s="11"/>
      <c r="P21" s="6"/>
      <c r="Q21" s="2"/>
      <c r="R21" s="7">
        <f t="shared" si="12"/>
        <v>0</v>
      </c>
      <c r="S21" s="2"/>
      <c r="T21" s="6">
        <v>4559.1499999999996</v>
      </c>
      <c r="U21" s="2"/>
      <c r="V21" s="7">
        <f t="shared" si="13"/>
        <v>0</v>
      </c>
      <c r="W21" s="2"/>
      <c r="X21" s="6">
        <f t="shared" si="14"/>
        <v>-4559.1499999999996</v>
      </c>
      <c r="Y21" s="2"/>
      <c r="Z21" s="7">
        <f t="shared" si="15"/>
        <v>-1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6"/>
      <c r="E22" s="2"/>
      <c r="F22" s="7">
        <f t="shared" si="8"/>
        <v>0</v>
      </c>
      <c r="G22" s="2"/>
      <c r="H22" s="6">
        <v>17.11</v>
      </c>
      <c r="I22" s="2"/>
      <c r="J22" s="7">
        <f t="shared" si="9"/>
        <v>0</v>
      </c>
      <c r="K22" s="2"/>
      <c r="L22" s="6">
        <f t="shared" si="10"/>
        <v>-17.11</v>
      </c>
      <c r="M22" s="2"/>
      <c r="N22" s="7">
        <f t="shared" si="11"/>
        <v>-1</v>
      </c>
      <c r="O22" s="11"/>
      <c r="P22" s="6"/>
      <c r="Q22" s="2"/>
      <c r="R22" s="7">
        <f t="shared" si="12"/>
        <v>0</v>
      </c>
      <c r="S22" s="2"/>
      <c r="T22" s="6">
        <v>159.32</v>
      </c>
      <c r="U22" s="2"/>
      <c r="V22" s="7">
        <f t="shared" si="13"/>
        <v>0</v>
      </c>
      <c r="W22" s="2"/>
      <c r="X22" s="6">
        <f t="shared" si="14"/>
        <v>-159.32</v>
      </c>
      <c r="Y22" s="2"/>
      <c r="Z22" s="7">
        <f t="shared" si="15"/>
        <v>-1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6"/>
      <c r="E23" s="2"/>
      <c r="F23" s="7">
        <f t="shared" si="8"/>
        <v>0</v>
      </c>
      <c r="G23" s="2"/>
      <c r="H23" s="6">
        <v>1016.65</v>
      </c>
      <c r="I23" s="2"/>
      <c r="J23" s="7">
        <f t="shared" si="9"/>
        <v>0</v>
      </c>
      <c r="K23" s="2"/>
      <c r="L23" s="6">
        <f t="shared" si="10"/>
        <v>-1016.65</v>
      </c>
      <c r="M23" s="2"/>
      <c r="N23" s="7">
        <f t="shared" si="11"/>
        <v>-1</v>
      </c>
      <c r="O23" s="11"/>
      <c r="P23" s="6">
        <v>1868.2</v>
      </c>
      <c r="Q23" s="2"/>
      <c r="R23" s="7">
        <f t="shared" si="12"/>
        <v>0</v>
      </c>
      <c r="S23" s="2"/>
      <c r="T23" s="6">
        <v>8101.88</v>
      </c>
      <c r="U23" s="2"/>
      <c r="V23" s="7">
        <f t="shared" si="13"/>
        <v>0</v>
      </c>
      <c r="W23" s="2"/>
      <c r="X23" s="6">
        <f t="shared" si="14"/>
        <v>-6233.68</v>
      </c>
      <c r="Y23" s="2"/>
      <c r="Z23" s="7">
        <f t="shared" si="15"/>
        <v>-0.76941154398732148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6"/>
      <c r="E24" s="2"/>
      <c r="F24" s="7">
        <f t="shared" si="8"/>
        <v>0</v>
      </c>
      <c r="G24" s="2"/>
      <c r="H24" s="6">
        <v>13.08</v>
      </c>
      <c r="I24" s="2"/>
      <c r="J24" s="7">
        <f t="shared" si="9"/>
        <v>0</v>
      </c>
      <c r="K24" s="2"/>
      <c r="L24" s="6">
        <f t="shared" si="10"/>
        <v>-13.08</v>
      </c>
      <c r="M24" s="2"/>
      <c r="N24" s="7">
        <f t="shared" si="11"/>
        <v>-1</v>
      </c>
      <c r="O24" s="11"/>
      <c r="P24" s="6"/>
      <c r="Q24" s="2"/>
      <c r="R24" s="7">
        <f t="shared" si="12"/>
        <v>0</v>
      </c>
      <c r="S24" s="2"/>
      <c r="T24" s="6">
        <v>134.31</v>
      </c>
      <c r="U24" s="2"/>
      <c r="V24" s="7">
        <f t="shared" si="13"/>
        <v>0</v>
      </c>
      <c r="W24" s="2"/>
      <c r="X24" s="6">
        <f t="shared" si="14"/>
        <v>-134.31</v>
      </c>
      <c r="Y24" s="2"/>
      <c r="Z24" s="7">
        <f t="shared" si="15"/>
        <v>-1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6"/>
      <c r="E25" s="2"/>
      <c r="F25" s="7">
        <f t="shared" si="8"/>
        <v>0</v>
      </c>
      <c r="G25" s="2"/>
      <c r="H25" s="6">
        <v>514.27</v>
      </c>
      <c r="I25" s="2"/>
      <c r="J25" s="7">
        <f t="shared" si="9"/>
        <v>0</v>
      </c>
      <c r="K25" s="2"/>
      <c r="L25" s="6">
        <f t="shared" si="10"/>
        <v>-514.27</v>
      </c>
      <c r="M25" s="2"/>
      <c r="N25" s="7">
        <f t="shared" si="11"/>
        <v>-1</v>
      </c>
      <c r="O25" s="11"/>
      <c r="P25" s="6">
        <v>610.53</v>
      </c>
      <c r="Q25" s="2"/>
      <c r="R25" s="7">
        <f t="shared" si="12"/>
        <v>0</v>
      </c>
      <c r="S25" s="2"/>
      <c r="T25" s="6">
        <v>5280.61</v>
      </c>
      <c r="U25" s="2"/>
      <c r="V25" s="7">
        <f t="shared" si="13"/>
        <v>0</v>
      </c>
      <c r="W25" s="2"/>
      <c r="X25" s="6">
        <f t="shared" si="14"/>
        <v>-4670.08</v>
      </c>
      <c r="Y25" s="2"/>
      <c r="Z25" s="7">
        <f t="shared" si="15"/>
        <v>-0.88438267548635485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/>
      <c r="E26" s="2"/>
      <c r="F26" s="7">
        <f t="shared" si="8"/>
        <v>0</v>
      </c>
      <c r="G26" s="2"/>
      <c r="H26" s="6">
        <v>464.78</v>
      </c>
      <c r="I26" s="2"/>
      <c r="J26" s="7">
        <f t="shared" si="9"/>
        <v>0</v>
      </c>
      <c r="K26" s="2"/>
      <c r="L26" s="6">
        <f t="shared" si="10"/>
        <v>-464.78</v>
      </c>
      <c r="M26" s="2"/>
      <c r="N26" s="7">
        <f t="shared" si="11"/>
        <v>-1</v>
      </c>
      <c r="O26" s="11"/>
      <c r="P26" s="6"/>
      <c r="Q26" s="2"/>
      <c r="R26" s="7">
        <f t="shared" si="12"/>
        <v>0</v>
      </c>
      <c r="S26" s="2"/>
      <c r="T26" s="6">
        <v>5313.37</v>
      </c>
      <c r="U26" s="2"/>
      <c r="V26" s="7">
        <f t="shared" si="13"/>
        <v>0</v>
      </c>
      <c r="W26" s="2"/>
      <c r="X26" s="6">
        <f t="shared" si="14"/>
        <v>-5313.37</v>
      </c>
      <c r="Y26" s="2"/>
      <c r="Z26" s="7">
        <f t="shared" si="15"/>
        <v>-1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/>
      <c r="E27" s="2"/>
      <c r="F27" s="7">
        <f t="shared" si="8"/>
        <v>0</v>
      </c>
      <c r="G27" s="2"/>
      <c r="H27" s="6">
        <v>232.08</v>
      </c>
      <c r="I27" s="2"/>
      <c r="J27" s="7">
        <f t="shared" si="9"/>
        <v>0</v>
      </c>
      <c r="K27" s="2"/>
      <c r="L27" s="6">
        <f t="shared" si="10"/>
        <v>-232.08</v>
      </c>
      <c r="M27" s="2"/>
      <c r="N27" s="7">
        <f t="shared" si="11"/>
        <v>-1</v>
      </c>
      <c r="O27" s="11"/>
      <c r="P27" s="6"/>
      <c r="Q27" s="2"/>
      <c r="R27" s="7">
        <f t="shared" si="12"/>
        <v>0</v>
      </c>
      <c r="S27" s="2"/>
      <c r="T27" s="6">
        <v>8584.1200000000008</v>
      </c>
      <c r="U27" s="2"/>
      <c r="V27" s="7">
        <f t="shared" si="13"/>
        <v>0</v>
      </c>
      <c r="W27" s="2"/>
      <c r="X27" s="6">
        <f t="shared" si="14"/>
        <v>-8584.1200000000008</v>
      </c>
      <c r="Y27" s="2"/>
      <c r="Z27" s="7">
        <f t="shared" si="15"/>
        <v>-1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8"/>
        <v>0</v>
      </c>
      <c r="G28" s="2"/>
      <c r="H28" s="6">
        <v>146.43</v>
      </c>
      <c r="I28" s="2"/>
      <c r="J28" s="7">
        <f t="shared" si="9"/>
        <v>0</v>
      </c>
      <c r="K28" s="2"/>
      <c r="L28" s="6">
        <f t="shared" si="10"/>
        <v>-146.43</v>
      </c>
      <c r="M28" s="2"/>
      <c r="N28" s="7">
        <f t="shared" si="11"/>
        <v>-1</v>
      </c>
      <c r="O28" s="11"/>
      <c r="P28" s="6"/>
      <c r="Q28" s="2"/>
      <c r="R28" s="7">
        <f t="shared" si="12"/>
        <v>0</v>
      </c>
      <c r="S28" s="2"/>
      <c r="T28" s="6">
        <v>1182.6099999999999</v>
      </c>
      <c r="U28" s="2"/>
      <c r="V28" s="7">
        <f t="shared" si="13"/>
        <v>0</v>
      </c>
      <c r="W28" s="2"/>
      <c r="X28" s="6">
        <f t="shared" si="14"/>
        <v>-1182.6099999999999</v>
      </c>
      <c r="Y28" s="2"/>
      <c r="Z28" s="7">
        <f t="shared" si="15"/>
        <v>-1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0</v>
      </c>
      <c r="E29" s="1"/>
      <c r="F29" s="5">
        <f t="shared" ref="F29:F38" si="16">IF(D$12=0,0,D29/D$12)</f>
        <v>0</v>
      </c>
      <c r="G29" s="1"/>
      <c r="H29" s="1">
        <f>SUM(OSRRefH22_1x_0)</f>
        <v>6540.5</v>
      </c>
      <c r="I29" s="1"/>
      <c r="J29" s="5">
        <f t="shared" ref="J29:J38" si="17">IF(H$12=0,0,H29/H$12)</f>
        <v>0</v>
      </c>
      <c r="K29" s="1"/>
      <c r="L29" s="1">
        <f t="shared" ref="L29:L38" si="18">+D29-H29</f>
        <v>-6540.5</v>
      </c>
      <c r="M29" s="1"/>
      <c r="N29" s="5">
        <f t="shared" ref="N29:N38" si="19">IF(H29=0,0,L29/H29)</f>
        <v>-1</v>
      </c>
      <c r="O29" s="13"/>
      <c r="P29" s="1">
        <f>SUM(OSRRefP22_1x_0)</f>
        <v>0</v>
      </c>
      <c r="Q29" s="1"/>
      <c r="R29" s="5">
        <f t="shared" ref="R29:R38" si="20">IF(P$12=0,0,P29/P$12)</f>
        <v>0</v>
      </c>
      <c r="S29" s="1"/>
      <c r="T29" s="1">
        <f>SUM(OSRRefT22_1x_0)</f>
        <v>39954.380000000005</v>
      </c>
      <c r="U29" s="1"/>
      <c r="V29" s="5">
        <f t="shared" ref="V29:V38" si="21">IF(T$12=0,0,T29/T$12)</f>
        <v>0</v>
      </c>
      <c r="W29" s="1"/>
      <c r="X29" s="1">
        <f t="shared" ref="X29:X38" si="22">+P29-T29</f>
        <v>-39954.380000000005</v>
      </c>
      <c r="Y29" s="1"/>
      <c r="Z29" s="5">
        <f t="shared" ref="Z29:Z38" si="23">IF(T29=0,0,X29/T29)</f>
        <v>-1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16"/>
        <v>0</v>
      </c>
      <c r="G30" s="2"/>
      <c r="H30" s="6">
        <v>6540.5</v>
      </c>
      <c r="I30" s="2"/>
      <c r="J30" s="7">
        <f t="shared" si="17"/>
        <v>0</v>
      </c>
      <c r="K30" s="2"/>
      <c r="L30" s="6">
        <f t="shared" si="18"/>
        <v>-6540.5</v>
      </c>
      <c r="M30" s="2"/>
      <c r="N30" s="7">
        <f t="shared" si="19"/>
        <v>-1</v>
      </c>
      <c r="O30" s="11"/>
      <c r="P30" s="6"/>
      <c r="Q30" s="2"/>
      <c r="R30" s="7">
        <f t="shared" si="20"/>
        <v>0</v>
      </c>
      <c r="S30" s="2"/>
      <c r="T30" s="6">
        <v>39954.380000000005</v>
      </c>
      <c r="U30" s="2"/>
      <c r="V30" s="7">
        <f t="shared" si="21"/>
        <v>0</v>
      </c>
      <c r="W30" s="2"/>
      <c r="X30" s="6">
        <f t="shared" si="22"/>
        <v>-39954.380000000005</v>
      </c>
      <c r="Y30" s="2"/>
      <c r="Z30" s="7">
        <f t="shared" si="23"/>
        <v>-1</v>
      </c>
    </row>
    <row r="31" spans="1:26" s="25" customFormat="1" outlineLevel="1" collapsed="1" x14ac:dyDescent="0.25">
      <c r="A31" s="27"/>
      <c r="B31" s="13" t="str">
        <f>CONCATENATE("     ","General                                           ")</f>
        <v xml:space="preserve">     General                                           </v>
      </c>
      <c r="C31" s="13"/>
      <c r="D31" s="1">
        <f>SUM(OSRRefD22_2x_0)</f>
        <v>0</v>
      </c>
      <c r="E31" s="1"/>
      <c r="F31" s="5">
        <f t="shared" si="16"/>
        <v>0</v>
      </c>
      <c r="G31" s="1"/>
      <c r="H31" s="1">
        <f>SUM(OSRRefH22_2x_0)</f>
        <v>0</v>
      </c>
      <c r="I31" s="1"/>
      <c r="J31" s="5">
        <f t="shared" si="17"/>
        <v>0</v>
      </c>
      <c r="K31" s="1"/>
      <c r="L31" s="1">
        <f t="shared" si="18"/>
        <v>0</v>
      </c>
      <c r="M31" s="1"/>
      <c r="N31" s="5">
        <f t="shared" si="19"/>
        <v>0</v>
      </c>
      <c r="O31" s="13"/>
      <c r="P31" s="1">
        <f>SUM(OSRRefP22_2x_0)</f>
        <v>0</v>
      </c>
      <c r="Q31" s="1"/>
      <c r="R31" s="5">
        <f t="shared" si="20"/>
        <v>0</v>
      </c>
      <c r="S31" s="1"/>
      <c r="T31" s="1">
        <f>SUM(OSRRefT22_2x_0)</f>
        <v>2443.65</v>
      </c>
      <c r="U31" s="1"/>
      <c r="V31" s="5">
        <f t="shared" si="21"/>
        <v>0</v>
      </c>
      <c r="W31" s="1"/>
      <c r="X31" s="1">
        <f t="shared" si="22"/>
        <v>-2443.65</v>
      </c>
      <c r="Y31" s="1"/>
      <c r="Z31" s="5">
        <f t="shared" si="23"/>
        <v>-1</v>
      </c>
    </row>
    <row r="32" spans="1:26" s="24" customFormat="1" hidden="1" outlineLevel="2" x14ac:dyDescent="0.25">
      <c r="A32" s="26"/>
      <c r="B32" s="11" t="str">
        <f>CONCATENATE("          ", "6279", " - ", "GENERAL EXPENSE")</f>
        <v xml:space="preserve">          6279 - GENERAL EXPENSE</v>
      </c>
      <c r="C32" s="11"/>
      <c r="D32" s="6"/>
      <c r="E32" s="2"/>
      <c r="F32" s="7">
        <f t="shared" si="16"/>
        <v>0</v>
      </c>
      <c r="G32" s="2"/>
      <c r="H32" s="6"/>
      <c r="I32" s="2"/>
      <c r="J32" s="7">
        <f t="shared" si="17"/>
        <v>0</v>
      </c>
      <c r="K32" s="2"/>
      <c r="L32" s="6">
        <f t="shared" si="18"/>
        <v>0</v>
      </c>
      <c r="M32" s="2"/>
      <c r="N32" s="7">
        <f t="shared" si="19"/>
        <v>0</v>
      </c>
      <c r="O32" s="11"/>
      <c r="P32" s="6"/>
      <c r="Q32" s="2"/>
      <c r="R32" s="7">
        <f t="shared" si="20"/>
        <v>0</v>
      </c>
      <c r="S32" s="2"/>
      <c r="T32" s="6">
        <v>2443.65</v>
      </c>
      <c r="U32" s="2"/>
      <c r="V32" s="7">
        <f t="shared" si="21"/>
        <v>0</v>
      </c>
      <c r="W32" s="2"/>
      <c r="X32" s="6">
        <f t="shared" si="22"/>
        <v>-2443.65</v>
      </c>
      <c r="Y32" s="2"/>
      <c r="Z32" s="7">
        <f t="shared" si="23"/>
        <v>-1</v>
      </c>
    </row>
    <row r="33" spans="1:26" s="25" customFormat="1" outlineLevel="1" collapsed="1" x14ac:dyDescent="0.25">
      <c r="A33" s="27"/>
      <c r="B33" s="13" t="str">
        <f>CONCATENATE("     ","Royalty &amp; Commissions                             ")</f>
        <v xml:space="preserve">     Royalty &amp; Commissions                             </v>
      </c>
      <c r="C33" s="13"/>
      <c r="D33" s="1">
        <f>SUM(OSRRefD22_3x_0)</f>
        <v>0</v>
      </c>
      <c r="E33" s="1"/>
      <c r="F33" s="5">
        <f t="shared" si="16"/>
        <v>0</v>
      </c>
      <c r="G33" s="1"/>
      <c r="H33" s="1">
        <f>SUM(OSRRefH22_3x_0)</f>
        <v>0</v>
      </c>
      <c r="I33" s="1"/>
      <c r="J33" s="5">
        <f t="shared" si="17"/>
        <v>0</v>
      </c>
      <c r="K33" s="1"/>
      <c r="L33" s="1">
        <f t="shared" si="18"/>
        <v>0</v>
      </c>
      <c r="M33" s="1"/>
      <c r="N33" s="5">
        <f t="shared" si="19"/>
        <v>0</v>
      </c>
      <c r="O33" s="13"/>
      <c r="P33" s="1">
        <f>SUM(OSRRefP22_3x_0)</f>
        <v>0</v>
      </c>
      <c r="Q33" s="1"/>
      <c r="R33" s="5">
        <f t="shared" si="20"/>
        <v>0</v>
      </c>
      <c r="S33" s="1"/>
      <c r="T33" s="1">
        <f>SUM(OSRRefT22_3x_0)</f>
        <v>10393.31</v>
      </c>
      <c r="U33" s="1"/>
      <c r="V33" s="5">
        <f t="shared" si="21"/>
        <v>0</v>
      </c>
      <c r="W33" s="1"/>
      <c r="X33" s="1">
        <f t="shared" si="22"/>
        <v>-10393.31</v>
      </c>
      <c r="Y33" s="1"/>
      <c r="Z33" s="5">
        <f t="shared" si="23"/>
        <v>-1</v>
      </c>
    </row>
    <row r="34" spans="1:26" s="24" customFormat="1" hidden="1" outlineLevel="2" x14ac:dyDescent="0.25">
      <c r="A34" s="26"/>
      <c r="B34" s="11" t="str">
        <f>CONCATENATE("          ", "6254", " - ", "ROYALTY &amp; COMMISSIONS")</f>
        <v xml:space="preserve">          6254 - ROYALTY &amp; COMMISSIONS</v>
      </c>
      <c r="C34" s="11"/>
      <c r="D34" s="6"/>
      <c r="E34" s="2"/>
      <c r="F34" s="7">
        <f t="shared" si="16"/>
        <v>0</v>
      </c>
      <c r="G34" s="2"/>
      <c r="H34" s="6"/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/>
      <c r="Q34" s="2"/>
      <c r="R34" s="7">
        <f t="shared" si="20"/>
        <v>0</v>
      </c>
      <c r="S34" s="2"/>
      <c r="T34" s="6">
        <v>10393.31</v>
      </c>
      <c r="U34" s="2"/>
      <c r="V34" s="7">
        <f t="shared" si="21"/>
        <v>0</v>
      </c>
      <c r="W34" s="2"/>
      <c r="X34" s="6">
        <f t="shared" si="22"/>
        <v>-10393.31</v>
      </c>
      <c r="Y34" s="2"/>
      <c r="Z34" s="7">
        <f t="shared" si="23"/>
        <v>-1</v>
      </c>
    </row>
    <row r="35" spans="1:26" s="25" customFormat="1" outlineLevel="1" collapsed="1" x14ac:dyDescent="0.25">
      <c r="A35" s="27"/>
      <c r="B35" s="13" t="str">
        <f>CONCATENATE("     ","Supplies                                          ")</f>
        <v xml:space="preserve">     Supplies                                          </v>
      </c>
      <c r="C35" s="13"/>
      <c r="D35" s="1">
        <f>SUM(OSRRefD22_4x_0)</f>
        <v>11.55</v>
      </c>
      <c r="E35" s="1"/>
      <c r="F35" s="5">
        <f t="shared" si="16"/>
        <v>0</v>
      </c>
      <c r="G35" s="1"/>
      <c r="H35" s="1">
        <f>SUM(OSRRefH22_4x_0)</f>
        <v>-4.07</v>
      </c>
      <c r="I35" s="1"/>
      <c r="J35" s="5">
        <f t="shared" si="17"/>
        <v>0</v>
      </c>
      <c r="K35" s="1"/>
      <c r="L35" s="1">
        <f t="shared" si="18"/>
        <v>15.620000000000001</v>
      </c>
      <c r="M35" s="1"/>
      <c r="N35" s="5">
        <f t="shared" si="19"/>
        <v>-3.8378378378378377</v>
      </c>
      <c r="O35" s="13"/>
      <c r="P35" s="1">
        <f>SUM(OSRRefP22_4x_0)</f>
        <v>-2.99</v>
      </c>
      <c r="Q35" s="1"/>
      <c r="R35" s="5">
        <f t="shared" si="20"/>
        <v>0</v>
      </c>
      <c r="S35" s="1"/>
      <c r="T35" s="1">
        <f>SUM(OSRRefT22_4x_0)</f>
        <v>72.86</v>
      </c>
      <c r="U35" s="1"/>
      <c r="V35" s="5">
        <f t="shared" si="21"/>
        <v>0</v>
      </c>
      <c r="W35" s="1"/>
      <c r="X35" s="1">
        <f t="shared" si="22"/>
        <v>-75.849999999999994</v>
      </c>
      <c r="Y35" s="1"/>
      <c r="Z35" s="5">
        <f t="shared" si="23"/>
        <v>-1.0410376063683777</v>
      </c>
    </row>
    <row r="36" spans="1:26" s="24" customFormat="1" hidden="1" outlineLevel="2" x14ac:dyDescent="0.25">
      <c r="A36" s="26"/>
      <c r="B36" s="11" t="str">
        <f>CONCATENATE("          ", "6241", " - ", "OFFICE EXPENSE")</f>
        <v xml:space="preserve">          6241 - OFFICE EXPENSE</v>
      </c>
      <c r="C36" s="11"/>
      <c r="D36" s="6">
        <v>11.55</v>
      </c>
      <c r="E36" s="2"/>
      <c r="F36" s="7">
        <f t="shared" si="16"/>
        <v>0</v>
      </c>
      <c r="G36" s="2"/>
      <c r="H36" s="6">
        <v>-4.07</v>
      </c>
      <c r="I36" s="2"/>
      <c r="J36" s="7">
        <f t="shared" si="17"/>
        <v>0</v>
      </c>
      <c r="K36" s="2"/>
      <c r="L36" s="6">
        <f t="shared" si="18"/>
        <v>15.620000000000001</v>
      </c>
      <c r="M36" s="2"/>
      <c r="N36" s="7">
        <f t="shared" si="19"/>
        <v>-3.8378378378378377</v>
      </c>
      <c r="O36" s="11"/>
      <c r="P36" s="6">
        <v>-2.99</v>
      </c>
      <c r="Q36" s="2"/>
      <c r="R36" s="7">
        <f t="shared" si="20"/>
        <v>0</v>
      </c>
      <c r="S36" s="2"/>
      <c r="T36" s="6">
        <v>72.86</v>
      </c>
      <c r="U36" s="2"/>
      <c r="V36" s="7">
        <f t="shared" si="21"/>
        <v>0</v>
      </c>
      <c r="W36" s="2"/>
      <c r="X36" s="6">
        <f t="shared" si="22"/>
        <v>-75.849999999999994</v>
      </c>
      <c r="Y36" s="2"/>
      <c r="Z36" s="7">
        <f t="shared" si="23"/>
        <v>-1.0410376063683777</v>
      </c>
    </row>
    <row r="37" spans="1:26" s="25" customFormat="1" outlineLevel="1" collapsed="1" x14ac:dyDescent="0.25">
      <c r="A37" s="27"/>
      <c r="B37" s="13" t="str">
        <f>CONCATENATE("     ","Telephone/Data Lines                              ")</f>
        <v xml:space="preserve">     Telephone/Data Lines                              </v>
      </c>
      <c r="C37" s="13"/>
      <c r="D37" s="1">
        <f>SUM(OSRRefD22_5x_0)</f>
        <v>36</v>
      </c>
      <c r="E37" s="1"/>
      <c r="F37" s="5">
        <f t="shared" si="16"/>
        <v>0</v>
      </c>
      <c r="G37" s="1"/>
      <c r="H37" s="1">
        <f>SUM(OSRRefH22_5x_0)</f>
        <v>-63.65</v>
      </c>
      <c r="I37" s="1"/>
      <c r="J37" s="5">
        <f t="shared" si="17"/>
        <v>0</v>
      </c>
      <c r="K37" s="1"/>
      <c r="L37" s="1">
        <f t="shared" si="18"/>
        <v>99.65</v>
      </c>
      <c r="M37" s="1"/>
      <c r="N37" s="5">
        <f t="shared" si="19"/>
        <v>-1.565593087195601</v>
      </c>
      <c r="O37" s="13"/>
      <c r="P37" s="1">
        <f>SUM(OSRRefP22_5x_0)</f>
        <v>627</v>
      </c>
      <c r="Q37" s="1"/>
      <c r="R37" s="5">
        <f t="shared" si="20"/>
        <v>0</v>
      </c>
      <c r="S37" s="1"/>
      <c r="T37" s="1">
        <f>SUM(OSRRefT22_5x_0)</f>
        <v>942.05</v>
      </c>
      <c r="U37" s="1"/>
      <c r="V37" s="5">
        <f t="shared" si="21"/>
        <v>0</v>
      </c>
      <c r="W37" s="1"/>
      <c r="X37" s="1">
        <f t="shared" si="22"/>
        <v>-315.04999999999995</v>
      </c>
      <c r="Y37" s="1"/>
      <c r="Z37" s="5">
        <f t="shared" si="23"/>
        <v>-0.33443023194097976</v>
      </c>
    </row>
    <row r="38" spans="1:26" s="24" customFormat="1" hidden="1" outlineLevel="2" x14ac:dyDescent="0.25">
      <c r="A38" s="26"/>
      <c r="B38" s="11" t="str">
        <f>CONCATENATE("          ", "6309", " - ", "TELEPHONE")</f>
        <v xml:space="preserve">          6309 - TELEPHONE</v>
      </c>
      <c r="C38" s="11"/>
      <c r="D38" s="6">
        <v>36</v>
      </c>
      <c r="E38" s="2"/>
      <c r="F38" s="7">
        <f t="shared" si="16"/>
        <v>0</v>
      </c>
      <c r="G38" s="2"/>
      <c r="H38" s="6">
        <v>-63.65</v>
      </c>
      <c r="I38" s="2"/>
      <c r="J38" s="7">
        <f t="shared" si="17"/>
        <v>0</v>
      </c>
      <c r="K38" s="2"/>
      <c r="L38" s="6">
        <f t="shared" si="18"/>
        <v>99.65</v>
      </c>
      <c r="M38" s="2"/>
      <c r="N38" s="7">
        <f t="shared" si="19"/>
        <v>-1.565593087195601</v>
      </c>
      <c r="O38" s="11"/>
      <c r="P38" s="6">
        <v>627</v>
      </c>
      <c r="Q38" s="2"/>
      <c r="R38" s="7">
        <f t="shared" si="20"/>
        <v>0</v>
      </c>
      <c r="S38" s="2"/>
      <c r="T38" s="6">
        <v>942.05</v>
      </c>
      <c r="U38" s="2"/>
      <c r="V38" s="7">
        <f t="shared" si="21"/>
        <v>0</v>
      </c>
      <c r="W38" s="2"/>
      <c r="X38" s="6">
        <f t="shared" si="22"/>
        <v>-315.04999999999995</v>
      </c>
      <c r="Y38" s="2"/>
      <c r="Z38" s="7">
        <f t="shared" si="23"/>
        <v>-0.33443023194097976</v>
      </c>
    </row>
    <row r="39" spans="1:26" s="52" customFormat="1" x14ac:dyDescent="0.25">
      <c r="A39" s="37"/>
      <c r="B39" s="37"/>
      <c r="C39" s="37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7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collapsed="1" x14ac:dyDescent="0.25">
      <c r="A40" s="10"/>
      <c r="B40" s="28" t="s">
        <v>0</v>
      </c>
      <c r="C40" s="10"/>
      <c r="D40" s="4">
        <f>SUM(OSRRefD25x_0)</f>
        <v>0</v>
      </c>
      <c r="E40" s="4"/>
      <c r="F40" s="12">
        <f t="shared" ref="F40:F41" si="24">IF(D$12=0,0,D40/D$12)</f>
        <v>0</v>
      </c>
      <c r="G40" s="4"/>
      <c r="H40" s="4">
        <f>SUM(OSRRefH25x_0)</f>
        <v>5937.18</v>
      </c>
      <c r="I40" s="4"/>
      <c r="J40" s="12">
        <f t="shared" ref="J40:J41" si="25">IF(H$12=0,0,H40/H$12)</f>
        <v>0</v>
      </c>
      <c r="K40" s="4"/>
      <c r="L40" s="4">
        <f t="shared" ref="L40:L41" si="26">+D40-H40</f>
        <v>-5937.18</v>
      </c>
      <c r="M40" s="4"/>
      <c r="N40" s="12">
        <f t="shared" ref="N40:N41" si="27">IF(H40=0,0,L40/H40)</f>
        <v>-1</v>
      </c>
      <c r="O40" s="10"/>
      <c r="P40" s="4">
        <f>SUM(OSRRefP25x_0)</f>
        <v>0</v>
      </c>
      <c r="Q40" s="4"/>
      <c r="R40" s="12">
        <f t="shared" ref="R40:R41" si="28">IF(P$12=0,0,P40/P$12)</f>
        <v>0</v>
      </c>
      <c r="S40" s="4"/>
      <c r="T40" s="4">
        <f>SUM(OSRRefT25x_0)</f>
        <v>120332.8</v>
      </c>
      <c r="U40" s="4"/>
      <c r="V40" s="12">
        <f t="shared" ref="V40:V41" si="29">IF(T$12=0,0,T40/T$12)</f>
        <v>0</v>
      </c>
      <c r="W40" s="4"/>
      <c r="X40" s="4">
        <f t="shared" ref="X40:X41" si="30">+P40-T40</f>
        <v>-120332.8</v>
      </c>
      <c r="Y40" s="4"/>
      <c r="Z40" s="12">
        <f t="shared" ref="Z40:Z41" si="31">IF(T40=0,0,X40/T40)</f>
        <v>-1</v>
      </c>
    </row>
    <row r="41" spans="1:26" s="24" customFormat="1" hidden="1" outlineLevel="1" x14ac:dyDescent="0.25">
      <c r="A41" s="44"/>
      <c r="B41" s="11" t="str">
        <f>CONCATENATE("          ", "9150", " - ", "MISC. INCOME")</f>
        <v xml:space="preserve">          9150 - MISC. INCOME</v>
      </c>
      <c r="C41" s="11"/>
      <c r="D41" s="2">
        <f>0</f>
        <v>0</v>
      </c>
      <c r="E41" s="2"/>
      <c r="F41" s="19">
        <f t="shared" si="24"/>
        <v>0</v>
      </c>
      <c r="G41" s="2"/>
      <c r="H41" s="2">
        <f>--5937.18</f>
        <v>5937.18</v>
      </c>
      <c r="I41" s="2"/>
      <c r="J41" s="19">
        <f t="shared" si="25"/>
        <v>0</v>
      </c>
      <c r="K41" s="2"/>
      <c r="L41" s="2">
        <f t="shared" si="26"/>
        <v>-5937.18</v>
      </c>
      <c r="M41" s="2"/>
      <c r="N41" s="19">
        <f t="shared" si="27"/>
        <v>-1</v>
      </c>
      <c r="O41" s="11"/>
      <c r="P41" s="2">
        <f>0</f>
        <v>0</v>
      </c>
      <c r="Q41" s="2"/>
      <c r="R41" s="19">
        <f t="shared" si="28"/>
        <v>0</v>
      </c>
      <c r="S41" s="2"/>
      <c r="T41" s="2">
        <f>--120332.8</f>
        <v>120332.8</v>
      </c>
      <c r="U41" s="2"/>
      <c r="V41" s="19">
        <f t="shared" si="29"/>
        <v>0</v>
      </c>
      <c r="W41" s="2"/>
      <c r="X41" s="2">
        <f t="shared" si="30"/>
        <v>-120332.8</v>
      </c>
      <c r="Y41" s="2"/>
      <c r="Z41" s="19">
        <f t="shared" si="31"/>
        <v>-1</v>
      </c>
    </row>
    <row r="42" spans="1:26" x14ac:dyDescent="0.25">
      <c r="A42" s="9"/>
      <c r="B42" s="10"/>
      <c r="C42" s="10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O42" s="10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x14ac:dyDescent="0.25">
      <c r="A43" s="10"/>
      <c r="B43" s="29" t="s">
        <v>3</v>
      </c>
      <c r="C43" s="29"/>
      <c r="D43" s="22">
        <f>+D17-D19+D40</f>
        <v>-47.55</v>
      </c>
      <c r="E43" s="14"/>
      <c r="F43" s="20">
        <f>IF(D$12=0,0,D43/D$12)</f>
        <v>0</v>
      </c>
      <c r="G43" s="14"/>
      <c r="H43" s="22">
        <f>+H17-H19+H40</f>
        <v>-3324.92</v>
      </c>
      <c r="I43" s="14"/>
      <c r="J43" s="20">
        <f>IF(H$12=0,0,H43/H$12)</f>
        <v>0</v>
      </c>
      <c r="K43" s="16"/>
      <c r="L43" s="22">
        <f>+D43-H43</f>
        <v>3277.37</v>
      </c>
      <c r="M43" s="16"/>
      <c r="N43" s="20">
        <f>IF(H43=0,0,L43/H43)</f>
        <v>-0.98569890403378124</v>
      </c>
      <c r="O43" s="28"/>
      <c r="P43" s="22">
        <f>+P17-P19+P40</f>
        <v>-3102.7400000000002</v>
      </c>
      <c r="Q43" s="14"/>
      <c r="R43" s="20">
        <f>IF(P$12=0,0,P43/P$12)</f>
        <v>0</v>
      </c>
      <c r="S43" s="14"/>
      <c r="T43" s="22">
        <f>+T17-T19+T40</f>
        <v>34016.660000000003</v>
      </c>
      <c r="U43" s="14"/>
      <c r="V43" s="20">
        <f>IF(T$12=0,0,T43/T$12)</f>
        <v>0</v>
      </c>
      <c r="W43" s="16"/>
      <c r="X43" s="22">
        <f>+P43-T43</f>
        <v>-37119.4</v>
      </c>
      <c r="Y43" s="16"/>
      <c r="Z43" s="20">
        <f>IF(T43=0,0,X43/T43)</f>
        <v>-1.0912123647647947</v>
      </c>
    </row>
    <row r="44" spans="1:26" x14ac:dyDescent="0.25">
      <c r="A44" s="9"/>
      <c r="B44" s="10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51"/>
      <c r="B45" s="10" t="s">
        <v>13</v>
      </c>
      <c r="C45" s="10"/>
      <c r="D45" s="4"/>
      <c r="E45" s="4"/>
      <c r="F45" s="12">
        <f>IF(D$12=0,0,D45/D$12)</f>
        <v>0</v>
      </c>
      <c r="G45" s="4"/>
      <c r="H45" s="4"/>
      <c r="I45" s="4"/>
      <c r="J45" s="12">
        <f>IF(H$12=0,0,H45/H$12)</f>
        <v>0</v>
      </c>
      <c r="K45" s="4"/>
      <c r="L45" s="4">
        <f>+D45-H45</f>
        <v>0</v>
      </c>
      <c r="M45" s="4"/>
      <c r="N45" s="12">
        <f>IF(H45=0,0,L45/H45)</f>
        <v>0</v>
      </c>
      <c r="O45" s="10"/>
      <c r="P45" s="4"/>
      <c r="Q45" s="4"/>
      <c r="R45" s="12">
        <f>IF(P$12=0,0,P45/P$12)</f>
        <v>0</v>
      </c>
      <c r="S45" s="4"/>
      <c r="T45" s="4"/>
      <c r="U45" s="4"/>
      <c r="V45" s="12">
        <f>IF(T$12=0,0,T45/T$12)</f>
        <v>0</v>
      </c>
      <c r="W45" s="4"/>
      <c r="X45" s="4">
        <f>+P45-T45</f>
        <v>0</v>
      </c>
      <c r="Y45" s="4"/>
      <c r="Z45" s="12">
        <f>IF(T45=0,0,X45/T45)</f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ht="15.75" thickBot="1" x14ac:dyDescent="0.3">
      <c r="A47" s="10"/>
      <c r="B47" s="29" t="s">
        <v>4</v>
      </c>
      <c r="C47" s="29"/>
      <c r="D47" s="35">
        <f>+D43-D45</f>
        <v>-47.55</v>
      </c>
      <c r="E47" s="14"/>
      <c r="F47" s="36">
        <f>IF(D$12=0,0,D47/D$12)</f>
        <v>0</v>
      </c>
      <c r="G47" s="14"/>
      <c r="H47" s="35">
        <f>+H43-H45</f>
        <v>-3324.92</v>
      </c>
      <c r="I47" s="14"/>
      <c r="J47" s="36">
        <f>IF(H$12=0,0,H47/H$12)</f>
        <v>0</v>
      </c>
      <c r="K47" s="16"/>
      <c r="L47" s="35">
        <f>D47-H47</f>
        <v>3277.37</v>
      </c>
      <c r="M47" s="16"/>
      <c r="N47" s="36">
        <f>IF(H47=0,0,L47/H47)</f>
        <v>-0.98569890403378124</v>
      </c>
      <c r="O47" s="28"/>
      <c r="P47" s="35">
        <f>+P43-P45</f>
        <v>-3102.7400000000002</v>
      </c>
      <c r="Q47" s="14"/>
      <c r="R47" s="36">
        <f>IF(P$12=0,0,P47/P$12)</f>
        <v>0</v>
      </c>
      <c r="S47" s="14"/>
      <c r="T47" s="35">
        <f>+T43-T45</f>
        <v>34016.660000000003</v>
      </c>
      <c r="U47" s="14"/>
      <c r="V47" s="36">
        <f>IF(T$12=0,0,T47/T$12)</f>
        <v>0</v>
      </c>
      <c r="W47" s="16"/>
      <c r="X47" s="35">
        <f>P47-T47</f>
        <v>-37119.4</v>
      </c>
      <c r="Y47" s="16"/>
      <c r="Z47" s="36">
        <f>IF(T47=0,0,X47/T47)</f>
        <v>-1.0912123647647947</v>
      </c>
    </row>
    <row r="48" spans="1:26" ht="15.75" thickTop="1" x14ac:dyDescent="0.25">
      <c r="A48" s="9"/>
      <c r="B48" s="9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x14ac:dyDescent="0.25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9" t="s">
        <v>5</v>
      </c>
      <c r="C50" s="29"/>
      <c r="D50" s="31">
        <f>SUM(D47:D49)</f>
        <v>-47.55</v>
      </c>
      <c r="E50" s="14"/>
      <c r="F50" s="33">
        <f>IF(D$12=0,0,D50/D$12)</f>
        <v>0</v>
      </c>
      <c r="G50" s="14"/>
      <c r="H50" s="31">
        <f>SUM(H47:H49)</f>
        <v>-3324.92</v>
      </c>
      <c r="I50" s="14"/>
      <c r="J50" s="33">
        <f>IF(H$12=0,0,H50/H$12)</f>
        <v>0</v>
      </c>
      <c r="K50" s="16"/>
      <c r="L50" s="31">
        <f>+D50-H50</f>
        <v>3277.37</v>
      </c>
      <c r="M50" s="16"/>
      <c r="N50" s="33">
        <f>IF(H50=0,0,L50/H50)</f>
        <v>-0.98569890403378124</v>
      </c>
      <c r="O50" s="28"/>
      <c r="P50" s="31">
        <f>SUM(P47:P49)</f>
        <v>-3102.7400000000002</v>
      </c>
      <c r="Q50" s="14"/>
      <c r="R50" s="33">
        <f>IF(P$12=0,0,P50/P$12)</f>
        <v>0</v>
      </c>
      <c r="S50" s="14"/>
      <c r="T50" s="31">
        <f>SUM(T47:T49)</f>
        <v>34016.660000000003</v>
      </c>
      <c r="U50" s="14"/>
      <c r="V50" s="33">
        <f>IF(T$12=0,0,T50/T$12)</f>
        <v>0</v>
      </c>
      <c r="W50" s="16"/>
      <c r="X50" s="31">
        <f>+P50-T50</f>
        <v>-37119.4</v>
      </c>
      <c r="Y50" s="16"/>
      <c r="Z50" s="33">
        <f>IF(T50=0,0,X50/T50)</f>
        <v>-1.0912123647647947</v>
      </c>
    </row>
    <row r="51" spans="1:26" ht="15.75" thickTop="1" x14ac:dyDescent="0.25">
      <c r="A51" s="9"/>
      <c r="C51" s="9"/>
      <c r="D51" s="18"/>
      <c r="E51" s="18"/>
      <c r="G51" s="18"/>
      <c r="H51" s="18"/>
      <c r="I51" s="18"/>
      <c r="J51" s="43"/>
      <c r="K51" s="18"/>
      <c r="L51" s="18"/>
      <c r="M51" s="18"/>
      <c r="P51" s="18"/>
      <c r="Q51" s="18"/>
      <c r="R51" s="43"/>
      <c r="S51" s="18"/>
      <c r="T51" s="18"/>
      <c r="U51" s="18"/>
      <c r="V51" s="43"/>
      <c r="W51" s="18"/>
      <c r="X51" s="18"/>
    </row>
    <row r="52" spans="1:26" x14ac:dyDescent="0.25">
      <c r="A52" s="9"/>
      <c r="B52" s="56">
        <v>44267.66864733796</v>
      </c>
      <c r="D52" s="18"/>
      <c r="E52" s="18"/>
      <c r="G52" s="18"/>
      <c r="H52" s="18"/>
      <c r="I52" s="18"/>
      <c r="J52" s="43"/>
      <c r="K52" s="18"/>
      <c r="L52" s="18"/>
      <c r="M52" s="18"/>
      <c r="P52" s="18"/>
      <c r="Q52" s="18"/>
      <c r="R52" s="43"/>
      <c r="S52" s="18"/>
      <c r="T52" s="18"/>
      <c r="U52" s="18"/>
      <c r="V52" s="43"/>
      <c r="W52" s="18"/>
      <c r="X52" s="18"/>
    </row>
    <row r="53" spans="1:26" x14ac:dyDescent="0.25">
      <c r="A53" s="9"/>
      <c r="B53" s="54" t="s">
        <v>313</v>
      </c>
      <c r="D53" s="18"/>
      <c r="E53" s="18"/>
      <c r="G53" s="18"/>
      <c r="H53" s="18"/>
      <c r="I53" s="18"/>
      <c r="J53" s="43"/>
      <c r="K53" s="18"/>
      <c r="L53" s="18"/>
      <c r="M53" s="18"/>
      <c r="P53" s="18"/>
      <c r="Q53" s="18"/>
      <c r="R53" s="43"/>
      <c r="S53" s="18"/>
      <c r="T53" s="18"/>
      <c r="U53" s="18"/>
      <c r="V53" s="43"/>
      <c r="W53" s="18"/>
      <c r="X53" s="18"/>
    </row>
    <row r="54" spans="1:26" x14ac:dyDescent="0.25">
      <c r="A54" s="9"/>
      <c r="B54" s="58"/>
      <c r="D54" s="18"/>
      <c r="E54" s="18"/>
      <c r="G54" s="18"/>
      <c r="H54" s="18"/>
      <c r="I54" s="18"/>
      <c r="J54" s="43"/>
      <c r="K54" s="18"/>
      <c r="L54" s="18"/>
      <c r="M54" s="18"/>
      <c r="P54" s="18"/>
      <c r="Q54" s="18"/>
      <c r="R54" s="43"/>
      <c r="S54" s="18"/>
      <c r="T54" s="18"/>
      <c r="U54" s="18"/>
      <c r="V54" s="43"/>
      <c r="W54" s="18"/>
      <c r="X54" s="18"/>
    </row>
    <row r="55" spans="1:26" x14ac:dyDescent="0.25">
      <c r="D55" s="18"/>
      <c r="E55" s="18"/>
      <c r="G55" s="18"/>
      <c r="H55" s="18"/>
      <c r="I55" s="18"/>
      <c r="J55" s="43"/>
      <c r="K55" s="18"/>
      <c r="L55" s="18"/>
      <c r="M55" s="18"/>
      <c r="P55" s="18"/>
      <c r="Q55" s="18"/>
      <c r="R55" s="43"/>
      <c r="S55" s="18"/>
      <c r="T55" s="18"/>
      <c r="U55" s="18"/>
      <c r="V55" s="43"/>
      <c r="W55" s="18"/>
      <c r="X55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","424", " - ", "Blair Field")</f>
        <v>Department 424 - Blair Field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108527.24</v>
      </c>
      <c r="I12" s="4"/>
      <c r="J12" s="12"/>
      <c r="K12" s="4"/>
      <c r="L12" s="4">
        <f t="shared" ref="L12:L14" si="0">+D12-H12</f>
        <v>-108527.24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128379.11</v>
      </c>
      <c r="U12" s="4"/>
      <c r="V12" s="12"/>
      <c r="W12" s="4"/>
      <c r="X12" s="4">
        <f t="shared" ref="X12:X14" si="2">+P12-T12</f>
        <v>-128379.11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4" si="4">0</f>
        <v>0</v>
      </c>
      <c r="E13" s="2"/>
      <c r="F13" s="19"/>
      <c r="G13" s="2"/>
      <c r="H13" s="2">
        <f>--108721.53</f>
        <v>108721.53</v>
      </c>
      <c r="I13" s="2"/>
      <c r="J13" s="19"/>
      <c r="K13" s="2"/>
      <c r="L13" s="2">
        <f t="shared" si="0"/>
        <v>-108721.53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--128573.4</f>
        <v>128573.4</v>
      </c>
      <c r="U13" s="2"/>
      <c r="V13" s="19"/>
      <c r="W13" s="2"/>
      <c r="X13" s="2">
        <f t="shared" si="2"/>
        <v>-128573.4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 t="shared" si="4"/>
        <v>0</v>
      </c>
      <c r="E14" s="2"/>
      <c r="F14" s="19"/>
      <c r="G14" s="2"/>
      <c r="H14" s="2">
        <f>-194.29</f>
        <v>-194.29</v>
      </c>
      <c r="I14" s="2"/>
      <c r="J14" s="19"/>
      <c r="K14" s="2"/>
      <c r="L14" s="2">
        <f t="shared" si="0"/>
        <v>194.29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-194.29</f>
        <v>-194.29</v>
      </c>
      <c r="U14" s="2"/>
      <c r="V14" s="19"/>
      <c r="W14" s="2"/>
      <c r="X14" s="2">
        <f t="shared" si="2"/>
        <v>194.29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22288.809999999998</v>
      </c>
      <c r="I16" s="4"/>
      <c r="J16" s="12">
        <f t="shared" ref="J16:J18" si="7">IF(H$12=0,0,H16/H$12)</f>
        <v>0.2053752587829562</v>
      </c>
      <c r="K16" s="4"/>
      <c r="L16" s="4">
        <f t="shared" ref="L16:L18" si="8">+D16-H16</f>
        <v>-22288.809999999998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31933.760000000002</v>
      </c>
      <c r="U16" s="4"/>
      <c r="V16" s="12">
        <f t="shared" ref="V16:V18" si="11">IF(T$12=0,0,T16/T$12)</f>
        <v>0.24874576556886865</v>
      </c>
      <c r="W16" s="4"/>
      <c r="X16" s="4">
        <f t="shared" ref="X16:X18" si="12">+P16-T16</f>
        <v>-31933.760000000002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23187.809999999998</v>
      </c>
      <c r="I17" s="2"/>
      <c r="J17" s="19">
        <f t="shared" si="7"/>
        <v>0.213658893380132</v>
      </c>
      <c r="K17" s="2"/>
      <c r="L17" s="2">
        <f t="shared" si="8"/>
        <v>-23187.809999999998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40395.760000000002</v>
      </c>
      <c r="U17" s="2"/>
      <c r="V17" s="19">
        <f t="shared" si="11"/>
        <v>0.31465991624338258</v>
      </c>
      <c r="W17" s="2"/>
      <c r="X17" s="2">
        <f t="shared" si="12"/>
        <v>-40395.760000000002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-899</v>
      </c>
      <c r="I18" s="2"/>
      <c r="J18" s="19">
        <f t="shared" si="7"/>
        <v>-8.2836345971757878E-3</v>
      </c>
      <c r="K18" s="2"/>
      <c r="L18" s="2">
        <f t="shared" si="8"/>
        <v>899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-8462</v>
      </c>
      <c r="U18" s="2"/>
      <c r="V18" s="19">
        <f t="shared" si="11"/>
        <v>-6.5914150674513949E-2</v>
      </c>
      <c r="W18" s="2"/>
      <c r="X18" s="2">
        <f t="shared" si="12"/>
        <v>8462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2">
        <f>D12-D16</f>
        <v>0</v>
      </c>
      <c r="E20" s="14"/>
      <c r="F20" s="20">
        <f>IF(D$12=0,0,D20/D$12)</f>
        <v>0</v>
      </c>
      <c r="G20" s="14"/>
      <c r="H20" s="22">
        <f>H12-H16</f>
        <v>86238.430000000008</v>
      </c>
      <c r="I20" s="14"/>
      <c r="J20" s="20">
        <f>IF(H$12=0,0,H20/H$12)</f>
        <v>0.79462474121704374</v>
      </c>
      <c r="K20" s="16"/>
      <c r="L20" s="22">
        <f>+D20-H20</f>
        <v>-86238.430000000008</v>
      </c>
      <c r="M20" s="16"/>
      <c r="N20" s="20">
        <f>IF(H20=0,0,L20/H20)</f>
        <v>-1</v>
      </c>
      <c r="O20" s="28"/>
      <c r="P20" s="22">
        <f>P12-P16</f>
        <v>0</v>
      </c>
      <c r="Q20" s="14"/>
      <c r="R20" s="20">
        <f>IF(P$12=0,0,P20/P$12)</f>
        <v>0</v>
      </c>
      <c r="S20" s="14"/>
      <c r="T20" s="22">
        <f>T12-T16</f>
        <v>96445.35</v>
      </c>
      <c r="U20" s="14"/>
      <c r="V20" s="20">
        <f>IF(T$12=0,0,T20/T$12)</f>
        <v>0.75125423443113137</v>
      </c>
      <c r="W20" s="16"/>
      <c r="X20" s="22">
        <f>+P20-T20</f>
        <v>-96445.35</v>
      </c>
      <c r="Y20" s="16"/>
      <c r="Z20" s="20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1">
        <f>SUM(OSRRefD22x_0)</f>
        <v>680.33</v>
      </c>
      <c r="E22" s="21"/>
      <c r="F22" s="32">
        <f t="shared" ref="F22:F25" si="14">IF(D$12=0,0,D22/D$12)</f>
        <v>0</v>
      </c>
      <c r="G22" s="21"/>
      <c r="H22" s="21">
        <f>SUM(OSRRefH22x_0)</f>
        <v>46575.41</v>
      </c>
      <c r="I22" s="21"/>
      <c r="J22" s="32">
        <f t="shared" ref="J22:J25" si="15">IF(H$12=0,0,H22/H$12)</f>
        <v>0.42915870706746068</v>
      </c>
      <c r="K22" s="4"/>
      <c r="L22" s="21">
        <f t="shared" ref="L22:L25" si="16">+D22-H22</f>
        <v>-45895.08</v>
      </c>
      <c r="M22" s="4"/>
      <c r="N22" s="32">
        <f t="shared" ref="N22:N25" si="17">IF(H22=0,0,L22/H22)</f>
        <v>-0.98539293588612531</v>
      </c>
      <c r="O22" s="10"/>
      <c r="P22" s="21">
        <f>SUM(OSRRefP22x_0)</f>
        <v>4940.21</v>
      </c>
      <c r="Q22" s="21"/>
      <c r="R22" s="32">
        <f t="shared" ref="R22:R25" si="18">IF(P$12=0,0,P22/P$12)</f>
        <v>0</v>
      </c>
      <c r="S22" s="21"/>
      <c r="T22" s="21">
        <f>SUM(OSRRefT22x_0)</f>
        <v>69247.060000000012</v>
      </c>
      <c r="U22" s="21"/>
      <c r="V22" s="32">
        <f t="shared" ref="V22:V25" si="19">IF(T$12=0,0,T22/T$12)</f>
        <v>0.53939507759478944</v>
      </c>
      <c r="W22" s="4"/>
      <c r="X22" s="21">
        <f t="shared" ref="X22:X25" si="20">+P22-T22</f>
        <v>-64306.850000000013</v>
      </c>
      <c r="Y22" s="4"/>
      <c r="Z22" s="32">
        <f t="shared" ref="Z22:Z25" si="21">IF(T22=0,0,X22/T22)</f>
        <v>-0.92865819862966026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402.64</v>
      </c>
      <c r="I23" s="1"/>
      <c r="J23" s="5">
        <f t="shared" si="15"/>
        <v>3.7100363005638029E-3</v>
      </c>
      <c r="K23" s="1"/>
      <c r="L23" s="1">
        <f t="shared" si="16"/>
        <v>-402.64</v>
      </c>
      <c r="M23" s="1"/>
      <c r="N23" s="5">
        <f t="shared" si="17"/>
        <v>-1</v>
      </c>
      <c r="O23" s="13"/>
      <c r="P23" s="1">
        <f>SUM(OSRRefP22_0x_0)</f>
        <v>0</v>
      </c>
      <c r="Q23" s="1"/>
      <c r="R23" s="5">
        <f t="shared" si="18"/>
        <v>0</v>
      </c>
      <c r="S23" s="1"/>
      <c r="T23" s="1">
        <f>SUM(OSRRefT22_0x_0)</f>
        <v>783.71</v>
      </c>
      <c r="U23" s="1"/>
      <c r="V23" s="5">
        <f t="shared" si="19"/>
        <v>6.104653630952887E-3</v>
      </c>
      <c r="W23" s="1"/>
      <c r="X23" s="1">
        <f t="shared" si="20"/>
        <v>-783.71</v>
      </c>
      <c r="Y23" s="1"/>
      <c r="Z23" s="5">
        <f t="shared" si="21"/>
        <v>-1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402.64</v>
      </c>
      <c r="I24" s="2"/>
      <c r="J24" s="7">
        <f t="shared" si="15"/>
        <v>3.7100363005638029E-3</v>
      </c>
      <c r="K24" s="2"/>
      <c r="L24" s="6">
        <f t="shared" si="16"/>
        <v>-402.64</v>
      </c>
      <c r="M24" s="2"/>
      <c r="N24" s="7">
        <f t="shared" si="17"/>
        <v>-1</v>
      </c>
      <c r="O24" s="11"/>
      <c r="P24" s="6"/>
      <c r="Q24" s="2"/>
      <c r="R24" s="7">
        <f t="shared" si="18"/>
        <v>0</v>
      </c>
      <c r="S24" s="2"/>
      <c r="T24" s="6">
        <v>794.11</v>
      </c>
      <c r="U24" s="2"/>
      <c r="V24" s="7">
        <f t="shared" si="19"/>
        <v>6.1856636955965813E-3</v>
      </c>
      <c r="W24" s="2"/>
      <c r="X24" s="6">
        <f t="shared" si="20"/>
        <v>-794.11</v>
      </c>
      <c r="Y24" s="2"/>
      <c r="Z24" s="7">
        <f t="shared" si="21"/>
        <v>-1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/>
      <c r="I25" s="2"/>
      <c r="J25" s="7">
        <f t="shared" si="15"/>
        <v>0</v>
      </c>
      <c r="K25" s="2"/>
      <c r="L25" s="6">
        <f t="shared" si="16"/>
        <v>0</v>
      </c>
      <c r="M25" s="2"/>
      <c r="N25" s="7">
        <f t="shared" si="17"/>
        <v>0</v>
      </c>
      <c r="O25" s="11"/>
      <c r="P25" s="6"/>
      <c r="Q25" s="2"/>
      <c r="R25" s="7">
        <f t="shared" si="18"/>
        <v>0</v>
      </c>
      <c r="S25" s="2"/>
      <c r="T25" s="6">
        <v>-10.4</v>
      </c>
      <c r="U25" s="2"/>
      <c r="V25" s="7">
        <f t="shared" si="19"/>
        <v>-8.101006464369476E-5</v>
      </c>
      <c r="W25" s="2"/>
      <c r="X25" s="6">
        <f t="shared" si="20"/>
        <v>10.4</v>
      </c>
      <c r="Y25" s="2"/>
      <c r="Z25" s="7">
        <f t="shared" si="21"/>
        <v>-1</v>
      </c>
    </row>
    <row r="26" spans="1:26" s="25" customFormat="1" outlineLevel="1" collapsed="1" x14ac:dyDescent="0.25">
      <c r="A26" s="27"/>
      <c r="B26" s="13" t="str">
        <f>CONCATENATE("     ","*Payroll                                          ")</f>
        <v xml:space="preserve">     *Payroll                                          </v>
      </c>
      <c r="C26" s="13"/>
      <c r="D26" s="1">
        <f>SUM(OSRRefD22_1x_0)</f>
        <v>0</v>
      </c>
      <c r="E26" s="1"/>
      <c r="F26" s="5">
        <f t="shared" ref="F26:F31" si="22">IF(D$12=0,0,D26/D$12)</f>
        <v>0</v>
      </c>
      <c r="G26" s="1"/>
      <c r="H26" s="1">
        <f>SUM(OSRRefH22_1x_0)</f>
        <v>15794.020000000002</v>
      </c>
      <c r="I26" s="1"/>
      <c r="J26" s="5">
        <f t="shared" ref="J26:J31" si="23">IF(H$12=0,0,H26/H$12)</f>
        <v>0.14553046774247647</v>
      </c>
      <c r="K26" s="1"/>
      <c r="L26" s="1">
        <f t="shared" ref="L26:L31" si="24">+D26-H26</f>
        <v>-15794.020000000002</v>
      </c>
      <c r="M26" s="1"/>
      <c r="N26" s="5">
        <f t="shared" ref="N26:N31" si="25">IF(H26=0,0,L26/H26)</f>
        <v>-1</v>
      </c>
      <c r="O26" s="13"/>
      <c r="P26" s="1">
        <f>SUM(OSRRefP22_1x_0)</f>
        <v>0</v>
      </c>
      <c r="Q26" s="1"/>
      <c r="R26" s="5">
        <f t="shared" ref="R26:R31" si="26">IF(P$12=0,0,P26/P$12)</f>
        <v>0</v>
      </c>
      <c r="S26" s="1"/>
      <c r="T26" s="1">
        <f>SUM(OSRRefT22_1x_0)</f>
        <v>21867.68</v>
      </c>
      <c r="U26" s="1"/>
      <c r="V26" s="5">
        <f t="shared" ref="V26:V31" si="27">IF(T$12=0,0,T26/T$12)</f>
        <v>0.17033674715457991</v>
      </c>
      <c r="W26" s="1"/>
      <c r="X26" s="1">
        <f t="shared" ref="X26:X31" si="28">+P26-T26</f>
        <v>-21867.68</v>
      </c>
      <c r="Y26" s="1"/>
      <c r="Z26" s="5">
        <f t="shared" ref="Z26:Z31" si="29">IF(T26=0,0,X26/T26)</f>
        <v>-1</v>
      </c>
    </row>
    <row r="27" spans="1:26" s="24" customFormat="1" hidden="1" outlineLevel="2" x14ac:dyDescent="0.25">
      <c r="A27" s="26"/>
      <c r="B27" s="11" t="str">
        <f>CONCATENATE("          ", "6004", " - ", "STAFF HOURLY")</f>
        <v xml:space="preserve">          6004 - STAFF HOURLY</v>
      </c>
      <c r="C27" s="11"/>
      <c r="D27" s="6"/>
      <c r="E27" s="2"/>
      <c r="F27" s="7">
        <f t="shared" si="22"/>
        <v>0</v>
      </c>
      <c r="G27" s="2"/>
      <c r="H27" s="6">
        <v>1516.47</v>
      </c>
      <c r="I27" s="2"/>
      <c r="J27" s="7">
        <f t="shared" si="23"/>
        <v>1.3973173923892288E-2</v>
      </c>
      <c r="K27" s="2"/>
      <c r="L27" s="6">
        <f t="shared" si="24"/>
        <v>-1516.47</v>
      </c>
      <c r="M27" s="2"/>
      <c r="N27" s="7">
        <f t="shared" si="25"/>
        <v>-1</v>
      </c>
      <c r="O27" s="11"/>
      <c r="P27" s="6"/>
      <c r="Q27" s="2"/>
      <c r="R27" s="7">
        <f t="shared" si="26"/>
        <v>0</v>
      </c>
      <c r="S27" s="2"/>
      <c r="T27" s="6">
        <v>1729.41</v>
      </c>
      <c r="U27" s="2"/>
      <c r="V27" s="7">
        <f t="shared" si="27"/>
        <v>1.3471116913024246E-2</v>
      </c>
      <c r="W27" s="2"/>
      <c r="X27" s="6">
        <f t="shared" si="28"/>
        <v>-1729.41</v>
      </c>
      <c r="Y27" s="2"/>
      <c r="Z27" s="7">
        <f t="shared" si="29"/>
        <v>-1</v>
      </c>
    </row>
    <row r="28" spans="1:26" s="24" customFormat="1" hidden="1" outlineLevel="2" x14ac:dyDescent="0.25">
      <c r="A28" s="26"/>
      <c r="B28" s="11" t="str">
        <f>CONCATENATE("          ", "6005", " - ", "TEMPORARY WAGES-HOURLY")</f>
        <v xml:space="preserve">          6005 - TEMPORARY WAGES-HOURLY</v>
      </c>
      <c r="C28" s="11"/>
      <c r="D28" s="6"/>
      <c r="E28" s="2"/>
      <c r="F28" s="7">
        <f t="shared" si="22"/>
        <v>0</v>
      </c>
      <c r="G28" s="2"/>
      <c r="H28" s="6">
        <v>3507.25</v>
      </c>
      <c r="I28" s="2"/>
      <c r="J28" s="7">
        <f t="shared" si="23"/>
        <v>3.2316771346990854E-2</v>
      </c>
      <c r="K28" s="2"/>
      <c r="L28" s="6">
        <f t="shared" si="24"/>
        <v>-3507.25</v>
      </c>
      <c r="M28" s="2"/>
      <c r="N28" s="7">
        <f t="shared" si="25"/>
        <v>-1</v>
      </c>
      <c r="O28" s="11"/>
      <c r="P28" s="6"/>
      <c r="Q28" s="2"/>
      <c r="R28" s="7">
        <f t="shared" si="26"/>
        <v>0</v>
      </c>
      <c r="S28" s="2"/>
      <c r="T28" s="6">
        <v>6173.06</v>
      </c>
      <c r="U28" s="2"/>
      <c r="V28" s="7">
        <f t="shared" si="27"/>
        <v>4.8084614389365996E-2</v>
      </c>
      <c r="W28" s="2"/>
      <c r="X28" s="6">
        <f t="shared" si="28"/>
        <v>-6173.06</v>
      </c>
      <c r="Y28" s="2"/>
      <c r="Z28" s="7">
        <f t="shared" si="29"/>
        <v>-1</v>
      </c>
    </row>
    <row r="29" spans="1:26" s="24" customFormat="1" hidden="1" outlineLevel="2" x14ac:dyDescent="0.25">
      <c r="A29" s="26"/>
      <c r="B29" s="11" t="str">
        <f>CONCATENATE("          ", "6006", " - ", "TEMPORARY PART TIME")</f>
        <v xml:space="preserve">          6006 - TEMPORARY PART TIME</v>
      </c>
      <c r="C29" s="11"/>
      <c r="D29" s="6"/>
      <c r="E29" s="2"/>
      <c r="F29" s="7">
        <f t="shared" si="22"/>
        <v>0</v>
      </c>
      <c r="G29" s="2"/>
      <c r="H29" s="6"/>
      <c r="I29" s="2"/>
      <c r="J29" s="7">
        <f t="shared" si="23"/>
        <v>0</v>
      </c>
      <c r="K29" s="2"/>
      <c r="L29" s="6">
        <f t="shared" si="24"/>
        <v>0</v>
      </c>
      <c r="M29" s="2"/>
      <c r="N29" s="7">
        <f t="shared" si="25"/>
        <v>0</v>
      </c>
      <c r="O29" s="11"/>
      <c r="P29" s="6"/>
      <c r="Q29" s="2"/>
      <c r="R29" s="7">
        <f t="shared" si="26"/>
        <v>0</v>
      </c>
      <c r="S29" s="2"/>
      <c r="T29" s="6">
        <v>247.5</v>
      </c>
      <c r="U29" s="2"/>
      <c r="V29" s="7">
        <f t="shared" si="27"/>
        <v>1.9278837499340819E-3</v>
      </c>
      <c r="W29" s="2"/>
      <c r="X29" s="6">
        <f t="shared" si="28"/>
        <v>-247.5</v>
      </c>
      <c r="Y29" s="2"/>
      <c r="Z29" s="7">
        <f t="shared" si="29"/>
        <v>-1</v>
      </c>
    </row>
    <row r="30" spans="1:26" s="24" customFormat="1" hidden="1" outlineLevel="2" x14ac:dyDescent="0.25">
      <c r="A30" s="26"/>
      <c r="B30" s="11" t="str">
        <f>CONCATENATE("          ", "6007", " - ", "STUDENT HOURLY")</f>
        <v xml:space="preserve">          6007 - STUDENT HOURLY</v>
      </c>
      <c r="C30" s="11"/>
      <c r="D30" s="6"/>
      <c r="E30" s="2"/>
      <c r="F30" s="7">
        <f t="shared" si="22"/>
        <v>0</v>
      </c>
      <c r="G30" s="2"/>
      <c r="H30" s="6">
        <v>9515.5400000000009</v>
      </c>
      <c r="I30" s="2"/>
      <c r="J30" s="7">
        <f t="shared" si="23"/>
        <v>8.7678816857408332E-2</v>
      </c>
      <c r="K30" s="2"/>
      <c r="L30" s="6">
        <f t="shared" si="24"/>
        <v>-9515.5400000000009</v>
      </c>
      <c r="M30" s="2"/>
      <c r="N30" s="7">
        <f t="shared" si="25"/>
        <v>-1</v>
      </c>
      <c r="O30" s="11"/>
      <c r="P30" s="6"/>
      <c r="Q30" s="2"/>
      <c r="R30" s="7">
        <f t="shared" si="26"/>
        <v>0</v>
      </c>
      <c r="S30" s="2"/>
      <c r="T30" s="6">
        <v>11829.95</v>
      </c>
      <c r="U30" s="2"/>
      <c r="V30" s="7">
        <f t="shared" si="27"/>
        <v>9.2148559060738156E-2</v>
      </c>
      <c r="W30" s="2"/>
      <c r="X30" s="6">
        <f t="shared" si="28"/>
        <v>-11829.95</v>
      </c>
      <c r="Y30" s="2"/>
      <c r="Z30" s="7">
        <f t="shared" si="29"/>
        <v>-1</v>
      </c>
    </row>
    <row r="31" spans="1:26" s="24" customFormat="1" hidden="1" outlineLevel="2" x14ac:dyDescent="0.25">
      <c r="A31" s="26"/>
      <c r="B31" s="11" t="str">
        <f>CONCATENATE("          ", "6008", " - ", "STUDENT HOURLY-FICA EXEMPT")</f>
        <v xml:space="preserve">          6008 - STUDENT HOURLY-FICA EXEMPT</v>
      </c>
      <c r="C31" s="11"/>
      <c r="D31" s="6"/>
      <c r="E31" s="2"/>
      <c r="F31" s="7">
        <f t="shared" si="22"/>
        <v>0</v>
      </c>
      <c r="G31" s="2"/>
      <c r="H31" s="6">
        <v>1254.76</v>
      </c>
      <c r="I31" s="2"/>
      <c r="J31" s="7">
        <f t="shared" si="23"/>
        <v>1.1561705614184972E-2</v>
      </c>
      <c r="K31" s="2"/>
      <c r="L31" s="6">
        <f t="shared" si="24"/>
        <v>-1254.76</v>
      </c>
      <c r="M31" s="2"/>
      <c r="N31" s="7">
        <f t="shared" si="25"/>
        <v>-1</v>
      </c>
      <c r="O31" s="11"/>
      <c r="P31" s="6"/>
      <c r="Q31" s="2"/>
      <c r="R31" s="7">
        <f t="shared" si="26"/>
        <v>0</v>
      </c>
      <c r="S31" s="2"/>
      <c r="T31" s="6">
        <v>1887.76</v>
      </c>
      <c r="U31" s="2"/>
      <c r="V31" s="7">
        <f t="shared" si="27"/>
        <v>1.4704573041517423E-2</v>
      </c>
      <c r="W31" s="2"/>
      <c r="X31" s="6">
        <f t="shared" si="28"/>
        <v>-1887.76</v>
      </c>
      <c r="Y31" s="2"/>
      <c r="Z31" s="7">
        <f t="shared" si="29"/>
        <v>-1</v>
      </c>
    </row>
    <row r="32" spans="1:26" s="25" customFormat="1" outlineLevel="1" collapsed="1" x14ac:dyDescent="0.25">
      <c r="A32" s="27"/>
      <c r="B32" s="13" t="str">
        <f>CONCATENATE("     ","Advertising/Promo                                 ")</f>
        <v xml:space="preserve">     Advertising/Promo                                 </v>
      </c>
      <c r="C32" s="13"/>
      <c r="D32" s="1">
        <f>SUM(OSRRefD22_2x_0)</f>
        <v>0</v>
      </c>
      <c r="E32" s="1"/>
      <c r="F32" s="5">
        <f t="shared" ref="F32:F46" si="30">IF(D$12=0,0,D32/D$12)</f>
        <v>0</v>
      </c>
      <c r="G32" s="1"/>
      <c r="H32" s="1">
        <f>SUM(OSRRefH22_2x_0)</f>
        <v>205.76</v>
      </c>
      <c r="I32" s="1"/>
      <c r="J32" s="5">
        <f t="shared" ref="J32:J46" si="31">IF(H$12=0,0,H32/H$12)</f>
        <v>1.8959295380588318E-3</v>
      </c>
      <c r="K32" s="1"/>
      <c r="L32" s="1">
        <f t="shared" ref="L32:L46" si="32">+D32-H32</f>
        <v>-205.76</v>
      </c>
      <c r="M32" s="1"/>
      <c r="N32" s="5">
        <f t="shared" ref="N32:N46" si="33">IF(H32=0,0,L32/H32)</f>
        <v>-1</v>
      </c>
      <c r="O32" s="13"/>
      <c r="P32" s="1">
        <f>SUM(OSRRefP22_2x_0)</f>
        <v>0</v>
      </c>
      <c r="Q32" s="1"/>
      <c r="R32" s="5">
        <f t="shared" ref="R32:R46" si="34">IF(P$12=0,0,P32/P$12)</f>
        <v>0</v>
      </c>
      <c r="S32" s="1"/>
      <c r="T32" s="1">
        <f>SUM(OSRRefT22_2x_0)</f>
        <v>2283.64</v>
      </c>
      <c r="U32" s="1"/>
      <c r="V32" s="5">
        <f t="shared" ref="V32:V46" si="35">IF(T$12=0,0,T32/T$12)</f>
        <v>1.7788252309896835E-2</v>
      </c>
      <c r="W32" s="1"/>
      <c r="X32" s="1">
        <f t="shared" ref="X32:X46" si="36">+P32-T32</f>
        <v>-2283.64</v>
      </c>
      <c r="Y32" s="1"/>
      <c r="Z32" s="5">
        <f t="shared" ref="Z32:Z46" si="37">IF(T32=0,0,X32/T32)</f>
        <v>-1</v>
      </c>
    </row>
    <row r="33" spans="1:26" s="24" customFormat="1" hidden="1" outlineLevel="2" x14ac:dyDescent="0.25">
      <c r="A33" s="26"/>
      <c r="B33" s="11" t="str">
        <f>CONCATENATE("          ", "6362", " - ", "ADVERTISING EXPENSE")</f>
        <v xml:space="preserve">          6362 - ADVERTISING EXPENSE</v>
      </c>
      <c r="C33" s="11"/>
      <c r="D33" s="6"/>
      <c r="E33" s="2"/>
      <c r="F33" s="7">
        <f t="shared" si="30"/>
        <v>0</v>
      </c>
      <c r="G33" s="2"/>
      <c r="H33" s="6">
        <v>205.76</v>
      </c>
      <c r="I33" s="2"/>
      <c r="J33" s="7">
        <f t="shared" si="31"/>
        <v>1.8959295380588318E-3</v>
      </c>
      <c r="K33" s="2"/>
      <c r="L33" s="6">
        <f t="shared" si="32"/>
        <v>-205.76</v>
      </c>
      <c r="M33" s="2"/>
      <c r="N33" s="7">
        <f t="shared" si="33"/>
        <v>-1</v>
      </c>
      <c r="O33" s="11"/>
      <c r="P33" s="6"/>
      <c r="Q33" s="2"/>
      <c r="R33" s="7">
        <f t="shared" si="34"/>
        <v>0</v>
      </c>
      <c r="S33" s="2"/>
      <c r="T33" s="6">
        <v>2283.64</v>
      </c>
      <c r="U33" s="2"/>
      <c r="V33" s="7">
        <f t="shared" si="35"/>
        <v>1.7788252309896835E-2</v>
      </c>
      <c r="W33" s="2"/>
      <c r="X33" s="6">
        <f t="shared" si="36"/>
        <v>-2283.64</v>
      </c>
      <c r="Y33" s="2"/>
      <c r="Z33" s="7">
        <f t="shared" si="37"/>
        <v>-1</v>
      </c>
    </row>
    <row r="34" spans="1:26" s="25" customFormat="1" outlineLevel="1" collapsed="1" x14ac:dyDescent="0.25">
      <c r="A34" s="27"/>
      <c r="B34" s="13" t="str">
        <f>CONCATENATE("     ","Bad Debts/Over/Short                              ")</f>
        <v xml:space="preserve">     Bad Debts/Over/Short                              </v>
      </c>
      <c r="C34" s="13"/>
      <c r="D34" s="1">
        <f>SUM(OSRRefD22_3x_0)</f>
        <v>0</v>
      </c>
      <c r="E34" s="1"/>
      <c r="F34" s="5">
        <f t="shared" si="30"/>
        <v>0</v>
      </c>
      <c r="G34" s="1"/>
      <c r="H34" s="1">
        <f>SUM(OSRRefH22_3x_0)</f>
        <v>1.9</v>
      </c>
      <c r="I34" s="1"/>
      <c r="J34" s="5">
        <f t="shared" si="31"/>
        <v>1.7507125400037814E-5</v>
      </c>
      <c r="K34" s="1"/>
      <c r="L34" s="1">
        <f t="shared" si="32"/>
        <v>-1.9</v>
      </c>
      <c r="M34" s="1"/>
      <c r="N34" s="5">
        <f t="shared" si="33"/>
        <v>-1</v>
      </c>
      <c r="O34" s="13"/>
      <c r="P34" s="1">
        <f>SUM(OSRRefP22_3x_0)</f>
        <v>0</v>
      </c>
      <c r="Q34" s="1"/>
      <c r="R34" s="5">
        <f t="shared" si="34"/>
        <v>0</v>
      </c>
      <c r="S34" s="1"/>
      <c r="T34" s="1">
        <f>SUM(OSRRefT22_3x_0)</f>
        <v>3.75</v>
      </c>
      <c r="U34" s="1"/>
      <c r="V34" s="5">
        <f t="shared" si="35"/>
        <v>2.9210359847486091E-5</v>
      </c>
      <c r="W34" s="1"/>
      <c r="X34" s="1">
        <f t="shared" si="36"/>
        <v>-3.75</v>
      </c>
      <c r="Y34" s="1"/>
      <c r="Z34" s="5">
        <f t="shared" si="37"/>
        <v>-1</v>
      </c>
    </row>
    <row r="35" spans="1:26" s="24" customFormat="1" hidden="1" outlineLevel="2" x14ac:dyDescent="0.25">
      <c r="A35" s="26"/>
      <c r="B35" s="11" t="str">
        <f>CONCATENATE("          ", "6272", " - ", "CASH (OVER/SHORT)")</f>
        <v xml:space="preserve">          6272 - CASH (OVER/SHORT)</v>
      </c>
      <c r="C35" s="11"/>
      <c r="D35" s="6"/>
      <c r="E35" s="2"/>
      <c r="F35" s="7">
        <f t="shared" si="30"/>
        <v>0</v>
      </c>
      <c r="G35" s="2"/>
      <c r="H35" s="6">
        <v>1.9</v>
      </c>
      <c r="I35" s="2"/>
      <c r="J35" s="7">
        <f t="shared" si="31"/>
        <v>1.7507125400037814E-5</v>
      </c>
      <c r="K35" s="2"/>
      <c r="L35" s="6">
        <f t="shared" si="32"/>
        <v>-1.9</v>
      </c>
      <c r="M35" s="2"/>
      <c r="N35" s="7">
        <f t="shared" si="33"/>
        <v>-1</v>
      </c>
      <c r="O35" s="11"/>
      <c r="P35" s="6"/>
      <c r="Q35" s="2"/>
      <c r="R35" s="7">
        <f t="shared" si="34"/>
        <v>0</v>
      </c>
      <c r="S35" s="2"/>
      <c r="T35" s="6">
        <v>3.75</v>
      </c>
      <c r="U35" s="2"/>
      <c r="V35" s="7">
        <f t="shared" si="35"/>
        <v>2.9210359847486091E-5</v>
      </c>
      <c r="W35" s="2"/>
      <c r="X35" s="6">
        <f t="shared" si="36"/>
        <v>-3.75</v>
      </c>
      <c r="Y35" s="2"/>
      <c r="Z35" s="7">
        <f t="shared" si="37"/>
        <v>-1</v>
      </c>
    </row>
    <row r="36" spans="1:26" s="25" customFormat="1" outlineLevel="1" collapsed="1" x14ac:dyDescent="0.25">
      <c r="A36" s="27"/>
      <c r="B36" s="13" t="str">
        <f>CONCATENATE("     ","Bank/card Fees                                    ")</f>
        <v xml:space="preserve">     Bank/card Fees                                    </v>
      </c>
      <c r="C36" s="13"/>
      <c r="D36" s="1">
        <f>SUM(OSRRefD22_4x_0)</f>
        <v>0</v>
      </c>
      <c r="E36" s="1"/>
      <c r="F36" s="5">
        <f t="shared" si="30"/>
        <v>0</v>
      </c>
      <c r="G36" s="1"/>
      <c r="H36" s="1">
        <f>SUM(OSRRefH22_4x_0)</f>
        <v>2463.54</v>
      </c>
      <c r="I36" s="1"/>
      <c r="J36" s="5">
        <f t="shared" si="31"/>
        <v>2.2699738793689032E-2</v>
      </c>
      <c r="K36" s="1"/>
      <c r="L36" s="1">
        <f t="shared" si="32"/>
        <v>-2463.54</v>
      </c>
      <c r="M36" s="1"/>
      <c r="N36" s="5">
        <f t="shared" si="33"/>
        <v>-1</v>
      </c>
      <c r="O36" s="13"/>
      <c r="P36" s="1">
        <f>SUM(OSRRefP22_4x_0)</f>
        <v>0</v>
      </c>
      <c r="Q36" s="1"/>
      <c r="R36" s="5">
        <f t="shared" si="34"/>
        <v>0</v>
      </c>
      <c r="S36" s="1"/>
      <c r="T36" s="1">
        <f>SUM(OSRRefT22_4x_0)</f>
        <v>2812.09</v>
      </c>
      <c r="U36" s="1"/>
      <c r="V36" s="5">
        <f t="shared" si="35"/>
        <v>2.1904576219604576E-2</v>
      </c>
      <c r="W36" s="1"/>
      <c r="X36" s="1">
        <f t="shared" si="36"/>
        <v>-2812.09</v>
      </c>
      <c r="Y36" s="1"/>
      <c r="Z36" s="5">
        <f t="shared" si="37"/>
        <v>-1</v>
      </c>
    </row>
    <row r="37" spans="1:26" s="24" customFormat="1" hidden="1" outlineLevel="2" x14ac:dyDescent="0.25">
      <c r="A37" s="26"/>
      <c r="B37" s="11" t="str">
        <f>CONCATENATE("          ", "6381", " - ", "BANK/CREDIT CARD FEES")</f>
        <v xml:space="preserve">          6381 - BANK/CREDIT CARD FEES</v>
      </c>
      <c r="C37" s="11"/>
      <c r="D37" s="6"/>
      <c r="E37" s="2"/>
      <c r="F37" s="7">
        <f t="shared" si="30"/>
        <v>0</v>
      </c>
      <c r="G37" s="2"/>
      <c r="H37" s="6">
        <v>2463.54</v>
      </c>
      <c r="I37" s="2"/>
      <c r="J37" s="7">
        <f t="shared" si="31"/>
        <v>2.2699738793689032E-2</v>
      </c>
      <c r="K37" s="2"/>
      <c r="L37" s="6">
        <f t="shared" si="32"/>
        <v>-2463.54</v>
      </c>
      <c r="M37" s="2"/>
      <c r="N37" s="7">
        <f t="shared" si="33"/>
        <v>-1</v>
      </c>
      <c r="O37" s="11"/>
      <c r="P37" s="6"/>
      <c r="Q37" s="2"/>
      <c r="R37" s="7">
        <f t="shared" si="34"/>
        <v>0</v>
      </c>
      <c r="S37" s="2"/>
      <c r="T37" s="6">
        <v>2812.09</v>
      </c>
      <c r="U37" s="2"/>
      <c r="V37" s="7">
        <f t="shared" si="35"/>
        <v>2.1904576219604576E-2</v>
      </c>
      <c r="W37" s="2"/>
      <c r="X37" s="6">
        <f t="shared" si="36"/>
        <v>-2812.09</v>
      </c>
      <c r="Y37" s="2"/>
      <c r="Z37" s="7">
        <f t="shared" si="37"/>
        <v>-1</v>
      </c>
    </row>
    <row r="38" spans="1:26" s="25" customFormat="1" outlineLevel="1" collapsed="1" x14ac:dyDescent="0.25">
      <c r="A38" s="27"/>
      <c r="B38" s="13" t="str">
        <f>CONCATENATE("     ","Depreciation                                      ")</f>
        <v xml:space="preserve">     Depreciation                                      </v>
      </c>
      <c r="C38" s="13"/>
      <c r="D38" s="1">
        <f>SUM(OSRRefD22_5x_0)</f>
        <v>479.29</v>
      </c>
      <c r="E38" s="1"/>
      <c r="F38" s="5">
        <f t="shared" si="30"/>
        <v>0</v>
      </c>
      <c r="G38" s="1"/>
      <c r="H38" s="1">
        <f>SUM(OSRRefH22_5x_0)</f>
        <v>0</v>
      </c>
      <c r="I38" s="1"/>
      <c r="J38" s="5">
        <f t="shared" si="31"/>
        <v>0</v>
      </c>
      <c r="K38" s="1"/>
      <c r="L38" s="1">
        <f t="shared" si="32"/>
        <v>479.29</v>
      </c>
      <c r="M38" s="1"/>
      <c r="N38" s="5">
        <f t="shared" si="33"/>
        <v>0</v>
      </c>
      <c r="O38" s="13"/>
      <c r="P38" s="1">
        <f>SUM(OSRRefP22_5x_0)</f>
        <v>3834.32</v>
      </c>
      <c r="Q38" s="1"/>
      <c r="R38" s="5">
        <f t="shared" si="34"/>
        <v>0</v>
      </c>
      <c r="S38" s="1"/>
      <c r="T38" s="1">
        <f>SUM(OSRRefT22_5x_0)</f>
        <v>0</v>
      </c>
      <c r="U38" s="1"/>
      <c r="V38" s="5">
        <f t="shared" si="35"/>
        <v>0</v>
      </c>
      <c r="W38" s="1"/>
      <c r="X38" s="1">
        <f t="shared" si="36"/>
        <v>3834.32</v>
      </c>
      <c r="Y38" s="1"/>
      <c r="Z38" s="5">
        <f t="shared" si="37"/>
        <v>0</v>
      </c>
    </row>
    <row r="39" spans="1:26" s="24" customFormat="1" hidden="1" outlineLevel="2" x14ac:dyDescent="0.25">
      <c r="A39" s="26"/>
      <c r="B39" s="11" t="str">
        <f>CONCATENATE("          ", "6322", " - ", "EQUIPMENT DEPRECIATION EXPENSE")</f>
        <v xml:space="preserve">          6322 - EQUIPMENT DEPRECIATION EXPENSE</v>
      </c>
      <c r="C39" s="11"/>
      <c r="D39" s="6">
        <v>479.29</v>
      </c>
      <c r="E39" s="2"/>
      <c r="F39" s="7">
        <f t="shared" si="30"/>
        <v>0</v>
      </c>
      <c r="G39" s="2"/>
      <c r="H39" s="6"/>
      <c r="I39" s="2"/>
      <c r="J39" s="7">
        <f t="shared" si="31"/>
        <v>0</v>
      </c>
      <c r="K39" s="2"/>
      <c r="L39" s="6">
        <f t="shared" si="32"/>
        <v>479.29</v>
      </c>
      <c r="M39" s="2"/>
      <c r="N39" s="7">
        <f t="shared" si="33"/>
        <v>0</v>
      </c>
      <c r="O39" s="11"/>
      <c r="P39" s="6">
        <v>3834.32</v>
      </c>
      <c r="Q39" s="2"/>
      <c r="R39" s="7">
        <f t="shared" si="34"/>
        <v>0</v>
      </c>
      <c r="S39" s="2"/>
      <c r="T39" s="6"/>
      <c r="U39" s="2"/>
      <c r="V39" s="7">
        <f t="shared" si="35"/>
        <v>0</v>
      </c>
      <c r="W39" s="2"/>
      <c r="X39" s="6">
        <f t="shared" si="36"/>
        <v>3834.32</v>
      </c>
      <c r="Y39" s="2"/>
      <c r="Z39" s="7">
        <f t="shared" si="37"/>
        <v>0</v>
      </c>
    </row>
    <row r="40" spans="1:26" s="25" customFormat="1" outlineLevel="1" collapsed="1" x14ac:dyDescent="0.25">
      <c r="A40" s="27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SUM(OSRRefD22_6x_0)</f>
        <v>0</v>
      </c>
      <c r="E40" s="1"/>
      <c r="F40" s="5">
        <f t="shared" si="30"/>
        <v>0</v>
      </c>
      <c r="G40" s="1"/>
      <c r="H40" s="1">
        <f>SUM(OSRRefH22_6x_0)</f>
        <v>113.93</v>
      </c>
      <c r="I40" s="1"/>
      <c r="J40" s="5">
        <f t="shared" si="31"/>
        <v>1.0497825246454254E-3</v>
      </c>
      <c r="K40" s="1"/>
      <c r="L40" s="1">
        <f t="shared" si="32"/>
        <v>-113.93</v>
      </c>
      <c r="M40" s="1"/>
      <c r="N40" s="5">
        <f t="shared" si="33"/>
        <v>-1</v>
      </c>
      <c r="O40" s="13"/>
      <c r="P40" s="1">
        <f>SUM(OSRRefP22_6x_0)</f>
        <v>0</v>
      </c>
      <c r="Q40" s="1"/>
      <c r="R40" s="5">
        <f t="shared" si="34"/>
        <v>0</v>
      </c>
      <c r="S40" s="1"/>
      <c r="T40" s="1">
        <f>SUM(OSRRefT22_6x_0)</f>
        <v>307.2</v>
      </c>
      <c r="U40" s="1"/>
      <c r="V40" s="5">
        <f t="shared" si="35"/>
        <v>2.3929126787060606E-3</v>
      </c>
      <c r="W40" s="1"/>
      <c r="X40" s="1">
        <f t="shared" si="36"/>
        <v>-307.2</v>
      </c>
      <c r="Y40" s="1"/>
      <c r="Z40" s="5">
        <f t="shared" si="37"/>
        <v>-1</v>
      </c>
    </row>
    <row r="41" spans="1:26" s="24" customFormat="1" hidden="1" outlineLevel="2" x14ac:dyDescent="0.25">
      <c r="A41" s="26"/>
      <c r="B41" s="11" t="str">
        <f>CONCATENATE("          ", "6277", " - ", "EMPLOYEE APPRECIATION")</f>
        <v xml:space="preserve">          6277 - EMPLOYEE APPRECIATION</v>
      </c>
      <c r="C41" s="11"/>
      <c r="D41" s="6"/>
      <c r="E41" s="2"/>
      <c r="F41" s="7">
        <f t="shared" si="30"/>
        <v>0</v>
      </c>
      <c r="G41" s="2"/>
      <c r="H41" s="6">
        <v>113.93</v>
      </c>
      <c r="I41" s="2"/>
      <c r="J41" s="7">
        <f t="shared" si="31"/>
        <v>1.0497825246454254E-3</v>
      </c>
      <c r="K41" s="2"/>
      <c r="L41" s="6">
        <f t="shared" si="32"/>
        <v>-113.93</v>
      </c>
      <c r="M41" s="2"/>
      <c r="N41" s="7">
        <f t="shared" si="33"/>
        <v>-1</v>
      </c>
      <c r="O41" s="11"/>
      <c r="P41" s="6"/>
      <c r="Q41" s="2"/>
      <c r="R41" s="7">
        <f t="shared" si="34"/>
        <v>0</v>
      </c>
      <c r="S41" s="2"/>
      <c r="T41" s="6">
        <v>307.2</v>
      </c>
      <c r="U41" s="2"/>
      <c r="V41" s="7">
        <f t="shared" si="35"/>
        <v>2.3929126787060606E-3</v>
      </c>
      <c r="W41" s="2"/>
      <c r="X41" s="6">
        <f t="shared" si="36"/>
        <v>-307.2</v>
      </c>
      <c r="Y41" s="2"/>
      <c r="Z41" s="7">
        <f t="shared" si="37"/>
        <v>-1</v>
      </c>
    </row>
    <row r="42" spans="1:26" s="25" customFormat="1" outlineLevel="1" collapsed="1" x14ac:dyDescent="0.25">
      <c r="A42" s="27"/>
      <c r="B42" s="13" t="str">
        <f>CONCATENATE("     ","General                                           ")</f>
        <v xml:space="preserve">     General                                           </v>
      </c>
      <c r="C42" s="13"/>
      <c r="D42" s="1">
        <f>SUM(OSRRefD22_7x_0)</f>
        <v>0</v>
      </c>
      <c r="E42" s="1"/>
      <c r="F42" s="5">
        <f t="shared" si="30"/>
        <v>0</v>
      </c>
      <c r="G42" s="1"/>
      <c r="H42" s="1">
        <f>SUM(OSRRefH22_7x_0)</f>
        <v>985.04</v>
      </c>
      <c r="I42" s="1"/>
      <c r="J42" s="5">
        <f t="shared" si="31"/>
        <v>9.0764309495017098E-3</v>
      </c>
      <c r="K42" s="1"/>
      <c r="L42" s="1">
        <f t="shared" si="32"/>
        <v>-985.04</v>
      </c>
      <c r="M42" s="1"/>
      <c r="N42" s="5">
        <f t="shared" si="33"/>
        <v>-1</v>
      </c>
      <c r="O42" s="13"/>
      <c r="P42" s="1">
        <f>SUM(OSRRefP22_7x_0)</f>
        <v>523.54999999999995</v>
      </c>
      <c r="Q42" s="1"/>
      <c r="R42" s="5">
        <f t="shared" si="34"/>
        <v>0</v>
      </c>
      <c r="S42" s="1"/>
      <c r="T42" s="1">
        <f>SUM(OSRRefT22_7x_0)</f>
        <v>4398.99</v>
      </c>
      <c r="U42" s="1"/>
      <c r="V42" s="5">
        <f t="shared" si="35"/>
        <v>3.4265621564131418E-2</v>
      </c>
      <c r="W42" s="1"/>
      <c r="X42" s="1">
        <f t="shared" si="36"/>
        <v>-3875.4399999999996</v>
      </c>
      <c r="Y42" s="1"/>
      <c r="Z42" s="5">
        <f t="shared" si="37"/>
        <v>-0.88098404406466024</v>
      </c>
    </row>
    <row r="43" spans="1:26" s="24" customFormat="1" hidden="1" outlineLevel="2" x14ac:dyDescent="0.25">
      <c r="A43" s="26"/>
      <c r="B43" s="11" t="str">
        <f>CONCATENATE("          ", "6279", " - ", "GENERAL EXPENSE")</f>
        <v xml:space="preserve">          6279 - GENERAL EXPENSE</v>
      </c>
      <c r="C43" s="11"/>
      <c r="D43" s="6"/>
      <c r="E43" s="2"/>
      <c r="F43" s="7">
        <f t="shared" si="30"/>
        <v>0</v>
      </c>
      <c r="G43" s="2"/>
      <c r="H43" s="6">
        <v>985.04</v>
      </c>
      <c r="I43" s="2"/>
      <c r="J43" s="7">
        <f t="shared" si="31"/>
        <v>9.0764309495017098E-3</v>
      </c>
      <c r="K43" s="2"/>
      <c r="L43" s="6">
        <f t="shared" si="32"/>
        <v>-985.04</v>
      </c>
      <c r="M43" s="2"/>
      <c r="N43" s="7">
        <f t="shared" si="33"/>
        <v>-1</v>
      </c>
      <c r="O43" s="11"/>
      <c r="P43" s="6">
        <v>523.54999999999995</v>
      </c>
      <c r="Q43" s="2"/>
      <c r="R43" s="7">
        <f t="shared" si="34"/>
        <v>0</v>
      </c>
      <c r="S43" s="2"/>
      <c r="T43" s="6">
        <v>4398.99</v>
      </c>
      <c r="U43" s="2"/>
      <c r="V43" s="7">
        <f t="shared" si="35"/>
        <v>3.4265621564131418E-2</v>
      </c>
      <c r="W43" s="2"/>
      <c r="X43" s="6">
        <f t="shared" si="36"/>
        <v>-3875.4399999999996</v>
      </c>
      <c r="Y43" s="2"/>
      <c r="Z43" s="7">
        <f t="shared" si="37"/>
        <v>-0.88098404406466024</v>
      </c>
    </row>
    <row r="44" spans="1:26" s="25" customFormat="1" outlineLevel="1" collapsed="1" x14ac:dyDescent="0.25">
      <c r="A44" s="27"/>
      <c r="B44" s="13" t="str">
        <f>CONCATENATE("     ","Repair and Maintenance                            ")</f>
        <v xml:space="preserve">     Repair and Maintenance                            </v>
      </c>
      <c r="C44" s="13"/>
      <c r="D44" s="1">
        <f>SUM(OSRRefD22_8x_0)</f>
        <v>0</v>
      </c>
      <c r="E44" s="1"/>
      <c r="F44" s="5">
        <f t="shared" si="30"/>
        <v>0</v>
      </c>
      <c r="G44" s="1"/>
      <c r="H44" s="1">
        <f>SUM(OSRRefH22_8x_0)</f>
        <v>382.5</v>
      </c>
      <c r="I44" s="1"/>
      <c r="J44" s="5">
        <f t="shared" si="31"/>
        <v>3.5244607713234019E-3</v>
      </c>
      <c r="K44" s="1"/>
      <c r="L44" s="1">
        <f t="shared" si="32"/>
        <v>-382.5</v>
      </c>
      <c r="M44" s="1"/>
      <c r="N44" s="5">
        <f t="shared" si="33"/>
        <v>-1</v>
      </c>
      <c r="O44" s="13"/>
      <c r="P44" s="1">
        <f>SUM(OSRRefP22_8x_0)</f>
        <v>154.33000000000001</v>
      </c>
      <c r="Q44" s="1"/>
      <c r="R44" s="5">
        <f t="shared" si="34"/>
        <v>0</v>
      </c>
      <c r="S44" s="1"/>
      <c r="T44" s="1">
        <f>SUM(OSRRefT22_8x_0)</f>
        <v>817.22</v>
      </c>
      <c r="U44" s="1"/>
      <c r="V44" s="5">
        <f t="shared" si="35"/>
        <v>6.3656774065500221E-3</v>
      </c>
      <c r="W44" s="1"/>
      <c r="X44" s="1">
        <f t="shared" si="36"/>
        <v>-662.89</v>
      </c>
      <c r="Y44" s="1"/>
      <c r="Z44" s="5">
        <f t="shared" si="37"/>
        <v>-0.8111524436504246</v>
      </c>
    </row>
    <row r="45" spans="1:26" s="24" customFormat="1" hidden="1" outlineLevel="2" x14ac:dyDescent="0.25">
      <c r="A45" s="26"/>
      <c r="B45" s="11" t="str">
        <f>CONCATENATE("          ", "6373", " - ", "MAINTENANCE CONTRACTS")</f>
        <v xml:space="preserve">          6373 - MAINTENANCE CONTRACTS</v>
      </c>
      <c r="C45" s="11"/>
      <c r="D45" s="6"/>
      <c r="E45" s="2"/>
      <c r="F45" s="7">
        <f t="shared" si="30"/>
        <v>0</v>
      </c>
      <c r="G45" s="2"/>
      <c r="H45" s="6"/>
      <c r="I45" s="2"/>
      <c r="J45" s="7">
        <f t="shared" si="31"/>
        <v>0</v>
      </c>
      <c r="K45" s="2"/>
      <c r="L45" s="6">
        <f t="shared" si="32"/>
        <v>0</v>
      </c>
      <c r="M45" s="2"/>
      <c r="N45" s="7">
        <f t="shared" si="33"/>
        <v>0</v>
      </c>
      <c r="O45" s="11"/>
      <c r="P45" s="6">
        <v>154.33000000000001</v>
      </c>
      <c r="Q45" s="2"/>
      <c r="R45" s="7">
        <f t="shared" si="34"/>
        <v>0</v>
      </c>
      <c r="S45" s="2"/>
      <c r="T45" s="6">
        <v>296.64</v>
      </c>
      <c r="U45" s="2"/>
      <c r="V45" s="7">
        <f t="shared" si="35"/>
        <v>2.3106563053755394E-3</v>
      </c>
      <c r="W45" s="2"/>
      <c r="X45" s="6">
        <f t="shared" si="36"/>
        <v>-142.30999999999997</v>
      </c>
      <c r="Y45" s="2"/>
      <c r="Z45" s="7">
        <f t="shared" si="37"/>
        <v>-0.4797397518878101</v>
      </c>
    </row>
    <row r="46" spans="1:26" s="24" customFormat="1" hidden="1" outlineLevel="2" x14ac:dyDescent="0.25">
      <c r="A46" s="26"/>
      <c r="B46" s="11" t="str">
        <f>CONCATENATE("          ", "6375", " - ", "OUTSIDE REPAIRS &amp; MAINTENANCE")</f>
        <v xml:space="preserve">          6375 - OUTSIDE REPAIRS &amp; MAINTENANCE</v>
      </c>
      <c r="C46" s="11"/>
      <c r="D46" s="6"/>
      <c r="E46" s="2"/>
      <c r="F46" s="7">
        <f t="shared" si="30"/>
        <v>0</v>
      </c>
      <c r="G46" s="2"/>
      <c r="H46" s="6">
        <v>382.5</v>
      </c>
      <c r="I46" s="2"/>
      <c r="J46" s="7">
        <f t="shared" si="31"/>
        <v>3.5244607713234019E-3</v>
      </c>
      <c r="K46" s="2"/>
      <c r="L46" s="6">
        <f t="shared" si="32"/>
        <v>-382.5</v>
      </c>
      <c r="M46" s="2"/>
      <c r="N46" s="7">
        <f t="shared" si="33"/>
        <v>-1</v>
      </c>
      <c r="O46" s="11"/>
      <c r="P46" s="6"/>
      <c r="Q46" s="2"/>
      <c r="R46" s="7">
        <f t="shared" si="34"/>
        <v>0</v>
      </c>
      <c r="S46" s="2"/>
      <c r="T46" s="6">
        <v>520.58000000000004</v>
      </c>
      <c r="U46" s="2"/>
      <c r="V46" s="7">
        <f t="shared" si="35"/>
        <v>4.0550211011744827E-3</v>
      </c>
      <c r="W46" s="2"/>
      <c r="X46" s="6">
        <f t="shared" si="36"/>
        <v>-520.58000000000004</v>
      </c>
      <c r="Y46" s="2"/>
      <c r="Z46" s="7">
        <f t="shared" si="37"/>
        <v>-1</v>
      </c>
    </row>
    <row r="47" spans="1:26" s="25" customFormat="1" outlineLevel="1" collapsed="1" x14ac:dyDescent="0.25">
      <c r="A47" s="27"/>
      <c r="B47" s="13" t="str">
        <f>CONCATENATE("     ","Royalty &amp; Commissions                             ")</f>
        <v xml:space="preserve">     Royalty &amp; Commissions                             </v>
      </c>
      <c r="C47" s="13"/>
      <c r="D47" s="1">
        <f>SUM(OSRRefD22_9x_0)</f>
        <v>0</v>
      </c>
      <c r="E47" s="1"/>
      <c r="F47" s="5">
        <f t="shared" ref="F47:F56" si="38">IF(D$12=0,0,D47/D$12)</f>
        <v>0</v>
      </c>
      <c r="G47" s="1"/>
      <c r="H47" s="1">
        <f>SUM(OSRRefH22_9x_0)</f>
        <v>21705.439999999999</v>
      </c>
      <c r="I47" s="1"/>
      <c r="J47" s="5">
        <f t="shared" ref="J47:J56" si="39">IF(H$12=0,0,H47/H$12)</f>
        <v>0.19999992628578778</v>
      </c>
      <c r="K47" s="1"/>
      <c r="L47" s="1">
        <f t="shared" ref="L47:L56" si="40">+D47-H47</f>
        <v>-21705.439999999999</v>
      </c>
      <c r="M47" s="1"/>
      <c r="N47" s="5">
        <f t="shared" ref="N47:N56" si="41">IF(H47=0,0,L47/H47)</f>
        <v>-1</v>
      </c>
      <c r="O47" s="13"/>
      <c r="P47" s="1">
        <f>SUM(OSRRefP22_9x_0)</f>
        <v>0</v>
      </c>
      <c r="Q47" s="1"/>
      <c r="R47" s="5">
        <f t="shared" ref="R47:R56" si="42">IF(P$12=0,0,P47/P$12)</f>
        <v>0</v>
      </c>
      <c r="S47" s="1"/>
      <c r="T47" s="1">
        <f>SUM(OSRRefT22_9x_0)</f>
        <v>28301.32</v>
      </c>
      <c r="U47" s="1"/>
      <c r="V47" s="5">
        <f t="shared" ref="V47:V56" si="43">IF(T$12=0,0,T47/T$12)</f>
        <v>0.220451131029028</v>
      </c>
      <c r="W47" s="1"/>
      <c r="X47" s="1">
        <f t="shared" ref="X47:X56" si="44">+P47-T47</f>
        <v>-28301.32</v>
      </c>
      <c r="Y47" s="1"/>
      <c r="Z47" s="5">
        <f t="shared" ref="Z47:Z56" si="45">IF(T47=0,0,X47/T47)</f>
        <v>-1</v>
      </c>
    </row>
    <row r="48" spans="1:26" s="24" customFormat="1" hidden="1" outlineLevel="2" x14ac:dyDescent="0.25">
      <c r="A48" s="26"/>
      <c r="B48" s="11" t="str">
        <f>CONCATENATE("          ", "6254", " - ", "ROYALTY &amp; COMMISSIONS")</f>
        <v xml:space="preserve">          6254 - ROYALTY &amp; COMMISSIONS</v>
      </c>
      <c r="C48" s="11"/>
      <c r="D48" s="6"/>
      <c r="E48" s="2"/>
      <c r="F48" s="7">
        <f t="shared" si="38"/>
        <v>0</v>
      </c>
      <c r="G48" s="2"/>
      <c r="H48" s="6">
        <v>21705.439999999999</v>
      </c>
      <c r="I48" s="2"/>
      <c r="J48" s="7">
        <f t="shared" si="39"/>
        <v>0.19999992628578778</v>
      </c>
      <c r="K48" s="2"/>
      <c r="L48" s="6">
        <f t="shared" si="40"/>
        <v>-21705.439999999999</v>
      </c>
      <c r="M48" s="2"/>
      <c r="N48" s="7">
        <f t="shared" si="41"/>
        <v>-1</v>
      </c>
      <c r="O48" s="11"/>
      <c r="P48" s="6"/>
      <c r="Q48" s="2"/>
      <c r="R48" s="7">
        <f t="shared" si="42"/>
        <v>0</v>
      </c>
      <c r="S48" s="2"/>
      <c r="T48" s="6">
        <v>28301.32</v>
      </c>
      <c r="U48" s="2"/>
      <c r="V48" s="7">
        <f t="shared" si="43"/>
        <v>0.220451131029028</v>
      </c>
      <c r="W48" s="2"/>
      <c r="X48" s="6">
        <f t="shared" si="44"/>
        <v>-28301.32</v>
      </c>
      <c r="Y48" s="2"/>
      <c r="Z48" s="7">
        <f t="shared" si="45"/>
        <v>-1</v>
      </c>
    </row>
    <row r="49" spans="1:26" s="25" customFormat="1" outlineLevel="1" collapsed="1" x14ac:dyDescent="0.25">
      <c r="A49" s="27"/>
      <c r="B49" s="13" t="str">
        <f>CONCATENATE("     ","Services                                          ")</f>
        <v xml:space="preserve">     Services                                          </v>
      </c>
      <c r="C49" s="13"/>
      <c r="D49" s="1">
        <f>SUM(OSRRefD22_10x_0)</f>
        <v>0</v>
      </c>
      <c r="E49" s="1"/>
      <c r="F49" s="5">
        <f t="shared" si="38"/>
        <v>0</v>
      </c>
      <c r="G49" s="1"/>
      <c r="H49" s="1">
        <f>SUM(OSRRefH22_10x_0)</f>
        <v>48.75</v>
      </c>
      <c r="I49" s="1"/>
      <c r="J49" s="5">
        <f t="shared" si="39"/>
        <v>4.4919598065886498E-4</v>
      </c>
      <c r="K49" s="1"/>
      <c r="L49" s="1">
        <f t="shared" si="40"/>
        <v>-48.75</v>
      </c>
      <c r="M49" s="1"/>
      <c r="N49" s="5">
        <f t="shared" si="41"/>
        <v>-1</v>
      </c>
      <c r="O49" s="13"/>
      <c r="P49" s="1">
        <f>SUM(OSRRefP22_10x_0)</f>
        <v>0</v>
      </c>
      <c r="Q49" s="1"/>
      <c r="R49" s="5">
        <f t="shared" si="42"/>
        <v>0</v>
      </c>
      <c r="S49" s="1"/>
      <c r="T49" s="1">
        <f>SUM(OSRRefT22_10x_0)</f>
        <v>93.5</v>
      </c>
      <c r="U49" s="1"/>
      <c r="V49" s="5">
        <f t="shared" si="43"/>
        <v>7.2831163886398649E-4</v>
      </c>
      <c r="W49" s="1"/>
      <c r="X49" s="1">
        <f t="shared" si="44"/>
        <v>-93.5</v>
      </c>
      <c r="Y49" s="1"/>
      <c r="Z49" s="5">
        <f t="shared" si="45"/>
        <v>-1</v>
      </c>
    </row>
    <row r="50" spans="1:26" s="24" customFormat="1" hidden="1" outlineLevel="2" x14ac:dyDescent="0.25">
      <c r="A50" s="26"/>
      <c r="B50" s="11" t="str">
        <f>CONCATENATE("          ", "6286", " - ", "LAUNDRY EXPENSE")</f>
        <v xml:space="preserve">          6286 - LAUNDRY EXPENSE</v>
      </c>
      <c r="C50" s="11"/>
      <c r="D50" s="6"/>
      <c r="E50" s="2"/>
      <c r="F50" s="7">
        <f t="shared" si="38"/>
        <v>0</v>
      </c>
      <c r="G50" s="2"/>
      <c r="H50" s="6">
        <v>48.75</v>
      </c>
      <c r="I50" s="2"/>
      <c r="J50" s="7">
        <f t="shared" si="39"/>
        <v>4.4919598065886498E-4</v>
      </c>
      <c r="K50" s="2"/>
      <c r="L50" s="6">
        <f t="shared" si="40"/>
        <v>-48.75</v>
      </c>
      <c r="M50" s="2"/>
      <c r="N50" s="7">
        <f t="shared" si="41"/>
        <v>-1</v>
      </c>
      <c r="O50" s="11"/>
      <c r="P50" s="6"/>
      <c r="Q50" s="2"/>
      <c r="R50" s="7">
        <f t="shared" si="42"/>
        <v>0</v>
      </c>
      <c r="S50" s="2"/>
      <c r="T50" s="6">
        <v>93.5</v>
      </c>
      <c r="U50" s="2"/>
      <c r="V50" s="7">
        <f t="shared" si="43"/>
        <v>7.2831163886398649E-4</v>
      </c>
      <c r="W50" s="2"/>
      <c r="X50" s="6">
        <f t="shared" si="44"/>
        <v>-93.5</v>
      </c>
      <c r="Y50" s="2"/>
      <c r="Z50" s="7">
        <f t="shared" si="45"/>
        <v>-1</v>
      </c>
    </row>
    <row r="51" spans="1:26" s="25" customFormat="1" outlineLevel="1" collapsed="1" x14ac:dyDescent="0.25">
      <c r="A51" s="27"/>
      <c r="B51" s="13" t="str">
        <f>CONCATENATE("     ","Supplies                                          ")</f>
        <v xml:space="preserve">     Supplies                                          </v>
      </c>
      <c r="C51" s="13"/>
      <c r="D51" s="1">
        <f>SUM(OSRRefD22_11x_0)</f>
        <v>0</v>
      </c>
      <c r="E51" s="1"/>
      <c r="F51" s="5">
        <f t="shared" si="38"/>
        <v>0</v>
      </c>
      <c r="G51" s="1"/>
      <c r="H51" s="1">
        <f>SUM(OSRRefH22_11x_0)</f>
        <v>4257.8799999999992</v>
      </c>
      <c r="I51" s="1"/>
      <c r="J51" s="5">
        <f t="shared" si="39"/>
        <v>3.9233283735954208E-2</v>
      </c>
      <c r="K51" s="1"/>
      <c r="L51" s="1">
        <f t="shared" si="40"/>
        <v>-4257.8799999999992</v>
      </c>
      <c r="M51" s="1"/>
      <c r="N51" s="5">
        <f t="shared" si="41"/>
        <v>-1</v>
      </c>
      <c r="O51" s="13"/>
      <c r="P51" s="1">
        <f>SUM(OSRRefP22_11x_0)</f>
        <v>0</v>
      </c>
      <c r="Q51" s="1"/>
      <c r="R51" s="5">
        <f t="shared" si="42"/>
        <v>0</v>
      </c>
      <c r="S51" s="1"/>
      <c r="T51" s="1">
        <f>SUM(OSRRefT22_11x_0)</f>
        <v>5865.89</v>
      </c>
      <c r="U51" s="1"/>
      <c r="V51" s="5">
        <f t="shared" si="43"/>
        <v>4.5691935393538718E-2</v>
      </c>
      <c r="W51" s="1"/>
      <c r="X51" s="1">
        <f t="shared" si="44"/>
        <v>-5865.89</v>
      </c>
      <c r="Y51" s="1"/>
      <c r="Z51" s="5">
        <f t="shared" si="45"/>
        <v>-1</v>
      </c>
    </row>
    <row r="52" spans="1:26" s="24" customFormat="1" hidden="1" outlineLevel="2" x14ac:dyDescent="0.25">
      <c r="A52" s="26"/>
      <c r="B52" s="11" t="str">
        <f>CONCATENATE("          ", "6237", " - ", "JANITORIAL SUPPLIES")</f>
        <v xml:space="preserve">          6237 - JANITORIAL SUPPLIES</v>
      </c>
      <c r="C52" s="11"/>
      <c r="D52" s="6"/>
      <c r="E52" s="2"/>
      <c r="F52" s="7">
        <f t="shared" si="38"/>
        <v>0</v>
      </c>
      <c r="G52" s="2"/>
      <c r="H52" s="6">
        <v>78.81</v>
      </c>
      <c r="I52" s="2"/>
      <c r="J52" s="7">
        <f t="shared" si="39"/>
        <v>7.2617713304051594E-4</v>
      </c>
      <c r="K52" s="2"/>
      <c r="L52" s="6">
        <f t="shared" si="40"/>
        <v>-78.81</v>
      </c>
      <c r="M52" s="2"/>
      <c r="N52" s="7">
        <f t="shared" si="41"/>
        <v>-1</v>
      </c>
      <c r="O52" s="11"/>
      <c r="P52" s="6"/>
      <c r="Q52" s="2"/>
      <c r="R52" s="7">
        <f t="shared" si="42"/>
        <v>0</v>
      </c>
      <c r="S52" s="2"/>
      <c r="T52" s="6">
        <v>78.81</v>
      </c>
      <c r="U52" s="2"/>
      <c r="V52" s="7">
        <f t="shared" si="43"/>
        <v>6.1388492255476769E-4</v>
      </c>
      <c r="W52" s="2"/>
      <c r="X52" s="6">
        <f t="shared" si="44"/>
        <v>-78.81</v>
      </c>
      <c r="Y52" s="2"/>
      <c r="Z52" s="7">
        <f t="shared" si="45"/>
        <v>-1</v>
      </c>
    </row>
    <row r="53" spans="1:26" s="24" customFormat="1" hidden="1" outlineLevel="2" x14ac:dyDescent="0.25">
      <c r="A53" s="26"/>
      <c r="B53" s="11" t="str">
        <f>CONCATENATE("          ", "6239", " - ", "KITCHEN SUPPLIES")</f>
        <v xml:space="preserve">          6239 - KITCHEN SUPPLIES</v>
      </c>
      <c r="C53" s="11"/>
      <c r="D53" s="6"/>
      <c r="E53" s="2"/>
      <c r="F53" s="7">
        <f t="shared" si="38"/>
        <v>0</v>
      </c>
      <c r="G53" s="2"/>
      <c r="H53" s="6">
        <v>3114.45</v>
      </c>
      <c r="I53" s="2"/>
      <c r="J53" s="7">
        <f t="shared" si="39"/>
        <v>2.8697403527446194E-2</v>
      </c>
      <c r="K53" s="2"/>
      <c r="L53" s="6">
        <f t="shared" si="40"/>
        <v>-3114.45</v>
      </c>
      <c r="M53" s="2"/>
      <c r="N53" s="7">
        <f t="shared" si="41"/>
        <v>-1</v>
      </c>
      <c r="O53" s="11"/>
      <c r="P53" s="6"/>
      <c r="Q53" s="2"/>
      <c r="R53" s="7">
        <f t="shared" si="42"/>
        <v>0</v>
      </c>
      <c r="S53" s="2"/>
      <c r="T53" s="6">
        <v>3989.87</v>
      </c>
      <c r="U53" s="2"/>
      <c r="V53" s="7">
        <f t="shared" si="43"/>
        <v>3.1078810251917152E-2</v>
      </c>
      <c r="W53" s="2"/>
      <c r="X53" s="6">
        <f t="shared" si="44"/>
        <v>-3989.87</v>
      </c>
      <c r="Y53" s="2"/>
      <c r="Z53" s="7">
        <f t="shared" si="45"/>
        <v>-1</v>
      </c>
    </row>
    <row r="54" spans="1:26" s="24" customFormat="1" hidden="1" outlineLevel="2" x14ac:dyDescent="0.25">
      <c r="A54" s="26"/>
      <c r="B54" s="11" t="str">
        <f>CONCATENATE("          ", "6241", " - ", "OFFICE EXPENSE")</f>
        <v xml:space="preserve">          6241 - OFFICE EXPENSE</v>
      </c>
      <c r="C54" s="11"/>
      <c r="D54" s="6"/>
      <c r="E54" s="2"/>
      <c r="F54" s="7">
        <f t="shared" si="38"/>
        <v>0</v>
      </c>
      <c r="G54" s="2"/>
      <c r="H54" s="6">
        <v>51.29</v>
      </c>
      <c r="I54" s="2"/>
      <c r="J54" s="7">
        <f t="shared" si="39"/>
        <v>4.7260024303575764E-4</v>
      </c>
      <c r="K54" s="2"/>
      <c r="L54" s="6">
        <f t="shared" si="40"/>
        <v>-51.29</v>
      </c>
      <c r="M54" s="2"/>
      <c r="N54" s="7">
        <f t="shared" si="41"/>
        <v>-1</v>
      </c>
      <c r="O54" s="11"/>
      <c r="P54" s="6"/>
      <c r="Q54" s="2"/>
      <c r="R54" s="7">
        <f t="shared" si="42"/>
        <v>0</v>
      </c>
      <c r="S54" s="2"/>
      <c r="T54" s="6">
        <v>84.35</v>
      </c>
      <c r="U54" s="2"/>
      <c r="V54" s="7">
        <f t="shared" si="43"/>
        <v>6.570383608361204E-4</v>
      </c>
      <c r="W54" s="2"/>
      <c r="X54" s="6">
        <f t="shared" si="44"/>
        <v>-84.35</v>
      </c>
      <c r="Y54" s="2"/>
      <c r="Z54" s="7">
        <f t="shared" si="45"/>
        <v>-1</v>
      </c>
    </row>
    <row r="55" spans="1:26" s="24" customFormat="1" hidden="1" outlineLevel="2" x14ac:dyDescent="0.25">
      <c r="A55" s="26"/>
      <c r="B55" s="11" t="str">
        <f>CONCATENATE("          ", "6243", " - ", "PAPER SUPPLIES")</f>
        <v xml:space="preserve">          6243 - PAPER SUPPLIES</v>
      </c>
      <c r="C55" s="11"/>
      <c r="D55" s="6"/>
      <c r="E55" s="2"/>
      <c r="F55" s="7">
        <f t="shared" si="38"/>
        <v>0</v>
      </c>
      <c r="G55" s="2"/>
      <c r="H55" s="6">
        <v>233.33</v>
      </c>
      <c r="I55" s="2"/>
      <c r="J55" s="7">
        <f t="shared" si="39"/>
        <v>2.149967141889907E-3</v>
      </c>
      <c r="K55" s="2"/>
      <c r="L55" s="6">
        <f t="shared" si="40"/>
        <v>-233.33</v>
      </c>
      <c r="M55" s="2"/>
      <c r="N55" s="7">
        <f t="shared" si="41"/>
        <v>-1</v>
      </c>
      <c r="O55" s="11"/>
      <c r="P55" s="6"/>
      <c r="Q55" s="2"/>
      <c r="R55" s="7">
        <f t="shared" si="42"/>
        <v>0</v>
      </c>
      <c r="S55" s="2"/>
      <c r="T55" s="6">
        <v>287.97000000000003</v>
      </c>
      <c r="U55" s="2"/>
      <c r="V55" s="7">
        <f t="shared" si="43"/>
        <v>2.2431219534081522E-3</v>
      </c>
      <c r="W55" s="2"/>
      <c r="X55" s="6">
        <f t="shared" si="44"/>
        <v>-287.97000000000003</v>
      </c>
      <c r="Y55" s="2"/>
      <c r="Z55" s="7">
        <f t="shared" si="45"/>
        <v>-1</v>
      </c>
    </row>
    <row r="56" spans="1:26" s="24" customFormat="1" hidden="1" outlineLevel="2" x14ac:dyDescent="0.25">
      <c r="A56" s="26"/>
      <c r="B56" s="11" t="str">
        <f>CONCATENATE("          ", "6247", " - ", "STORE SUPPLIES")</f>
        <v xml:space="preserve">          6247 - STORE SUPPLIES</v>
      </c>
      <c r="C56" s="11"/>
      <c r="D56" s="6"/>
      <c r="E56" s="2"/>
      <c r="F56" s="7">
        <f t="shared" si="38"/>
        <v>0</v>
      </c>
      <c r="G56" s="2"/>
      <c r="H56" s="6">
        <v>780</v>
      </c>
      <c r="I56" s="2"/>
      <c r="J56" s="7">
        <f t="shared" si="39"/>
        <v>7.1871356905418397E-3</v>
      </c>
      <c r="K56" s="2"/>
      <c r="L56" s="6">
        <f t="shared" si="40"/>
        <v>-780</v>
      </c>
      <c r="M56" s="2"/>
      <c r="N56" s="7">
        <f t="shared" si="41"/>
        <v>-1</v>
      </c>
      <c r="O56" s="11"/>
      <c r="P56" s="6"/>
      <c r="Q56" s="2"/>
      <c r="R56" s="7">
        <f t="shared" si="42"/>
        <v>0</v>
      </c>
      <c r="S56" s="2"/>
      <c r="T56" s="6">
        <v>1424.89</v>
      </c>
      <c r="U56" s="2"/>
      <c r="V56" s="7">
        <f t="shared" si="43"/>
        <v>1.1099079904822522E-2</v>
      </c>
      <c r="W56" s="2"/>
      <c r="X56" s="6">
        <f t="shared" si="44"/>
        <v>-1424.89</v>
      </c>
      <c r="Y56" s="2"/>
      <c r="Z56" s="7">
        <f t="shared" si="45"/>
        <v>-1</v>
      </c>
    </row>
    <row r="57" spans="1:26" s="25" customFormat="1" outlineLevel="1" collapsed="1" x14ac:dyDescent="0.25">
      <c r="A57" s="27"/>
      <c r="B57" s="13" t="str">
        <f>CONCATENATE("     ","Telephone/Data Lines                              ")</f>
        <v xml:space="preserve">     Telephone/Data Lines                              </v>
      </c>
      <c r="C57" s="13"/>
      <c r="D57" s="1">
        <f>SUM(OSRRefD22_12x_0)</f>
        <v>201.04</v>
      </c>
      <c r="E57" s="1"/>
      <c r="F57" s="5">
        <f t="shared" ref="F57:F58" si="46">IF(D$12=0,0,D57/D$12)</f>
        <v>0</v>
      </c>
      <c r="G57" s="1"/>
      <c r="H57" s="1">
        <f>SUM(OSRRefH22_12x_0)</f>
        <v>214.01</v>
      </c>
      <c r="I57" s="1"/>
      <c r="J57" s="5">
        <f t="shared" ref="J57:J58" si="47">IF(H$12=0,0,H57/H$12)</f>
        <v>1.9719473194011014E-3</v>
      </c>
      <c r="K57" s="1"/>
      <c r="L57" s="1">
        <f t="shared" ref="L57:L58" si="48">+D57-H57</f>
        <v>-12.969999999999999</v>
      </c>
      <c r="M57" s="1"/>
      <c r="N57" s="5">
        <f t="shared" ref="N57:N58" si="49">IF(H57=0,0,L57/H57)</f>
        <v>-6.0604644642773702E-2</v>
      </c>
      <c r="O57" s="13"/>
      <c r="P57" s="1">
        <f>SUM(OSRRefP22_12x_0)</f>
        <v>428.01</v>
      </c>
      <c r="Q57" s="1"/>
      <c r="R57" s="5">
        <f t="shared" ref="R57:R58" si="50">IF(P$12=0,0,P57/P$12)</f>
        <v>0</v>
      </c>
      <c r="S57" s="1"/>
      <c r="T57" s="1">
        <f>SUM(OSRRefT22_12x_0)</f>
        <v>1712.07</v>
      </c>
      <c r="U57" s="1"/>
      <c r="V57" s="5">
        <f t="shared" ref="V57:V58" si="51">IF(T$12=0,0,T57/T$12)</f>
        <v>1.3336048209089469E-2</v>
      </c>
      <c r="W57" s="1"/>
      <c r="X57" s="1">
        <f t="shared" ref="X57:X58" si="52">+P57-T57</f>
        <v>-1284.06</v>
      </c>
      <c r="Y57" s="1"/>
      <c r="Z57" s="5">
        <f t="shared" ref="Z57:Z58" si="53">IF(T57=0,0,X57/T57)</f>
        <v>-0.75000438066200559</v>
      </c>
    </row>
    <row r="58" spans="1:26" s="24" customFormat="1" hidden="1" outlineLevel="2" x14ac:dyDescent="0.25">
      <c r="A58" s="26"/>
      <c r="B58" s="11" t="str">
        <f>CONCATENATE("          ", "6309", " - ", "TELEPHONE")</f>
        <v xml:space="preserve">          6309 - TELEPHONE</v>
      </c>
      <c r="C58" s="11"/>
      <c r="D58" s="6">
        <v>201.04</v>
      </c>
      <c r="E58" s="2"/>
      <c r="F58" s="7">
        <f t="shared" si="46"/>
        <v>0</v>
      </c>
      <c r="G58" s="2"/>
      <c r="H58" s="6">
        <v>214.01</v>
      </c>
      <c r="I58" s="2"/>
      <c r="J58" s="7">
        <f t="shared" si="47"/>
        <v>1.9719473194011014E-3</v>
      </c>
      <c r="K58" s="2"/>
      <c r="L58" s="6">
        <f t="shared" si="48"/>
        <v>-12.969999999999999</v>
      </c>
      <c r="M58" s="2"/>
      <c r="N58" s="7">
        <f t="shared" si="49"/>
        <v>-6.0604644642773702E-2</v>
      </c>
      <c r="O58" s="11"/>
      <c r="P58" s="6">
        <v>428.01</v>
      </c>
      <c r="Q58" s="2"/>
      <c r="R58" s="7">
        <f t="shared" si="50"/>
        <v>0</v>
      </c>
      <c r="S58" s="2"/>
      <c r="T58" s="6">
        <v>1712.07</v>
      </c>
      <c r="U58" s="2"/>
      <c r="V58" s="7">
        <f t="shared" si="51"/>
        <v>1.3336048209089469E-2</v>
      </c>
      <c r="W58" s="2"/>
      <c r="X58" s="6">
        <f t="shared" si="52"/>
        <v>-1284.06</v>
      </c>
      <c r="Y58" s="2"/>
      <c r="Z58" s="7">
        <f t="shared" si="53"/>
        <v>-0.75000438066200559</v>
      </c>
    </row>
    <row r="59" spans="1:26" s="52" customFormat="1" x14ac:dyDescent="0.25">
      <c r="A59" s="37"/>
      <c r="B59" s="37"/>
      <c r="C59" s="37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collapsed="1" x14ac:dyDescent="0.25">
      <c r="A60" s="10"/>
      <c r="B60" s="28" t="s">
        <v>0</v>
      </c>
      <c r="C60" s="10"/>
      <c r="D60" s="4">
        <f>SUM(OSRRefD25x_0)</f>
        <v>0</v>
      </c>
      <c r="E60" s="4"/>
      <c r="F60" s="12">
        <f t="shared" ref="F60:F61" si="54">IF(D$12=0,0,D60/D$12)</f>
        <v>0</v>
      </c>
      <c r="G60" s="4"/>
      <c r="H60" s="4">
        <f>SUM(OSRRefH25x_0)</f>
        <v>194.29</v>
      </c>
      <c r="I60" s="4"/>
      <c r="J60" s="12">
        <f t="shared" ref="J60:J61" si="55">IF(H$12=0,0,H60/H$12)</f>
        <v>1.7902417863017615E-3</v>
      </c>
      <c r="K60" s="4"/>
      <c r="L60" s="4">
        <f t="shared" ref="L60:L61" si="56">+D60-H60</f>
        <v>-194.29</v>
      </c>
      <c r="M60" s="4"/>
      <c r="N60" s="12">
        <f t="shared" ref="N60:N61" si="57">IF(H60=0,0,L60/H60)</f>
        <v>-1</v>
      </c>
      <c r="O60" s="10"/>
      <c r="P60" s="4">
        <f>SUM(OSRRefP25x_0)</f>
        <v>0</v>
      </c>
      <c r="Q60" s="4"/>
      <c r="R60" s="12">
        <f t="shared" ref="R60:R61" si="58">IF(P$12=0,0,P60/P$12)</f>
        <v>0</v>
      </c>
      <c r="S60" s="4"/>
      <c r="T60" s="4">
        <f>SUM(OSRRefT25x_0)</f>
        <v>5688.93</v>
      </c>
      <c r="U60" s="4"/>
      <c r="V60" s="12">
        <f t="shared" ref="V60:V61" si="59">IF(T$12=0,0,T60/T$12)</f>
        <v>4.431351798590908E-2</v>
      </c>
      <c r="W60" s="4"/>
      <c r="X60" s="4">
        <f t="shared" ref="X60:X61" si="60">+P60-T60</f>
        <v>-5688.93</v>
      </c>
      <c r="Y60" s="4"/>
      <c r="Z60" s="12">
        <f t="shared" ref="Z60:Z61" si="61">IF(T60=0,0,X60/T60)</f>
        <v>-1</v>
      </c>
    </row>
    <row r="61" spans="1:26" s="24" customFormat="1" hidden="1" outlineLevel="1" x14ac:dyDescent="0.25">
      <c r="A61" s="44"/>
      <c r="B61" s="11" t="str">
        <f>CONCATENATE("          ", "9150", " - ", "MISC. INCOME")</f>
        <v xml:space="preserve">          9150 - MISC. INCOME</v>
      </c>
      <c r="C61" s="11"/>
      <c r="D61" s="2">
        <f>0</f>
        <v>0</v>
      </c>
      <c r="E61" s="2"/>
      <c r="F61" s="19">
        <f t="shared" si="54"/>
        <v>0</v>
      </c>
      <c r="G61" s="2"/>
      <c r="H61" s="2">
        <f>--194.29</f>
        <v>194.29</v>
      </c>
      <c r="I61" s="2"/>
      <c r="J61" s="19">
        <f t="shared" si="55"/>
        <v>1.7902417863017615E-3</v>
      </c>
      <c r="K61" s="2"/>
      <c r="L61" s="2">
        <f t="shared" si="56"/>
        <v>-194.29</v>
      </c>
      <c r="M61" s="2"/>
      <c r="N61" s="19">
        <f t="shared" si="57"/>
        <v>-1</v>
      </c>
      <c r="O61" s="11"/>
      <c r="P61" s="2">
        <f>0</f>
        <v>0</v>
      </c>
      <c r="Q61" s="2"/>
      <c r="R61" s="19">
        <f t="shared" si="58"/>
        <v>0</v>
      </c>
      <c r="S61" s="2"/>
      <c r="T61" s="2">
        <f>--5688.93</f>
        <v>5688.93</v>
      </c>
      <c r="U61" s="2"/>
      <c r="V61" s="19">
        <f t="shared" si="59"/>
        <v>4.431351798590908E-2</v>
      </c>
      <c r="W61" s="2"/>
      <c r="X61" s="2">
        <f t="shared" si="60"/>
        <v>-5688.93</v>
      </c>
      <c r="Y61" s="2"/>
      <c r="Z61" s="19">
        <f t="shared" si="61"/>
        <v>-1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9" t="s">
        <v>3</v>
      </c>
      <c r="C63" s="29"/>
      <c r="D63" s="22">
        <f>+D20-D22+D60</f>
        <v>-680.33</v>
      </c>
      <c r="E63" s="14"/>
      <c r="F63" s="20">
        <f>IF(D$12=0,0,D63/D$12)</f>
        <v>0</v>
      </c>
      <c r="G63" s="14"/>
      <c r="H63" s="22">
        <f>+H20-H22+H60</f>
        <v>39857.310000000005</v>
      </c>
      <c r="I63" s="14"/>
      <c r="J63" s="20">
        <f>IF(H$12=0,0,H63/H$12)</f>
        <v>0.36725627593588489</v>
      </c>
      <c r="K63" s="16"/>
      <c r="L63" s="22">
        <f>+D63-H63</f>
        <v>-40537.640000000007</v>
      </c>
      <c r="M63" s="16"/>
      <c r="N63" s="20">
        <f>IF(H63=0,0,L63/H63)</f>
        <v>-1.0170691398892699</v>
      </c>
      <c r="O63" s="28"/>
      <c r="P63" s="22">
        <f>+P20-P22+P60</f>
        <v>-4940.21</v>
      </c>
      <c r="Q63" s="14"/>
      <c r="R63" s="20">
        <f>IF(P$12=0,0,P63/P$12)</f>
        <v>0</v>
      </c>
      <c r="S63" s="14"/>
      <c r="T63" s="22">
        <f>+T20-T22+T60</f>
        <v>32887.219999999994</v>
      </c>
      <c r="U63" s="14"/>
      <c r="V63" s="20">
        <f>IF(T$12=0,0,T63/T$12)</f>
        <v>0.25617267482225103</v>
      </c>
      <c r="W63" s="16"/>
      <c r="X63" s="22">
        <f>+P63-T63</f>
        <v>-37827.429999999993</v>
      </c>
      <c r="Y63" s="16"/>
      <c r="Z63" s="20">
        <f>IF(T63=0,0,X63/T63)</f>
        <v>-1.1502167103209089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1"/>
      <c r="B65" s="10" t="s">
        <v>13</v>
      </c>
      <c r="C65" s="10"/>
      <c r="D65" s="4"/>
      <c r="E65" s="4"/>
      <c r="F65" s="12">
        <f>IF(D$12=0,0,D65/D$12)</f>
        <v>0</v>
      </c>
      <c r="G65" s="4"/>
      <c r="H65" s="4">
        <v>11014.1</v>
      </c>
      <c r="I65" s="4"/>
      <c r="J65" s="12">
        <f>IF(H$12=0,0,H65/H$12)</f>
        <v>0.10148696308871395</v>
      </c>
      <c r="K65" s="4"/>
      <c r="L65" s="4">
        <f>+D65-H65</f>
        <v>-11014.1</v>
      </c>
      <c r="M65" s="4"/>
      <c r="N65" s="12">
        <f>IF(H65=0,0,L65/H65)</f>
        <v>-1</v>
      </c>
      <c r="O65" s="10"/>
      <c r="P65" s="4"/>
      <c r="Q65" s="4"/>
      <c r="R65" s="12">
        <f>IF(P$12=0,0,P65/P$12)</f>
        <v>0</v>
      </c>
      <c r="S65" s="4"/>
      <c r="T65" s="4">
        <v>13084.37</v>
      </c>
      <c r="U65" s="4"/>
      <c r="V65" s="12">
        <f>IF(T$12=0,0,T65/T$12)</f>
        <v>0.10191977495404042</v>
      </c>
      <c r="W65" s="4"/>
      <c r="X65" s="4">
        <f>+P65-T65</f>
        <v>-13084.37</v>
      </c>
      <c r="Y65" s="4"/>
      <c r="Z65" s="12">
        <f>IF(T65=0,0,X65/T65)</f>
        <v>-1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9" t="s">
        <v>4</v>
      </c>
      <c r="C67" s="29"/>
      <c r="D67" s="35">
        <f>+D63-D65</f>
        <v>-680.33</v>
      </c>
      <c r="E67" s="14"/>
      <c r="F67" s="36">
        <f>IF(D$12=0,0,D67/D$12)</f>
        <v>0</v>
      </c>
      <c r="G67" s="14"/>
      <c r="H67" s="35">
        <f>+H63-H65</f>
        <v>28843.210000000006</v>
      </c>
      <c r="I67" s="14"/>
      <c r="J67" s="36">
        <f>IF(H$12=0,0,H67/H$12)</f>
        <v>0.26576931284717092</v>
      </c>
      <c r="K67" s="16"/>
      <c r="L67" s="35">
        <f>D67-H67</f>
        <v>-29523.540000000008</v>
      </c>
      <c r="M67" s="16"/>
      <c r="N67" s="36">
        <f>IF(H67=0,0,L67/H67)</f>
        <v>-1.0235871804837258</v>
      </c>
      <c r="O67" s="28"/>
      <c r="P67" s="35">
        <f>+P63-P65</f>
        <v>-4940.21</v>
      </c>
      <c r="Q67" s="14"/>
      <c r="R67" s="36">
        <f>IF(P$12=0,0,P67/P$12)</f>
        <v>0</v>
      </c>
      <c r="S67" s="14"/>
      <c r="T67" s="35">
        <f>+T63-T65</f>
        <v>19802.849999999991</v>
      </c>
      <c r="U67" s="14"/>
      <c r="V67" s="36">
        <f>IF(T$12=0,0,T67/T$12)</f>
        <v>0.15425289986821059</v>
      </c>
      <c r="W67" s="16"/>
      <c r="X67" s="35">
        <f>P67-T67</f>
        <v>-24743.05999999999</v>
      </c>
      <c r="Y67" s="16"/>
      <c r="Z67" s="36">
        <f>IF(T67=0,0,X67/T67)</f>
        <v>-1.2494696470457536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9" t="s">
        <v>5</v>
      </c>
      <c r="C70" s="29"/>
      <c r="D70" s="31">
        <f>SUM(D67:D69)</f>
        <v>-680.33</v>
      </c>
      <c r="E70" s="14"/>
      <c r="F70" s="33">
        <f>IF(D$12=0,0,D70/D$12)</f>
        <v>0</v>
      </c>
      <c r="G70" s="14"/>
      <c r="H70" s="31">
        <f>SUM(H67:H69)</f>
        <v>28843.210000000006</v>
      </c>
      <c r="I70" s="14"/>
      <c r="J70" s="33">
        <f>IF(H$12=0,0,H70/H$12)</f>
        <v>0.26576931284717092</v>
      </c>
      <c r="K70" s="16"/>
      <c r="L70" s="31">
        <f>+D70-H70</f>
        <v>-29523.540000000008</v>
      </c>
      <c r="M70" s="16"/>
      <c r="N70" s="33">
        <f>IF(H70=0,0,L70/H70)</f>
        <v>-1.0235871804837258</v>
      </c>
      <c r="O70" s="28"/>
      <c r="P70" s="31">
        <f>SUM(P67:P69)</f>
        <v>-4940.21</v>
      </c>
      <c r="Q70" s="14"/>
      <c r="R70" s="33">
        <f>IF(P$12=0,0,P70/P$12)</f>
        <v>0</v>
      </c>
      <c r="S70" s="14"/>
      <c r="T70" s="31">
        <f>SUM(T67:T69)</f>
        <v>19802.849999999991</v>
      </c>
      <c r="U70" s="14"/>
      <c r="V70" s="33">
        <f>IF(T$12=0,0,T70/T$12)</f>
        <v>0.15425289986821059</v>
      </c>
      <c r="W70" s="16"/>
      <c r="X70" s="31">
        <f>+P70-T70</f>
        <v>-24743.05999999999</v>
      </c>
      <c r="Y70" s="16"/>
      <c r="Z70" s="33">
        <f>IF(T70=0,0,X70/T70)</f>
        <v>-1.2494696470457536</v>
      </c>
    </row>
    <row r="71" spans="1:26" ht="15.75" thickTop="1" x14ac:dyDescent="0.25">
      <c r="A71" s="9"/>
      <c r="C71" s="9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A72" s="9"/>
      <c r="B72" s="56">
        <v>44267.668663738426</v>
      </c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A73" s="9"/>
      <c r="B73" s="54" t="s">
        <v>313</v>
      </c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58"/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","425", " - ", "Events Center")</f>
        <v>Department 425 - Events Center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88656.090000000011</v>
      </c>
      <c r="I12" s="4"/>
      <c r="J12" s="12"/>
      <c r="K12" s="4"/>
      <c r="L12" s="4">
        <f t="shared" ref="L12:L16" si="0">+D12-H12</f>
        <v>-88656.090000000011</v>
      </c>
      <c r="M12" s="4"/>
      <c r="N12" s="12">
        <f t="shared" ref="N12:N16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377810.96000000008</v>
      </c>
      <c r="U12" s="4"/>
      <c r="V12" s="12"/>
      <c r="W12" s="4"/>
      <c r="X12" s="4">
        <f t="shared" ref="X12:X16" si="2">+P12-T12</f>
        <v>-377810.96000000008</v>
      </c>
      <c r="Y12" s="4"/>
      <c r="Z12" s="12">
        <f t="shared" ref="Z12:Z16" si="3">IF(T12=0,0,X12/T12)</f>
        <v>-1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 t="shared" ref="D13:D16" si="4">0</f>
        <v>0</v>
      </c>
      <c r="E13" s="2"/>
      <c r="F13" s="19"/>
      <c r="G13" s="2"/>
      <c r="H13" s="2">
        <f>--70533.64</f>
        <v>70533.64</v>
      </c>
      <c r="I13" s="2"/>
      <c r="J13" s="19"/>
      <c r="K13" s="2"/>
      <c r="L13" s="2">
        <f t="shared" si="0"/>
        <v>-70533.64</v>
      </c>
      <c r="M13" s="2"/>
      <c r="N13" s="19">
        <f t="shared" si="1"/>
        <v>-1</v>
      </c>
      <c r="O13" s="11"/>
      <c r="P13" s="2">
        <f t="shared" ref="P13:P16" si="5">0</f>
        <v>0</v>
      </c>
      <c r="Q13" s="2"/>
      <c r="R13" s="19"/>
      <c r="S13" s="2"/>
      <c r="T13" s="2">
        <f>--283667.07</f>
        <v>283667.07</v>
      </c>
      <c r="U13" s="2"/>
      <c r="V13" s="19"/>
      <c r="W13" s="2"/>
      <c r="X13" s="2">
        <f t="shared" si="2"/>
        <v>-283667.07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 t="shared" si="4"/>
        <v>0</v>
      </c>
      <c r="E14" s="2"/>
      <c r="F14" s="19"/>
      <c r="G14" s="2"/>
      <c r="H14" s="2">
        <f>--17725.24</f>
        <v>17725.240000000002</v>
      </c>
      <c r="I14" s="2"/>
      <c r="J14" s="19"/>
      <c r="K14" s="2"/>
      <c r="L14" s="2">
        <f t="shared" si="0"/>
        <v>-17725.240000000002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--93746.6</f>
        <v>93746.6</v>
      </c>
      <c r="U14" s="2"/>
      <c r="V14" s="19"/>
      <c r="W14" s="2"/>
      <c r="X14" s="2">
        <f t="shared" si="2"/>
        <v>-93746.6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 t="shared" si="4"/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5"/>
        <v>0</v>
      </c>
      <c r="Q15" s="2"/>
      <c r="R15" s="19"/>
      <c r="S15" s="2"/>
      <c r="T15" s="2">
        <f>--0.08</f>
        <v>0.08</v>
      </c>
      <c r="U15" s="2"/>
      <c r="V15" s="19"/>
      <c r="W15" s="2"/>
      <c r="X15" s="2">
        <f t="shared" si="2"/>
        <v>-0.08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"4152", " - ", "NON-TAXABLE SALES-FOOD")</f>
        <v xml:space="preserve">          4152 - NON-TAXABLE SALES-FOOD</v>
      </c>
      <c r="C16" s="11"/>
      <c r="D16" s="2">
        <f t="shared" si="4"/>
        <v>0</v>
      </c>
      <c r="E16" s="2"/>
      <c r="F16" s="19"/>
      <c r="G16" s="2"/>
      <c r="H16" s="2">
        <f>--397.21</f>
        <v>397.21</v>
      </c>
      <c r="I16" s="2"/>
      <c r="J16" s="19"/>
      <c r="K16" s="2"/>
      <c r="L16" s="2">
        <f t="shared" si="0"/>
        <v>-397.21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--397.21</f>
        <v>397.21</v>
      </c>
      <c r="U16" s="2"/>
      <c r="V16" s="19"/>
      <c r="W16" s="2"/>
      <c r="X16" s="2">
        <f t="shared" si="2"/>
        <v>-397.21</v>
      </c>
      <c r="Y16" s="2"/>
      <c r="Z16" s="19">
        <f t="shared" si="3"/>
        <v>-1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0</v>
      </c>
      <c r="E18" s="4"/>
      <c r="F18" s="12">
        <f t="shared" ref="F18:F20" si="6">IF(D$12=0,0,D18/D$12)</f>
        <v>0</v>
      </c>
      <c r="G18" s="4"/>
      <c r="H18" s="4">
        <f>SUM(OSRRefH16x_0)</f>
        <v>25972.2</v>
      </c>
      <c r="I18" s="4"/>
      <c r="J18" s="12">
        <f t="shared" ref="J18:J20" si="7">IF(H$12=0,0,H18/H$12)</f>
        <v>0.2929544941582693</v>
      </c>
      <c r="K18" s="4"/>
      <c r="L18" s="4">
        <f t="shared" ref="L18:L20" si="8">+D18-H18</f>
        <v>-25972.2</v>
      </c>
      <c r="M18" s="4"/>
      <c r="N18" s="12">
        <f t="shared" ref="N18:N20" si="9">IF(H18=0,0,L18/H18)</f>
        <v>-1</v>
      </c>
      <c r="O18" s="10"/>
      <c r="P18" s="4">
        <f>SUM(OSRRefP16x_0)</f>
        <v>0</v>
      </c>
      <c r="Q18" s="4"/>
      <c r="R18" s="12">
        <f t="shared" ref="R18:R20" si="10">IF(P$12=0,0,P18/P$12)</f>
        <v>0</v>
      </c>
      <c r="S18" s="4"/>
      <c r="T18" s="4">
        <f>SUM(OSRRefT16x_0)</f>
        <v>98969.78</v>
      </c>
      <c r="U18" s="4"/>
      <c r="V18" s="12">
        <f t="shared" ref="V18:V20" si="11">IF(T$12=0,0,T18/T$12)</f>
        <v>0.26195582044523003</v>
      </c>
      <c r="W18" s="4"/>
      <c r="X18" s="4">
        <f t="shared" ref="X18:X20" si="12">+P18-T18</f>
        <v>-98969.78</v>
      </c>
      <c r="Y18" s="4"/>
      <c r="Z18" s="12">
        <f t="shared" ref="Z18:Z20" si="13">IF(T18=0,0,X18/T18)</f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6"/>
        <v>0</v>
      </c>
      <c r="G19" s="2"/>
      <c r="H19" s="2">
        <v>22578.2</v>
      </c>
      <c r="I19" s="2"/>
      <c r="J19" s="19">
        <f t="shared" si="7"/>
        <v>0.25467173208292854</v>
      </c>
      <c r="K19" s="2"/>
      <c r="L19" s="2">
        <f t="shared" si="8"/>
        <v>-22578.2</v>
      </c>
      <c r="M19" s="2"/>
      <c r="N19" s="19">
        <f t="shared" si="9"/>
        <v>-1</v>
      </c>
      <c r="O19" s="11"/>
      <c r="P19" s="2"/>
      <c r="Q19" s="2"/>
      <c r="R19" s="19">
        <f t="shared" si="10"/>
        <v>0</v>
      </c>
      <c r="S19" s="2"/>
      <c r="T19" s="2">
        <v>109239.78</v>
      </c>
      <c r="U19" s="2"/>
      <c r="V19" s="19">
        <f t="shared" si="11"/>
        <v>0.28913872694428977</v>
      </c>
      <c r="W19" s="2"/>
      <c r="X19" s="2">
        <f t="shared" si="12"/>
        <v>-109239.78</v>
      </c>
      <c r="Y19" s="2"/>
      <c r="Z19" s="19">
        <f t="shared" si="13"/>
        <v>-1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/>
      <c r="E20" s="2"/>
      <c r="F20" s="19">
        <f t="shared" si="6"/>
        <v>0</v>
      </c>
      <c r="G20" s="2"/>
      <c r="H20" s="2">
        <v>3394</v>
      </c>
      <c r="I20" s="2"/>
      <c r="J20" s="19">
        <f t="shared" si="7"/>
        <v>3.8282762075340787E-2</v>
      </c>
      <c r="K20" s="2"/>
      <c r="L20" s="2">
        <f t="shared" si="8"/>
        <v>-3394</v>
      </c>
      <c r="M20" s="2"/>
      <c r="N20" s="19">
        <f t="shared" si="9"/>
        <v>-1</v>
      </c>
      <c r="O20" s="11"/>
      <c r="P20" s="2"/>
      <c r="Q20" s="2"/>
      <c r="R20" s="19">
        <f t="shared" si="10"/>
        <v>0</v>
      </c>
      <c r="S20" s="2"/>
      <c r="T20" s="2">
        <v>-10270</v>
      </c>
      <c r="U20" s="2"/>
      <c r="V20" s="19">
        <f t="shared" si="11"/>
        <v>-2.7182906499059734E-2</v>
      </c>
      <c r="W20" s="2"/>
      <c r="X20" s="2">
        <f t="shared" si="12"/>
        <v>10270</v>
      </c>
      <c r="Y20" s="2"/>
      <c r="Z20" s="19">
        <f t="shared" si="13"/>
        <v>-1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D12-D18</f>
        <v>0</v>
      </c>
      <c r="E22" s="14"/>
      <c r="F22" s="20">
        <f>IF(D$12=0,0,D22/D$12)</f>
        <v>0</v>
      </c>
      <c r="G22" s="14"/>
      <c r="H22" s="22">
        <f>H12-H18</f>
        <v>62683.890000000014</v>
      </c>
      <c r="I22" s="14"/>
      <c r="J22" s="20">
        <f>IF(H$12=0,0,H22/H$12)</f>
        <v>0.70704550584173076</v>
      </c>
      <c r="K22" s="16"/>
      <c r="L22" s="22">
        <f>+D22-H22</f>
        <v>-62683.890000000014</v>
      </c>
      <c r="M22" s="16"/>
      <c r="N22" s="20">
        <f>IF(H22=0,0,L22/H22)</f>
        <v>-1</v>
      </c>
      <c r="O22" s="28"/>
      <c r="P22" s="22">
        <f>P12-P18</f>
        <v>0</v>
      </c>
      <c r="Q22" s="14"/>
      <c r="R22" s="20">
        <f>IF(P$12=0,0,P22/P$12)</f>
        <v>0</v>
      </c>
      <c r="S22" s="14"/>
      <c r="T22" s="22">
        <f>T12-T18</f>
        <v>278841.18000000005</v>
      </c>
      <c r="U22" s="14"/>
      <c r="V22" s="20">
        <f>IF(T$12=0,0,T22/T$12)</f>
        <v>0.73804417955476986</v>
      </c>
      <c r="W22" s="16"/>
      <c r="X22" s="22">
        <f>+P22-T22</f>
        <v>-278841.18000000005</v>
      </c>
      <c r="Y22" s="16"/>
      <c r="Z22" s="20">
        <f>IF(T22=0,0,X22/T22)</f>
        <v>-1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1000.91</v>
      </c>
      <c r="E24" s="21"/>
      <c r="F24" s="32">
        <f t="shared" ref="F24:F34" si="14">IF(D$12=0,0,D24/D$12)</f>
        <v>0</v>
      </c>
      <c r="G24" s="21"/>
      <c r="H24" s="21">
        <f>SUM(OSRRefH22x_0)</f>
        <v>49224.079999999994</v>
      </c>
      <c r="I24" s="21"/>
      <c r="J24" s="32">
        <f t="shared" ref="J24:J34" si="15">IF(H$12=0,0,H24/H$12)</f>
        <v>0.55522502740646451</v>
      </c>
      <c r="K24" s="4"/>
      <c r="L24" s="21">
        <f t="shared" ref="L24:L34" si="16">+D24-H24</f>
        <v>-48223.169999999991</v>
      </c>
      <c r="M24" s="4"/>
      <c r="N24" s="32">
        <f t="shared" ref="N24:N34" si="17">IF(H24=0,0,L24/H24)</f>
        <v>-0.97966625277709607</v>
      </c>
      <c r="O24" s="10"/>
      <c r="P24" s="21">
        <f>SUM(OSRRefP22x_0)</f>
        <v>11635.96</v>
      </c>
      <c r="Q24" s="21"/>
      <c r="R24" s="32">
        <f t="shared" ref="R24:R34" si="18">IF(P$12=0,0,P24/P$12)</f>
        <v>0</v>
      </c>
      <c r="S24" s="21"/>
      <c r="T24" s="21">
        <f>SUM(OSRRefT22x_0)</f>
        <v>278033.42000000004</v>
      </c>
      <c r="U24" s="21"/>
      <c r="V24" s="32">
        <f t="shared" ref="V24:V34" si="19">IF(T$12=0,0,T24/T$12)</f>
        <v>0.73590617911137357</v>
      </c>
      <c r="W24" s="4"/>
      <c r="X24" s="21">
        <f t="shared" ref="X24:X34" si="20">+P24-T24</f>
        <v>-266397.46000000002</v>
      </c>
      <c r="Y24" s="4"/>
      <c r="Z24" s="32">
        <f t="shared" ref="Z24:Z34" si="21">IF(T24=0,0,X24/T24)</f>
        <v>-0.95814905992236465</v>
      </c>
    </row>
    <row r="25" spans="1:26" s="25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0</v>
      </c>
      <c r="E25" s="1"/>
      <c r="F25" s="5">
        <f t="shared" si="14"/>
        <v>0</v>
      </c>
      <c r="G25" s="1"/>
      <c r="H25" s="1">
        <f>SUM(OSRRefH22_0x_0)</f>
        <v>4480.46</v>
      </c>
      <c r="I25" s="1"/>
      <c r="J25" s="5">
        <f t="shared" si="15"/>
        <v>5.0537532165021035E-2</v>
      </c>
      <c r="K25" s="1"/>
      <c r="L25" s="1">
        <f t="shared" si="16"/>
        <v>-4480.46</v>
      </c>
      <c r="M25" s="1"/>
      <c r="N25" s="5">
        <f t="shared" si="17"/>
        <v>-1</v>
      </c>
      <c r="O25" s="13"/>
      <c r="P25" s="1">
        <f>SUM(OSRRefP22_0x_0)</f>
        <v>1420.5</v>
      </c>
      <c r="Q25" s="1"/>
      <c r="R25" s="5">
        <f t="shared" si="18"/>
        <v>0</v>
      </c>
      <c r="S25" s="1"/>
      <c r="T25" s="1">
        <f>SUM(OSRRefT22_0x_0)</f>
        <v>25353.609999999997</v>
      </c>
      <c r="U25" s="1"/>
      <c r="V25" s="5">
        <f t="shared" si="19"/>
        <v>6.7106602730635428E-2</v>
      </c>
      <c r="W25" s="1"/>
      <c r="X25" s="1">
        <f t="shared" si="20"/>
        <v>-23933.109999999997</v>
      </c>
      <c r="Y25" s="1"/>
      <c r="Z25" s="5">
        <f t="shared" si="21"/>
        <v>-0.94397247571450371</v>
      </c>
    </row>
    <row r="26" spans="1:26" s="24" customFormat="1" hidden="1" outlineLevel="2" x14ac:dyDescent="0.25">
      <c r="A26" s="26"/>
      <c r="B26" s="11" t="str">
        <f>CONCATENATE("          ", "6111", " - ", "F.I.C.A.")</f>
        <v xml:space="preserve">          6111 - F.I.C.A.</v>
      </c>
      <c r="C26" s="11"/>
      <c r="D26" s="6"/>
      <c r="E26" s="2"/>
      <c r="F26" s="7">
        <f t="shared" si="14"/>
        <v>0</v>
      </c>
      <c r="G26" s="2"/>
      <c r="H26" s="6">
        <v>915.74</v>
      </c>
      <c r="I26" s="2"/>
      <c r="J26" s="7">
        <f t="shared" si="15"/>
        <v>1.0329126854116846E-2</v>
      </c>
      <c r="K26" s="2"/>
      <c r="L26" s="6">
        <f t="shared" si="16"/>
        <v>-915.74</v>
      </c>
      <c r="M26" s="2"/>
      <c r="N26" s="7">
        <f t="shared" si="17"/>
        <v>-1</v>
      </c>
      <c r="O26" s="11"/>
      <c r="P26" s="6">
        <v>171.54</v>
      </c>
      <c r="Q26" s="2"/>
      <c r="R26" s="7">
        <f t="shared" si="18"/>
        <v>0</v>
      </c>
      <c r="S26" s="2"/>
      <c r="T26" s="6">
        <v>6087.78</v>
      </c>
      <c r="U26" s="2"/>
      <c r="V26" s="7">
        <f t="shared" si="19"/>
        <v>1.6113296448573112E-2</v>
      </c>
      <c r="W26" s="2"/>
      <c r="X26" s="6">
        <f t="shared" si="20"/>
        <v>-5916.24</v>
      </c>
      <c r="Y26" s="2"/>
      <c r="Z26" s="7">
        <f t="shared" si="21"/>
        <v>-0.97182224061973332</v>
      </c>
    </row>
    <row r="27" spans="1:26" s="24" customFormat="1" hidden="1" outlineLevel="2" x14ac:dyDescent="0.25">
      <c r="A27" s="26"/>
      <c r="B27" s="11" t="str">
        <f>CONCATENATE("          ", "6112", " - ", "COMPENSATION INSURANCE")</f>
        <v xml:space="preserve">          6112 - COMPENSATION INSURANCE</v>
      </c>
      <c r="C27" s="11"/>
      <c r="D27" s="6"/>
      <c r="E27" s="2"/>
      <c r="F27" s="7">
        <f t="shared" si="14"/>
        <v>0</v>
      </c>
      <c r="G27" s="2"/>
      <c r="H27" s="6">
        <v>1241.1199999999999</v>
      </c>
      <c r="I27" s="2"/>
      <c r="J27" s="7">
        <f t="shared" si="15"/>
        <v>1.3999263897155849E-2</v>
      </c>
      <c r="K27" s="2"/>
      <c r="L27" s="6">
        <f t="shared" si="16"/>
        <v>-1241.1199999999999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4481.67</v>
      </c>
      <c r="U27" s="2"/>
      <c r="V27" s="7">
        <f t="shared" si="19"/>
        <v>1.1862202197628145E-2</v>
      </c>
      <c r="W27" s="2"/>
      <c r="X27" s="6">
        <f t="shared" si="20"/>
        <v>-4481.67</v>
      </c>
      <c r="Y27" s="2"/>
      <c r="Z27" s="7">
        <f t="shared" si="21"/>
        <v>-1</v>
      </c>
    </row>
    <row r="28" spans="1:26" s="24" customFormat="1" hidden="1" outlineLevel="2" x14ac:dyDescent="0.25">
      <c r="A28" s="26"/>
      <c r="B28" s="11" t="str">
        <f>CONCATENATE("          ", "6113", " - ", "GROUP INSURANCE")</f>
        <v xml:space="preserve">          6113 - GROUP INSURANCE</v>
      </c>
      <c r="C28" s="11"/>
      <c r="D28" s="6"/>
      <c r="E28" s="2"/>
      <c r="F28" s="7">
        <f t="shared" si="14"/>
        <v>0</v>
      </c>
      <c r="G28" s="2"/>
      <c r="H28" s="6">
        <v>733.11</v>
      </c>
      <c r="I28" s="2"/>
      <c r="J28" s="7">
        <f t="shared" si="15"/>
        <v>8.2691442855194718E-3</v>
      </c>
      <c r="K28" s="2"/>
      <c r="L28" s="6">
        <f t="shared" si="16"/>
        <v>-733.11</v>
      </c>
      <c r="M28" s="2"/>
      <c r="N28" s="7">
        <f t="shared" si="17"/>
        <v>-1</v>
      </c>
      <c r="O28" s="11"/>
      <c r="P28" s="6">
        <v>699.3</v>
      </c>
      <c r="Q28" s="2"/>
      <c r="R28" s="7">
        <f t="shared" si="18"/>
        <v>0</v>
      </c>
      <c r="S28" s="2"/>
      <c r="T28" s="6">
        <v>5655.42</v>
      </c>
      <c r="U28" s="2"/>
      <c r="V28" s="7">
        <f t="shared" si="19"/>
        <v>1.496891461274707E-2</v>
      </c>
      <c r="W28" s="2"/>
      <c r="X28" s="6">
        <f t="shared" si="20"/>
        <v>-4956.12</v>
      </c>
      <c r="Y28" s="2"/>
      <c r="Z28" s="7">
        <f t="shared" si="21"/>
        <v>-0.87634870619688721</v>
      </c>
    </row>
    <row r="29" spans="1:26" s="24" customFormat="1" hidden="1" outlineLevel="2" x14ac:dyDescent="0.25">
      <c r="A29" s="26"/>
      <c r="B29" s="11" t="str">
        <f>CONCATENATE("          ", "6114", " - ", "STATE UNEMPLOYMENT INSURANCE")</f>
        <v xml:space="preserve">          6114 - STATE UNEMPLOYMENT INSURANCE</v>
      </c>
      <c r="C29" s="11"/>
      <c r="D29" s="6"/>
      <c r="E29" s="2"/>
      <c r="F29" s="7">
        <f t="shared" si="14"/>
        <v>0</v>
      </c>
      <c r="G29" s="2"/>
      <c r="H29" s="6">
        <v>83.17</v>
      </c>
      <c r="I29" s="2"/>
      <c r="J29" s="7">
        <f t="shared" si="15"/>
        <v>9.381194230424553E-4</v>
      </c>
      <c r="K29" s="2"/>
      <c r="L29" s="6">
        <f t="shared" si="16"/>
        <v>-83.17</v>
      </c>
      <c r="M29" s="2"/>
      <c r="N29" s="7">
        <f t="shared" si="17"/>
        <v>-1</v>
      </c>
      <c r="O29" s="11"/>
      <c r="P29" s="6"/>
      <c r="Q29" s="2"/>
      <c r="R29" s="7">
        <f t="shared" si="18"/>
        <v>0</v>
      </c>
      <c r="S29" s="2"/>
      <c r="T29" s="6">
        <v>373.77</v>
      </c>
      <c r="U29" s="2"/>
      <c r="V29" s="7">
        <f t="shared" si="19"/>
        <v>9.8930428063812633E-4</v>
      </c>
      <c r="W29" s="2"/>
      <c r="X29" s="6">
        <f t="shared" si="20"/>
        <v>-373.77</v>
      </c>
      <c r="Y29" s="2"/>
      <c r="Z29" s="7">
        <f t="shared" si="21"/>
        <v>-1</v>
      </c>
    </row>
    <row r="30" spans="1:26" s="24" customFormat="1" hidden="1" outlineLevel="2" x14ac:dyDescent="0.25">
      <c r="A30" s="26"/>
      <c r="B30" s="11" t="str">
        <f>CONCATENATE("          ", "6115", " - ", "P.E.R.S.")</f>
        <v xml:space="preserve">          6115 - P.E.R.S.</v>
      </c>
      <c r="C30" s="11"/>
      <c r="D30" s="6"/>
      <c r="E30" s="2"/>
      <c r="F30" s="7">
        <f t="shared" si="14"/>
        <v>0</v>
      </c>
      <c r="G30" s="2"/>
      <c r="H30" s="6">
        <v>320.99</v>
      </c>
      <c r="I30" s="2"/>
      <c r="J30" s="7">
        <f t="shared" si="15"/>
        <v>3.6206198581507482E-3</v>
      </c>
      <c r="K30" s="2"/>
      <c r="L30" s="6">
        <f t="shared" si="16"/>
        <v>-320.99</v>
      </c>
      <c r="M30" s="2"/>
      <c r="N30" s="7">
        <f t="shared" si="17"/>
        <v>-1</v>
      </c>
      <c r="O30" s="11"/>
      <c r="P30" s="6">
        <v>355.22</v>
      </c>
      <c r="Q30" s="2"/>
      <c r="R30" s="7">
        <f t="shared" si="18"/>
        <v>0</v>
      </c>
      <c r="S30" s="2"/>
      <c r="T30" s="6">
        <v>2728.41</v>
      </c>
      <c r="U30" s="2"/>
      <c r="V30" s="7">
        <f t="shared" si="19"/>
        <v>7.2216274509347197E-3</v>
      </c>
      <c r="W30" s="2"/>
      <c r="X30" s="6">
        <f t="shared" si="20"/>
        <v>-2373.1899999999996</v>
      </c>
      <c r="Y30" s="2"/>
      <c r="Z30" s="7">
        <f t="shared" si="21"/>
        <v>-0.86980695716552858</v>
      </c>
    </row>
    <row r="31" spans="1:26" s="24" customFormat="1" hidden="1" outlineLevel="2" x14ac:dyDescent="0.25">
      <c r="A31" s="26"/>
      <c r="B31" s="11" t="str">
        <f>CONCATENATE("          ", "6117", " - ", "RETIREMENT STAFF HOURLY")</f>
        <v xml:space="preserve">          6117 - RETIREMENT STAFF HOURLY</v>
      </c>
      <c r="C31" s="11"/>
      <c r="D31" s="6"/>
      <c r="E31" s="2"/>
      <c r="F31" s="7">
        <f t="shared" si="14"/>
        <v>0</v>
      </c>
      <c r="G31" s="2"/>
      <c r="H31" s="6">
        <v>126.87</v>
      </c>
      <c r="I31" s="2"/>
      <c r="J31" s="7">
        <f t="shared" si="15"/>
        <v>1.4310353637296657E-3</v>
      </c>
      <c r="K31" s="2"/>
      <c r="L31" s="6">
        <f t="shared" si="16"/>
        <v>-126.87</v>
      </c>
      <c r="M31" s="2"/>
      <c r="N31" s="7">
        <f t="shared" si="17"/>
        <v>-1</v>
      </c>
      <c r="O31" s="11"/>
      <c r="P31" s="6"/>
      <c r="Q31" s="2"/>
      <c r="R31" s="7">
        <f t="shared" si="18"/>
        <v>0</v>
      </c>
      <c r="S31" s="2"/>
      <c r="T31" s="6">
        <v>236.85</v>
      </c>
      <c r="U31" s="2"/>
      <c r="V31" s="7">
        <f t="shared" si="19"/>
        <v>6.2690081833518001E-4</v>
      </c>
      <c r="W31" s="2"/>
      <c r="X31" s="6">
        <f t="shared" si="20"/>
        <v>-236.85</v>
      </c>
      <c r="Y31" s="2"/>
      <c r="Z31" s="7">
        <f t="shared" si="21"/>
        <v>-1</v>
      </c>
    </row>
    <row r="32" spans="1:26" s="24" customFormat="1" hidden="1" outlineLevel="2" x14ac:dyDescent="0.25">
      <c r="A32" s="26"/>
      <c r="B32" s="11" t="str">
        <f>CONCATENATE("          ", "6118", " - ", "VACATION")</f>
        <v xml:space="preserve">          6118 - VACATION</v>
      </c>
      <c r="C32" s="11"/>
      <c r="D32" s="6"/>
      <c r="E32" s="2"/>
      <c r="F32" s="7">
        <f t="shared" si="14"/>
        <v>0</v>
      </c>
      <c r="G32" s="2"/>
      <c r="H32" s="6">
        <v>340.16</v>
      </c>
      <c r="I32" s="2"/>
      <c r="J32" s="7">
        <f t="shared" si="15"/>
        <v>3.8368486586764653E-3</v>
      </c>
      <c r="K32" s="2"/>
      <c r="L32" s="6">
        <f t="shared" si="16"/>
        <v>-340.16</v>
      </c>
      <c r="M32" s="2"/>
      <c r="N32" s="7">
        <f t="shared" si="17"/>
        <v>-1</v>
      </c>
      <c r="O32" s="11"/>
      <c r="P32" s="6">
        <v>88.46</v>
      </c>
      <c r="Q32" s="2"/>
      <c r="R32" s="7">
        <f t="shared" si="18"/>
        <v>0</v>
      </c>
      <c r="S32" s="2"/>
      <c r="T32" s="6">
        <v>1856.6</v>
      </c>
      <c r="U32" s="2"/>
      <c r="V32" s="7">
        <f t="shared" si="19"/>
        <v>4.9140977805408282E-3</v>
      </c>
      <c r="W32" s="2"/>
      <c r="X32" s="6">
        <f t="shared" si="20"/>
        <v>-1768.1399999999999</v>
      </c>
      <c r="Y32" s="2"/>
      <c r="Z32" s="7">
        <f t="shared" si="21"/>
        <v>-0.95235376494667667</v>
      </c>
    </row>
    <row r="33" spans="1:26" s="24" customFormat="1" hidden="1" outlineLevel="2" x14ac:dyDescent="0.25">
      <c r="A33" s="26"/>
      <c r="B33" s="11" t="str">
        <f>CONCATENATE("          ", "6119", " - ", "SICK LEAVE")</f>
        <v xml:space="preserve">          6119 - SICK LEAVE</v>
      </c>
      <c r="C33" s="11"/>
      <c r="D33" s="6"/>
      <c r="E33" s="2"/>
      <c r="F33" s="7">
        <f t="shared" si="14"/>
        <v>0</v>
      </c>
      <c r="G33" s="2"/>
      <c r="H33" s="6">
        <v>407.54</v>
      </c>
      <c r="I33" s="2"/>
      <c r="J33" s="7">
        <f t="shared" si="15"/>
        <v>4.5968641296948685E-3</v>
      </c>
      <c r="K33" s="2"/>
      <c r="L33" s="6">
        <f t="shared" si="16"/>
        <v>-407.54</v>
      </c>
      <c r="M33" s="2"/>
      <c r="N33" s="7">
        <f t="shared" si="17"/>
        <v>-1</v>
      </c>
      <c r="O33" s="11"/>
      <c r="P33" s="6">
        <v>105.98</v>
      </c>
      <c r="Q33" s="2"/>
      <c r="R33" s="7">
        <f t="shared" si="18"/>
        <v>0</v>
      </c>
      <c r="S33" s="2"/>
      <c r="T33" s="6">
        <v>2286.66</v>
      </c>
      <c r="U33" s="2"/>
      <c r="V33" s="7">
        <f t="shared" si="19"/>
        <v>6.0523919157877241E-3</v>
      </c>
      <c r="W33" s="2"/>
      <c r="X33" s="6">
        <f t="shared" si="20"/>
        <v>-2180.6799999999998</v>
      </c>
      <c r="Y33" s="2"/>
      <c r="Z33" s="7">
        <f t="shared" si="21"/>
        <v>-0.95365292610182539</v>
      </c>
    </row>
    <row r="34" spans="1:26" s="24" customFormat="1" hidden="1" outlineLevel="2" x14ac:dyDescent="0.25">
      <c r="A34" s="26"/>
      <c r="B34" s="11" t="str">
        <f>CONCATENATE("          ", "6156", " - ", "EMPLOYEE MEALS")</f>
        <v xml:space="preserve">          6156 - EMPLOYEE MEALS</v>
      </c>
      <c r="C34" s="11"/>
      <c r="D34" s="6"/>
      <c r="E34" s="2"/>
      <c r="F34" s="7">
        <f t="shared" si="14"/>
        <v>0</v>
      </c>
      <c r="G34" s="2"/>
      <c r="H34" s="6">
        <v>311.76</v>
      </c>
      <c r="I34" s="2"/>
      <c r="J34" s="7">
        <f t="shared" si="15"/>
        <v>3.516509694934662E-3</v>
      </c>
      <c r="K34" s="2"/>
      <c r="L34" s="6">
        <f t="shared" si="16"/>
        <v>-311.76</v>
      </c>
      <c r="M34" s="2"/>
      <c r="N34" s="7">
        <f t="shared" si="17"/>
        <v>-1</v>
      </c>
      <c r="O34" s="11"/>
      <c r="P34" s="6"/>
      <c r="Q34" s="2"/>
      <c r="R34" s="7">
        <f t="shared" si="18"/>
        <v>0</v>
      </c>
      <c r="S34" s="2"/>
      <c r="T34" s="6">
        <v>1646.45</v>
      </c>
      <c r="U34" s="2"/>
      <c r="V34" s="7">
        <f t="shared" si="19"/>
        <v>4.3578672254505259E-3</v>
      </c>
      <c r="W34" s="2"/>
      <c r="X34" s="6">
        <f t="shared" si="20"/>
        <v>-1646.45</v>
      </c>
      <c r="Y34" s="2"/>
      <c r="Z34" s="7">
        <f t="shared" si="21"/>
        <v>-1</v>
      </c>
    </row>
    <row r="35" spans="1:26" s="25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0</v>
      </c>
      <c r="E35" s="1"/>
      <c r="F35" s="5">
        <f t="shared" ref="F35:F41" si="22">IF(D$12=0,0,D35/D$12)</f>
        <v>0</v>
      </c>
      <c r="G35" s="1"/>
      <c r="H35" s="1">
        <f>SUM(OSRRefH22_1x_0)</f>
        <v>21807</v>
      </c>
      <c r="I35" s="1"/>
      <c r="J35" s="5">
        <f t="shared" ref="J35:J41" si="23">IF(H$12=0,0,H35/H$12)</f>
        <v>0.2459729500816018</v>
      </c>
      <c r="K35" s="1"/>
      <c r="L35" s="1">
        <f t="shared" ref="L35:L41" si="24">+D35-H35</f>
        <v>-21807</v>
      </c>
      <c r="M35" s="1"/>
      <c r="N35" s="5">
        <f t="shared" ref="N35:N41" si="25">IF(H35=0,0,L35/H35)</f>
        <v>-1</v>
      </c>
      <c r="O35" s="13"/>
      <c r="P35" s="1">
        <f>SUM(OSRRefP22_1x_0)</f>
        <v>1378.61</v>
      </c>
      <c r="Q35" s="1"/>
      <c r="R35" s="5">
        <f t="shared" ref="R35:R41" si="26">IF(P$12=0,0,P35/P$12)</f>
        <v>0</v>
      </c>
      <c r="S35" s="1"/>
      <c r="T35" s="1">
        <f>SUM(OSRRefT22_1x_0)</f>
        <v>119487.82</v>
      </c>
      <c r="U35" s="1"/>
      <c r="V35" s="5">
        <f t="shared" ref="V35:V41" si="27">IF(T$12=0,0,T35/T$12)</f>
        <v>0.31626350913695034</v>
      </c>
      <c r="W35" s="1"/>
      <c r="X35" s="1">
        <f t="shared" ref="X35:X41" si="28">+P35-T35</f>
        <v>-118109.21</v>
      </c>
      <c r="Y35" s="1"/>
      <c r="Z35" s="5">
        <f t="shared" ref="Z35:Z41" si="29">IF(T35=0,0,X35/T35)</f>
        <v>-0.98846233867184119</v>
      </c>
    </row>
    <row r="36" spans="1:26" s="24" customFormat="1" hidden="1" outlineLevel="2" x14ac:dyDescent="0.25">
      <c r="A36" s="26"/>
      <c r="B36" s="11" t="str">
        <f>CONCATENATE("          ", "6002", " - ", "STAFF SALARIES")</f>
        <v xml:space="preserve">          6002 - STAFF SALARIES</v>
      </c>
      <c r="C36" s="11"/>
      <c r="D36" s="6"/>
      <c r="E36" s="2"/>
      <c r="F36" s="7">
        <f t="shared" si="22"/>
        <v>0</v>
      </c>
      <c r="G36" s="2"/>
      <c r="H36" s="6">
        <v>4595.38</v>
      </c>
      <c r="I36" s="2"/>
      <c r="J36" s="7">
        <f t="shared" si="23"/>
        <v>5.1833777014077653E-2</v>
      </c>
      <c r="K36" s="2"/>
      <c r="L36" s="6">
        <f t="shared" si="24"/>
        <v>-4595.38</v>
      </c>
      <c r="M36" s="2"/>
      <c r="N36" s="7">
        <f t="shared" si="25"/>
        <v>-1</v>
      </c>
      <c r="O36" s="11"/>
      <c r="P36" s="6">
        <v>1378.61</v>
      </c>
      <c r="Q36" s="2"/>
      <c r="R36" s="7">
        <f t="shared" si="26"/>
        <v>0</v>
      </c>
      <c r="S36" s="2"/>
      <c r="T36" s="6">
        <v>39290.65</v>
      </c>
      <c r="U36" s="2"/>
      <c r="V36" s="7">
        <f t="shared" si="27"/>
        <v>0.10399552728697969</v>
      </c>
      <c r="W36" s="2"/>
      <c r="X36" s="6">
        <f t="shared" si="28"/>
        <v>-37912.04</v>
      </c>
      <c r="Y36" s="2"/>
      <c r="Z36" s="7">
        <f t="shared" si="29"/>
        <v>-0.96491251735463779</v>
      </c>
    </row>
    <row r="37" spans="1:26" s="24" customFormat="1" hidden="1" outlineLevel="2" x14ac:dyDescent="0.25">
      <c r="A37" s="26"/>
      <c r="B37" s="11" t="str">
        <f>CONCATENATE("          ", "6004", " - ", "STAFF HOURLY")</f>
        <v xml:space="preserve">          6004 - STAFF HOURLY</v>
      </c>
      <c r="C37" s="11"/>
      <c r="D37" s="6"/>
      <c r="E37" s="2"/>
      <c r="F37" s="7">
        <f t="shared" si="22"/>
        <v>0</v>
      </c>
      <c r="G37" s="2"/>
      <c r="H37" s="6">
        <v>3135.62</v>
      </c>
      <c r="I37" s="2"/>
      <c r="J37" s="7">
        <f t="shared" si="23"/>
        <v>3.5368354277748988E-2</v>
      </c>
      <c r="K37" s="2"/>
      <c r="L37" s="6">
        <f t="shared" si="24"/>
        <v>-3135.62</v>
      </c>
      <c r="M37" s="2"/>
      <c r="N37" s="7">
        <f t="shared" si="25"/>
        <v>-1</v>
      </c>
      <c r="O37" s="11"/>
      <c r="P37" s="6"/>
      <c r="Q37" s="2"/>
      <c r="R37" s="7">
        <f t="shared" si="26"/>
        <v>0</v>
      </c>
      <c r="S37" s="2"/>
      <c r="T37" s="6">
        <v>6156.63</v>
      </c>
      <c r="U37" s="2"/>
      <c r="V37" s="7">
        <f t="shared" si="27"/>
        <v>1.6295530441996702E-2</v>
      </c>
      <c r="W37" s="2"/>
      <c r="X37" s="6">
        <f t="shared" si="28"/>
        <v>-6156.63</v>
      </c>
      <c r="Y37" s="2"/>
      <c r="Z37" s="7">
        <f t="shared" si="29"/>
        <v>-1</v>
      </c>
    </row>
    <row r="38" spans="1:26" s="24" customFormat="1" hidden="1" outlineLevel="2" x14ac:dyDescent="0.25">
      <c r="A38" s="26"/>
      <c r="B38" s="11" t="str">
        <f>CONCATENATE("          ", "6005", " - ", "TEMPORARY WAGES-HOURLY")</f>
        <v xml:space="preserve">          6005 - TEMPORARY WAGES-HOURLY</v>
      </c>
      <c r="C38" s="11"/>
      <c r="D38" s="6"/>
      <c r="E38" s="2"/>
      <c r="F38" s="7">
        <f t="shared" si="22"/>
        <v>0</v>
      </c>
      <c r="G38" s="2"/>
      <c r="H38" s="6">
        <v>4369.32</v>
      </c>
      <c r="I38" s="2"/>
      <c r="J38" s="7">
        <f t="shared" si="23"/>
        <v>4.9283923980856806E-2</v>
      </c>
      <c r="K38" s="2"/>
      <c r="L38" s="6">
        <f t="shared" si="24"/>
        <v>-4369.32</v>
      </c>
      <c r="M38" s="2"/>
      <c r="N38" s="7">
        <f t="shared" si="25"/>
        <v>-1</v>
      </c>
      <c r="O38" s="11"/>
      <c r="P38" s="6"/>
      <c r="Q38" s="2"/>
      <c r="R38" s="7">
        <f t="shared" si="26"/>
        <v>0</v>
      </c>
      <c r="S38" s="2"/>
      <c r="T38" s="6">
        <v>25996.63</v>
      </c>
      <c r="U38" s="2"/>
      <c r="V38" s="7">
        <f t="shared" si="27"/>
        <v>6.8808565002984545E-2</v>
      </c>
      <c r="W38" s="2"/>
      <c r="X38" s="6">
        <f t="shared" si="28"/>
        <v>-25996.63</v>
      </c>
      <c r="Y38" s="2"/>
      <c r="Z38" s="7">
        <f t="shared" si="29"/>
        <v>-1</v>
      </c>
    </row>
    <row r="39" spans="1:26" s="24" customFormat="1" hidden="1" outlineLevel="2" x14ac:dyDescent="0.25">
      <c r="A39" s="26"/>
      <c r="B39" s="11" t="str">
        <f>CONCATENATE("          ", "6006", " - ", "TEMPORARY PART TIME")</f>
        <v xml:space="preserve">          6006 - TEMPORARY PART TIME</v>
      </c>
      <c r="C39" s="11"/>
      <c r="D39" s="6"/>
      <c r="E39" s="2"/>
      <c r="F39" s="7">
        <f t="shared" si="22"/>
        <v>0</v>
      </c>
      <c r="G39" s="2"/>
      <c r="H39" s="6"/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303.38</v>
      </c>
      <c r="U39" s="2"/>
      <c r="V39" s="7">
        <f t="shared" si="27"/>
        <v>8.0299417465284732E-4</v>
      </c>
      <c r="W39" s="2"/>
      <c r="X39" s="6">
        <f t="shared" si="28"/>
        <v>-303.38</v>
      </c>
      <c r="Y39" s="2"/>
      <c r="Z39" s="7">
        <f t="shared" si="29"/>
        <v>-1</v>
      </c>
    </row>
    <row r="40" spans="1:26" s="24" customFormat="1" hidden="1" outlineLevel="2" x14ac:dyDescent="0.25">
      <c r="A40" s="26"/>
      <c r="B40" s="11" t="str">
        <f>CONCATENATE("          ", "6007", " - ", "STUDENT HOURLY")</f>
        <v xml:space="preserve">          6007 - STUDENT HOURLY</v>
      </c>
      <c r="C40" s="11"/>
      <c r="D40" s="6"/>
      <c r="E40" s="2"/>
      <c r="F40" s="7">
        <f t="shared" si="22"/>
        <v>0</v>
      </c>
      <c r="G40" s="2"/>
      <c r="H40" s="6">
        <v>8204.7900000000009</v>
      </c>
      <c r="I40" s="2"/>
      <c r="J40" s="7">
        <f t="shared" si="23"/>
        <v>9.2546265011236112E-2</v>
      </c>
      <c r="K40" s="2"/>
      <c r="L40" s="6">
        <f t="shared" si="24"/>
        <v>-8204.7900000000009</v>
      </c>
      <c r="M40" s="2"/>
      <c r="N40" s="7">
        <f t="shared" si="25"/>
        <v>-1</v>
      </c>
      <c r="O40" s="11"/>
      <c r="P40" s="6"/>
      <c r="Q40" s="2"/>
      <c r="R40" s="7">
        <f t="shared" si="26"/>
        <v>0</v>
      </c>
      <c r="S40" s="2"/>
      <c r="T40" s="6">
        <v>42289.64</v>
      </c>
      <c r="U40" s="2"/>
      <c r="V40" s="7">
        <f t="shared" si="27"/>
        <v>0.11193333300865595</v>
      </c>
      <c r="W40" s="2"/>
      <c r="X40" s="6">
        <f t="shared" si="28"/>
        <v>-42289.64</v>
      </c>
      <c r="Y40" s="2"/>
      <c r="Z40" s="7">
        <f t="shared" si="29"/>
        <v>-1</v>
      </c>
    </row>
    <row r="41" spans="1:26" s="24" customFormat="1" hidden="1" outlineLevel="2" x14ac:dyDescent="0.25">
      <c r="A41" s="26"/>
      <c r="B41" s="11" t="str">
        <f>CONCATENATE("          ", "6008", " - ", "STUDENT HOURLY-FICA EXEMPT")</f>
        <v xml:space="preserve">          6008 - STUDENT HOURLY-FICA EXEMPT</v>
      </c>
      <c r="C41" s="11"/>
      <c r="D41" s="6"/>
      <c r="E41" s="2"/>
      <c r="F41" s="7">
        <f t="shared" si="22"/>
        <v>0</v>
      </c>
      <c r="G41" s="2"/>
      <c r="H41" s="6">
        <v>1501.89</v>
      </c>
      <c r="I41" s="2"/>
      <c r="J41" s="7">
        <f t="shared" si="23"/>
        <v>1.6940629797682256E-2</v>
      </c>
      <c r="K41" s="2"/>
      <c r="L41" s="6">
        <f t="shared" si="24"/>
        <v>-1501.89</v>
      </c>
      <c r="M41" s="2"/>
      <c r="N41" s="7">
        <f t="shared" si="25"/>
        <v>-1</v>
      </c>
      <c r="O41" s="11"/>
      <c r="P41" s="6"/>
      <c r="Q41" s="2"/>
      <c r="R41" s="7">
        <f t="shared" si="26"/>
        <v>0</v>
      </c>
      <c r="S41" s="2"/>
      <c r="T41" s="6">
        <v>5450.89</v>
      </c>
      <c r="U41" s="2"/>
      <c r="V41" s="7">
        <f t="shared" si="27"/>
        <v>1.4427559221680597E-2</v>
      </c>
      <c r="W41" s="2"/>
      <c r="X41" s="6">
        <f t="shared" si="28"/>
        <v>-5450.89</v>
      </c>
      <c r="Y41" s="2"/>
      <c r="Z41" s="7">
        <f t="shared" si="29"/>
        <v>-1</v>
      </c>
    </row>
    <row r="42" spans="1:26" s="25" customFormat="1" outlineLevel="1" collapsed="1" x14ac:dyDescent="0.25">
      <c r="A42" s="27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0</v>
      </c>
      <c r="E42" s="1"/>
      <c r="F42" s="5">
        <f t="shared" ref="F42:F59" si="30">IF(D$12=0,0,D42/D$12)</f>
        <v>0</v>
      </c>
      <c r="G42" s="1"/>
      <c r="H42" s="1">
        <f>SUM(OSRRefH22_2x_0)</f>
        <v>0</v>
      </c>
      <c r="I42" s="1"/>
      <c r="J42" s="5">
        <f t="shared" ref="J42:J59" si="31">IF(H$12=0,0,H42/H$12)</f>
        <v>0</v>
      </c>
      <c r="K42" s="1"/>
      <c r="L42" s="1">
        <f t="shared" ref="L42:L59" si="32">+D42-H42</f>
        <v>0</v>
      </c>
      <c r="M42" s="1"/>
      <c r="N42" s="5">
        <f t="shared" ref="N42:N59" si="33">IF(H42=0,0,L42/H42)</f>
        <v>0</v>
      </c>
      <c r="O42" s="13"/>
      <c r="P42" s="1">
        <f>SUM(OSRRefP22_2x_0)</f>
        <v>0</v>
      </c>
      <c r="Q42" s="1"/>
      <c r="R42" s="5">
        <f t="shared" ref="R42:R59" si="34">IF(P$12=0,0,P42/P$12)</f>
        <v>0</v>
      </c>
      <c r="S42" s="1"/>
      <c r="T42" s="1">
        <f>SUM(OSRRefT22_2x_0)</f>
        <v>1868.45</v>
      </c>
      <c r="U42" s="1"/>
      <c r="V42" s="5">
        <f t="shared" ref="V42:V59" si="35">IF(T$12=0,0,T42/T$12)</f>
        <v>4.9454626726551281E-3</v>
      </c>
      <c r="W42" s="1"/>
      <c r="X42" s="1">
        <f t="shared" ref="X42:X59" si="36">+P42-T42</f>
        <v>-1868.45</v>
      </c>
      <c r="Y42" s="1"/>
      <c r="Z42" s="5">
        <f t="shared" ref="Z42:Z59" si="37">IF(T42=0,0,X42/T42)</f>
        <v>-1</v>
      </c>
    </row>
    <row r="43" spans="1:26" s="24" customFormat="1" hidden="1" outlineLevel="2" x14ac:dyDescent="0.25">
      <c r="A43" s="26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30"/>
        <v>0</v>
      </c>
      <c r="G43" s="2"/>
      <c r="H43" s="6"/>
      <c r="I43" s="2"/>
      <c r="J43" s="7">
        <f t="shared" si="31"/>
        <v>0</v>
      </c>
      <c r="K43" s="2"/>
      <c r="L43" s="6">
        <f t="shared" si="32"/>
        <v>0</v>
      </c>
      <c r="M43" s="2"/>
      <c r="N43" s="7">
        <f t="shared" si="33"/>
        <v>0</v>
      </c>
      <c r="O43" s="11"/>
      <c r="P43" s="6"/>
      <c r="Q43" s="2"/>
      <c r="R43" s="7">
        <f t="shared" si="34"/>
        <v>0</v>
      </c>
      <c r="S43" s="2"/>
      <c r="T43" s="6">
        <v>1868.45</v>
      </c>
      <c r="U43" s="2"/>
      <c r="V43" s="7">
        <f t="shared" si="35"/>
        <v>4.9454626726551281E-3</v>
      </c>
      <c r="W43" s="2"/>
      <c r="X43" s="6">
        <f t="shared" si="36"/>
        <v>-1868.45</v>
      </c>
      <c r="Y43" s="2"/>
      <c r="Z43" s="7">
        <f t="shared" si="37"/>
        <v>-1</v>
      </c>
    </row>
    <row r="44" spans="1:26" s="25" customFormat="1" outlineLevel="1" collapsed="1" x14ac:dyDescent="0.25">
      <c r="A44" s="27"/>
      <c r="B44" s="13" t="str">
        <f>CONCATENATE("     ","Bad Debts/Over/Short                              ")</f>
        <v xml:space="preserve">     Bad Debts/Over/Short                              </v>
      </c>
      <c r="C44" s="13"/>
      <c r="D44" s="1">
        <f>SUM(OSRRefD22_3x_0)</f>
        <v>0</v>
      </c>
      <c r="E44" s="1"/>
      <c r="F44" s="5">
        <f t="shared" si="30"/>
        <v>0</v>
      </c>
      <c r="G44" s="1"/>
      <c r="H44" s="1">
        <f>SUM(OSRRefH22_3x_0)</f>
        <v>36.65</v>
      </c>
      <c r="I44" s="1"/>
      <c r="J44" s="5">
        <f t="shared" si="31"/>
        <v>4.1339517680060101E-4</v>
      </c>
      <c r="K44" s="1"/>
      <c r="L44" s="1">
        <f t="shared" si="32"/>
        <v>-36.65</v>
      </c>
      <c r="M44" s="1"/>
      <c r="N44" s="5">
        <f t="shared" si="33"/>
        <v>-1</v>
      </c>
      <c r="O44" s="13"/>
      <c r="P44" s="1">
        <f>SUM(OSRRefP22_3x_0)</f>
        <v>0</v>
      </c>
      <c r="Q44" s="1"/>
      <c r="R44" s="5">
        <f t="shared" si="34"/>
        <v>0</v>
      </c>
      <c r="S44" s="1"/>
      <c r="T44" s="1">
        <f>SUM(OSRRefT22_3x_0)</f>
        <v>-143.46</v>
      </c>
      <c r="U44" s="1"/>
      <c r="V44" s="5">
        <f t="shared" si="35"/>
        <v>-3.7971370655843329E-4</v>
      </c>
      <c r="W44" s="1"/>
      <c r="X44" s="1">
        <f t="shared" si="36"/>
        <v>143.46</v>
      </c>
      <c r="Y44" s="1"/>
      <c r="Z44" s="5">
        <f t="shared" si="37"/>
        <v>-1</v>
      </c>
    </row>
    <row r="45" spans="1:26" s="24" customFormat="1" hidden="1" outlineLevel="2" x14ac:dyDescent="0.25">
      <c r="A45" s="26"/>
      <c r="B45" s="11" t="str">
        <f>CONCATENATE("          ", "6272", " - ", "CASH (OVER/SHORT)")</f>
        <v xml:space="preserve">          6272 - CASH (OVER/SHORT)</v>
      </c>
      <c r="C45" s="11"/>
      <c r="D45" s="6"/>
      <c r="E45" s="2"/>
      <c r="F45" s="7">
        <f t="shared" si="30"/>
        <v>0</v>
      </c>
      <c r="G45" s="2"/>
      <c r="H45" s="6">
        <v>36.65</v>
      </c>
      <c r="I45" s="2"/>
      <c r="J45" s="7">
        <f t="shared" si="31"/>
        <v>4.1339517680060101E-4</v>
      </c>
      <c r="K45" s="2"/>
      <c r="L45" s="6">
        <f t="shared" si="32"/>
        <v>-36.65</v>
      </c>
      <c r="M45" s="2"/>
      <c r="N45" s="7">
        <f t="shared" si="33"/>
        <v>-1</v>
      </c>
      <c r="O45" s="11"/>
      <c r="P45" s="6"/>
      <c r="Q45" s="2"/>
      <c r="R45" s="7">
        <f t="shared" si="34"/>
        <v>0</v>
      </c>
      <c r="S45" s="2"/>
      <c r="T45" s="6">
        <v>-143.46</v>
      </c>
      <c r="U45" s="2"/>
      <c r="V45" s="7">
        <f t="shared" si="35"/>
        <v>-3.7971370655843329E-4</v>
      </c>
      <c r="W45" s="2"/>
      <c r="X45" s="6">
        <f t="shared" si="36"/>
        <v>143.46</v>
      </c>
      <c r="Y45" s="2"/>
      <c r="Z45" s="7">
        <f t="shared" si="37"/>
        <v>-1</v>
      </c>
    </row>
    <row r="46" spans="1:26" s="25" customFormat="1" outlineLevel="1" collapsed="1" x14ac:dyDescent="0.25">
      <c r="A46" s="27"/>
      <c r="B46" s="13" t="str">
        <f>CONCATENATE("     ","Bank/card Fees                                    ")</f>
        <v xml:space="preserve">     Bank/card Fees                                    </v>
      </c>
      <c r="C46" s="13"/>
      <c r="D46" s="1">
        <f>SUM(OSRRefD22_4x_0)</f>
        <v>0</v>
      </c>
      <c r="E46" s="1"/>
      <c r="F46" s="5">
        <f t="shared" si="30"/>
        <v>0</v>
      </c>
      <c r="G46" s="1"/>
      <c r="H46" s="1">
        <f>SUM(OSRRefH22_4x_0)</f>
        <v>1176.8499999999999</v>
      </c>
      <c r="I46" s="1"/>
      <c r="J46" s="5">
        <f t="shared" si="31"/>
        <v>1.3274327798575368E-2</v>
      </c>
      <c r="K46" s="1"/>
      <c r="L46" s="1">
        <f t="shared" si="32"/>
        <v>-1176.8499999999999</v>
      </c>
      <c r="M46" s="1"/>
      <c r="N46" s="5">
        <f t="shared" si="33"/>
        <v>-1</v>
      </c>
      <c r="O46" s="13"/>
      <c r="P46" s="1">
        <f>SUM(OSRRefP22_4x_0)</f>
        <v>0</v>
      </c>
      <c r="Q46" s="1"/>
      <c r="R46" s="5">
        <f t="shared" si="34"/>
        <v>0</v>
      </c>
      <c r="S46" s="1"/>
      <c r="T46" s="1">
        <f>SUM(OSRRefT22_4x_0)</f>
        <v>7303.98</v>
      </c>
      <c r="U46" s="1"/>
      <c r="V46" s="5">
        <f t="shared" si="35"/>
        <v>1.9332366641772378E-2</v>
      </c>
      <c r="W46" s="1"/>
      <c r="X46" s="1">
        <f t="shared" si="36"/>
        <v>-7303.98</v>
      </c>
      <c r="Y46" s="1"/>
      <c r="Z46" s="5">
        <f t="shared" si="37"/>
        <v>-1</v>
      </c>
    </row>
    <row r="47" spans="1:26" s="24" customFormat="1" hidden="1" outlineLevel="2" x14ac:dyDescent="0.25">
      <c r="A47" s="26"/>
      <c r="B47" s="11" t="str">
        <f>CONCATENATE("          ", "6381", " - ", "BANK/CREDIT CARD FEES")</f>
        <v xml:space="preserve">          6381 - BANK/CREDIT CARD FEES</v>
      </c>
      <c r="C47" s="11"/>
      <c r="D47" s="6"/>
      <c r="E47" s="2"/>
      <c r="F47" s="7">
        <f t="shared" si="30"/>
        <v>0</v>
      </c>
      <c r="G47" s="2"/>
      <c r="H47" s="6">
        <v>1176.8499999999999</v>
      </c>
      <c r="I47" s="2"/>
      <c r="J47" s="7">
        <f t="shared" si="31"/>
        <v>1.3274327798575368E-2</v>
      </c>
      <c r="K47" s="2"/>
      <c r="L47" s="6">
        <f t="shared" si="32"/>
        <v>-1176.8499999999999</v>
      </c>
      <c r="M47" s="2"/>
      <c r="N47" s="7">
        <f t="shared" si="33"/>
        <v>-1</v>
      </c>
      <c r="O47" s="11"/>
      <c r="P47" s="6"/>
      <c r="Q47" s="2"/>
      <c r="R47" s="7">
        <f t="shared" si="34"/>
        <v>0</v>
      </c>
      <c r="S47" s="2"/>
      <c r="T47" s="6">
        <v>7303.98</v>
      </c>
      <c r="U47" s="2"/>
      <c r="V47" s="7">
        <f t="shared" si="35"/>
        <v>1.9332366641772378E-2</v>
      </c>
      <c r="W47" s="2"/>
      <c r="X47" s="6">
        <f t="shared" si="36"/>
        <v>-7303.98</v>
      </c>
      <c r="Y47" s="2"/>
      <c r="Z47" s="7">
        <f t="shared" si="37"/>
        <v>-1</v>
      </c>
    </row>
    <row r="48" spans="1:26" s="25" customFormat="1" outlineLevel="1" collapsed="1" x14ac:dyDescent="0.25">
      <c r="A48" s="27"/>
      <c r="B48" s="13" t="str">
        <f>CONCATENATE("     ","Depreciation                                      ")</f>
        <v xml:space="preserve">     Depreciation                                      </v>
      </c>
      <c r="C48" s="13"/>
      <c r="D48" s="1">
        <f>SUM(OSRRefD22_5x_0)</f>
        <v>1000.91</v>
      </c>
      <c r="E48" s="1"/>
      <c r="F48" s="5">
        <f t="shared" si="30"/>
        <v>0</v>
      </c>
      <c r="G48" s="1"/>
      <c r="H48" s="1">
        <f>SUM(OSRRefH22_5x_0)</f>
        <v>255.35</v>
      </c>
      <c r="I48" s="1"/>
      <c r="J48" s="5">
        <f t="shared" si="31"/>
        <v>2.8802307884320181E-3</v>
      </c>
      <c r="K48" s="1"/>
      <c r="L48" s="1">
        <f t="shared" si="32"/>
        <v>745.56</v>
      </c>
      <c r="M48" s="1"/>
      <c r="N48" s="5">
        <f t="shared" si="33"/>
        <v>2.9197571960054827</v>
      </c>
      <c r="O48" s="13"/>
      <c r="P48" s="1">
        <f>SUM(OSRRefP22_5x_0)</f>
        <v>8007.28</v>
      </c>
      <c r="Q48" s="1"/>
      <c r="R48" s="5">
        <f t="shared" si="34"/>
        <v>0</v>
      </c>
      <c r="S48" s="1"/>
      <c r="T48" s="1">
        <f>SUM(OSRRefT22_5x_0)</f>
        <v>2042.8</v>
      </c>
      <c r="U48" s="1"/>
      <c r="V48" s="5">
        <f t="shared" si="35"/>
        <v>5.4069368448178409E-3</v>
      </c>
      <c r="W48" s="1"/>
      <c r="X48" s="1">
        <f t="shared" si="36"/>
        <v>5964.48</v>
      </c>
      <c r="Y48" s="1"/>
      <c r="Z48" s="5">
        <f t="shared" si="37"/>
        <v>2.9197571960054827</v>
      </c>
    </row>
    <row r="49" spans="1:26" s="24" customFormat="1" hidden="1" outlineLevel="2" x14ac:dyDescent="0.25">
      <c r="A49" s="26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1000.91</v>
      </c>
      <c r="E49" s="2"/>
      <c r="F49" s="7">
        <f t="shared" si="30"/>
        <v>0</v>
      </c>
      <c r="G49" s="2"/>
      <c r="H49" s="6">
        <v>255.35</v>
      </c>
      <c r="I49" s="2"/>
      <c r="J49" s="7">
        <f t="shared" si="31"/>
        <v>2.8802307884320181E-3</v>
      </c>
      <c r="K49" s="2"/>
      <c r="L49" s="6">
        <f t="shared" si="32"/>
        <v>745.56</v>
      </c>
      <c r="M49" s="2"/>
      <c r="N49" s="7">
        <f t="shared" si="33"/>
        <v>2.9197571960054827</v>
      </c>
      <c r="O49" s="11"/>
      <c r="P49" s="6">
        <v>8007.28</v>
      </c>
      <c r="Q49" s="2"/>
      <c r="R49" s="7">
        <f t="shared" si="34"/>
        <v>0</v>
      </c>
      <c r="S49" s="2"/>
      <c r="T49" s="6">
        <v>2042.8</v>
      </c>
      <c r="U49" s="2"/>
      <c r="V49" s="7">
        <f t="shared" si="35"/>
        <v>5.4069368448178409E-3</v>
      </c>
      <c r="W49" s="2"/>
      <c r="X49" s="6">
        <f t="shared" si="36"/>
        <v>5964.48</v>
      </c>
      <c r="Y49" s="2"/>
      <c r="Z49" s="7">
        <f t="shared" si="37"/>
        <v>2.9197571960054827</v>
      </c>
    </row>
    <row r="50" spans="1:26" s="25" customFormat="1" outlineLevel="1" collapsed="1" x14ac:dyDescent="0.25">
      <c r="A50" s="27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SUM(OSRRefD22_6x_0)</f>
        <v>0</v>
      </c>
      <c r="E50" s="1"/>
      <c r="F50" s="5">
        <f t="shared" si="30"/>
        <v>0</v>
      </c>
      <c r="G50" s="1"/>
      <c r="H50" s="1">
        <f>SUM(OSRRefH22_6x_0)</f>
        <v>0</v>
      </c>
      <c r="I50" s="1"/>
      <c r="J50" s="5">
        <f t="shared" si="31"/>
        <v>0</v>
      </c>
      <c r="K50" s="1"/>
      <c r="L50" s="1">
        <f t="shared" si="32"/>
        <v>0</v>
      </c>
      <c r="M50" s="1"/>
      <c r="N50" s="5">
        <f t="shared" si="33"/>
        <v>0</v>
      </c>
      <c r="O50" s="13"/>
      <c r="P50" s="1">
        <f>SUM(OSRRefP22_6x_0)</f>
        <v>0</v>
      </c>
      <c r="Q50" s="1"/>
      <c r="R50" s="5">
        <f t="shared" si="34"/>
        <v>0</v>
      </c>
      <c r="S50" s="1"/>
      <c r="T50" s="1">
        <f>SUM(OSRRefT22_6x_0)</f>
        <v>118.6</v>
      </c>
      <c r="U50" s="1"/>
      <c r="V50" s="5">
        <f t="shared" si="35"/>
        <v>3.1391360377687287E-4</v>
      </c>
      <c r="W50" s="1"/>
      <c r="X50" s="1">
        <f t="shared" si="36"/>
        <v>-118.6</v>
      </c>
      <c r="Y50" s="1"/>
      <c r="Z50" s="5">
        <f t="shared" si="37"/>
        <v>-1</v>
      </c>
    </row>
    <row r="51" spans="1:26" s="24" customFormat="1" hidden="1" outlineLevel="2" x14ac:dyDescent="0.25">
      <c r="A51" s="26"/>
      <c r="B51" s="11" t="str">
        <f>CONCATENATE("          ", "6277", " - ", "EMPLOYEE APPRECIATION")</f>
        <v xml:space="preserve">          6277 - EMPLOYEE APPRECIATION</v>
      </c>
      <c r="C51" s="11"/>
      <c r="D51" s="6"/>
      <c r="E51" s="2"/>
      <c r="F51" s="7">
        <f t="shared" si="30"/>
        <v>0</v>
      </c>
      <c r="G51" s="2"/>
      <c r="H51" s="6"/>
      <c r="I51" s="2"/>
      <c r="J51" s="7">
        <f t="shared" si="31"/>
        <v>0</v>
      </c>
      <c r="K51" s="2"/>
      <c r="L51" s="6">
        <f t="shared" si="32"/>
        <v>0</v>
      </c>
      <c r="M51" s="2"/>
      <c r="N51" s="7">
        <f t="shared" si="33"/>
        <v>0</v>
      </c>
      <c r="O51" s="11"/>
      <c r="P51" s="6"/>
      <c r="Q51" s="2"/>
      <c r="R51" s="7">
        <f t="shared" si="34"/>
        <v>0</v>
      </c>
      <c r="S51" s="2"/>
      <c r="T51" s="6">
        <v>118.6</v>
      </c>
      <c r="U51" s="2"/>
      <c r="V51" s="7">
        <f t="shared" si="35"/>
        <v>3.1391360377687287E-4</v>
      </c>
      <c r="W51" s="2"/>
      <c r="X51" s="6">
        <f t="shared" si="36"/>
        <v>-118.6</v>
      </c>
      <c r="Y51" s="2"/>
      <c r="Z51" s="7">
        <f t="shared" si="37"/>
        <v>-1</v>
      </c>
    </row>
    <row r="52" spans="1:26" s="25" customFormat="1" outlineLevel="1" collapsed="1" x14ac:dyDescent="0.25">
      <c r="A52" s="27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SUM(OSRRefD22_7x_0)</f>
        <v>0</v>
      </c>
      <c r="E52" s="1"/>
      <c r="F52" s="5">
        <f t="shared" si="30"/>
        <v>0</v>
      </c>
      <c r="G52" s="1"/>
      <c r="H52" s="1">
        <f>SUM(OSRRefH22_7x_0)</f>
        <v>0</v>
      </c>
      <c r="I52" s="1"/>
      <c r="J52" s="5">
        <f t="shared" si="31"/>
        <v>0</v>
      </c>
      <c r="K52" s="1"/>
      <c r="L52" s="1">
        <f t="shared" si="32"/>
        <v>0</v>
      </c>
      <c r="M52" s="1"/>
      <c r="N52" s="5">
        <f t="shared" si="33"/>
        <v>0</v>
      </c>
      <c r="O52" s="13"/>
      <c r="P52" s="1">
        <f>SUM(OSRRefP22_7x_0)</f>
        <v>0</v>
      </c>
      <c r="Q52" s="1"/>
      <c r="R52" s="5">
        <f t="shared" si="34"/>
        <v>0</v>
      </c>
      <c r="S52" s="1"/>
      <c r="T52" s="1">
        <f>SUM(OSRRefT22_7x_0)</f>
        <v>350</v>
      </c>
      <c r="U52" s="1"/>
      <c r="V52" s="5">
        <f t="shared" si="35"/>
        <v>9.2638921856581379E-4</v>
      </c>
      <c r="W52" s="1"/>
      <c r="X52" s="1">
        <f t="shared" si="36"/>
        <v>-350</v>
      </c>
      <c r="Y52" s="1"/>
      <c r="Z52" s="5">
        <f t="shared" si="37"/>
        <v>-1</v>
      </c>
    </row>
    <row r="53" spans="1:26" s="24" customFormat="1" hidden="1" outlineLevel="2" x14ac:dyDescent="0.25">
      <c r="A53" s="26"/>
      <c r="B53" s="11" t="str">
        <f>CONCATENATE("          ", "6351", " - ", "EQUIPMENT RENTAL")</f>
        <v xml:space="preserve">          6351 - EQUIPMENT RENTAL</v>
      </c>
      <c r="C53" s="11"/>
      <c r="D53" s="6"/>
      <c r="E53" s="2"/>
      <c r="F53" s="7">
        <f t="shared" si="30"/>
        <v>0</v>
      </c>
      <c r="G53" s="2"/>
      <c r="H53" s="6"/>
      <c r="I53" s="2"/>
      <c r="J53" s="7">
        <f t="shared" si="31"/>
        <v>0</v>
      </c>
      <c r="K53" s="2"/>
      <c r="L53" s="6">
        <f t="shared" si="32"/>
        <v>0</v>
      </c>
      <c r="M53" s="2"/>
      <c r="N53" s="7">
        <f t="shared" si="33"/>
        <v>0</v>
      </c>
      <c r="O53" s="11"/>
      <c r="P53" s="6"/>
      <c r="Q53" s="2"/>
      <c r="R53" s="7">
        <f t="shared" si="34"/>
        <v>0</v>
      </c>
      <c r="S53" s="2"/>
      <c r="T53" s="6">
        <v>350</v>
      </c>
      <c r="U53" s="2"/>
      <c r="V53" s="7">
        <f t="shared" si="35"/>
        <v>9.2638921856581379E-4</v>
      </c>
      <c r="W53" s="2"/>
      <c r="X53" s="6">
        <f t="shared" si="36"/>
        <v>-350</v>
      </c>
      <c r="Y53" s="2"/>
      <c r="Z53" s="7">
        <f t="shared" si="37"/>
        <v>-1</v>
      </c>
    </row>
    <row r="54" spans="1:26" s="25" customFormat="1" outlineLevel="1" collapsed="1" x14ac:dyDescent="0.25">
      <c r="A54" s="27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SUM(OSRRefD22_8x_0)</f>
        <v>0</v>
      </c>
      <c r="E54" s="1"/>
      <c r="F54" s="5">
        <f t="shared" si="30"/>
        <v>0</v>
      </c>
      <c r="G54" s="1"/>
      <c r="H54" s="1">
        <f>SUM(OSRRefH22_8x_0)</f>
        <v>460.6</v>
      </c>
      <c r="I54" s="1"/>
      <c r="J54" s="5">
        <f t="shared" si="31"/>
        <v>5.1953565739251521E-3</v>
      </c>
      <c r="K54" s="1"/>
      <c r="L54" s="1">
        <f t="shared" si="32"/>
        <v>-460.6</v>
      </c>
      <c r="M54" s="1"/>
      <c r="N54" s="5">
        <f t="shared" si="33"/>
        <v>-1</v>
      </c>
      <c r="O54" s="13"/>
      <c r="P54" s="1">
        <f>SUM(OSRRefP22_8x_0)</f>
        <v>455</v>
      </c>
      <c r="Q54" s="1"/>
      <c r="R54" s="5">
        <f t="shared" si="34"/>
        <v>0</v>
      </c>
      <c r="S54" s="1"/>
      <c r="T54" s="1">
        <f>SUM(OSRRefT22_8x_0)</f>
        <v>15380.84</v>
      </c>
      <c r="U54" s="1"/>
      <c r="V54" s="5">
        <f t="shared" si="35"/>
        <v>4.0710412424245175E-2</v>
      </c>
      <c r="W54" s="1"/>
      <c r="X54" s="1">
        <f t="shared" si="36"/>
        <v>-14925.84</v>
      </c>
      <c r="Y54" s="1"/>
      <c r="Z54" s="5">
        <f t="shared" si="37"/>
        <v>-0.97041774051352203</v>
      </c>
    </row>
    <row r="55" spans="1:26" s="24" customFormat="1" hidden="1" outlineLevel="2" x14ac:dyDescent="0.25">
      <c r="A55" s="26"/>
      <c r="B55" s="11" t="str">
        <f>CONCATENATE("          ", "6279", " - ", "GENERAL EXPENSE")</f>
        <v xml:space="preserve">          6279 - GENERAL EXPENSE</v>
      </c>
      <c r="C55" s="11"/>
      <c r="D55" s="6"/>
      <c r="E55" s="2"/>
      <c r="F55" s="7">
        <f t="shared" si="30"/>
        <v>0</v>
      </c>
      <c r="G55" s="2"/>
      <c r="H55" s="6">
        <v>460.6</v>
      </c>
      <c r="I55" s="2"/>
      <c r="J55" s="7">
        <f t="shared" si="31"/>
        <v>5.1953565739251521E-3</v>
      </c>
      <c r="K55" s="2"/>
      <c r="L55" s="6">
        <f t="shared" si="32"/>
        <v>-460.6</v>
      </c>
      <c r="M55" s="2"/>
      <c r="N55" s="7">
        <f t="shared" si="33"/>
        <v>-1</v>
      </c>
      <c r="O55" s="11"/>
      <c r="P55" s="6">
        <v>455</v>
      </c>
      <c r="Q55" s="2"/>
      <c r="R55" s="7">
        <f t="shared" si="34"/>
        <v>0</v>
      </c>
      <c r="S55" s="2"/>
      <c r="T55" s="6">
        <v>15380.84</v>
      </c>
      <c r="U55" s="2"/>
      <c r="V55" s="7">
        <f t="shared" si="35"/>
        <v>4.0710412424245175E-2</v>
      </c>
      <c r="W55" s="2"/>
      <c r="X55" s="6">
        <f t="shared" si="36"/>
        <v>-14925.84</v>
      </c>
      <c r="Y55" s="2"/>
      <c r="Z55" s="7">
        <f t="shared" si="37"/>
        <v>-0.97041774051352203</v>
      </c>
    </row>
    <row r="56" spans="1:26" s="25" customFormat="1" outlineLevel="1" collapsed="1" x14ac:dyDescent="0.25">
      <c r="A56" s="27"/>
      <c r="B56" s="13" t="str">
        <f>CONCATENATE("     ","Repair and Maintenance                            ")</f>
        <v xml:space="preserve">     Repair and Maintenance                            </v>
      </c>
      <c r="C56" s="13"/>
      <c r="D56" s="1">
        <f>SUM(OSRRefD22_9x_0)</f>
        <v>0</v>
      </c>
      <c r="E56" s="1"/>
      <c r="F56" s="5">
        <f t="shared" si="30"/>
        <v>0</v>
      </c>
      <c r="G56" s="1"/>
      <c r="H56" s="1">
        <f>SUM(OSRRefH22_9x_0)</f>
        <v>0</v>
      </c>
      <c r="I56" s="1"/>
      <c r="J56" s="5">
        <f t="shared" si="31"/>
        <v>0</v>
      </c>
      <c r="K56" s="1"/>
      <c r="L56" s="1">
        <f t="shared" si="32"/>
        <v>0</v>
      </c>
      <c r="M56" s="1"/>
      <c r="N56" s="5">
        <f t="shared" si="33"/>
        <v>0</v>
      </c>
      <c r="O56" s="13"/>
      <c r="P56" s="1">
        <f>SUM(OSRRefP22_9x_0)</f>
        <v>242.03</v>
      </c>
      <c r="Q56" s="1"/>
      <c r="R56" s="5">
        <f t="shared" si="34"/>
        <v>0</v>
      </c>
      <c r="S56" s="1"/>
      <c r="T56" s="1">
        <f>SUM(OSRRefT22_9x_0)</f>
        <v>5381.05</v>
      </c>
      <c r="U56" s="1"/>
      <c r="V56" s="5">
        <f t="shared" si="35"/>
        <v>1.4242704870181635E-2</v>
      </c>
      <c r="W56" s="1"/>
      <c r="X56" s="1">
        <f t="shared" si="36"/>
        <v>-5139.0200000000004</v>
      </c>
      <c r="Y56" s="1"/>
      <c r="Z56" s="5">
        <f t="shared" si="37"/>
        <v>-0.95502178942771399</v>
      </c>
    </row>
    <row r="57" spans="1:26" s="24" customFormat="1" hidden="1" outlineLevel="2" x14ac:dyDescent="0.25">
      <c r="A57" s="26"/>
      <c r="B57" s="11" t="str">
        <f>CONCATENATE("          ", "6371", " - ", "COMPUTER SOFTWARE MAINTENANCE")</f>
        <v xml:space="preserve">          6371 - COMPUTER SOFTWARE MAINTENANCE</v>
      </c>
      <c r="C57" s="11"/>
      <c r="D57" s="6"/>
      <c r="E57" s="2"/>
      <c r="F57" s="7">
        <f t="shared" si="30"/>
        <v>0</v>
      </c>
      <c r="G57" s="2"/>
      <c r="H57" s="6"/>
      <c r="I57" s="2"/>
      <c r="J57" s="7">
        <f t="shared" si="31"/>
        <v>0</v>
      </c>
      <c r="K57" s="2"/>
      <c r="L57" s="6">
        <f t="shared" si="32"/>
        <v>0</v>
      </c>
      <c r="M57" s="2"/>
      <c r="N57" s="7">
        <f t="shared" si="33"/>
        <v>0</v>
      </c>
      <c r="O57" s="11"/>
      <c r="P57" s="6"/>
      <c r="Q57" s="2"/>
      <c r="R57" s="7">
        <f t="shared" si="34"/>
        <v>0</v>
      </c>
      <c r="S57" s="2"/>
      <c r="T57" s="6">
        <v>2623.84</v>
      </c>
      <c r="U57" s="2"/>
      <c r="V57" s="7">
        <f t="shared" si="35"/>
        <v>6.944848820690643E-3</v>
      </c>
      <c r="W57" s="2"/>
      <c r="X57" s="6">
        <f t="shared" si="36"/>
        <v>-2623.84</v>
      </c>
      <c r="Y57" s="2"/>
      <c r="Z57" s="7">
        <f t="shared" si="37"/>
        <v>-1</v>
      </c>
    </row>
    <row r="58" spans="1:26" s="24" customFormat="1" hidden="1" outlineLevel="2" x14ac:dyDescent="0.25">
      <c r="A58" s="26"/>
      <c r="B58" s="11" t="str">
        <f>CONCATENATE("          ", "6373", " - ", "MAINTENANCE CONTRACTS")</f>
        <v xml:space="preserve">          6373 - MAINTENANCE CONTRACTS</v>
      </c>
      <c r="C58" s="11"/>
      <c r="D58" s="6"/>
      <c r="E58" s="2"/>
      <c r="F58" s="7">
        <f t="shared" si="30"/>
        <v>0</v>
      </c>
      <c r="G58" s="2"/>
      <c r="H58" s="6"/>
      <c r="I58" s="2"/>
      <c r="J58" s="7">
        <f t="shared" si="31"/>
        <v>0</v>
      </c>
      <c r="K58" s="2"/>
      <c r="L58" s="6">
        <f t="shared" si="32"/>
        <v>0</v>
      </c>
      <c r="M58" s="2"/>
      <c r="N58" s="7">
        <f t="shared" si="33"/>
        <v>0</v>
      </c>
      <c r="O58" s="11"/>
      <c r="P58" s="6">
        <v>235.8</v>
      </c>
      <c r="Q58" s="2"/>
      <c r="R58" s="7">
        <f t="shared" si="34"/>
        <v>0</v>
      </c>
      <c r="S58" s="2"/>
      <c r="T58" s="6">
        <v>573</v>
      </c>
      <c r="U58" s="2"/>
      <c r="V58" s="7">
        <f t="shared" si="35"/>
        <v>1.5166314921091751E-3</v>
      </c>
      <c r="W58" s="2"/>
      <c r="X58" s="6">
        <f t="shared" si="36"/>
        <v>-337.2</v>
      </c>
      <c r="Y58" s="2"/>
      <c r="Z58" s="7">
        <f t="shared" si="37"/>
        <v>-0.58848167539267016</v>
      </c>
    </row>
    <row r="59" spans="1:26" s="24" customFormat="1" hidden="1" outlineLevel="2" x14ac:dyDescent="0.25">
      <c r="A59" s="26"/>
      <c r="B59" s="11" t="str">
        <f>CONCATENATE("          ", "6375", " - ", "OUTSIDE REPAIRS &amp; MAINTENANCE")</f>
        <v xml:space="preserve">          6375 - OUTSIDE REPAIRS &amp; MAINTENANCE</v>
      </c>
      <c r="C59" s="11"/>
      <c r="D59" s="6"/>
      <c r="E59" s="2"/>
      <c r="F59" s="7">
        <f t="shared" si="30"/>
        <v>0</v>
      </c>
      <c r="G59" s="2"/>
      <c r="H59" s="6"/>
      <c r="I59" s="2"/>
      <c r="J59" s="7">
        <f t="shared" si="31"/>
        <v>0</v>
      </c>
      <c r="K59" s="2"/>
      <c r="L59" s="6">
        <f t="shared" si="32"/>
        <v>0</v>
      </c>
      <c r="M59" s="2"/>
      <c r="N59" s="7">
        <f t="shared" si="33"/>
        <v>0</v>
      </c>
      <c r="O59" s="11"/>
      <c r="P59" s="6">
        <v>6.23</v>
      </c>
      <c r="Q59" s="2"/>
      <c r="R59" s="7">
        <f t="shared" si="34"/>
        <v>0</v>
      </c>
      <c r="S59" s="2"/>
      <c r="T59" s="6">
        <v>2184.21</v>
      </c>
      <c r="U59" s="2"/>
      <c r="V59" s="7">
        <f t="shared" si="35"/>
        <v>5.7812245573818175E-3</v>
      </c>
      <c r="W59" s="2"/>
      <c r="X59" s="6">
        <f t="shared" si="36"/>
        <v>-2177.98</v>
      </c>
      <c r="Y59" s="2"/>
      <c r="Z59" s="7">
        <f t="shared" si="37"/>
        <v>-0.99714771015607473</v>
      </c>
    </row>
    <row r="60" spans="1:26" s="25" customFormat="1" outlineLevel="1" collapsed="1" x14ac:dyDescent="0.25">
      <c r="A60" s="27"/>
      <c r="B60" s="13" t="str">
        <f>CONCATENATE("     ","Royalty &amp; Commissions                             ")</f>
        <v xml:space="preserve">     Royalty &amp; Commissions                             </v>
      </c>
      <c r="C60" s="13"/>
      <c r="D60" s="1">
        <f>SUM(OSRRefD22_10x_0)</f>
        <v>0</v>
      </c>
      <c r="E60" s="1"/>
      <c r="F60" s="5">
        <f t="shared" ref="F60:F64" si="38">IF(D$12=0,0,D60/D$12)</f>
        <v>0</v>
      </c>
      <c r="G60" s="1"/>
      <c r="H60" s="1">
        <f>SUM(OSRRefH22_10x_0)</f>
        <v>18717.62</v>
      </c>
      <c r="I60" s="1"/>
      <c r="J60" s="5">
        <f t="shared" ref="J60:J64" si="39">IF(H$12=0,0,H60/H$12)</f>
        <v>0.21112616177862115</v>
      </c>
      <c r="K60" s="1"/>
      <c r="L60" s="1">
        <f t="shared" ref="L60:L64" si="40">+D60-H60</f>
        <v>-18717.62</v>
      </c>
      <c r="M60" s="1"/>
      <c r="N60" s="5">
        <f t="shared" ref="N60:N64" si="41">IF(H60=0,0,L60/H60)</f>
        <v>-1</v>
      </c>
      <c r="O60" s="13"/>
      <c r="P60" s="1">
        <f>SUM(OSRRefP22_10x_0)</f>
        <v>0</v>
      </c>
      <c r="Q60" s="1"/>
      <c r="R60" s="5">
        <f t="shared" ref="R60:R64" si="42">IF(P$12=0,0,P60/P$12)</f>
        <v>0</v>
      </c>
      <c r="S60" s="1"/>
      <c r="T60" s="1">
        <f>SUM(OSRRefT22_10x_0)</f>
        <v>80396.86</v>
      </c>
      <c r="U60" s="1"/>
      <c r="V60" s="5">
        <f t="shared" ref="V60:V64" si="43">IF(T$12=0,0,T60/T$12)</f>
        <v>0.21279652660155751</v>
      </c>
      <c r="W60" s="1"/>
      <c r="X60" s="1">
        <f t="shared" ref="X60:X64" si="44">+P60-T60</f>
        <v>-80396.86</v>
      </c>
      <c r="Y60" s="1"/>
      <c r="Z60" s="5">
        <f t="shared" ref="Z60:Z64" si="45">IF(T60=0,0,X60/T60)</f>
        <v>-1</v>
      </c>
    </row>
    <row r="61" spans="1:26" s="24" customFormat="1" hidden="1" outlineLevel="2" x14ac:dyDescent="0.25">
      <c r="A61" s="26"/>
      <c r="B61" s="11" t="str">
        <f>CONCATENATE("          ", "6254", " - ", "ROYALTY &amp; COMMISSIONS")</f>
        <v xml:space="preserve">          6254 - ROYALTY &amp; COMMISSIONS</v>
      </c>
      <c r="C61" s="11"/>
      <c r="D61" s="6"/>
      <c r="E61" s="2"/>
      <c r="F61" s="7">
        <f t="shared" si="38"/>
        <v>0</v>
      </c>
      <c r="G61" s="2"/>
      <c r="H61" s="6">
        <v>18717.62</v>
      </c>
      <c r="I61" s="2"/>
      <c r="J61" s="7">
        <f t="shared" si="39"/>
        <v>0.21112616177862115</v>
      </c>
      <c r="K61" s="2"/>
      <c r="L61" s="6">
        <f t="shared" si="40"/>
        <v>-18717.62</v>
      </c>
      <c r="M61" s="2"/>
      <c r="N61" s="7">
        <f t="shared" si="41"/>
        <v>-1</v>
      </c>
      <c r="O61" s="11"/>
      <c r="P61" s="6"/>
      <c r="Q61" s="2"/>
      <c r="R61" s="7">
        <f t="shared" si="42"/>
        <v>0</v>
      </c>
      <c r="S61" s="2"/>
      <c r="T61" s="6">
        <v>80396.86</v>
      </c>
      <c r="U61" s="2"/>
      <c r="V61" s="7">
        <f t="shared" si="43"/>
        <v>0.21279652660155751</v>
      </c>
      <c r="W61" s="2"/>
      <c r="X61" s="6">
        <f t="shared" si="44"/>
        <v>-80396.86</v>
      </c>
      <c r="Y61" s="2"/>
      <c r="Z61" s="7">
        <f t="shared" si="45"/>
        <v>-1</v>
      </c>
    </row>
    <row r="62" spans="1:26" s="25" customFormat="1" outlineLevel="1" collapsed="1" x14ac:dyDescent="0.25">
      <c r="A62" s="27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SUM(OSRRefD22_11x_0)</f>
        <v>0</v>
      </c>
      <c r="E62" s="1"/>
      <c r="F62" s="5">
        <f t="shared" si="38"/>
        <v>0</v>
      </c>
      <c r="G62" s="1"/>
      <c r="H62" s="1">
        <f>SUM(OSRRefH22_11x_0)</f>
        <v>290.81</v>
      </c>
      <c r="I62" s="1"/>
      <c r="J62" s="5">
        <f t="shared" si="39"/>
        <v>3.2802033114701988E-3</v>
      </c>
      <c r="K62" s="1"/>
      <c r="L62" s="1">
        <f t="shared" si="40"/>
        <v>-290.81</v>
      </c>
      <c r="M62" s="1"/>
      <c r="N62" s="5">
        <f t="shared" si="41"/>
        <v>-1</v>
      </c>
      <c r="O62" s="13"/>
      <c r="P62" s="1">
        <f>SUM(OSRRefP22_11x_0)</f>
        <v>0</v>
      </c>
      <c r="Q62" s="1"/>
      <c r="R62" s="5">
        <f t="shared" si="42"/>
        <v>0</v>
      </c>
      <c r="S62" s="1"/>
      <c r="T62" s="1">
        <f>SUM(OSRRefT22_11x_0)</f>
        <v>2479.15</v>
      </c>
      <c r="U62" s="1"/>
      <c r="V62" s="5">
        <f t="shared" si="43"/>
        <v>6.5618795177355355E-3</v>
      </c>
      <c r="W62" s="1"/>
      <c r="X62" s="1">
        <f t="shared" si="44"/>
        <v>-2479.15</v>
      </c>
      <c r="Y62" s="1"/>
      <c r="Z62" s="5">
        <f t="shared" si="45"/>
        <v>-1</v>
      </c>
    </row>
    <row r="63" spans="1:26" s="24" customFormat="1" hidden="1" outlineLevel="2" x14ac:dyDescent="0.25">
      <c r="A63" s="26"/>
      <c r="B63" s="11" t="str">
        <f>CONCATENATE("          ", "6282", " - ", "JANITORIAL/EXTERMINATOR EXPENS")</f>
        <v xml:space="preserve">          6282 - JANITORIAL/EXTERMINATOR EXPENS</v>
      </c>
      <c r="C63" s="11"/>
      <c r="D63" s="6"/>
      <c r="E63" s="2"/>
      <c r="F63" s="7">
        <f t="shared" si="38"/>
        <v>0</v>
      </c>
      <c r="G63" s="2"/>
      <c r="H63" s="6">
        <v>225.81</v>
      </c>
      <c r="I63" s="2"/>
      <c r="J63" s="7">
        <f t="shared" si="39"/>
        <v>2.5470331479766363E-3</v>
      </c>
      <c r="K63" s="2"/>
      <c r="L63" s="6">
        <f t="shared" si="40"/>
        <v>-225.81</v>
      </c>
      <c r="M63" s="2"/>
      <c r="N63" s="7">
        <f t="shared" si="41"/>
        <v>-1</v>
      </c>
      <c r="O63" s="11"/>
      <c r="P63" s="6"/>
      <c r="Q63" s="2"/>
      <c r="R63" s="7">
        <f t="shared" si="42"/>
        <v>0</v>
      </c>
      <c r="S63" s="2"/>
      <c r="T63" s="6">
        <v>2032.29</v>
      </c>
      <c r="U63" s="2"/>
      <c r="V63" s="7">
        <f t="shared" si="43"/>
        <v>5.3791186999974788E-3</v>
      </c>
      <c r="W63" s="2"/>
      <c r="X63" s="6">
        <f t="shared" si="44"/>
        <v>-2032.29</v>
      </c>
      <c r="Y63" s="2"/>
      <c r="Z63" s="7">
        <f t="shared" si="45"/>
        <v>-1</v>
      </c>
    </row>
    <row r="64" spans="1:26" s="24" customFormat="1" hidden="1" outlineLevel="2" x14ac:dyDescent="0.25">
      <c r="A64" s="26"/>
      <c r="B64" s="11" t="str">
        <f>CONCATENATE("          ", "6286", " - ", "LAUNDRY EXPENSE")</f>
        <v xml:space="preserve">          6286 - LAUNDRY EXPENSE</v>
      </c>
      <c r="C64" s="11"/>
      <c r="D64" s="6"/>
      <c r="E64" s="2"/>
      <c r="F64" s="7">
        <f t="shared" si="38"/>
        <v>0</v>
      </c>
      <c r="G64" s="2"/>
      <c r="H64" s="6">
        <v>65</v>
      </c>
      <c r="I64" s="2"/>
      <c r="J64" s="7">
        <f t="shared" si="39"/>
        <v>7.3317016349356255E-4</v>
      </c>
      <c r="K64" s="2"/>
      <c r="L64" s="6">
        <f t="shared" si="40"/>
        <v>-65</v>
      </c>
      <c r="M64" s="2"/>
      <c r="N64" s="7">
        <f t="shared" si="41"/>
        <v>-1</v>
      </c>
      <c r="O64" s="11"/>
      <c r="P64" s="6"/>
      <c r="Q64" s="2"/>
      <c r="R64" s="7">
        <f t="shared" si="42"/>
        <v>0</v>
      </c>
      <c r="S64" s="2"/>
      <c r="T64" s="6">
        <v>446.86</v>
      </c>
      <c r="U64" s="2"/>
      <c r="V64" s="7">
        <f t="shared" si="43"/>
        <v>1.1827608177380558E-3</v>
      </c>
      <c r="W64" s="2"/>
      <c r="X64" s="6">
        <f t="shared" si="44"/>
        <v>-446.86</v>
      </c>
      <c r="Y64" s="2"/>
      <c r="Z64" s="7">
        <f t="shared" si="45"/>
        <v>-1</v>
      </c>
    </row>
    <row r="65" spans="1:26" s="25" customFormat="1" outlineLevel="1" collapsed="1" x14ac:dyDescent="0.25">
      <c r="A65" s="27"/>
      <c r="B65" s="13" t="str">
        <f>CONCATENATE("     ","Supplies                                          ")</f>
        <v xml:space="preserve">     Supplies                                          </v>
      </c>
      <c r="C65" s="13"/>
      <c r="D65" s="1">
        <f>SUM(OSRRefD22_12x_0)</f>
        <v>0</v>
      </c>
      <c r="E65" s="1"/>
      <c r="F65" s="5">
        <f t="shared" ref="F65:F72" si="46">IF(D$12=0,0,D65/D$12)</f>
        <v>0</v>
      </c>
      <c r="G65" s="1"/>
      <c r="H65" s="1">
        <f>SUM(OSRRefH22_12x_0)</f>
        <v>1686.67</v>
      </c>
      <c r="I65" s="1"/>
      <c r="J65" s="5">
        <f t="shared" ref="J65:J72" si="47">IF(H$12=0,0,H65/H$12)</f>
        <v>1.9024863379379801E-2</v>
      </c>
      <c r="K65" s="1"/>
      <c r="L65" s="1">
        <f t="shared" ref="L65:L72" si="48">+D65-H65</f>
        <v>-1686.67</v>
      </c>
      <c r="M65" s="1"/>
      <c r="N65" s="5">
        <f t="shared" ref="N65:N72" si="49">IF(H65=0,0,L65/H65)</f>
        <v>-1</v>
      </c>
      <c r="O65" s="13"/>
      <c r="P65" s="1">
        <f>SUM(OSRRefP22_12x_0)</f>
        <v>0</v>
      </c>
      <c r="Q65" s="1"/>
      <c r="R65" s="5">
        <f t="shared" ref="R65:R72" si="50">IF(P$12=0,0,P65/P$12)</f>
        <v>0</v>
      </c>
      <c r="S65" s="1"/>
      <c r="T65" s="1">
        <f>SUM(OSRRefT22_12x_0)</f>
        <v>15287.860000000002</v>
      </c>
      <c r="U65" s="1"/>
      <c r="V65" s="5">
        <f t="shared" ref="V65:V72" si="51">IF(T$12=0,0,T65/T$12)</f>
        <v>4.0464310511267323E-2</v>
      </c>
      <c r="W65" s="1"/>
      <c r="X65" s="1">
        <f t="shared" ref="X65:X72" si="52">+P65-T65</f>
        <v>-15287.860000000002</v>
      </c>
      <c r="Y65" s="1"/>
      <c r="Z65" s="5">
        <f t="shared" ref="Z65:Z72" si="53">IF(T65=0,0,X65/T65)</f>
        <v>-1</v>
      </c>
    </row>
    <row r="66" spans="1:26" s="24" customFormat="1" hidden="1" outlineLevel="2" x14ac:dyDescent="0.25">
      <c r="A66" s="26"/>
      <c r="B66" s="11" t="str">
        <f>CONCATENATE("          ", "6234", " - ", "EXPENDABLE SUPPLIES &amp; EQUIPMEN")</f>
        <v xml:space="preserve">          6234 - EXPENDABLE SUPPLIES &amp; EQUIPMEN</v>
      </c>
      <c r="C66" s="11"/>
      <c r="D66" s="6"/>
      <c r="E66" s="2"/>
      <c r="F66" s="7">
        <f t="shared" si="46"/>
        <v>0</v>
      </c>
      <c r="G66" s="2"/>
      <c r="H66" s="6"/>
      <c r="I66" s="2"/>
      <c r="J66" s="7">
        <f t="shared" si="47"/>
        <v>0</v>
      </c>
      <c r="K66" s="2"/>
      <c r="L66" s="6">
        <f t="shared" si="48"/>
        <v>0</v>
      </c>
      <c r="M66" s="2"/>
      <c r="N66" s="7">
        <f t="shared" si="49"/>
        <v>0</v>
      </c>
      <c r="O66" s="11"/>
      <c r="P66" s="6"/>
      <c r="Q66" s="2"/>
      <c r="R66" s="7">
        <f t="shared" si="50"/>
        <v>0</v>
      </c>
      <c r="S66" s="2"/>
      <c r="T66" s="6">
        <v>3756.46</v>
      </c>
      <c r="U66" s="2"/>
      <c r="V66" s="7">
        <f t="shared" si="51"/>
        <v>9.9426972684963904E-3</v>
      </c>
      <c r="W66" s="2"/>
      <c r="X66" s="6">
        <f t="shared" si="52"/>
        <v>-3756.46</v>
      </c>
      <c r="Y66" s="2"/>
      <c r="Z66" s="7">
        <f t="shared" si="53"/>
        <v>-1</v>
      </c>
    </row>
    <row r="67" spans="1:26" s="24" customFormat="1" hidden="1" outlineLevel="2" x14ac:dyDescent="0.25">
      <c r="A67" s="26"/>
      <c r="B67" s="11" t="str">
        <f>CONCATENATE("          ", "6237", " - ", "JANITORIAL SUPPLIES")</f>
        <v xml:space="preserve">          6237 - JANITORIAL SUPPLIES</v>
      </c>
      <c r="C67" s="11"/>
      <c r="D67" s="6"/>
      <c r="E67" s="2"/>
      <c r="F67" s="7">
        <f t="shared" si="46"/>
        <v>0</v>
      </c>
      <c r="G67" s="2"/>
      <c r="H67" s="6"/>
      <c r="I67" s="2"/>
      <c r="J67" s="7">
        <f t="shared" si="47"/>
        <v>0</v>
      </c>
      <c r="K67" s="2"/>
      <c r="L67" s="6">
        <f t="shared" si="48"/>
        <v>0</v>
      </c>
      <c r="M67" s="2"/>
      <c r="N67" s="7">
        <f t="shared" si="49"/>
        <v>0</v>
      </c>
      <c r="O67" s="11"/>
      <c r="P67" s="6"/>
      <c r="Q67" s="2"/>
      <c r="R67" s="7">
        <f t="shared" si="50"/>
        <v>0</v>
      </c>
      <c r="S67" s="2"/>
      <c r="T67" s="6">
        <v>1239.47</v>
      </c>
      <c r="U67" s="2"/>
      <c r="V67" s="7">
        <f t="shared" si="51"/>
        <v>3.2806618421021977E-3</v>
      </c>
      <c r="W67" s="2"/>
      <c r="X67" s="6">
        <f t="shared" si="52"/>
        <v>-1239.47</v>
      </c>
      <c r="Y67" s="2"/>
      <c r="Z67" s="7">
        <f t="shared" si="53"/>
        <v>-1</v>
      </c>
    </row>
    <row r="68" spans="1:26" s="24" customFormat="1" hidden="1" outlineLevel="2" x14ac:dyDescent="0.25">
      <c r="A68" s="26"/>
      <c r="B68" s="11" t="str">
        <f>CONCATENATE("          ", "6239", " - ", "KITCHEN SUPPLIES")</f>
        <v xml:space="preserve">          6239 - KITCHEN SUPPLIES</v>
      </c>
      <c r="C68" s="11"/>
      <c r="D68" s="6"/>
      <c r="E68" s="2"/>
      <c r="F68" s="7">
        <f t="shared" si="46"/>
        <v>0</v>
      </c>
      <c r="G68" s="2"/>
      <c r="H68" s="6">
        <v>1267.53</v>
      </c>
      <c r="I68" s="2"/>
      <c r="J68" s="7">
        <f t="shared" si="47"/>
        <v>1.4297156574353773E-2</v>
      </c>
      <c r="K68" s="2"/>
      <c r="L68" s="6">
        <f t="shared" si="48"/>
        <v>-1267.53</v>
      </c>
      <c r="M68" s="2"/>
      <c r="N68" s="7">
        <f t="shared" si="49"/>
        <v>-1</v>
      </c>
      <c r="O68" s="11"/>
      <c r="P68" s="6"/>
      <c r="Q68" s="2"/>
      <c r="R68" s="7">
        <f t="shared" si="50"/>
        <v>0</v>
      </c>
      <c r="S68" s="2"/>
      <c r="T68" s="6">
        <v>7033.31</v>
      </c>
      <c r="U68" s="2"/>
      <c r="V68" s="7">
        <f t="shared" si="51"/>
        <v>1.8615950156660354E-2</v>
      </c>
      <c r="W68" s="2"/>
      <c r="X68" s="6">
        <f t="shared" si="52"/>
        <v>-7033.31</v>
      </c>
      <c r="Y68" s="2"/>
      <c r="Z68" s="7">
        <f t="shared" si="53"/>
        <v>-1</v>
      </c>
    </row>
    <row r="69" spans="1:26" s="24" customFormat="1" hidden="1" outlineLevel="2" x14ac:dyDescent="0.25">
      <c r="A69" s="26"/>
      <c r="B69" s="11" t="str">
        <f>CONCATENATE("          ", "6241", " - ", "OFFICE EXPENSE")</f>
        <v xml:space="preserve">          6241 - OFFICE EXPENSE</v>
      </c>
      <c r="C69" s="11"/>
      <c r="D69" s="6"/>
      <c r="E69" s="2"/>
      <c r="F69" s="7">
        <f t="shared" si="46"/>
        <v>0</v>
      </c>
      <c r="G69" s="2"/>
      <c r="H69" s="6"/>
      <c r="I69" s="2"/>
      <c r="J69" s="7">
        <f t="shared" si="47"/>
        <v>0</v>
      </c>
      <c r="K69" s="2"/>
      <c r="L69" s="6">
        <f t="shared" si="48"/>
        <v>0</v>
      </c>
      <c r="M69" s="2"/>
      <c r="N69" s="7">
        <f t="shared" si="49"/>
        <v>0</v>
      </c>
      <c r="O69" s="11"/>
      <c r="P69" s="6"/>
      <c r="Q69" s="2"/>
      <c r="R69" s="7">
        <f t="shared" si="50"/>
        <v>0</v>
      </c>
      <c r="S69" s="2"/>
      <c r="T69" s="6">
        <v>599.88</v>
      </c>
      <c r="U69" s="2"/>
      <c r="V69" s="7">
        <f t="shared" si="51"/>
        <v>1.5877781840950296E-3</v>
      </c>
      <c r="W69" s="2"/>
      <c r="X69" s="6">
        <f t="shared" si="52"/>
        <v>-599.88</v>
      </c>
      <c r="Y69" s="2"/>
      <c r="Z69" s="7">
        <f t="shared" si="53"/>
        <v>-1</v>
      </c>
    </row>
    <row r="70" spans="1:26" s="24" customFormat="1" hidden="1" outlineLevel="2" x14ac:dyDescent="0.25">
      <c r="A70" s="26"/>
      <c r="B70" s="11" t="str">
        <f>CONCATENATE("          ", "6243", " - ", "PAPER SUPPLIES")</f>
        <v xml:space="preserve">          6243 - PAPER SUPPLIES</v>
      </c>
      <c r="C70" s="11"/>
      <c r="D70" s="6"/>
      <c r="E70" s="2"/>
      <c r="F70" s="7">
        <f t="shared" si="46"/>
        <v>0</v>
      </c>
      <c r="G70" s="2"/>
      <c r="H70" s="6">
        <v>379.14</v>
      </c>
      <c r="I70" s="2"/>
      <c r="J70" s="7">
        <f t="shared" si="47"/>
        <v>4.2765251659530662E-3</v>
      </c>
      <c r="K70" s="2"/>
      <c r="L70" s="6">
        <f t="shared" si="48"/>
        <v>-379.14</v>
      </c>
      <c r="M70" s="2"/>
      <c r="N70" s="7">
        <f t="shared" si="49"/>
        <v>-1</v>
      </c>
      <c r="O70" s="11"/>
      <c r="P70" s="6"/>
      <c r="Q70" s="2"/>
      <c r="R70" s="7">
        <f t="shared" si="50"/>
        <v>0</v>
      </c>
      <c r="S70" s="2"/>
      <c r="T70" s="6">
        <v>2419.1</v>
      </c>
      <c r="U70" s="2"/>
      <c r="V70" s="7">
        <f t="shared" si="51"/>
        <v>6.4029375960930283E-3</v>
      </c>
      <c r="W70" s="2"/>
      <c r="X70" s="6">
        <f t="shared" si="52"/>
        <v>-2419.1</v>
      </c>
      <c r="Y70" s="2"/>
      <c r="Z70" s="7">
        <f t="shared" si="53"/>
        <v>-1</v>
      </c>
    </row>
    <row r="71" spans="1:26" s="24" customFormat="1" hidden="1" outlineLevel="2" x14ac:dyDescent="0.25">
      <c r="A71" s="26"/>
      <c r="B71" s="11" t="str">
        <f>CONCATENATE("          ", "6247", " - ", "STORE SUPPLIES")</f>
        <v xml:space="preserve">          6247 - STORE SUPPLIES</v>
      </c>
      <c r="C71" s="11"/>
      <c r="D71" s="6"/>
      <c r="E71" s="2"/>
      <c r="F71" s="7">
        <f t="shared" si="46"/>
        <v>0</v>
      </c>
      <c r="G71" s="2"/>
      <c r="H71" s="6">
        <v>40</v>
      </c>
      <c r="I71" s="2"/>
      <c r="J71" s="7">
        <f t="shared" si="47"/>
        <v>4.5118163907296153E-4</v>
      </c>
      <c r="K71" s="2"/>
      <c r="L71" s="6">
        <f t="shared" si="48"/>
        <v>-40</v>
      </c>
      <c r="M71" s="2"/>
      <c r="N71" s="7">
        <f t="shared" si="49"/>
        <v>-1</v>
      </c>
      <c r="O71" s="11"/>
      <c r="P71" s="6"/>
      <c r="Q71" s="2"/>
      <c r="R71" s="7">
        <f t="shared" si="50"/>
        <v>0</v>
      </c>
      <c r="S71" s="2"/>
      <c r="T71" s="6">
        <v>-214.8</v>
      </c>
      <c r="U71" s="2"/>
      <c r="V71" s="7">
        <f t="shared" si="51"/>
        <v>-5.6853829756553379E-4</v>
      </c>
      <c r="W71" s="2"/>
      <c r="X71" s="6">
        <f t="shared" si="52"/>
        <v>214.8</v>
      </c>
      <c r="Y71" s="2"/>
      <c r="Z71" s="7">
        <f t="shared" si="53"/>
        <v>-1</v>
      </c>
    </row>
    <row r="72" spans="1:26" s="24" customFormat="1" hidden="1" outlineLevel="2" x14ac:dyDescent="0.25">
      <c r="A72" s="26"/>
      <c r="B72" s="11" t="str">
        <f>CONCATENATE("          ", "6248", " - ", "UNIFORMS")</f>
        <v xml:space="preserve">          6248 - UNIFORMS</v>
      </c>
      <c r="C72" s="11"/>
      <c r="D72" s="6"/>
      <c r="E72" s="2"/>
      <c r="F72" s="7">
        <f t="shared" si="46"/>
        <v>0</v>
      </c>
      <c r="G72" s="2"/>
      <c r="H72" s="6"/>
      <c r="I72" s="2"/>
      <c r="J72" s="7">
        <f t="shared" si="47"/>
        <v>0</v>
      </c>
      <c r="K72" s="2"/>
      <c r="L72" s="6">
        <f t="shared" si="48"/>
        <v>0</v>
      </c>
      <c r="M72" s="2"/>
      <c r="N72" s="7">
        <f t="shared" si="49"/>
        <v>0</v>
      </c>
      <c r="O72" s="11"/>
      <c r="P72" s="6"/>
      <c r="Q72" s="2"/>
      <c r="R72" s="7">
        <f t="shared" si="50"/>
        <v>0</v>
      </c>
      <c r="S72" s="2"/>
      <c r="T72" s="6">
        <v>454.44</v>
      </c>
      <c r="U72" s="2"/>
      <c r="V72" s="7">
        <f t="shared" si="51"/>
        <v>1.2028237613858526E-3</v>
      </c>
      <c r="W72" s="2"/>
      <c r="X72" s="6">
        <f t="shared" si="52"/>
        <v>-454.44</v>
      </c>
      <c r="Y72" s="2"/>
      <c r="Z72" s="7">
        <f t="shared" si="53"/>
        <v>-1</v>
      </c>
    </row>
    <row r="73" spans="1:26" s="25" customFormat="1" outlineLevel="1" collapsed="1" x14ac:dyDescent="0.25">
      <c r="A73" s="27"/>
      <c r="B73" s="13" t="str">
        <f>CONCATENATE("     ","Telephone/Data Lines                              ")</f>
        <v xml:space="preserve">     Telephone/Data Lines                              </v>
      </c>
      <c r="C73" s="13"/>
      <c r="D73" s="1">
        <f>SUM(OSRRefD22_13x_0)</f>
        <v>0</v>
      </c>
      <c r="E73" s="1"/>
      <c r="F73" s="5">
        <f t="shared" ref="F73:F76" si="54">IF(D$12=0,0,D73/D$12)</f>
        <v>0</v>
      </c>
      <c r="G73" s="1"/>
      <c r="H73" s="1">
        <f>SUM(OSRRefH22_13x_0)</f>
        <v>312.06</v>
      </c>
      <c r="I73" s="1"/>
      <c r="J73" s="5">
        <f t="shared" ref="J73:J76" si="55">IF(H$12=0,0,H73/H$12)</f>
        <v>3.5198935572277094E-3</v>
      </c>
      <c r="K73" s="1"/>
      <c r="L73" s="1">
        <f t="shared" ref="L73:L76" si="56">+D73-H73</f>
        <v>-312.06</v>
      </c>
      <c r="M73" s="1"/>
      <c r="N73" s="5">
        <f t="shared" ref="N73:N76" si="57">IF(H73=0,0,L73/H73)</f>
        <v>-1</v>
      </c>
      <c r="O73" s="13"/>
      <c r="P73" s="1">
        <f>SUM(OSRRefP22_13x_0)</f>
        <v>132.54</v>
      </c>
      <c r="Q73" s="1"/>
      <c r="R73" s="5">
        <f t="shared" ref="R73:R76" si="58">IF(P$12=0,0,P73/P$12)</f>
        <v>0</v>
      </c>
      <c r="S73" s="1"/>
      <c r="T73" s="1">
        <f>SUM(OSRRefT22_13x_0)</f>
        <v>2487.9</v>
      </c>
      <c r="U73" s="1"/>
      <c r="V73" s="5">
        <f t="shared" ref="V73:V76" si="59">IF(T$12=0,0,T73/T$12)</f>
        <v>6.5850392481996804E-3</v>
      </c>
      <c r="W73" s="1"/>
      <c r="X73" s="1">
        <f t="shared" ref="X73:X76" si="60">+P73-T73</f>
        <v>-2355.36</v>
      </c>
      <c r="Y73" s="1"/>
      <c r="Z73" s="5">
        <f t="shared" ref="Z73:Z76" si="61">IF(T73=0,0,X73/T73)</f>
        <v>-0.94672615458820697</v>
      </c>
    </row>
    <row r="74" spans="1:26" s="24" customFormat="1" hidden="1" outlineLevel="2" x14ac:dyDescent="0.25">
      <c r="A74" s="26"/>
      <c r="B74" s="11" t="str">
        <f>CONCATENATE("          ", "6309", " - ", "TELEPHONE")</f>
        <v xml:space="preserve">          6309 - TELEPHONE</v>
      </c>
      <c r="C74" s="11"/>
      <c r="D74" s="6"/>
      <c r="E74" s="2"/>
      <c r="F74" s="7">
        <f t="shared" si="54"/>
        <v>0</v>
      </c>
      <c r="G74" s="2"/>
      <c r="H74" s="6">
        <v>312.06</v>
      </c>
      <c r="I74" s="2"/>
      <c r="J74" s="7">
        <f t="shared" si="55"/>
        <v>3.5198935572277094E-3</v>
      </c>
      <c r="K74" s="2"/>
      <c r="L74" s="6">
        <f t="shared" si="56"/>
        <v>-312.06</v>
      </c>
      <c r="M74" s="2"/>
      <c r="N74" s="7">
        <f t="shared" si="57"/>
        <v>-1</v>
      </c>
      <c r="O74" s="11"/>
      <c r="P74" s="6">
        <v>132.54</v>
      </c>
      <c r="Q74" s="2"/>
      <c r="R74" s="7">
        <f t="shared" si="58"/>
        <v>0</v>
      </c>
      <c r="S74" s="2"/>
      <c r="T74" s="6">
        <v>2487.9</v>
      </c>
      <c r="U74" s="2"/>
      <c r="V74" s="7">
        <f t="shared" si="59"/>
        <v>6.5850392481996804E-3</v>
      </c>
      <c r="W74" s="2"/>
      <c r="X74" s="6">
        <f t="shared" si="60"/>
        <v>-2355.36</v>
      </c>
      <c r="Y74" s="2"/>
      <c r="Z74" s="7">
        <f t="shared" si="61"/>
        <v>-0.94672615458820697</v>
      </c>
    </row>
    <row r="75" spans="1:26" s="25" customFormat="1" outlineLevel="1" collapsed="1" x14ac:dyDescent="0.25">
      <c r="A75" s="27"/>
      <c r="B75" s="13" t="str">
        <f>CONCATENATE("     ","Training                                          ")</f>
        <v xml:space="preserve">     Training                                          </v>
      </c>
      <c r="C75" s="13"/>
      <c r="D75" s="1">
        <f>SUM(OSRRefD22_14x_0)</f>
        <v>0</v>
      </c>
      <c r="E75" s="1"/>
      <c r="F75" s="5">
        <f t="shared" si="54"/>
        <v>0</v>
      </c>
      <c r="G75" s="1"/>
      <c r="H75" s="1">
        <f>SUM(OSRRefH22_14x_0)</f>
        <v>0.01</v>
      </c>
      <c r="I75" s="1"/>
      <c r="J75" s="5">
        <f t="shared" si="55"/>
        <v>1.1279540976824039E-7</v>
      </c>
      <c r="K75" s="1"/>
      <c r="L75" s="1">
        <f t="shared" si="56"/>
        <v>-0.01</v>
      </c>
      <c r="M75" s="1"/>
      <c r="N75" s="5">
        <f t="shared" si="57"/>
        <v>-1</v>
      </c>
      <c r="O75" s="13"/>
      <c r="P75" s="1">
        <f>SUM(OSRRefP22_14x_0)</f>
        <v>0</v>
      </c>
      <c r="Q75" s="1"/>
      <c r="R75" s="5">
        <f t="shared" si="58"/>
        <v>0</v>
      </c>
      <c r="S75" s="1"/>
      <c r="T75" s="1">
        <f>SUM(OSRRefT22_14x_0)</f>
        <v>237.96</v>
      </c>
      <c r="U75" s="1"/>
      <c r="V75" s="5">
        <f t="shared" si="59"/>
        <v>6.2983879557120296E-4</v>
      </c>
      <c r="W75" s="1"/>
      <c r="X75" s="1">
        <f t="shared" si="60"/>
        <v>-237.96</v>
      </c>
      <c r="Y75" s="1"/>
      <c r="Z75" s="5">
        <f t="shared" si="61"/>
        <v>-1</v>
      </c>
    </row>
    <row r="76" spans="1:26" s="24" customFormat="1" hidden="1" outlineLevel="2" x14ac:dyDescent="0.25">
      <c r="A76" s="26"/>
      <c r="B76" s="11" t="str">
        <f>CONCATENATE("          ", "6376", " - ", "TRAINING")</f>
        <v xml:space="preserve">          6376 - TRAINING</v>
      </c>
      <c r="C76" s="11"/>
      <c r="D76" s="6"/>
      <c r="E76" s="2"/>
      <c r="F76" s="7">
        <f t="shared" si="54"/>
        <v>0</v>
      </c>
      <c r="G76" s="2"/>
      <c r="H76" s="6">
        <v>0.01</v>
      </c>
      <c r="I76" s="2"/>
      <c r="J76" s="7">
        <f t="shared" si="55"/>
        <v>1.1279540976824039E-7</v>
      </c>
      <c r="K76" s="2"/>
      <c r="L76" s="6">
        <f t="shared" si="56"/>
        <v>-0.01</v>
      </c>
      <c r="M76" s="2"/>
      <c r="N76" s="7">
        <f t="shared" si="57"/>
        <v>-1</v>
      </c>
      <c r="O76" s="11"/>
      <c r="P76" s="6"/>
      <c r="Q76" s="2"/>
      <c r="R76" s="7">
        <f t="shared" si="58"/>
        <v>0</v>
      </c>
      <c r="S76" s="2"/>
      <c r="T76" s="6">
        <v>237.96</v>
      </c>
      <c r="U76" s="2"/>
      <c r="V76" s="7">
        <f t="shared" si="59"/>
        <v>6.2983879557120296E-4</v>
      </c>
      <c r="W76" s="2"/>
      <c r="X76" s="6">
        <f t="shared" si="60"/>
        <v>-237.96</v>
      </c>
      <c r="Y76" s="2"/>
      <c r="Z76" s="7">
        <f t="shared" si="61"/>
        <v>-1</v>
      </c>
    </row>
    <row r="77" spans="1:26" s="52" customFormat="1" x14ac:dyDescent="0.25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collapsed="1" x14ac:dyDescent="0.25">
      <c r="A78" s="10"/>
      <c r="B78" s="28" t="s">
        <v>0</v>
      </c>
      <c r="C78" s="10"/>
      <c r="D78" s="4">
        <f>SUM(OSRRefD25x_0)</f>
        <v>0</v>
      </c>
      <c r="E78" s="4"/>
      <c r="F78" s="12">
        <f t="shared" ref="F78:F79" si="62">IF(D$12=0,0,D78/D$12)</f>
        <v>0</v>
      </c>
      <c r="G78" s="4"/>
      <c r="H78" s="4">
        <f>SUM(OSRRefH25x_0)</f>
        <v>7147.38</v>
      </c>
      <c r="I78" s="4"/>
      <c r="J78" s="12">
        <f t="shared" ref="J78:J79" si="63">IF(H$12=0,0,H78/H$12)</f>
        <v>8.0619165586932592E-2</v>
      </c>
      <c r="K78" s="4"/>
      <c r="L78" s="4">
        <f t="shared" ref="L78:L79" si="64">+D78-H78</f>
        <v>-7147.38</v>
      </c>
      <c r="M78" s="4"/>
      <c r="N78" s="12">
        <f t="shared" ref="N78:N79" si="65">IF(H78=0,0,L78/H78)</f>
        <v>-1</v>
      </c>
      <c r="O78" s="10"/>
      <c r="P78" s="4">
        <f>SUM(OSRRefP25x_0)</f>
        <v>0</v>
      </c>
      <c r="Q78" s="4"/>
      <c r="R78" s="12">
        <f t="shared" ref="R78:R79" si="66">IF(P$12=0,0,P78/P$12)</f>
        <v>0</v>
      </c>
      <c r="S78" s="4"/>
      <c r="T78" s="4">
        <f>SUM(OSRRefT25x_0)</f>
        <v>39607.82</v>
      </c>
      <c r="U78" s="4"/>
      <c r="V78" s="12">
        <f t="shared" ref="V78:V79" si="67">IF(T$12=0,0,T78/T$12)</f>
        <v>0.10483502119684403</v>
      </c>
      <c r="W78" s="4"/>
      <c r="X78" s="4">
        <f t="shared" ref="X78:X79" si="68">+P78-T78</f>
        <v>-39607.82</v>
      </c>
      <c r="Y78" s="4"/>
      <c r="Z78" s="12">
        <f t="shared" ref="Z78:Z79" si="69">IF(T78=0,0,X78/T78)</f>
        <v>-1</v>
      </c>
    </row>
    <row r="79" spans="1:26" s="24" customFormat="1" hidden="1" outlineLevel="1" x14ac:dyDescent="0.25">
      <c r="A79" s="44"/>
      <c r="B79" s="11" t="str">
        <f>CONCATENATE("          ", "9150", " - ", "MISC. INCOME")</f>
        <v xml:space="preserve">          9150 - MISC. INCOME</v>
      </c>
      <c r="C79" s="11"/>
      <c r="D79" s="2">
        <f>0</f>
        <v>0</v>
      </c>
      <c r="E79" s="2"/>
      <c r="F79" s="19">
        <f t="shared" si="62"/>
        <v>0</v>
      </c>
      <c r="G79" s="2"/>
      <c r="H79" s="2">
        <f>--7147.38</f>
        <v>7147.38</v>
      </c>
      <c r="I79" s="2"/>
      <c r="J79" s="19">
        <f t="shared" si="63"/>
        <v>8.0619165586932592E-2</v>
      </c>
      <c r="K79" s="2"/>
      <c r="L79" s="2">
        <f t="shared" si="64"/>
        <v>-7147.38</v>
      </c>
      <c r="M79" s="2"/>
      <c r="N79" s="19">
        <f t="shared" si="65"/>
        <v>-1</v>
      </c>
      <c r="O79" s="11"/>
      <c r="P79" s="2">
        <f>0</f>
        <v>0</v>
      </c>
      <c r="Q79" s="2"/>
      <c r="R79" s="19">
        <f t="shared" si="66"/>
        <v>0</v>
      </c>
      <c r="S79" s="2"/>
      <c r="T79" s="2">
        <f>--39607.82</f>
        <v>39607.82</v>
      </c>
      <c r="U79" s="2"/>
      <c r="V79" s="19">
        <f t="shared" si="67"/>
        <v>0.10483502119684403</v>
      </c>
      <c r="W79" s="2"/>
      <c r="X79" s="2">
        <f t="shared" si="68"/>
        <v>-39607.82</v>
      </c>
      <c r="Y79" s="2"/>
      <c r="Z79" s="19">
        <f t="shared" si="69"/>
        <v>-1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10"/>
      <c r="B81" s="29" t="s">
        <v>3</v>
      </c>
      <c r="C81" s="29"/>
      <c r="D81" s="22">
        <f>+D22-D24+D78</f>
        <v>-1000.91</v>
      </c>
      <c r="E81" s="14"/>
      <c r="F81" s="20">
        <f>IF(D$12=0,0,D81/D$12)</f>
        <v>0</v>
      </c>
      <c r="G81" s="14"/>
      <c r="H81" s="22">
        <f>+H22-H24+H78</f>
        <v>20607.190000000021</v>
      </c>
      <c r="I81" s="14"/>
      <c r="J81" s="20">
        <f>IF(H$12=0,0,H81/H$12)</f>
        <v>0.2324396440221988</v>
      </c>
      <c r="K81" s="16"/>
      <c r="L81" s="22">
        <f>+D81-H81</f>
        <v>-21608.10000000002</v>
      </c>
      <c r="M81" s="16"/>
      <c r="N81" s="20">
        <f>IF(H81=0,0,L81/H81)</f>
        <v>-1.0485709114148993</v>
      </c>
      <c r="O81" s="28"/>
      <c r="P81" s="22">
        <f>+P22-P24+P78</f>
        <v>-11635.96</v>
      </c>
      <c r="Q81" s="14"/>
      <c r="R81" s="20">
        <f>IF(P$12=0,0,P81/P$12)</f>
        <v>0</v>
      </c>
      <c r="S81" s="14"/>
      <c r="T81" s="22">
        <f>+T22-T24+T78</f>
        <v>40415.580000000009</v>
      </c>
      <c r="U81" s="14"/>
      <c r="V81" s="20">
        <f>IF(T$12=0,0,T81/T$12)</f>
        <v>0.1069730216402404</v>
      </c>
      <c r="W81" s="16"/>
      <c r="X81" s="22">
        <f>+P81-T81</f>
        <v>-52051.540000000008</v>
      </c>
      <c r="Y81" s="16"/>
      <c r="Z81" s="20">
        <f>IF(T81=0,0,X81/T81)</f>
        <v>-1.2879077820978939</v>
      </c>
    </row>
    <row r="82" spans="1:26" x14ac:dyDescent="0.25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51"/>
      <c r="B83" s="10" t="s">
        <v>13</v>
      </c>
      <c r="C83" s="10"/>
      <c r="D83" s="4"/>
      <c r="E83" s="4"/>
      <c r="F83" s="12">
        <f>IF(D$12=0,0,D83/D$12)</f>
        <v>0</v>
      </c>
      <c r="G83" s="4"/>
      <c r="H83" s="4">
        <v>8351.65</v>
      </c>
      <c r="I83" s="4"/>
      <c r="J83" s="12">
        <f>IF(H$12=0,0,H83/H$12)</f>
        <v>9.4202778399092482E-2</v>
      </c>
      <c r="K83" s="4"/>
      <c r="L83" s="4">
        <f>+D83-H83</f>
        <v>-8351.65</v>
      </c>
      <c r="M83" s="4"/>
      <c r="N83" s="12">
        <f>IF(H83=0,0,L83/H83)</f>
        <v>-1</v>
      </c>
      <c r="O83" s="10"/>
      <c r="P83" s="4"/>
      <c r="Q83" s="4"/>
      <c r="R83" s="12">
        <f>IF(P$12=0,0,P83/P$12)</f>
        <v>0</v>
      </c>
      <c r="S83" s="4"/>
      <c r="T83" s="4">
        <v>38506.409999999996</v>
      </c>
      <c r="U83" s="4"/>
      <c r="V83" s="12">
        <f>IF(T$12=0,0,T83/T$12)</f>
        <v>0.10191978019907096</v>
      </c>
      <c r="W83" s="4"/>
      <c r="X83" s="4">
        <f>+P83-T83</f>
        <v>-38506.409999999996</v>
      </c>
      <c r="Y83" s="4"/>
      <c r="Z83" s="12">
        <f>IF(T83=0,0,X83/T83)</f>
        <v>-1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9" t="s">
        <v>4</v>
      </c>
      <c r="C85" s="29"/>
      <c r="D85" s="35">
        <f>+D81-D83</f>
        <v>-1000.91</v>
      </c>
      <c r="E85" s="14"/>
      <c r="F85" s="36">
        <f>IF(D$12=0,0,D85/D$12)</f>
        <v>0</v>
      </c>
      <c r="G85" s="14"/>
      <c r="H85" s="35">
        <f>+H81-H83</f>
        <v>12255.540000000021</v>
      </c>
      <c r="I85" s="14"/>
      <c r="J85" s="36">
        <f>IF(H$12=0,0,H85/H$12)</f>
        <v>0.1382368656231063</v>
      </c>
      <c r="K85" s="16"/>
      <c r="L85" s="35">
        <f>D85-H85</f>
        <v>-13256.450000000021</v>
      </c>
      <c r="M85" s="16"/>
      <c r="N85" s="36">
        <f>IF(H85=0,0,L85/H85)</f>
        <v>-1.081670003932915</v>
      </c>
      <c r="O85" s="28"/>
      <c r="P85" s="35">
        <f>+P81-P83</f>
        <v>-11635.96</v>
      </c>
      <c r="Q85" s="14"/>
      <c r="R85" s="36">
        <f>IF(P$12=0,0,P85/P$12)</f>
        <v>0</v>
      </c>
      <c r="S85" s="14"/>
      <c r="T85" s="35">
        <f>+T81-T83</f>
        <v>1909.1700000000128</v>
      </c>
      <c r="U85" s="14"/>
      <c r="V85" s="36">
        <f>IF(T$12=0,0,T85/T$12)</f>
        <v>5.0532414411694473E-3</v>
      </c>
      <c r="W85" s="16"/>
      <c r="X85" s="35">
        <f>P85-T85</f>
        <v>-13545.130000000012</v>
      </c>
      <c r="Y85" s="16"/>
      <c r="Z85" s="36">
        <f>IF(T85=0,0,X85/T85)</f>
        <v>-7.0947741688796286</v>
      </c>
    </row>
    <row r="86" spans="1:26" ht="15.75" thickTop="1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9" t="s">
        <v>5</v>
      </c>
      <c r="C88" s="29"/>
      <c r="D88" s="31">
        <f>SUM(D85:D87)</f>
        <v>-1000.91</v>
      </c>
      <c r="E88" s="14"/>
      <c r="F88" s="33">
        <f>IF(D$12=0,0,D88/D$12)</f>
        <v>0</v>
      </c>
      <c r="G88" s="14"/>
      <c r="H88" s="31">
        <f>SUM(H85:H87)</f>
        <v>12255.540000000021</v>
      </c>
      <c r="I88" s="14"/>
      <c r="J88" s="33">
        <f>IF(H$12=0,0,H88/H$12)</f>
        <v>0.1382368656231063</v>
      </c>
      <c r="K88" s="16"/>
      <c r="L88" s="31">
        <f>+D88-H88</f>
        <v>-13256.450000000021</v>
      </c>
      <c r="M88" s="16"/>
      <c r="N88" s="33">
        <f>IF(H88=0,0,L88/H88)</f>
        <v>-1.081670003932915</v>
      </c>
      <c r="O88" s="28"/>
      <c r="P88" s="31">
        <f>SUM(P85:P87)</f>
        <v>-11635.96</v>
      </c>
      <c r="Q88" s="14"/>
      <c r="R88" s="33">
        <f>IF(P$12=0,0,P88/P$12)</f>
        <v>0</v>
      </c>
      <c r="S88" s="14"/>
      <c r="T88" s="31">
        <f>SUM(T85:T87)</f>
        <v>1909.1700000000128</v>
      </c>
      <c r="U88" s="14"/>
      <c r="V88" s="33">
        <f>IF(T$12=0,0,T88/T$12)</f>
        <v>5.0532414411694473E-3</v>
      </c>
      <c r="W88" s="16"/>
      <c r="X88" s="31">
        <f>+P88-T88</f>
        <v>-13545.130000000012</v>
      </c>
      <c r="Y88" s="16"/>
      <c r="Z88" s="33">
        <f>IF(T88=0,0,X88/T88)</f>
        <v>-7.0947741688796286</v>
      </c>
    </row>
    <row r="89" spans="1:26" ht="15.75" thickTop="1" x14ac:dyDescent="0.25">
      <c r="A89" s="9"/>
      <c r="C89" s="9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56">
        <v>44267.6686778125</v>
      </c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4" t="s">
        <v>313</v>
      </c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58"/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","455", " - ", "Vending")</f>
        <v>Department 455 - Vending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0</v>
      </c>
      <c r="E18" s="21"/>
      <c r="F18" s="32">
        <f t="shared" ref="F18:F26" si="0">IF(D$12=0,0,D18/D$12)</f>
        <v>0</v>
      </c>
      <c r="G18" s="21"/>
      <c r="H18" s="21">
        <f>SUM(OSRRefH22x_0)</f>
        <v>6333.82</v>
      </c>
      <c r="I18" s="21"/>
      <c r="J18" s="32">
        <f t="shared" ref="J18:J26" si="1">IF(H$12=0,0,H18/H$12)</f>
        <v>0</v>
      </c>
      <c r="K18" s="4"/>
      <c r="L18" s="21">
        <f t="shared" ref="L18:L26" si="2">+D18-H18</f>
        <v>-6333.82</v>
      </c>
      <c r="M18" s="4"/>
      <c r="N18" s="32">
        <f t="shared" ref="N18:N26" si="3">IF(H18=0,0,L18/H18)</f>
        <v>-1</v>
      </c>
      <c r="O18" s="10"/>
      <c r="P18" s="21">
        <f>SUM(OSRRefP22x_0)</f>
        <v>0</v>
      </c>
      <c r="Q18" s="21"/>
      <c r="R18" s="32">
        <f t="shared" ref="R18:R26" si="4">IF(P$12=0,0,P18/P$12)</f>
        <v>0</v>
      </c>
      <c r="S18" s="21"/>
      <c r="T18" s="21">
        <f>SUM(OSRRefT22x_0)</f>
        <v>67027.31</v>
      </c>
      <c r="U18" s="21"/>
      <c r="V18" s="32">
        <f t="shared" ref="V18:V26" si="5">IF(T$12=0,0,T18/T$12)</f>
        <v>0</v>
      </c>
      <c r="W18" s="4"/>
      <c r="X18" s="21">
        <f t="shared" ref="X18:X26" si="6">+P18-T18</f>
        <v>-67027.31</v>
      </c>
      <c r="Y18" s="4"/>
      <c r="Z18" s="32">
        <f t="shared" ref="Z18:Z26" si="7">IF(T18=0,0,X18/T18)</f>
        <v>-1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2560.34</v>
      </c>
      <c r="I19" s="1"/>
      <c r="J19" s="5">
        <f t="shared" si="1"/>
        <v>0</v>
      </c>
      <c r="K19" s="1"/>
      <c r="L19" s="1">
        <f t="shared" si="2"/>
        <v>-2560.34</v>
      </c>
      <c r="M19" s="1"/>
      <c r="N19" s="5">
        <f t="shared" si="3"/>
        <v>-1</v>
      </c>
      <c r="O19" s="13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29840.11</v>
      </c>
      <c r="U19" s="1"/>
      <c r="V19" s="5">
        <f t="shared" si="5"/>
        <v>0</v>
      </c>
      <c r="W19" s="1"/>
      <c r="X19" s="1">
        <f t="shared" si="6"/>
        <v>-29840.11</v>
      </c>
      <c r="Y19" s="1"/>
      <c r="Z19" s="5">
        <f t="shared" si="7"/>
        <v>-1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/>
      <c r="E20" s="2"/>
      <c r="F20" s="7">
        <f t="shared" si="0"/>
        <v>0</v>
      </c>
      <c r="G20" s="2"/>
      <c r="H20" s="6">
        <v>384.92</v>
      </c>
      <c r="I20" s="2"/>
      <c r="J20" s="7">
        <f t="shared" si="1"/>
        <v>0</v>
      </c>
      <c r="K20" s="2"/>
      <c r="L20" s="6">
        <f t="shared" si="2"/>
        <v>-384.92</v>
      </c>
      <c r="M20" s="2"/>
      <c r="N20" s="7">
        <f t="shared" si="3"/>
        <v>-1</v>
      </c>
      <c r="O20" s="11"/>
      <c r="P20" s="6"/>
      <c r="Q20" s="2"/>
      <c r="R20" s="7">
        <f t="shared" si="4"/>
        <v>0</v>
      </c>
      <c r="S20" s="2"/>
      <c r="T20" s="6">
        <v>2908.48</v>
      </c>
      <c r="U20" s="2"/>
      <c r="V20" s="7">
        <f t="shared" si="5"/>
        <v>0</v>
      </c>
      <c r="W20" s="2"/>
      <c r="X20" s="6">
        <f t="shared" si="6"/>
        <v>-2908.48</v>
      </c>
      <c r="Y20" s="2"/>
      <c r="Z20" s="7">
        <f t="shared" si="7"/>
        <v>-1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/>
      <c r="E21" s="2"/>
      <c r="F21" s="7">
        <f t="shared" si="0"/>
        <v>0</v>
      </c>
      <c r="G21" s="2"/>
      <c r="H21" s="6">
        <v>17.11</v>
      </c>
      <c r="I21" s="2"/>
      <c r="J21" s="7">
        <f t="shared" si="1"/>
        <v>0</v>
      </c>
      <c r="K21" s="2"/>
      <c r="L21" s="6">
        <f t="shared" si="2"/>
        <v>-17.11</v>
      </c>
      <c r="M21" s="2"/>
      <c r="N21" s="7">
        <f t="shared" si="3"/>
        <v>-1</v>
      </c>
      <c r="O21" s="11"/>
      <c r="P21" s="6"/>
      <c r="Q21" s="2"/>
      <c r="R21" s="7">
        <f t="shared" si="4"/>
        <v>0</v>
      </c>
      <c r="S21" s="2"/>
      <c r="T21" s="6">
        <v>159.32</v>
      </c>
      <c r="U21" s="2"/>
      <c r="V21" s="7">
        <f t="shared" si="5"/>
        <v>0</v>
      </c>
      <c r="W21" s="2"/>
      <c r="X21" s="6">
        <f t="shared" si="6"/>
        <v>-159.32</v>
      </c>
      <c r="Y21" s="2"/>
      <c r="Z21" s="7">
        <f t="shared" si="7"/>
        <v>-1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/>
      <c r="E22" s="2"/>
      <c r="F22" s="7">
        <f t="shared" si="0"/>
        <v>0</v>
      </c>
      <c r="G22" s="2"/>
      <c r="H22" s="6">
        <v>934.1</v>
      </c>
      <c r="I22" s="2"/>
      <c r="J22" s="7">
        <f t="shared" si="1"/>
        <v>0</v>
      </c>
      <c r="K22" s="2"/>
      <c r="L22" s="6">
        <f t="shared" si="2"/>
        <v>-934.1</v>
      </c>
      <c r="M22" s="2"/>
      <c r="N22" s="7">
        <f t="shared" si="3"/>
        <v>-1</v>
      </c>
      <c r="O22" s="11"/>
      <c r="P22" s="6"/>
      <c r="Q22" s="2"/>
      <c r="R22" s="7">
        <f t="shared" si="4"/>
        <v>0</v>
      </c>
      <c r="S22" s="2"/>
      <c r="T22" s="6">
        <v>7459.9</v>
      </c>
      <c r="U22" s="2"/>
      <c r="V22" s="7">
        <f t="shared" si="5"/>
        <v>0</v>
      </c>
      <c r="W22" s="2"/>
      <c r="X22" s="6">
        <f t="shared" si="6"/>
        <v>-7459.9</v>
      </c>
      <c r="Y22" s="2"/>
      <c r="Z22" s="7">
        <f t="shared" si="7"/>
        <v>-1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/>
      <c r="E23" s="2"/>
      <c r="F23" s="7">
        <f t="shared" si="0"/>
        <v>0</v>
      </c>
      <c r="G23" s="2"/>
      <c r="H23" s="6">
        <v>13.08</v>
      </c>
      <c r="I23" s="2"/>
      <c r="J23" s="7">
        <f t="shared" si="1"/>
        <v>0</v>
      </c>
      <c r="K23" s="2"/>
      <c r="L23" s="6">
        <f t="shared" si="2"/>
        <v>-13.08</v>
      </c>
      <c r="M23" s="2"/>
      <c r="N23" s="7">
        <f t="shared" si="3"/>
        <v>-1</v>
      </c>
      <c r="O23" s="11"/>
      <c r="P23" s="6"/>
      <c r="Q23" s="2"/>
      <c r="R23" s="7">
        <f t="shared" si="4"/>
        <v>0</v>
      </c>
      <c r="S23" s="2"/>
      <c r="T23" s="6">
        <v>134.31</v>
      </c>
      <c r="U23" s="2"/>
      <c r="V23" s="7">
        <f t="shared" si="5"/>
        <v>0</v>
      </c>
      <c r="W23" s="2"/>
      <c r="X23" s="6">
        <f t="shared" si="6"/>
        <v>-134.31</v>
      </c>
      <c r="Y23" s="2"/>
      <c r="Z23" s="7">
        <f t="shared" si="7"/>
        <v>-1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514.27</v>
      </c>
      <c r="I24" s="2"/>
      <c r="J24" s="7">
        <f t="shared" si="1"/>
        <v>0</v>
      </c>
      <c r="K24" s="2"/>
      <c r="L24" s="6">
        <f t="shared" si="2"/>
        <v>-514.27</v>
      </c>
      <c r="M24" s="2"/>
      <c r="N24" s="7">
        <f t="shared" si="3"/>
        <v>-1</v>
      </c>
      <c r="O24" s="11"/>
      <c r="P24" s="6"/>
      <c r="Q24" s="2"/>
      <c r="R24" s="7">
        <f t="shared" si="4"/>
        <v>0</v>
      </c>
      <c r="S24" s="2"/>
      <c r="T24" s="6">
        <v>5280.61</v>
      </c>
      <c r="U24" s="2"/>
      <c r="V24" s="7">
        <f t="shared" si="5"/>
        <v>0</v>
      </c>
      <c r="W24" s="2"/>
      <c r="X24" s="6">
        <f t="shared" si="6"/>
        <v>-5280.61</v>
      </c>
      <c r="Y24" s="2"/>
      <c r="Z24" s="7">
        <f t="shared" si="7"/>
        <v>-1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/>
      <c r="E25" s="2"/>
      <c r="F25" s="7">
        <f t="shared" si="0"/>
        <v>0</v>
      </c>
      <c r="G25" s="2"/>
      <c r="H25" s="6">
        <v>464.78</v>
      </c>
      <c r="I25" s="2"/>
      <c r="J25" s="7">
        <f t="shared" si="1"/>
        <v>0</v>
      </c>
      <c r="K25" s="2"/>
      <c r="L25" s="6">
        <f t="shared" si="2"/>
        <v>-464.78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5313.38</v>
      </c>
      <c r="U25" s="2"/>
      <c r="V25" s="7">
        <f t="shared" si="5"/>
        <v>0</v>
      </c>
      <c r="W25" s="2"/>
      <c r="X25" s="6">
        <f t="shared" si="6"/>
        <v>-5313.38</v>
      </c>
      <c r="Y25" s="2"/>
      <c r="Z25" s="7">
        <f t="shared" si="7"/>
        <v>-1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/>
      <c r="E26" s="2"/>
      <c r="F26" s="7">
        <f t="shared" si="0"/>
        <v>0</v>
      </c>
      <c r="G26" s="2"/>
      <c r="H26" s="6">
        <v>232.08</v>
      </c>
      <c r="I26" s="2"/>
      <c r="J26" s="7">
        <f t="shared" si="1"/>
        <v>0</v>
      </c>
      <c r="K26" s="2"/>
      <c r="L26" s="6">
        <f t="shared" si="2"/>
        <v>-232.08</v>
      </c>
      <c r="M26" s="2"/>
      <c r="N26" s="7">
        <f t="shared" si="3"/>
        <v>-1</v>
      </c>
      <c r="O26" s="11"/>
      <c r="P26" s="6"/>
      <c r="Q26" s="2"/>
      <c r="R26" s="7">
        <f t="shared" si="4"/>
        <v>0</v>
      </c>
      <c r="S26" s="2"/>
      <c r="T26" s="6">
        <v>8584.11</v>
      </c>
      <c r="U26" s="2"/>
      <c r="V26" s="7">
        <f t="shared" si="5"/>
        <v>0</v>
      </c>
      <c r="W26" s="2"/>
      <c r="X26" s="6">
        <f t="shared" si="6"/>
        <v>-8584.11</v>
      </c>
      <c r="Y26" s="2"/>
      <c r="Z26" s="7">
        <f t="shared" si="7"/>
        <v>-1</v>
      </c>
    </row>
    <row r="27" spans="1:26" s="25" customFormat="1" outlineLevel="1" collapsed="1" x14ac:dyDescent="0.25">
      <c r="A27" s="27"/>
      <c r="B27" s="13" t="str">
        <f>CONCATENATE("     ","*Payroll                                          ")</f>
        <v xml:space="preserve">     *Payroll                                          </v>
      </c>
      <c r="C27" s="13"/>
      <c r="D27" s="1">
        <f>SUM(OSRRefD22_1x_0)</f>
        <v>0</v>
      </c>
      <c r="E27" s="1"/>
      <c r="F27" s="5">
        <f t="shared" ref="F27:F29" si="8">IF(D$12=0,0,D27/D$12)</f>
        <v>0</v>
      </c>
      <c r="G27" s="1"/>
      <c r="H27" s="1">
        <f>SUM(OSRRefH22_1x_0)</f>
        <v>3773.48</v>
      </c>
      <c r="I27" s="1"/>
      <c r="J27" s="5">
        <f t="shared" ref="J27:J29" si="9">IF(H$12=0,0,H27/H$12)</f>
        <v>0</v>
      </c>
      <c r="K27" s="1"/>
      <c r="L27" s="1">
        <f t="shared" ref="L27:L29" si="10">+D27-H27</f>
        <v>-3773.48</v>
      </c>
      <c r="M27" s="1"/>
      <c r="N27" s="5">
        <f t="shared" ref="N27:N29" si="11">IF(H27=0,0,L27/H27)</f>
        <v>-1</v>
      </c>
      <c r="O27" s="13"/>
      <c r="P27" s="1">
        <f>SUM(OSRRefP22_1x_0)</f>
        <v>0</v>
      </c>
      <c r="Q27" s="1"/>
      <c r="R27" s="5">
        <f t="shared" ref="R27:R29" si="12">IF(P$12=0,0,P27/P$12)</f>
        <v>0</v>
      </c>
      <c r="S27" s="1"/>
      <c r="T27" s="1">
        <f>SUM(OSRRefT22_1x_0)</f>
        <v>37187.199999999997</v>
      </c>
      <c r="U27" s="1"/>
      <c r="V27" s="5">
        <f t="shared" ref="V27:V29" si="13">IF(T$12=0,0,T27/T$12)</f>
        <v>0</v>
      </c>
      <c r="W27" s="1"/>
      <c r="X27" s="1">
        <f t="shared" ref="X27:X29" si="14">+P27-T27</f>
        <v>-37187.199999999997</v>
      </c>
      <c r="Y27" s="1"/>
      <c r="Z27" s="5">
        <f t="shared" ref="Z27:Z29" si="15">IF(T27=0,0,X27/T27)</f>
        <v>-1</v>
      </c>
    </row>
    <row r="28" spans="1:26" s="24" customFormat="1" hidden="1" outlineLevel="2" x14ac:dyDescent="0.25">
      <c r="A28" s="26"/>
      <c r="B28" s="11" t="str">
        <f>CONCATENATE("          ", "6001", " - ", "ADMINISTRATIVE SALARIES")</f>
        <v xml:space="preserve">          6001 - ADMINISTRATIVE SALARIES</v>
      </c>
      <c r="C28" s="11"/>
      <c r="D28" s="6"/>
      <c r="E28" s="2"/>
      <c r="F28" s="7">
        <f t="shared" si="8"/>
        <v>0</v>
      </c>
      <c r="G28" s="2"/>
      <c r="H28" s="6">
        <v>3773.48</v>
      </c>
      <c r="I28" s="2"/>
      <c r="J28" s="7">
        <f t="shared" si="9"/>
        <v>0</v>
      </c>
      <c r="K28" s="2"/>
      <c r="L28" s="6">
        <f t="shared" si="10"/>
        <v>-3773.48</v>
      </c>
      <c r="M28" s="2"/>
      <c r="N28" s="7">
        <f t="shared" si="11"/>
        <v>-1</v>
      </c>
      <c r="O28" s="11"/>
      <c r="P28" s="6"/>
      <c r="Q28" s="2"/>
      <c r="R28" s="7">
        <f t="shared" si="12"/>
        <v>0</v>
      </c>
      <c r="S28" s="2"/>
      <c r="T28" s="6">
        <v>37187.199999999997</v>
      </c>
      <c r="U28" s="2"/>
      <c r="V28" s="7">
        <f t="shared" si="13"/>
        <v>0</v>
      </c>
      <c r="W28" s="2"/>
      <c r="X28" s="6">
        <f t="shared" si="14"/>
        <v>-37187.199999999997</v>
      </c>
      <c r="Y28" s="2"/>
      <c r="Z28" s="7">
        <f t="shared" si="15"/>
        <v>-1</v>
      </c>
    </row>
    <row r="29" spans="1:26" s="24" customFormat="1" hidden="1" outlineLevel="2" x14ac:dyDescent="0.25">
      <c r="A29" s="26"/>
      <c r="B29" s="11" t="str">
        <f>CONCATENATE("          ", "6002", " - ", "STAFF SALARIES")</f>
        <v xml:space="preserve">          6002 - STAFF SALARIES</v>
      </c>
      <c r="C29" s="11"/>
      <c r="D29" s="6"/>
      <c r="E29" s="2"/>
      <c r="F29" s="7">
        <f t="shared" si="8"/>
        <v>0</v>
      </c>
      <c r="G29" s="2"/>
      <c r="H29" s="6"/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1"/>
      <c r="P29" s="6"/>
      <c r="Q29" s="2"/>
      <c r="R29" s="7">
        <f t="shared" si="12"/>
        <v>0</v>
      </c>
      <c r="S29" s="2"/>
      <c r="T29" s="6">
        <v>0</v>
      </c>
      <c r="U29" s="2"/>
      <c r="V29" s="7">
        <f t="shared" si="13"/>
        <v>0</v>
      </c>
      <c r="W29" s="2"/>
      <c r="X29" s="6">
        <f t="shared" si="14"/>
        <v>0</v>
      </c>
      <c r="Y29" s="2"/>
      <c r="Z29" s="7">
        <f t="shared" si="15"/>
        <v>0</v>
      </c>
    </row>
    <row r="30" spans="1:26" s="52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collapsed="1" x14ac:dyDescent="0.25">
      <c r="A31" s="10"/>
      <c r="B31" s="28" t="s">
        <v>0</v>
      </c>
      <c r="C31" s="10"/>
      <c r="D31" s="4">
        <f>SUM(OSRRefD25x_0)</f>
        <v>1400.8799999999999</v>
      </c>
      <c r="E31" s="4"/>
      <c r="F31" s="12">
        <f t="shared" ref="F31:F33" si="16">IF(D$12=0,0,D31/D$12)</f>
        <v>0</v>
      </c>
      <c r="G31" s="4"/>
      <c r="H31" s="4">
        <f>SUM(OSRRefH25x_0)</f>
        <v>9091.36</v>
      </c>
      <c r="I31" s="4"/>
      <c r="J31" s="12">
        <f t="shared" ref="J31:J33" si="17">IF(H$12=0,0,H31/H$12)</f>
        <v>0</v>
      </c>
      <c r="K31" s="4"/>
      <c r="L31" s="4">
        <f t="shared" ref="L31:L33" si="18">+D31-H31</f>
        <v>-7690.4800000000005</v>
      </c>
      <c r="M31" s="4"/>
      <c r="N31" s="12">
        <f t="shared" ref="N31:N33" si="19">IF(H31=0,0,L31/H31)</f>
        <v>-0.84591084282219597</v>
      </c>
      <c r="O31" s="10"/>
      <c r="P31" s="4">
        <f>SUM(OSRRefP25x_0)</f>
        <v>15204.82</v>
      </c>
      <c r="Q31" s="4"/>
      <c r="R31" s="12">
        <f t="shared" ref="R31:R33" si="20">IF(P$12=0,0,P31/P$12)</f>
        <v>0</v>
      </c>
      <c r="S31" s="4"/>
      <c r="T31" s="4">
        <f>SUM(OSRRefT25x_0)</f>
        <v>356854.39</v>
      </c>
      <c r="U31" s="4"/>
      <c r="V31" s="12">
        <f t="shared" ref="V31:V33" si="21">IF(T$12=0,0,T31/T$12)</f>
        <v>0</v>
      </c>
      <c r="W31" s="4"/>
      <c r="X31" s="4">
        <f t="shared" ref="X31:X33" si="22">+P31-T31</f>
        <v>-341649.57</v>
      </c>
      <c r="Y31" s="4"/>
      <c r="Z31" s="12">
        <f t="shared" ref="Z31:Z33" si="23">IF(T31=0,0,X31/T31)</f>
        <v>-0.9573920892496236</v>
      </c>
    </row>
    <row r="32" spans="1:26" s="24" customFormat="1" hidden="1" outlineLevel="1" x14ac:dyDescent="0.25">
      <c r="A32" s="44"/>
      <c r="B32" s="11" t="str">
        <f>CONCATENATE("          ", "9160", " - ", "MISC. INCOME")</f>
        <v xml:space="preserve">          9160 - MISC. INCOME</v>
      </c>
      <c r="C32" s="11"/>
      <c r="D32" s="2">
        <f>--364.79</f>
        <v>364.79</v>
      </c>
      <c r="E32" s="2"/>
      <c r="F32" s="19">
        <f t="shared" si="16"/>
        <v>0</v>
      </c>
      <c r="G32" s="2"/>
      <c r="H32" s="2">
        <f>--7692.32</f>
        <v>7692.32</v>
      </c>
      <c r="I32" s="2"/>
      <c r="J32" s="19">
        <f t="shared" si="17"/>
        <v>0</v>
      </c>
      <c r="K32" s="2"/>
      <c r="L32" s="2">
        <f t="shared" si="18"/>
        <v>-7327.53</v>
      </c>
      <c r="M32" s="2"/>
      <c r="N32" s="19">
        <f t="shared" si="19"/>
        <v>-0.95257737587619862</v>
      </c>
      <c r="O32" s="11"/>
      <c r="P32" s="2">
        <f>--12066.61</f>
        <v>12066.61</v>
      </c>
      <c r="Q32" s="2"/>
      <c r="R32" s="19">
        <f t="shared" si="20"/>
        <v>0</v>
      </c>
      <c r="S32" s="2"/>
      <c r="T32" s="2">
        <f>--128039.29</f>
        <v>128039.29</v>
      </c>
      <c r="U32" s="2"/>
      <c r="V32" s="19">
        <f t="shared" si="21"/>
        <v>0</v>
      </c>
      <c r="W32" s="2"/>
      <c r="X32" s="2">
        <f t="shared" si="22"/>
        <v>-115972.68</v>
      </c>
      <c r="Y32" s="2"/>
      <c r="Z32" s="19">
        <f t="shared" si="23"/>
        <v>-0.90575853708654586</v>
      </c>
    </row>
    <row r="33" spans="1:26" s="24" customFormat="1" hidden="1" outlineLevel="1" x14ac:dyDescent="0.25">
      <c r="A33" s="44"/>
      <c r="B33" s="11" t="str">
        <f>CONCATENATE("          ", "9165", " - ", "OTHER INCOME")</f>
        <v xml:space="preserve">          9165 - OTHER INCOME</v>
      </c>
      <c r="C33" s="11"/>
      <c r="D33" s="2">
        <f>--1036.09</f>
        <v>1036.0899999999999</v>
      </c>
      <c r="E33" s="2"/>
      <c r="F33" s="19">
        <f t="shared" si="16"/>
        <v>0</v>
      </c>
      <c r="G33" s="2"/>
      <c r="H33" s="2">
        <f>--1399.04</f>
        <v>1399.04</v>
      </c>
      <c r="I33" s="2"/>
      <c r="J33" s="19">
        <f t="shared" si="17"/>
        <v>0</v>
      </c>
      <c r="K33" s="2"/>
      <c r="L33" s="2">
        <f t="shared" si="18"/>
        <v>-362.95000000000005</v>
      </c>
      <c r="M33" s="2"/>
      <c r="N33" s="19">
        <f t="shared" si="19"/>
        <v>-0.25942789341262584</v>
      </c>
      <c r="O33" s="11"/>
      <c r="P33" s="2">
        <f>--3138.21</f>
        <v>3138.21</v>
      </c>
      <c r="Q33" s="2"/>
      <c r="R33" s="19">
        <f t="shared" si="20"/>
        <v>0</v>
      </c>
      <c r="S33" s="2"/>
      <c r="T33" s="2">
        <f>--228815.1</f>
        <v>228815.1</v>
      </c>
      <c r="U33" s="2"/>
      <c r="V33" s="19">
        <f t="shared" si="21"/>
        <v>0</v>
      </c>
      <c r="W33" s="2"/>
      <c r="X33" s="2">
        <f t="shared" si="22"/>
        <v>-225676.89</v>
      </c>
      <c r="Y33" s="2"/>
      <c r="Z33" s="19">
        <f t="shared" si="23"/>
        <v>-0.98628495234798752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10"/>
      <c r="B35" s="29" t="s">
        <v>3</v>
      </c>
      <c r="C35" s="29"/>
      <c r="D35" s="22">
        <f>+D16-D18+D31</f>
        <v>1400.8799999999999</v>
      </c>
      <c r="E35" s="14"/>
      <c r="F35" s="20">
        <f>IF(D$12=0,0,D35/D$12)</f>
        <v>0</v>
      </c>
      <c r="G35" s="14"/>
      <c r="H35" s="22">
        <f>+H16-H18+H31</f>
        <v>2757.5400000000009</v>
      </c>
      <c r="I35" s="14"/>
      <c r="J35" s="20">
        <f>IF(H$12=0,0,H35/H$12)</f>
        <v>0</v>
      </c>
      <c r="K35" s="16"/>
      <c r="L35" s="22">
        <f>+D35-H35</f>
        <v>-1356.660000000001</v>
      </c>
      <c r="M35" s="16"/>
      <c r="N35" s="20">
        <f>IF(H35=0,0,L35/H35)</f>
        <v>-0.49198198394220954</v>
      </c>
      <c r="O35" s="28"/>
      <c r="P35" s="22">
        <f>+P16-P18+P31</f>
        <v>15204.82</v>
      </c>
      <c r="Q35" s="14"/>
      <c r="R35" s="20">
        <f>IF(P$12=0,0,P35/P$12)</f>
        <v>0</v>
      </c>
      <c r="S35" s="14"/>
      <c r="T35" s="22">
        <f>+T16-T18+T31</f>
        <v>289827.08</v>
      </c>
      <c r="U35" s="14"/>
      <c r="V35" s="20">
        <f>IF(T$12=0,0,T35/T$12)</f>
        <v>0</v>
      </c>
      <c r="W35" s="16"/>
      <c r="X35" s="22">
        <f>+P35-T35</f>
        <v>-274622.26</v>
      </c>
      <c r="Y35" s="16"/>
      <c r="Z35" s="20">
        <f>IF(T35=0,0,X35/T35)</f>
        <v>-0.94753830456422494</v>
      </c>
    </row>
    <row r="36" spans="1:26" x14ac:dyDescent="0.25">
      <c r="A36" s="9"/>
      <c r="B36" s="10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51"/>
      <c r="B37" s="10" t="s">
        <v>13</v>
      </c>
      <c r="C37" s="10"/>
      <c r="D37" s="4"/>
      <c r="E37" s="4"/>
      <c r="F37" s="12">
        <f>IF(D$12=0,0,D37/D$12)</f>
        <v>0</v>
      </c>
      <c r="G37" s="4"/>
      <c r="H37" s="4"/>
      <c r="I37" s="4"/>
      <c r="J37" s="12">
        <f>IF(H$12=0,0,H37/H$12)</f>
        <v>0</v>
      </c>
      <c r="K37" s="4"/>
      <c r="L37" s="4">
        <f>+D37-H37</f>
        <v>0</v>
      </c>
      <c r="M37" s="4"/>
      <c r="N37" s="12">
        <f>IF(H37=0,0,L37/H37)</f>
        <v>0</v>
      </c>
      <c r="O37" s="10"/>
      <c r="P37" s="4"/>
      <c r="Q37" s="4"/>
      <c r="R37" s="12">
        <f>IF(P$12=0,0,P37/P$12)</f>
        <v>0</v>
      </c>
      <c r="S37" s="4"/>
      <c r="T37" s="4"/>
      <c r="U37" s="4"/>
      <c r="V37" s="12">
        <f>IF(T$12=0,0,T37/T$12)</f>
        <v>0</v>
      </c>
      <c r="W37" s="4"/>
      <c r="X37" s="4">
        <f>+P37-T37</f>
        <v>0</v>
      </c>
      <c r="Y37" s="4"/>
      <c r="Z37" s="12">
        <f>IF(T37=0,0,X37/T37)</f>
        <v>0</v>
      </c>
    </row>
    <row r="38" spans="1:26" x14ac:dyDescent="0.25">
      <c r="A38" s="9"/>
      <c r="B38" s="10"/>
      <c r="C38" s="10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O38" s="10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9" t="s">
        <v>4</v>
      </c>
      <c r="C39" s="29"/>
      <c r="D39" s="35">
        <f>+D35-D37</f>
        <v>1400.8799999999999</v>
      </c>
      <c r="E39" s="14"/>
      <c r="F39" s="36">
        <f>IF(D$12=0,0,D39/D$12)</f>
        <v>0</v>
      </c>
      <c r="G39" s="14"/>
      <c r="H39" s="35">
        <f>+H35-H37</f>
        <v>2757.5400000000009</v>
      </c>
      <c r="I39" s="14"/>
      <c r="J39" s="36">
        <f>IF(H$12=0,0,H39/H$12)</f>
        <v>0</v>
      </c>
      <c r="K39" s="16"/>
      <c r="L39" s="35">
        <f>D39-H39</f>
        <v>-1356.660000000001</v>
      </c>
      <c r="M39" s="16"/>
      <c r="N39" s="36">
        <f>IF(H39=0,0,L39/H39)</f>
        <v>-0.49198198394220954</v>
      </c>
      <c r="O39" s="28"/>
      <c r="P39" s="35">
        <f>+P35-P37</f>
        <v>15204.82</v>
      </c>
      <c r="Q39" s="14"/>
      <c r="R39" s="36">
        <f>IF(P$12=0,0,P39/P$12)</f>
        <v>0</v>
      </c>
      <c r="S39" s="14"/>
      <c r="T39" s="35">
        <f>+T35-T37</f>
        <v>289827.08</v>
      </c>
      <c r="U39" s="14"/>
      <c r="V39" s="36">
        <f>IF(T$12=0,0,T39/T$12)</f>
        <v>0</v>
      </c>
      <c r="W39" s="16"/>
      <c r="X39" s="35">
        <f>P39-T39</f>
        <v>-274622.26</v>
      </c>
      <c r="Y39" s="16"/>
      <c r="Z39" s="36">
        <f>IF(T39=0,0,X39/T39)</f>
        <v>-0.94753830456422494</v>
      </c>
    </row>
    <row r="40" spans="1:26" ht="15.75" thickTop="1" x14ac:dyDescent="0.25">
      <c r="A40" s="9"/>
      <c r="B40" s="9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x14ac:dyDescent="0.25">
      <c r="A41" s="9"/>
      <c r="B41" s="9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ht="15.75" thickBot="1" x14ac:dyDescent="0.3">
      <c r="A42" s="10"/>
      <c r="B42" s="29" t="s">
        <v>5</v>
      </c>
      <c r="C42" s="29"/>
      <c r="D42" s="31">
        <f>SUM(D39:D41)</f>
        <v>1400.8799999999999</v>
      </c>
      <c r="E42" s="14"/>
      <c r="F42" s="33">
        <f>IF(D$12=0,0,D42/D$12)</f>
        <v>0</v>
      </c>
      <c r="G42" s="14"/>
      <c r="H42" s="31">
        <f>SUM(H39:H41)</f>
        <v>2757.5400000000009</v>
      </c>
      <c r="I42" s="14"/>
      <c r="J42" s="33">
        <f>IF(H$12=0,0,H42/H$12)</f>
        <v>0</v>
      </c>
      <c r="K42" s="16"/>
      <c r="L42" s="31">
        <f>+D42-H42</f>
        <v>-1356.660000000001</v>
      </c>
      <c r="M42" s="16"/>
      <c r="N42" s="33">
        <f>IF(H42=0,0,L42/H42)</f>
        <v>-0.49198198394220954</v>
      </c>
      <c r="O42" s="28"/>
      <c r="P42" s="31">
        <f>SUM(P39:P41)</f>
        <v>15204.82</v>
      </c>
      <c r="Q42" s="14"/>
      <c r="R42" s="33">
        <f>IF(P$12=0,0,P42/P$12)</f>
        <v>0</v>
      </c>
      <c r="S42" s="14"/>
      <c r="T42" s="31">
        <f>SUM(T39:T41)</f>
        <v>289827.08</v>
      </c>
      <c r="U42" s="14"/>
      <c r="V42" s="33">
        <f>IF(T$12=0,0,T42/T$12)</f>
        <v>0</v>
      </c>
      <c r="W42" s="16"/>
      <c r="X42" s="31">
        <f>+P42-T42</f>
        <v>-274622.26</v>
      </c>
      <c r="Y42" s="16"/>
      <c r="Z42" s="33">
        <f>IF(T42=0,0,X42/T42)</f>
        <v>-0.94753830456422494</v>
      </c>
    </row>
    <row r="43" spans="1:26" ht="15.75" thickTop="1" x14ac:dyDescent="0.25">
      <c r="A43" s="9"/>
      <c r="C43" s="9"/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  <row r="44" spans="1:26" x14ac:dyDescent="0.25">
      <c r="A44" s="9"/>
      <c r="B44" s="56">
        <v>44267.668777430554</v>
      </c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  <row r="45" spans="1:26" x14ac:dyDescent="0.25">
      <c r="A45" s="9"/>
      <c r="B45" s="54" t="s">
        <v>313</v>
      </c>
      <c r="D45" s="18"/>
      <c r="E45" s="18"/>
      <c r="G45" s="18"/>
      <c r="H45" s="18"/>
      <c r="I45" s="18"/>
      <c r="J45" s="43"/>
      <c r="K45" s="18"/>
      <c r="L45" s="18"/>
      <c r="M45" s="18"/>
      <c r="P45" s="18"/>
      <c r="Q45" s="18"/>
      <c r="R45" s="43"/>
      <c r="S45" s="18"/>
      <c r="T45" s="18"/>
      <c r="U45" s="18"/>
      <c r="V45" s="43"/>
      <c r="W45" s="18"/>
      <c r="X45" s="18"/>
    </row>
    <row r="46" spans="1:26" x14ac:dyDescent="0.25">
      <c r="A46" s="9"/>
      <c r="B46" s="58"/>
      <c r="D46" s="18"/>
      <c r="E46" s="18"/>
      <c r="G46" s="18"/>
      <c r="H46" s="18"/>
      <c r="I46" s="18"/>
      <c r="J46" s="43"/>
      <c r="K46" s="18"/>
      <c r="L46" s="18"/>
      <c r="M46" s="18"/>
      <c r="P46" s="18"/>
      <c r="Q46" s="18"/>
      <c r="R46" s="43"/>
      <c r="S46" s="18"/>
      <c r="T46" s="18"/>
      <c r="U46" s="18"/>
      <c r="V46" s="43"/>
      <c r="W46" s="18"/>
      <c r="X46" s="18"/>
    </row>
    <row r="47" spans="1:26" x14ac:dyDescent="0.25">
      <c r="D47" s="18"/>
      <c r="E47" s="18"/>
      <c r="G47" s="18"/>
      <c r="H47" s="18"/>
      <c r="I47" s="18"/>
      <c r="J47" s="43"/>
      <c r="K47" s="18"/>
      <c r="L47" s="18"/>
      <c r="M47" s="18"/>
      <c r="P47" s="18"/>
      <c r="Q47" s="18"/>
      <c r="R47" s="43"/>
      <c r="S47" s="18"/>
      <c r="T47" s="18"/>
      <c r="U47" s="18"/>
      <c r="V47" s="43"/>
      <c r="W47" s="18"/>
      <c r="X47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298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300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84642.36</v>
      </c>
      <c r="E12" s="4"/>
      <c r="F12" s="12"/>
      <c r="G12" s="4"/>
      <c r="H12" s="4">
        <f>SUM(OSRRefH13x_0)</f>
        <v>1321859.98</v>
      </c>
      <c r="I12" s="4"/>
      <c r="J12" s="12"/>
      <c r="K12" s="4"/>
      <c r="L12" s="4">
        <f t="shared" ref="L12:L17" si="0">+D12-H12</f>
        <v>-1237217.6199999999</v>
      </c>
      <c r="M12" s="4"/>
      <c r="N12" s="12">
        <f t="shared" ref="N12:N17" si="1">IF(H12=0,0,L12/H12)</f>
        <v>-0.93596722702808499</v>
      </c>
      <c r="O12" s="10"/>
      <c r="P12" s="4">
        <f>SUM(OSRRefP13x_0)</f>
        <v>759393.36999999988</v>
      </c>
      <c r="Q12" s="4"/>
      <c r="R12" s="12"/>
      <c r="S12" s="4"/>
      <c r="T12" s="4">
        <f>SUM(OSRRefT13x_0)</f>
        <v>8059163.3600000003</v>
      </c>
      <c r="U12" s="4"/>
      <c r="V12" s="12"/>
      <c r="W12" s="4"/>
      <c r="X12" s="4">
        <f t="shared" ref="X12:X17" si="2">+P12-T12</f>
        <v>-7299769.9900000002</v>
      </c>
      <c r="Y12" s="4"/>
      <c r="Z12" s="12">
        <f t="shared" ref="Z12:Z17" si="3">IF(T12=0,0,X12/T12)</f>
        <v>-0.90577267936159567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--180.69</f>
        <v>180.69</v>
      </c>
      <c r="E13" s="2"/>
      <c r="F13" s="19"/>
      <c r="G13" s="2"/>
      <c r="H13" s="2">
        <f>--1910.18</f>
        <v>1910.18</v>
      </c>
      <c r="I13" s="2"/>
      <c r="J13" s="19"/>
      <c r="K13" s="2"/>
      <c r="L13" s="2">
        <f t="shared" si="0"/>
        <v>-1729.49</v>
      </c>
      <c r="M13" s="2"/>
      <c r="N13" s="19">
        <f t="shared" si="1"/>
        <v>-0.90540682029965758</v>
      </c>
      <c r="O13" s="11"/>
      <c r="P13" s="2">
        <f>--760.21</f>
        <v>760.21</v>
      </c>
      <c r="Q13" s="2"/>
      <c r="R13" s="19"/>
      <c r="S13" s="2"/>
      <c r="T13" s="2">
        <f>--22635.87</f>
        <v>22635.87</v>
      </c>
      <c r="U13" s="2"/>
      <c r="V13" s="19"/>
      <c r="W13" s="2"/>
      <c r="X13" s="2">
        <f t="shared" si="2"/>
        <v>-21875.66</v>
      </c>
      <c r="Y13" s="2"/>
      <c r="Z13" s="19">
        <f t="shared" si="3"/>
        <v>-0.96641569332214761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--973.49</f>
        <v>973.49</v>
      </c>
      <c r="U14" s="2"/>
      <c r="V14" s="19"/>
      <c r="W14" s="2"/>
      <c r="X14" s="2">
        <f t="shared" si="2"/>
        <v>-973.49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--78596.26</f>
        <v>78596.259999999995</v>
      </c>
      <c r="E15" s="2"/>
      <c r="F15" s="19"/>
      <c r="G15" s="2"/>
      <c r="H15" s="2">
        <f>--1297252.87</f>
        <v>1297252.8700000001</v>
      </c>
      <c r="I15" s="2"/>
      <c r="J15" s="19"/>
      <c r="K15" s="2"/>
      <c r="L15" s="2">
        <f t="shared" si="0"/>
        <v>-1218656.6100000001</v>
      </c>
      <c r="M15" s="2"/>
      <c r="N15" s="19">
        <f t="shared" si="1"/>
        <v>-0.93941330806229018</v>
      </c>
      <c r="O15" s="11"/>
      <c r="P15" s="2">
        <f>--720798.59</f>
        <v>720798.59</v>
      </c>
      <c r="Q15" s="2"/>
      <c r="R15" s="19"/>
      <c r="S15" s="2"/>
      <c r="T15" s="2">
        <f>--7742458.38</f>
        <v>7742458.3799999999</v>
      </c>
      <c r="U15" s="2"/>
      <c r="V15" s="19"/>
      <c r="W15" s="2"/>
      <c r="X15" s="2">
        <f t="shared" si="2"/>
        <v>-7021659.79</v>
      </c>
      <c r="Y15" s="2"/>
      <c r="Z15" s="19">
        <f t="shared" si="3"/>
        <v>-0.90690313662364175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--5865.41</f>
        <v>5865.41</v>
      </c>
      <c r="E16" s="2"/>
      <c r="F16" s="19"/>
      <c r="G16" s="2"/>
      <c r="H16" s="2">
        <f>--22696.93</f>
        <v>22696.93</v>
      </c>
      <c r="I16" s="2"/>
      <c r="J16" s="19"/>
      <c r="K16" s="2"/>
      <c r="L16" s="2">
        <f t="shared" si="0"/>
        <v>-16831.52</v>
      </c>
      <c r="M16" s="2"/>
      <c r="N16" s="19">
        <f t="shared" si="1"/>
        <v>-0.74157694454712597</v>
      </c>
      <c r="O16" s="11"/>
      <c r="P16" s="2">
        <f>--37834.57</f>
        <v>37834.57</v>
      </c>
      <c r="Q16" s="2"/>
      <c r="R16" s="19"/>
      <c r="S16" s="2"/>
      <c r="T16" s="2">
        <f>--289361.72</f>
        <v>289361.71999999997</v>
      </c>
      <c r="U16" s="2"/>
      <c r="V16" s="19"/>
      <c r="W16" s="2"/>
      <c r="X16" s="2">
        <f t="shared" si="2"/>
        <v>-251527.14999999997</v>
      </c>
      <c r="Y16" s="2"/>
      <c r="Z16" s="19">
        <f t="shared" si="3"/>
        <v>-0.86924818528172965</v>
      </c>
    </row>
    <row r="17" spans="1:26" s="24" customFormat="1" hidden="1" outlineLevel="1" x14ac:dyDescent="0.25">
      <c r="A17" s="44"/>
      <c r="B17" s="11" t="str">
        <f>CONCATENATE("          ", "4155", " - ", "NON-TAXABLE SALES-FOOD")</f>
        <v xml:space="preserve">          4155 - NON-TAXABLE SALES-FOOD</v>
      </c>
      <c r="C17" s="11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--3733.9</f>
        <v>3733.9</v>
      </c>
      <c r="U17" s="2"/>
      <c r="V17" s="19"/>
      <c r="W17" s="2"/>
      <c r="X17" s="2">
        <f t="shared" si="2"/>
        <v>-3733.9</v>
      </c>
      <c r="Y17" s="2"/>
      <c r="Z17" s="19">
        <f t="shared" si="3"/>
        <v>-1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8" t="s">
        <v>8</v>
      </c>
      <c r="C19" s="10"/>
      <c r="D19" s="4">
        <f>SUM(OSRRefD16x_0)</f>
        <v>42241.950000000004</v>
      </c>
      <c r="E19" s="4"/>
      <c r="F19" s="12">
        <f t="shared" ref="F19:F21" si="4">IF(D$12=0,0,D19/D$12)</f>
        <v>0.49906394386923997</v>
      </c>
      <c r="G19" s="4"/>
      <c r="H19" s="4">
        <f>SUM(OSRRefH16x_0)</f>
        <v>326189.13999999996</v>
      </c>
      <c r="I19" s="4"/>
      <c r="J19" s="12">
        <f t="shared" ref="J19:J21" si="5">IF(H$12=0,0,H19/H$12)</f>
        <v>0.2467652738832444</v>
      </c>
      <c r="K19" s="4"/>
      <c r="L19" s="4">
        <f t="shared" ref="L19:L21" si="6">+D19-H19</f>
        <v>-283947.18999999994</v>
      </c>
      <c r="M19" s="4"/>
      <c r="N19" s="12">
        <f t="shared" ref="N19:N21" si="7">IF(H19=0,0,L19/H19)</f>
        <v>-0.87049860090375786</v>
      </c>
      <c r="O19" s="10"/>
      <c r="P19" s="4">
        <f>SUM(OSRRefP16x_0)</f>
        <v>325089.33</v>
      </c>
      <c r="Q19" s="4"/>
      <c r="R19" s="12">
        <f t="shared" ref="R19:R21" si="8">IF(P$12=0,0,P19/P$12)</f>
        <v>0.42809081938653226</v>
      </c>
      <c r="S19" s="4"/>
      <c r="T19" s="4">
        <f>SUM(OSRRefT16x_0)</f>
        <v>1945020.2700000003</v>
      </c>
      <c r="U19" s="4"/>
      <c r="V19" s="12">
        <f t="shared" ref="V19:V21" si="9">IF(T$12=0,0,T19/T$12)</f>
        <v>0.24134270309666489</v>
      </c>
      <c r="W19" s="4"/>
      <c r="X19" s="4">
        <f t="shared" ref="X19:X21" si="10">+P19-T19</f>
        <v>-1619930.9400000002</v>
      </c>
      <c r="Y19" s="4"/>
      <c r="Z19" s="12">
        <f t="shared" ref="Z19:Z21" si="11">IF(T19=0,0,X19/T19)</f>
        <v>-0.83286069815611741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49319.950000000004</v>
      </c>
      <c r="E20" s="2"/>
      <c r="F20" s="19">
        <f t="shared" si="4"/>
        <v>0.58268637594698447</v>
      </c>
      <c r="G20" s="2"/>
      <c r="H20" s="2">
        <v>324132.13999999996</v>
      </c>
      <c r="I20" s="2"/>
      <c r="J20" s="19">
        <f t="shared" si="5"/>
        <v>0.24520913326992466</v>
      </c>
      <c r="K20" s="2"/>
      <c r="L20" s="2">
        <f t="shared" si="6"/>
        <v>-274812.18999999994</v>
      </c>
      <c r="M20" s="2"/>
      <c r="N20" s="19">
        <f t="shared" si="7"/>
        <v>-0.8478399889625261</v>
      </c>
      <c r="O20" s="11"/>
      <c r="P20" s="2">
        <v>334999.03000000003</v>
      </c>
      <c r="Q20" s="2"/>
      <c r="R20" s="19">
        <f t="shared" si="8"/>
        <v>0.44114031440648488</v>
      </c>
      <c r="S20" s="2"/>
      <c r="T20" s="2">
        <v>1981585.5300000003</v>
      </c>
      <c r="U20" s="2"/>
      <c r="V20" s="19">
        <f t="shared" si="9"/>
        <v>0.24587980680912766</v>
      </c>
      <c r="W20" s="2"/>
      <c r="X20" s="2">
        <f t="shared" si="10"/>
        <v>-1646586.5000000002</v>
      </c>
      <c r="Y20" s="2"/>
      <c r="Z20" s="19">
        <f t="shared" si="11"/>
        <v>-0.83094394618434664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-7078</v>
      </c>
      <c r="E21" s="2"/>
      <c r="F21" s="19">
        <f t="shared" si="4"/>
        <v>-8.362243207774453E-2</v>
      </c>
      <c r="G21" s="2"/>
      <c r="H21" s="2">
        <v>2057</v>
      </c>
      <c r="I21" s="2"/>
      <c r="J21" s="19">
        <f t="shared" si="5"/>
        <v>1.5561406133197254E-3</v>
      </c>
      <c r="K21" s="2"/>
      <c r="L21" s="2">
        <f t="shared" si="6"/>
        <v>-9135</v>
      </c>
      <c r="M21" s="2"/>
      <c r="N21" s="19">
        <f t="shared" si="7"/>
        <v>-4.4409333981526498</v>
      </c>
      <c r="O21" s="11"/>
      <c r="P21" s="2">
        <v>-9909.7000000000007</v>
      </c>
      <c r="Q21" s="2"/>
      <c r="R21" s="19">
        <f t="shared" si="8"/>
        <v>-1.3049495019952574E-2</v>
      </c>
      <c r="S21" s="2"/>
      <c r="T21" s="2">
        <v>-36565.26</v>
      </c>
      <c r="U21" s="2"/>
      <c r="V21" s="19">
        <f t="shared" si="9"/>
        <v>-4.5371037124627787E-3</v>
      </c>
      <c r="W21" s="2"/>
      <c r="X21" s="2">
        <f t="shared" si="10"/>
        <v>26655.56</v>
      </c>
      <c r="Y21" s="2"/>
      <c r="Z21" s="19">
        <f t="shared" si="11"/>
        <v>-0.72898592817335361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D12-D19</f>
        <v>42400.409999999996</v>
      </c>
      <c r="E23" s="14"/>
      <c r="F23" s="20">
        <f>IF(D$12=0,0,D23/D$12)</f>
        <v>0.50093605613075998</v>
      </c>
      <c r="G23" s="14"/>
      <c r="H23" s="22">
        <f>H12-H19</f>
        <v>995670.84000000008</v>
      </c>
      <c r="I23" s="14"/>
      <c r="J23" s="20">
        <f>IF(H$12=0,0,H23/H$12)</f>
        <v>0.75323472611675568</v>
      </c>
      <c r="K23" s="16"/>
      <c r="L23" s="22">
        <f>+D23-H23</f>
        <v>-953270.43</v>
      </c>
      <c r="M23" s="16"/>
      <c r="N23" s="20">
        <f>IF(H23=0,0,L23/H23)</f>
        <v>-0.95741523373326864</v>
      </c>
      <c r="O23" s="28"/>
      <c r="P23" s="22">
        <f>P12-P19</f>
        <v>434304.03999999986</v>
      </c>
      <c r="Q23" s="14"/>
      <c r="R23" s="20">
        <f>IF(P$12=0,0,P23/P$12)</f>
        <v>0.57190918061346774</v>
      </c>
      <c r="S23" s="14"/>
      <c r="T23" s="22">
        <f>T12-T19</f>
        <v>6114143.0899999999</v>
      </c>
      <c r="U23" s="14"/>
      <c r="V23" s="20">
        <f>IF(T$12=0,0,T23/T$12)</f>
        <v>0.75865729690333505</v>
      </c>
      <c r="W23" s="16"/>
      <c r="X23" s="22">
        <f>+P23-T23</f>
        <v>-5679839.0499999998</v>
      </c>
      <c r="Y23" s="16"/>
      <c r="Z23" s="20">
        <f>IF(T23=0,0,X23/T23)</f>
        <v>-0.92896730848345255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212057.02</v>
      </c>
      <c r="E25" s="21"/>
      <c r="F25" s="32">
        <f t="shared" ref="F25:F35" si="12">IF(D$12=0,0,D25/D$12)</f>
        <v>2.5053297190673796</v>
      </c>
      <c r="G25" s="21"/>
      <c r="H25" s="21">
        <f>SUM(OSRRefH22x_0)</f>
        <v>591828.6</v>
      </c>
      <c r="I25" s="21"/>
      <c r="J25" s="32">
        <f t="shared" ref="J25:J35" si="13">IF(H$12=0,0,H25/H$12)</f>
        <v>0.44772412279249124</v>
      </c>
      <c r="K25" s="4"/>
      <c r="L25" s="21">
        <f t="shared" ref="L25:L35" si="14">+D25-H25</f>
        <v>-379771.57999999996</v>
      </c>
      <c r="M25" s="4"/>
      <c r="N25" s="32">
        <f t="shared" ref="N25:N35" si="15">IF(H25=0,0,L25/H25)</f>
        <v>-0.64169183442638622</v>
      </c>
      <c r="O25" s="10"/>
      <c r="P25" s="21">
        <f>SUM(OSRRefP22x_0)</f>
        <v>1797503.08</v>
      </c>
      <c r="Q25" s="21"/>
      <c r="R25" s="32">
        <f t="shared" ref="R25:R35" si="16">IF(P$12=0,0,P25/P$12)</f>
        <v>2.3670249846927165</v>
      </c>
      <c r="S25" s="21"/>
      <c r="T25" s="21">
        <f>SUM(OSRRefT22x_0)</f>
        <v>3942769.4400000004</v>
      </c>
      <c r="U25" s="21"/>
      <c r="V25" s="32">
        <f t="shared" ref="V25:V35" si="17">IF(T$12=0,0,T25/T$12)</f>
        <v>0.48922813248446179</v>
      </c>
      <c r="W25" s="4"/>
      <c r="X25" s="21">
        <f t="shared" ref="X25:X35" si="18">+P25-T25</f>
        <v>-2145266.3600000003</v>
      </c>
      <c r="Y25" s="4"/>
      <c r="Z25" s="32">
        <f t="shared" ref="Z25:Z35" si="19">IF(T25=0,0,X25/T25)</f>
        <v>-0.54410139691049242</v>
      </c>
    </row>
    <row r="26" spans="1:26" s="25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75508.849999999991</v>
      </c>
      <c r="E26" s="1"/>
      <c r="F26" s="5">
        <f t="shared" si="12"/>
        <v>0.89209291895925391</v>
      </c>
      <c r="G26" s="1"/>
      <c r="H26" s="1">
        <f>SUM(OSRRefH22_0x_0)</f>
        <v>99189.87999999999</v>
      </c>
      <c r="I26" s="1"/>
      <c r="J26" s="5">
        <f t="shared" si="13"/>
        <v>7.5038114097379663E-2</v>
      </c>
      <c r="K26" s="1"/>
      <c r="L26" s="1">
        <f t="shared" si="14"/>
        <v>-23681.03</v>
      </c>
      <c r="M26" s="1"/>
      <c r="N26" s="5">
        <f t="shared" si="15"/>
        <v>-0.23874441626504642</v>
      </c>
      <c r="O26" s="13"/>
      <c r="P26" s="1">
        <f>SUM(OSRRefP22_0x_0)</f>
        <v>615277.82999999996</v>
      </c>
      <c r="Q26" s="1"/>
      <c r="R26" s="5">
        <f t="shared" si="16"/>
        <v>0.81022280981989614</v>
      </c>
      <c r="S26" s="1"/>
      <c r="T26" s="1">
        <f>SUM(OSRRefT22_0x_0)</f>
        <v>762883.32000000007</v>
      </c>
      <c r="U26" s="1"/>
      <c r="V26" s="5">
        <f t="shared" si="17"/>
        <v>9.4660361866644185E-2</v>
      </c>
      <c r="W26" s="1"/>
      <c r="X26" s="1">
        <f t="shared" si="18"/>
        <v>-147605.49000000011</v>
      </c>
      <c r="Y26" s="1"/>
      <c r="Z26" s="5">
        <f t="shared" si="19"/>
        <v>-0.19348370337943696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6">
        <v>7341.31</v>
      </c>
      <c r="E27" s="2"/>
      <c r="F27" s="7">
        <f t="shared" si="12"/>
        <v>8.6733285792125844E-2</v>
      </c>
      <c r="G27" s="2"/>
      <c r="H27" s="6">
        <v>12434.22</v>
      </c>
      <c r="I27" s="2"/>
      <c r="J27" s="7">
        <f t="shared" si="13"/>
        <v>9.4066090116443346E-3</v>
      </c>
      <c r="K27" s="2"/>
      <c r="L27" s="6">
        <f t="shared" si="14"/>
        <v>-5092.9099999999989</v>
      </c>
      <c r="M27" s="2"/>
      <c r="N27" s="7">
        <f t="shared" si="15"/>
        <v>-0.40958821703331605</v>
      </c>
      <c r="O27" s="11"/>
      <c r="P27" s="6">
        <v>63720.99</v>
      </c>
      <c r="Q27" s="2"/>
      <c r="R27" s="7">
        <f t="shared" si="16"/>
        <v>8.3910384943181704E-2</v>
      </c>
      <c r="S27" s="2"/>
      <c r="T27" s="6">
        <v>108170.87</v>
      </c>
      <c r="U27" s="2"/>
      <c r="V27" s="7">
        <f t="shared" si="17"/>
        <v>1.3422096707566925E-2</v>
      </c>
      <c r="W27" s="2"/>
      <c r="X27" s="6">
        <f t="shared" si="18"/>
        <v>-44449.88</v>
      </c>
      <c r="Y27" s="2"/>
      <c r="Z27" s="7">
        <f t="shared" si="19"/>
        <v>-0.41092282977847916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6">
        <v>4706.38</v>
      </c>
      <c r="E28" s="2"/>
      <c r="F28" s="7">
        <f t="shared" si="12"/>
        <v>5.5603128268162653E-2</v>
      </c>
      <c r="G28" s="2"/>
      <c r="H28" s="6">
        <v>11741.34</v>
      </c>
      <c r="I28" s="2"/>
      <c r="J28" s="7">
        <f t="shared" si="13"/>
        <v>8.8824385166725445E-3</v>
      </c>
      <c r="K28" s="2"/>
      <c r="L28" s="6">
        <f t="shared" si="14"/>
        <v>-7034.96</v>
      </c>
      <c r="M28" s="2"/>
      <c r="N28" s="7">
        <f t="shared" si="15"/>
        <v>-0.59916159484351872</v>
      </c>
      <c r="O28" s="11"/>
      <c r="P28" s="6">
        <v>39694.879999999997</v>
      </c>
      <c r="Q28" s="2"/>
      <c r="R28" s="7">
        <f t="shared" si="16"/>
        <v>5.2271828499108441E-2</v>
      </c>
      <c r="S28" s="2"/>
      <c r="T28" s="6">
        <v>66418.95</v>
      </c>
      <c r="U28" s="2"/>
      <c r="V28" s="7">
        <f t="shared" si="17"/>
        <v>8.2414199877938691E-3</v>
      </c>
      <c r="W28" s="2"/>
      <c r="X28" s="6">
        <f t="shared" si="18"/>
        <v>-26724.07</v>
      </c>
      <c r="Y28" s="2"/>
      <c r="Z28" s="7">
        <f t="shared" si="19"/>
        <v>-0.40235610469602429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6">
        <v>45413.64</v>
      </c>
      <c r="E29" s="2"/>
      <c r="F29" s="7">
        <f t="shared" si="12"/>
        <v>0.53653560699394487</v>
      </c>
      <c r="G29" s="2"/>
      <c r="H29" s="6">
        <v>51635.66</v>
      </c>
      <c r="I29" s="2"/>
      <c r="J29" s="7">
        <f t="shared" si="13"/>
        <v>3.906288168282393E-2</v>
      </c>
      <c r="K29" s="2"/>
      <c r="L29" s="6">
        <f t="shared" si="14"/>
        <v>-6222.0200000000041</v>
      </c>
      <c r="M29" s="2"/>
      <c r="N29" s="7">
        <f t="shared" si="15"/>
        <v>-0.12049850820150268</v>
      </c>
      <c r="O29" s="11"/>
      <c r="P29" s="6">
        <v>358419.23</v>
      </c>
      <c r="Q29" s="2"/>
      <c r="R29" s="7">
        <f t="shared" si="16"/>
        <v>0.47198098397935717</v>
      </c>
      <c r="S29" s="2"/>
      <c r="T29" s="6">
        <v>381230.82</v>
      </c>
      <c r="U29" s="2"/>
      <c r="V29" s="7">
        <f t="shared" si="17"/>
        <v>4.7304019408783891E-2</v>
      </c>
      <c r="W29" s="2"/>
      <c r="X29" s="6">
        <f t="shared" si="18"/>
        <v>-22811.590000000026</v>
      </c>
      <c r="Y29" s="2"/>
      <c r="Z29" s="7">
        <f t="shared" si="19"/>
        <v>-5.9836688964444232E-2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6">
        <v>288.32</v>
      </c>
      <c r="E30" s="2"/>
      <c r="F30" s="7">
        <f t="shared" si="12"/>
        <v>3.4063322430990819E-3</v>
      </c>
      <c r="G30" s="2"/>
      <c r="H30" s="6">
        <v>792.65</v>
      </c>
      <c r="I30" s="2"/>
      <c r="J30" s="7">
        <f t="shared" si="13"/>
        <v>5.9964747552157527E-4</v>
      </c>
      <c r="K30" s="2"/>
      <c r="L30" s="6">
        <f t="shared" si="14"/>
        <v>-504.33</v>
      </c>
      <c r="M30" s="2"/>
      <c r="N30" s="7">
        <f t="shared" si="15"/>
        <v>-0.63625812149120042</v>
      </c>
      <c r="O30" s="11"/>
      <c r="P30" s="6">
        <v>2489.6</v>
      </c>
      <c r="Q30" s="2"/>
      <c r="R30" s="7">
        <f t="shared" si="16"/>
        <v>3.2784062889566713E-3</v>
      </c>
      <c r="S30" s="2"/>
      <c r="T30" s="6">
        <v>5452.79</v>
      </c>
      <c r="U30" s="2"/>
      <c r="V30" s="7">
        <f t="shared" si="17"/>
        <v>6.7659504546883876E-4</v>
      </c>
      <c r="W30" s="2"/>
      <c r="X30" s="6">
        <f t="shared" si="18"/>
        <v>-2963.19</v>
      </c>
      <c r="Y30" s="2"/>
      <c r="Z30" s="7">
        <f t="shared" si="19"/>
        <v>-0.54342639272739279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6">
        <v>3594.3</v>
      </c>
      <c r="E31" s="2"/>
      <c r="F31" s="7">
        <f t="shared" si="12"/>
        <v>4.2464553209527717E-2</v>
      </c>
      <c r="G31" s="2"/>
      <c r="H31" s="6">
        <v>4050.98</v>
      </c>
      <c r="I31" s="2"/>
      <c r="J31" s="7">
        <f t="shared" si="13"/>
        <v>3.064605980430696E-3</v>
      </c>
      <c r="K31" s="2"/>
      <c r="L31" s="6">
        <f t="shared" si="14"/>
        <v>-456.67999999999984</v>
      </c>
      <c r="M31" s="2"/>
      <c r="N31" s="7">
        <f t="shared" si="15"/>
        <v>-0.11273321517262486</v>
      </c>
      <c r="O31" s="11"/>
      <c r="P31" s="6">
        <v>32550.080000000002</v>
      </c>
      <c r="Q31" s="2"/>
      <c r="R31" s="7">
        <f t="shared" si="16"/>
        <v>4.2863265977684278E-2</v>
      </c>
      <c r="S31" s="2"/>
      <c r="T31" s="6">
        <v>36020.639999999999</v>
      </c>
      <c r="U31" s="2"/>
      <c r="V31" s="7">
        <f t="shared" si="17"/>
        <v>4.469525978190371E-3</v>
      </c>
      <c r="W31" s="2"/>
      <c r="X31" s="6">
        <f t="shared" si="18"/>
        <v>-3470.5599999999977</v>
      </c>
      <c r="Y31" s="2"/>
      <c r="Z31" s="7">
        <f t="shared" si="19"/>
        <v>-9.6349204234016883E-2</v>
      </c>
    </row>
    <row r="32" spans="1:26" s="24" customFormat="1" hidden="1" outlineLevel="2" x14ac:dyDescent="0.25">
      <c r="A32" s="26"/>
      <c r="B32" s="11" t="str">
        <f>CONCATENATE("          ", "6117", " - ", "RETIREMENT STAFF HOURLY")</f>
        <v xml:space="preserve">          6117 - RETIREMENT STAFF HOURLY</v>
      </c>
      <c r="C32" s="11"/>
      <c r="D32" s="6">
        <v>1429.17</v>
      </c>
      <c r="E32" s="2"/>
      <c r="F32" s="7">
        <f t="shared" si="12"/>
        <v>1.6884808032290217E-2</v>
      </c>
      <c r="G32" s="2"/>
      <c r="H32" s="6">
        <v>886.08</v>
      </c>
      <c r="I32" s="2"/>
      <c r="J32" s="7">
        <f t="shared" si="13"/>
        <v>6.703281840789219E-4</v>
      </c>
      <c r="K32" s="2"/>
      <c r="L32" s="6">
        <f t="shared" si="14"/>
        <v>543.09</v>
      </c>
      <c r="M32" s="2"/>
      <c r="N32" s="7">
        <f t="shared" si="15"/>
        <v>0.6129130552546046</v>
      </c>
      <c r="O32" s="11"/>
      <c r="P32" s="6">
        <v>11902.4</v>
      </c>
      <c r="Q32" s="2"/>
      <c r="R32" s="7">
        <f t="shared" si="16"/>
        <v>1.5673563228501719E-2</v>
      </c>
      <c r="S32" s="2"/>
      <c r="T32" s="6">
        <v>13618.39</v>
      </c>
      <c r="U32" s="2"/>
      <c r="V32" s="7">
        <f t="shared" si="17"/>
        <v>1.6898019548272315E-3</v>
      </c>
      <c r="W32" s="2"/>
      <c r="X32" s="6">
        <f t="shared" si="18"/>
        <v>-1715.9899999999998</v>
      </c>
      <c r="Y32" s="2"/>
      <c r="Z32" s="7">
        <f t="shared" si="19"/>
        <v>-0.12600535011847949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6">
        <v>5840.82</v>
      </c>
      <c r="E33" s="2"/>
      <c r="F33" s="7">
        <f t="shared" si="12"/>
        <v>6.9005873654751582E-2</v>
      </c>
      <c r="G33" s="2"/>
      <c r="H33" s="6">
        <v>7665.89</v>
      </c>
      <c r="I33" s="2"/>
      <c r="J33" s="7">
        <f t="shared" si="13"/>
        <v>5.799320741974502E-3</v>
      </c>
      <c r="K33" s="2"/>
      <c r="L33" s="6">
        <f t="shared" si="14"/>
        <v>-1825.0700000000006</v>
      </c>
      <c r="M33" s="2"/>
      <c r="N33" s="7">
        <f t="shared" si="15"/>
        <v>-0.23807672690320375</v>
      </c>
      <c r="O33" s="11"/>
      <c r="P33" s="6">
        <v>52454.61</v>
      </c>
      <c r="Q33" s="2"/>
      <c r="R33" s="7">
        <f t="shared" si="16"/>
        <v>6.9074358655514742E-2</v>
      </c>
      <c r="S33" s="2"/>
      <c r="T33" s="6">
        <v>68976.099999999991</v>
      </c>
      <c r="U33" s="2"/>
      <c r="V33" s="7">
        <f t="shared" si="17"/>
        <v>8.5587171917061115E-3</v>
      </c>
      <c r="W33" s="2"/>
      <c r="X33" s="6">
        <f t="shared" si="18"/>
        <v>-16521.489999999991</v>
      </c>
      <c r="Y33" s="2"/>
      <c r="Z33" s="7">
        <f t="shared" si="19"/>
        <v>-0.23952484991178094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6">
        <v>4148.87</v>
      </c>
      <c r="E34" s="2"/>
      <c r="F34" s="7">
        <f t="shared" si="12"/>
        <v>4.9016473548232825E-2</v>
      </c>
      <c r="G34" s="2"/>
      <c r="H34" s="6">
        <v>5167.04</v>
      </c>
      <c r="I34" s="2"/>
      <c r="J34" s="7">
        <f t="shared" si="13"/>
        <v>3.9089162832511197E-3</v>
      </c>
      <c r="K34" s="2"/>
      <c r="L34" s="6">
        <f t="shared" si="14"/>
        <v>-1018.1700000000001</v>
      </c>
      <c r="M34" s="2"/>
      <c r="N34" s="7">
        <f t="shared" si="15"/>
        <v>-0.19705092277203198</v>
      </c>
      <c r="O34" s="11"/>
      <c r="P34" s="6">
        <v>35024.700000000004</v>
      </c>
      <c r="Q34" s="2"/>
      <c r="R34" s="7">
        <f t="shared" si="16"/>
        <v>4.6121945994866943E-2</v>
      </c>
      <c r="S34" s="2"/>
      <c r="T34" s="6">
        <v>51733.990000000005</v>
      </c>
      <c r="U34" s="2"/>
      <c r="V34" s="7">
        <f t="shared" si="17"/>
        <v>6.4192755114967671E-3</v>
      </c>
      <c r="W34" s="2"/>
      <c r="X34" s="6">
        <f t="shared" si="18"/>
        <v>-16709.29</v>
      </c>
      <c r="Y34" s="2"/>
      <c r="Z34" s="7">
        <f t="shared" si="19"/>
        <v>-0.32298475335074678</v>
      </c>
    </row>
    <row r="35" spans="1:26" s="24" customFormat="1" hidden="1" outlineLevel="2" x14ac:dyDescent="0.25">
      <c r="A35" s="26"/>
      <c r="B35" s="11" t="str">
        <f>CONCATENATE("          ", "6156", " - ", "EMPLOYEE MEALS")</f>
        <v xml:space="preserve">          6156 - EMPLOYEE MEALS</v>
      </c>
      <c r="C35" s="11"/>
      <c r="D35" s="6">
        <v>2746.04</v>
      </c>
      <c r="E35" s="2"/>
      <c r="F35" s="7">
        <f t="shared" si="12"/>
        <v>3.2442857217119182E-2</v>
      </c>
      <c r="G35" s="2"/>
      <c r="H35" s="6">
        <v>4816.0200000000004</v>
      </c>
      <c r="I35" s="2"/>
      <c r="J35" s="7">
        <f t="shared" si="13"/>
        <v>3.6433662209820442E-3</v>
      </c>
      <c r="K35" s="2"/>
      <c r="L35" s="6">
        <f t="shared" si="14"/>
        <v>-2069.9800000000005</v>
      </c>
      <c r="M35" s="2"/>
      <c r="N35" s="7">
        <f t="shared" si="15"/>
        <v>-0.42981133799278248</v>
      </c>
      <c r="O35" s="11"/>
      <c r="P35" s="6">
        <v>19021.34</v>
      </c>
      <c r="Q35" s="2"/>
      <c r="R35" s="7">
        <f t="shared" si="16"/>
        <v>2.5048072252724572E-2</v>
      </c>
      <c r="S35" s="2"/>
      <c r="T35" s="6">
        <v>31260.769999999997</v>
      </c>
      <c r="U35" s="2"/>
      <c r="V35" s="7">
        <f t="shared" si="17"/>
        <v>3.8789100808101743E-3</v>
      </c>
      <c r="W35" s="2"/>
      <c r="X35" s="6">
        <f t="shared" si="18"/>
        <v>-12239.429999999997</v>
      </c>
      <c r="Y35" s="2"/>
      <c r="Z35" s="7">
        <f t="shared" si="19"/>
        <v>-0.39152682419530926</v>
      </c>
    </row>
    <row r="36" spans="1:26" s="25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97261.73</v>
      </c>
      <c r="E36" s="1"/>
      <c r="F36" s="5">
        <f t="shared" ref="F36:F43" si="20">IF(D$12=0,0,D36/D$12)</f>
        <v>1.1490904790461891</v>
      </c>
      <c r="G36" s="1"/>
      <c r="H36" s="1">
        <f>SUM(OSRRefH22_1x_0)</f>
        <v>290375.76</v>
      </c>
      <c r="I36" s="1"/>
      <c r="J36" s="5">
        <f t="shared" ref="J36:J43" si="21">IF(H$12=0,0,H36/H$12)</f>
        <v>0.21967210173047225</v>
      </c>
      <c r="K36" s="1"/>
      <c r="L36" s="1">
        <f t="shared" ref="L36:L43" si="22">+D36-H36</f>
        <v>-193114.03000000003</v>
      </c>
      <c r="M36" s="1"/>
      <c r="N36" s="5">
        <f t="shared" ref="N36:N43" si="23">IF(H36=0,0,L36/H36)</f>
        <v>-0.66504872858533381</v>
      </c>
      <c r="O36" s="13"/>
      <c r="P36" s="1">
        <f>SUM(OSRRefP22_1x_0)</f>
        <v>845317.25</v>
      </c>
      <c r="Q36" s="1"/>
      <c r="R36" s="5">
        <f t="shared" ref="R36:R43" si="24">IF(P$12=0,0,P36/P$12)</f>
        <v>1.1131480513189103</v>
      </c>
      <c r="S36" s="1"/>
      <c r="T36" s="1">
        <f>SUM(OSRRefT22_1x_0)</f>
        <v>2026548.1500000001</v>
      </c>
      <c r="U36" s="1"/>
      <c r="V36" s="5">
        <f t="shared" ref="V36:V43" si="25">IF(T$12=0,0,T36/T$12)</f>
        <v>0.25145887475843398</v>
      </c>
      <c r="W36" s="1"/>
      <c r="X36" s="1">
        <f t="shared" ref="X36:X43" si="26">+P36-T36</f>
        <v>-1181230.9000000001</v>
      </c>
      <c r="Y36" s="1"/>
      <c r="Z36" s="5">
        <f t="shared" ref="Z36:Z43" si="27">IF(T36=0,0,X36/T36)</f>
        <v>-0.58287827999546915</v>
      </c>
    </row>
    <row r="37" spans="1:26" s="24" customFormat="1" hidden="1" outlineLevel="2" x14ac:dyDescent="0.25">
      <c r="A37" s="26"/>
      <c r="B37" s="11" t="str">
        <f>CONCATENATE("          ", "6001", " - ", "ADMINISTRATIVE SALARIES")</f>
        <v xml:space="preserve">          6001 - ADMINISTRATIVE SALARIES</v>
      </c>
      <c r="C37" s="11"/>
      <c r="D37" s="6">
        <v>9034.5400000000009</v>
      </c>
      <c r="E37" s="2"/>
      <c r="F37" s="7">
        <f t="shared" si="20"/>
        <v>0.10673780835033429</v>
      </c>
      <c r="G37" s="2"/>
      <c r="H37" s="6">
        <v>8349.0400000000009</v>
      </c>
      <c r="I37" s="2"/>
      <c r="J37" s="7">
        <f t="shared" si="21"/>
        <v>6.3161303968064762E-3</v>
      </c>
      <c r="K37" s="2"/>
      <c r="L37" s="6">
        <f t="shared" si="22"/>
        <v>685.5</v>
      </c>
      <c r="M37" s="2"/>
      <c r="N37" s="7">
        <f t="shared" si="23"/>
        <v>8.2105248028515848E-2</v>
      </c>
      <c r="O37" s="11"/>
      <c r="P37" s="6">
        <v>73170.36</v>
      </c>
      <c r="Q37" s="2"/>
      <c r="R37" s="7">
        <f t="shared" si="24"/>
        <v>9.6353698742458097E-2</v>
      </c>
      <c r="S37" s="2"/>
      <c r="T37" s="6">
        <v>62513.319999999992</v>
      </c>
      <c r="U37" s="2"/>
      <c r="V37" s="7">
        <f t="shared" si="25"/>
        <v>7.7568002046306686E-3</v>
      </c>
      <c r="W37" s="2"/>
      <c r="X37" s="6">
        <f t="shared" si="26"/>
        <v>10657.040000000008</v>
      </c>
      <c r="Y37" s="2"/>
      <c r="Z37" s="7">
        <f t="shared" si="27"/>
        <v>0.17047630808922018</v>
      </c>
    </row>
    <row r="38" spans="1:26" s="24" customFormat="1" hidden="1" outlineLevel="2" x14ac:dyDescent="0.25">
      <c r="A38" s="26"/>
      <c r="B38" s="11" t="str">
        <f>CONCATENATE("          ", "6002", " - ", "STAFF SALARIES")</f>
        <v xml:space="preserve">          6002 - STAFF SALARIES</v>
      </c>
      <c r="C38" s="11"/>
      <c r="D38" s="6">
        <v>28604.240000000002</v>
      </c>
      <c r="E38" s="2"/>
      <c r="F38" s="7">
        <f t="shared" si="20"/>
        <v>0.33794237306237684</v>
      </c>
      <c r="G38" s="2"/>
      <c r="H38" s="6">
        <v>37026.310000000005</v>
      </c>
      <c r="I38" s="2"/>
      <c r="J38" s="7">
        <f t="shared" si="21"/>
        <v>2.8010765557786237E-2</v>
      </c>
      <c r="K38" s="2"/>
      <c r="L38" s="6">
        <f t="shared" si="22"/>
        <v>-8422.0700000000033</v>
      </c>
      <c r="M38" s="2"/>
      <c r="N38" s="7">
        <f t="shared" si="23"/>
        <v>-0.22746176975237345</v>
      </c>
      <c r="O38" s="11"/>
      <c r="P38" s="6">
        <v>231016.68</v>
      </c>
      <c r="Q38" s="2"/>
      <c r="R38" s="7">
        <f t="shared" si="24"/>
        <v>0.30421213711676209</v>
      </c>
      <c r="S38" s="2"/>
      <c r="T38" s="6">
        <v>317638.49000000005</v>
      </c>
      <c r="U38" s="2"/>
      <c r="V38" s="7">
        <f t="shared" si="25"/>
        <v>3.941333309813936E-2</v>
      </c>
      <c r="W38" s="2"/>
      <c r="X38" s="6">
        <f t="shared" si="26"/>
        <v>-86621.810000000056</v>
      </c>
      <c r="Y38" s="2"/>
      <c r="Z38" s="7">
        <f t="shared" si="27"/>
        <v>-0.27270564722808011</v>
      </c>
    </row>
    <row r="39" spans="1:26" s="24" customFormat="1" hidden="1" outlineLevel="2" x14ac:dyDescent="0.25">
      <c r="A39" s="26"/>
      <c r="B39" s="11" t="str">
        <f>CONCATENATE("          ", "6004", " - ", "STAFF HOURLY")</f>
        <v xml:space="preserve">          6004 - STAFF HOURLY</v>
      </c>
      <c r="C39" s="11"/>
      <c r="D39" s="6">
        <v>39161.4</v>
      </c>
      <c r="E39" s="2"/>
      <c r="F39" s="7">
        <f t="shared" si="20"/>
        <v>0.46266904656250135</v>
      </c>
      <c r="G39" s="2"/>
      <c r="H39" s="6">
        <v>64173.31</v>
      </c>
      <c r="I39" s="2"/>
      <c r="J39" s="7">
        <f t="shared" si="21"/>
        <v>4.8547736500805475E-2</v>
      </c>
      <c r="K39" s="2"/>
      <c r="L39" s="6">
        <f t="shared" si="22"/>
        <v>-25011.909999999996</v>
      </c>
      <c r="M39" s="2"/>
      <c r="N39" s="7">
        <f t="shared" si="23"/>
        <v>-0.38975564763606546</v>
      </c>
      <c r="O39" s="11"/>
      <c r="P39" s="6">
        <v>352059.09</v>
      </c>
      <c r="Q39" s="2"/>
      <c r="R39" s="7">
        <f t="shared" si="24"/>
        <v>0.46360569358144393</v>
      </c>
      <c r="S39" s="2"/>
      <c r="T39" s="6">
        <v>476256.89</v>
      </c>
      <c r="U39" s="2"/>
      <c r="V39" s="7">
        <f t="shared" si="25"/>
        <v>5.9095078325847462E-2</v>
      </c>
      <c r="W39" s="2"/>
      <c r="X39" s="6">
        <f t="shared" si="26"/>
        <v>-124197.79999999999</v>
      </c>
      <c r="Y39" s="2"/>
      <c r="Z39" s="7">
        <f t="shared" si="27"/>
        <v>-0.26077900941233623</v>
      </c>
    </row>
    <row r="40" spans="1:26" s="24" customFormat="1" hidden="1" outlineLevel="2" x14ac:dyDescent="0.25">
      <c r="A40" s="26"/>
      <c r="B40" s="11" t="str">
        <f>CONCATENATE("          ", "6005", " - ", "TEMPORARY WAGES-HOURLY")</f>
        <v xml:space="preserve">          6005 - TEMPORARY WAGES-HOURLY</v>
      </c>
      <c r="C40" s="11"/>
      <c r="D40" s="6">
        <v>9662.36</v>
      </c>
      <c r="E40" s="2"/>
      <c r="F40" s="7">
        <f t="shared" si="20"/>
        <v>0.11415513461581175</v>
      </c>
      <c r="G40" s="2"/>
      <c r="H40" s="6">
        <v>46519.16</v>
      </c>
      <c r="I40" s="2"/>
      <c r="J40" s="7">
        <f t="shared" si="21"/>
        <v>3.5192199403752282E-2</v>
      </c>
      <c r="K40" s="2"/>
      <c r="L40" s="6">
        <f t="shared" si="22"/>
        <v>-36856.800000000003</v>
      </c>
      <c r="M40" s="2"/>
      <c r="N40" s="7">
        <f t="shared" si="23"/>
        <v>-0.79229289608840747</v>
      </c>
      <c r="O40" s="11"/>
      <c r="P40" s="6">
        <v>80406.040000000008</v>
      </c>
      <c r="Q40" s="2"/>
      <c r="R40" s="7">
        <f t="shared" si="24"/>
        <v>0.10588193573509869</v>
      </c>
      <c r="S40" s="2"/>
      <c r="T40" s="6">
        <v>336501.64</v>
      </c>
      <c r="U40" s="2"/>
      <c r="V40" s="7">
        <f t="shared" si="25"/>
        <v>4.1753917245325574E-2</v>
      </c>
      <c r="W40" s="2"/>
      <c r="X40" s="6">
        <f t="shared" si="26"/>
        <v>-256095.6</v>
      </c>
      <c r="Y40" s="2"/>
      <c r="Z40" s="7">
        <f t="shared" si="27"/>
        <v>-0.76105305162851511</v>
      </c>
    </row>
    <row r="41" spans="1:26" s="24" customFormat="1" hidden="1" outlineLevel="2" x14ac:dyDescent="0.25">
      <c r="A41" s="26"/>
      <c r="B41" s="11" t="str">
        <f>CONCATENATE("          ", "6006", " - ", "TEMPORARY PART TIME")</f>
        <v xml:space="preserve">          6006 - TEMPORARY PART TIME</v>
      </c>
      <c r="C41" s="11"/>
      <c r="D41" s="6">
        <v>609</v>
      </c>
      <c r="E41" s="2"/>
      <c r="F41" s="7">
        <f t="shared" si="20"/>
        <v>7.1949789679777356E-3</v>
      </c>
      <c r="G41" s="2"/>
      <c r="H41" s="6">
        <v>2130.31</v>
      </c>
      <c r="I41" s="2"/>
      <c r="J41" s="7">
        <f t="shared" si="21"/>
        <v>1.6116003451439691E-3</v>
      </c>
      <c r="K41" s="2"/>
      <c r="L41" s="6">
        <f t="shared" si="22"/>
        <v>-1521.31</v>
      </c>
      <c r="M41" s="2"/>
      <c r="N41" s="7">
        <f t="shared" si="23"/>
        <v>-0.71412611310091023</v>
      </c>
      <c r="O41" s="11"/>
      <c r="P41" s="6">
        <v>609</v>
      </c>
      <c r="Q41" s="2"/>
      <c r="R41" s="7">
        <f t="shared" si="24"/>
        <v>8.0195590856949419E-4</v>
      </c>
      <c r="S41" s="2"/>
      <c r="T41" s="6">
        <v>32000.91</v>
      </c>
      <c r="U41" s="2"/>
      <c r="V41" s="7">
        <f t="shared" si="25"/>
        <v>3.9707483978833258E-3</v>
      </c>
      <c r="W41" s="2"/>
      <c r="X41" s="6">
        <f t="shared" si="26"/>
        <v>-31391.91</v>
      </c>
      <c r="Y41" s="2"/>
      <c r="Z41" s="7">
        <f t="shared" si="27"/>
        <v>-0.98096929118578191</v>
      </c>
    </row>
    <row r="42" spans="1:26" s="24" customFormat="1" hidden="1" outlineLevel="2" x14ac:dyDescent="0.25">
      <c r="A42" s="26"/>
      <c r="B42" s="11" t="str">
        <f>CONCATENATE("          ", "6007", " - ", "STUDENT HOURLY")</f>
        <v xml:space="preserve">          6007 - STUDENT HOURLY</v>
      </c>
      <c r="C42" s="11"/>
      <c r="D42" s="6">
        <v>10190.19</v>
      </c>
      <c r="E42" s="2"/>
      <c r="F42" s="7">
        <f t="shared" si="20"/>
        <v>0.12039113748718727</v>
      </c>
      <c r="G42" s="2"/>
      <c r="H42" s="6">
        <v>108100.03</v>
      </c>
      <c r="I42" s="2"/>
      <c r="J42" s="7">
        <f t="shared" si="21"/>
        <v>8.1778729695712551E-2</v>
      </c>
      <c r="K42" s="2"/>
      <c r="L42" s="6">
        <f t="shared" si="22"/>
        <v>-97909.84</v>
      </c>
      <c r="M42" s="2"/>
      <c r="N42" s="7">
        <f t="shared" si="23"/>
        <v>-0.90573369868630005</v>
      </c>
      <c r="O42" s="11"/>
      <c r="P42" s="6">
        <v>97425.2</v>
      </c>
      <c r="Q42" s="2"/>
      <c r="R42" s="7">
        <f t="shared" si="24"/>
        <v>0.12829345613064808</v>
      </c>
      <c r="S42" s="2"/>
      <c r="T42" s="6">
        <v>658056.55000000005</v>
      </c>
      <c r="U42" s="2"/>
      <c r="V42" s="7">
        <f t="shared" si="25"/>
        <v>8.1653208975280042E-2</v>
      </c>
      <c r="W42" s="2"/>
      <c r="X42" s="6">
        <f t="shared" si="26"/>
        <v>-560631.35000000009</v>
      </c>
      <c r="Y42" s="2"/>
      <c r="Z42" s="7">
        <f t="shared" si="27"/>
        <v>-0.85195010975880425</v>
      </c>
    </row>
    <row r="43" spans="1:26" s="24" customFormat="1" hidden="1" outlineLevel="2" x14ac:dyDescent="0.25">
      <c r="A43" s="26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0"/>
        <v>0</v>
      </c>
      <c r="G43" s="2"/>
      <c r="H43" s="6">
        <v>24077.599999999999</v>
      </c>
      <c r="I43" s="2"/>
      <c r="J43" s="7">
        <f t="shared" si="21"/>
        <v>1.8214939830465252E-2</v>
      </c>
      <c r="K43" s="2"/>
      <c r="L43" s="6">
        <f t="shared" si="22"/>
        <v>-24077.599999999999</v>
      </c>
      <c r="M43" s="2"/>
      <c r="N43" s="7">
        <f t="shared" si="23"/>
        <v>-1</v>
      </c>
      <c r="O43" s="11"/>
      <c r="P43" s="6">
        <v>10630.88</v>
      </c>
      <c r="Q43" s="2"/>
      <c r="R43" s="7">
        <f t="shared" si="24"/>
        <v>1.3999174103929826E-2</v>
      </c>
      <c r="S43" s="2"/>
      <c r="T43" s="6">
        <v>143580.35</v>
      </c>
      <c r="U43" s="2"/>
      <c r="V43" s="7">
        <f t="shared" si="25"/>
        <v>1.7815788511327559E-2</v>
      </c>
      <c r="W43" s="2"/>
      <c r="X43" s="6">
        <f t="shared" si="26"/>
        <v>-132949.47</v>
      </c>
      <c r="Y43" s="2"/>
      <c r="Z43" s="7">
        <f t="shared" si="27"/>
        <v>-0.92595867052838354</v>
      </c>
    </row>
    <row r="44" spans="1:26" s="25" customFormat="1" outlineLevel="1" collapsed="1" x14ac:dyDescent="0.25">
      <c r="A44" s="27"/>
      <c r="B44" s="13" t="str">
        <f>CONCATENATE("     ","Advertising/Promo                                 ")</f>
        <v xml:space="preserve">     Advertising/Promo                                 </v>
      </c>
      <c r="C44" s="13"/>
      <c r="D44" s="1">
        <f>SUM(OSRRefD22_2x_0)</f>
        <v>0</v>
      </c>
      <c r="E44" s="1"/>
      <c r="F44" s="5">
        <f t="shared" ref="F44:F67" si="28">IF(D$12=0,0,D44/D$12)</f>
        <v>0</v>
      </c>
      <c r="G44" s="1"/>
      <c r="H44" s="1">
        <f>SUM(OSRRefH22_2x_0)</f>
        <v>214.9</v>
      </c>
      <c r="I44" s="1"/>
      <c r="J44" s="5">
        <f t="shared" ref="J44:J67" si="29">IF(H$12=0,0,H44/H$12)</f>
        <v>1.6257395128945504E-4</v>
      </c>
      <c r="K44" s="1"/>
      <c r="L44" s="1">
        <f t="shared" ref="L44:L67" si="30">+D44-H44</f>
        <v>-214.9</v>
      </c>
      <c r="M44" s="1"/>
      <c r="N44" s="5">
        <f t="shared" ref="N44:N67" si="31">IF(H44=0,0,L44/H44)</f>
        <v>-1</v>
      </c>
      <c r="O44" s="13"/>
      <c r="P44" s="1">
        <f>SUM(OSRRefP22_2x_0)</f>
        <v>1445.17</v>
      </c>
      <c r="Q44" s="1"/>
      <c r="R44" s="5">
        <f t="shared" ref="R44:R67" si="32">IF(P$12=0,0,P44/P$12)</f>
        <v>1.9030584899628507E-3</v>
      </c>
      <c r="S44" s="1"/>
      <c r="T44" s="1">
        <f>SUM(OSRRefT22_2x_0)</f>
        <v>8433.2000000000007</v>
      </c>
      <c r="U44" s="1"/>
      <c r="V44" s="5">
        <f t="shared" ref="V44:V67" si="33">IF(T$12=0,0,T44/T$12)</f>
        <v>1.0464113485844516E-3</v>
      </c>
      <c r="W44" s="1"/>
      <c r="X44" s="1">
        <f t="shared" ref="X44:X67" si="34">+P44-T44</f>
        <v>-6988.0300000000007</v>
      </c>
      <c r="Y44" s="1"/>
      <c r="Z44" s="5">
        <f t="shared" ref="Z44:Z67" si="35">IF(T44=0,0,X44/T44)</f>
        <v>-0.82863325902385809</v>
      </c>
    </row>
    <row r="45" spans="1:26" s="24" customFormat="1" hidden="1" outlineLevel="2" x14ac:dyDescent="0.25">
      <c r="A45" s="26"/>
      <c r="B45" s="11" t="str">
        <f>CONCATENATE("          ", "6362", " - ", "ADVERTISING EXPENSE")</f>
        <v xml:space="preserve">          6362 - ADVERTISING EXPENSE</v>
      </c>
      <c r="C45" s="11"/>
      <c r="D45" s="6"/>
      <c r="E45" s="2"/>
      <c r="F45" s="7">
        <f t="shared" si="28"/>
        <v>0</v>
      </c>
      <c r="G45" s="2"/>
      <c r="H45" s="6">
        <v>214.9</v>
      </c>
      <c r="I45" s="2"/>
      <c r="J45" s="7">
        <f t="shared" si="29"/>
        <v>1.6257395128945504E-4</v>
      </c>
      <c r="K45" s="2"/>
      <c r="L45" s="6">
        <f t="shared" si="30"/>
        <v>-214.9</v>
      </c>
      <c r="M45" s="2"/>
      <c r="N45" s="7">
        <f t="shared" si="31"/>
        <v>-1</v>
      </c>
      <c r="O45" s="11"/>
      <c r="P45" s="6">
        <v>1445.17</v>
      </c>
      <c r="Q45" s="2"/>
      <c r="R45" s="7">
        <f t="shared" si="32"/>
        <v>1.9030584899628507E-3</v>
      </c>
      <c r="S45" s="2"/>
      <c r="T45" s="6">
        <v>8433.2000000000007</v>
      </c>
      <c r="U45" s="2"/>
      <c r="V45" s="7">
        <f t="shared" si="33"/>
        <v>1.0464113485844516E-3</v>
      </c>
      <c r="W45" s="2"/>
      <c r="X45" s="6">
        <f t="shared" si="34"/>
        <v>-6988.0300000000007</v>
      </c>
      <c r="Y45" s="2"/>
      <c r="Z45" s="7">
        <f t="shared" si="35"/>
        <v>-0.82863325902385809</v>
      </c>
    </row>
    <row r="46" spans="1:26" s="25" customFormat="1" outlineLevel="1" collapsed="1" x14ac:dyDescent="0.25">
      <c r="A46" s="27"/>
      <c r="B46" s="13" t="str">
        <f>CONCATENATE("     ","Bad Debts/Over/Short                              ")</f>
        <v xml:space="preserve">     Bad Debts/Over/Short                              </v>
      </c>
      <c r="C46" s="13"/>
      <c r="D46" s="1">
        <f>SUM(OSRRefD22_3x_0)</f>
        <v>-16.2</v>
      </c>
      <c r="E46" s="1"/>
      <c r="F46" s="5">
        <f t="shared" si="28"/>
        <v>-1.913935291974373E-4</v>
      </c>
      <c r="G46" s="1"/>
      <c r="H46" s="1">
        <f>SUM(OSRRefH22_3x_0)</f>
        <v>1.1000000000000001</v>
      </c>
      <c r="I46" s="1"/>
      <c r="J46" s="5">
        <f t="shared" si="29"/>
        <v>8.3216075578594948E-7</v>
      </c>
      <c r="K46" s="1"/>
      <c r="L46" s="1">
        <f t="shared" si="30"/>
        <v>-17.3</v>
      </c>
      <c r="M46" s="1"/>
      <c r="N46" s="5">
        <f t="shared" si="31"/>
        <v>-15.727272727272727</v>
      </c>
      <c r="O46" s="13"/>
      <c r="P46" s="1">
        <f>SUM(OSRRefP22_3x_0)</f>
        <v>53.54</v>
      </c>
      <c r="Q46" s="1"/>
      <c r="R46" s="5">
        <f t="shared" si="32"/>
        <v>7.050364424435258E-5</v>
      </c>
      <c r="S46" s="1"/>
      <c r="T46" s="1">
        <f>SUM(OSRRefT22_3x_0)</f>
        <v>30.06</v>
      </c>
      <c r="U46" s="1"/>
      <c r="V46" s="5">
        <f t="shared" si="33"/>
        <v>3.7299157067837372E-6</v>
      </c>
      <c r="W46" s="1"/>
      <c r="X46" s="1">
        <f t="shared" si="34"/>
        <v>23.48</v>
      </c>
      <c r="Y46" s="1"/>
      <c r="Z46" s="5">
        <f t="shared" si="35"/>
        <v>0.78110445775116444</v>
      </c>
    </row>
    <row r="47" spans="1:26" s="24" customFormat="1" hidden="1" outlineLevel="2" x14ac:dyDescent="0.25">
      <c r="A47" s="26"/>
      <c r="B47" s="11" t="str">
        <f>CONCATENATE("          ", "6272", " - ", "CASH (OVER/SHORT)")</f>
        <v xml:space="preserve">          6272 - CASH (OVER/SHORT)</v>
      </c>
      <c r="C47" s="11"/>
      <c r="D47" s="6">
        <v>-16.2</v>
      </c>
      <c r="E47" s="2"/>
      <c r="F47" s="7">
        <f t="shared" si="28"/>
        <v>-1.913935291974373E-4</v>
      </c>
      <c r="G47" s="2"/>
      <c r="H47" s="6">
        <v>1.1000000000000001</v>
      </c>
      <c r="I47" s="2"/>
      <c r="J47" s="7">
        <f t="shared" si="29"/>
        <v>8.3216075578594948E-7</v>
      </c>
      <c r="K47" s="2"/>
      <c r="L47" s="6">
        <f t="shared" si="30"/>
        <v>-17.3</v>
      </c>
      <c r="M47" s="2"/>
      <c r="N47" s="7">
        <f t="shared" si="31"/>
        <v>-15.727272727272727</v>
      </c>
      <c r="O47" s="11"/>
      <c r="P47" s="6">
        <v>53.54</v>
      </c>
      <c r="Q47" s="2"/>
      <c r="R47" s="7">
        <f t="shared" si="32"/>
        <v>7.050364424435258E-5</v>
      </c>
      <c r="S47" s="2"/>
      <c r="T47" s="6">
        <v>30.06</v>
      </c>
      <c r="U47" s="2"/>
      <c r="V47" s="7">
        <f t="shared" si="33"/>
        <v>3.7299157067837372E-6</v>
      </c>
      <c r="W47" s="2"/>
      <c r="X47" s="6">
        <f t="shared" si="34"/>
        <v>23.48</v>
      </c>
      <c r="Y47" s="2"/>
      <c r="Z47" s="7">
        <f t="shared" si="35"/>
        <v>0.78110445775116444</v>
      </c>
    </row>
    <row r="48" spans="1:26" s="25" customFormat="1" outlineLevel="1" collapsed="1" x14ac:dyDescent="0.25">
      <c r="A48" s="27"/>
      <c r="B48" s="13" t="str">
        <f>CONCATENATE("     ","Bank/card Fees                                    ")</f>
        <v xml:space="preserve">     Bank/card Fees                                    </v>
      </c>
      <c r="C48" s="13"/>
      <c r="D48" s="1">
        <f>SUM(OSRRefD22_4x_0)</f>
        <v>77.599999999999994</v>
      </c>
      <c r="E48" s="1"/>
      <c r="F48" s="5">
        <f t="shared" si="28"/>
        <v>9.1679863368648981E-4</v>
      </c>
      <c r="G48" s="1"/>
      <c r="H48" s="1">
        <f>SUM(OSRRefH22_4x_0)</f>
        <v>293.04000000000002</v>
      </c>
      <c r="I48" s="1"/>
      <c r="J48" s="5">
        <f t="shared" si="29"/>
        <v>2.2168762534137694E-4</v>
      </c>
      <c r="K48" s="1"/>
      <c r="L48" s="1">
        <f t="shared" si="30"/>
        <v>-215.44000000000003</v>
      </c>
      <c r="M48" s="1"/>
      <c r="N48" s="5">
        <f t="shared" si="31"/>
        <v>-0.73518973518973518</v>
      </c>
      <c r="O48" s="13"/>
      <c r="P48" s="1">
        <f>SUM(OSRRefP22_4x_0)</f>
        <v>188.92</v>
      </c>
      <c r="Q48" s="1"/>
      <c r="R48" s="5">
        <f t="shared" si="32"/>
        <v>2.487775209309505E-4</v>
      </c>
      <c r="S48" s="1"/>
      <c r="T48" s="1">
        <f>SUM(OSRRefT22_4x_0)</f>
        <v>3032.96</v>
      </c>
      <c r="U48" s="1"/>
      <c r="V48" s="5">
        <f t="shared" si="33"/>
        <v>3.7633683107274796E-4</v>
      </c>
      <c r="W48" s="1"/>
      <c r="X48" s="1">
        <f t="shared" si="34"/>
        <v>-2844.04</v>
      </c>
      <c r="Y48" s="1"/>
      <c r="Z48" s="5">
        <f t="shared" si="35"/>
        <v>-0.93771101498206366</v>
      </c>
    </row>
    <row r="49" spans="1:26" s="24" customFormat="1" hidden="1" outlineLevel="2" x14ac:dyDescent="0.25">
      <c r="A49" s="26"/>
      <c r="B49" s="11" t="str">
        <f>CONCATENATE("          ", "6381", " - ", "BANK/CREDIT CARD FEES")</f>
        <v xml:space="preserve">          6381 - BANK/CREDIT CARD FEES</v>
      </c>
      <c r="C49" s="11"/>
      <c r="D49" s="6">
        <v>77.599999999999994</v>
      </c>
      <c r="E49" s="2"/>
      <c r="F49" s="7">
        <f t="shared" si="28"/>
        <v>9.1679863368648981E-4</v>
      </c>
      <c r="G49" s="2"/>
      <c r="H49" s="6">
        <v>293.04000000000002</v>
      </c>
      <c r="I49" s="2"/>
      <c r="J49" s="7">
        <f t="shared" si="29"/>
        <v>2.2168762534137694E-4</v>
      </c>
      <c r="K49" s="2"/>
      <c r="L49" s="6">
        <f t="shared" si="30"/>
        <v>-215.44000000000003</v>
      </c>
      <c r="M49" s="2"/>
      <c r="N49" s="7">
        <f t="shared" si="31"/>
        <v>-0.73518973518973518</v>
      </c>
      <c r="O49" s="11"/>
      <c r="P49" s="6">
        <v>188.92</v>
      </c>
      <c r="Q49" s="2"/>
      <c r="R49" s="7">
        <f t="shared" si="32"/>
        <v>2.487775209309505E-4</v>
      </c>
      <c r="S49" s="2"/>
      <c r="T49" s="6">
        <v>3032.96</v>
      </c>
      <c r="U49" s="2"/>
      <c r="V49" s="7">
        <f t="shared" si="33"/>
        <v>3.7633683107274796E-4</v>
      </c>
      <c r="W49" s="2"/>
      <c r="X49" s="6">
        <f t="shared" si="34"/>
        <v>-2844.04</v>
      </c>
      <c r="Y49" s="2"/>
      <c r="Z49" s="7">
        <f t="shared" si="35"/>
        <v>-0.93771101498206366</v>
      </c>
    </row>
    <row r="50" spans="1:26" s="25" customFormat="1" outlineLevel="1" collapsed="1" x14ac:dyDescent="0.25">
      <c r="A50" s="27"/>
      <c r="B50" s="13" t="str">
        <f>CONCATENATE("     ","Depreciation                                      ")</f>
        <v xml:space="preserve">     Depreciation                                      </v>
      </c>
      <c r="C50" s="13"/>
      <c r="D50" s="1">
        <f>SUM(OSRRefD22_5x_0)</f>
        <v>758.5</v>
      </c>
      <c r="E50" s="1"/>
      <c r="F50" s="5">
        <f t="shared" si="28"/>
        <v>8.9612340676701353E-3</v>
      </c>
      <c r="G50" s="1"/>
      <c r="H50" s="1">
        <f>SUM(OSRRefH22_5x_0)</f>
        <v>0</v>
      </c>
      <c r="I50" s="1"/>
      <c r="J50" s="5">
        <f t="shared" si="29"/>
        <v>0</v>
      </c>
      <c r="K50" s="1"/>
      <c r="L50" s="1">
        <f t="shared" si="30"/>
        <v>758.5</v>
      </c>
      <c r="M50" s="1"/>
      <c r="N50" s="5">
        <f t="shared" si="31"/>
        <v>0</v>
      </c>
      <c r="O50" s="13"/>
      <c r="P50" s="1">
        <f>SUM(OSRRefP22_5x_0)</f>
        <v>5539.56</v>
      </c>
      <c r="Q50" s="1"/>
      <c r="R50" s="5">
        <f t="shared" si="32"/>
        <v>7.294717361043067E-3</v>
      </c>
      <c r="S50" s="1"/>
      <c r="T50" s="1">
        <f>SUM(OSRRefT22_5x_0)</f>
        <v>0</v>
      </c>
      <c r="U50" s="1"/>
      <c r="V50" s="5">
        <f t="shared" si="33"/>
        <v>0</v>
      </c>
      <c r="W50" s="1"/>
      <c r="X50" s="1">
        <f t="shared" si="34"/>
        <v>5539.56</v>
      </c>
      <c r="Y50" s="1"/>
      <c r="Z50" s="5">
        <f t="shared" si="35"/>
        <v>0</v>
      </c>
    </row>
    <row r="51" spans="1:26" s="24" customFormat="1" hidden="1" outlineLevel="2" x14ac:dyDescent="0.25">
      <c r="A51" s="26"/>
      <c r="B51" s="11" t="str">
        <f>CONCATENATE("          ", "6322", " - ", "EQUIPMENT DEPRECIATION EXPENSE")</f>
        <v xml:space="preserve">          6322 - EQUIPMENT DEPRECIATION EXPENSE</v>
      </c>
      <c r="C51" s="11"/>
      <c r="D51" s="6">
        <v>758.5</v>
      </c>
      <c r="E51" s="2"/>
      <c r="F51" s="7">
        <f t="shared" si="28"/>
        <v>8.9612340676701353E-3</v>
      </c>
      <c r="G51" s="2"/>
      <c r="H51" s="6"/>
      <c r="I51" s="2"/>
      <c r="J51" s="7">
        <f t="shared" si="29"/>
        <v>0</v>
      </c>
      <c r="K51" s="2"/>
      <c r="L51" s="6">
        <f t="shared" si="30"/>
        <v>758.5</v>
      </c>
      <c r="M51" s="2"/>
      <c r="N51" s="7">
        <f t="shared" si="31"/>
        <v>0</v>
      </c>
      <c r="O51" s="11"/>
      <c r="P51" s="6">
        <v>5539.56</v>
      </c>
      <c r="Q51" s="2"/>
      <c r="R51" s="7">
        <f t="shared" si="32"/>
        <v>7.294717361043067E-3</v>
      </c>
      <c r="S51" s="2"/>
      <c r="T51" s="6"/>
      <c r="U51" s="2"/>
      <c r="V51" s="7">
        <f t="shared" si="33"/>
        <v>0</v>
      </c>
      <c r="W51" s="2"/>
      <c r="X51" s="6">
        <f t="shared" si="34"/>
        <v>5539.56</v>
      </c>
      <c r="Y51" s="2"/>
      <c r="Z51" s="7">
        <f t="shared" si="35"/>
        <v>0</v>
      </c>
    </row>
    <row r="52" spans="1:26" s="25" customFormat="1" outlineLevel="1" collapsed="1" x14ac:dyDescent="0.25">
      <c r="A52" s="27"/>
      <c r="B52" s="13" t="str">
        <f>CONCATENATE("     ","Donations                                         ")</f>
        <v xml:space="preserve">     Donations                                         </v>
      </c>
      <c r="C52" s="13"/>
      <c r="D52" s="1">
        <f>SUM(OSRRefD22_6x_0)</f>
        <v>5361.28</v>
      </c>
      <c r="E52" s="1"/>
      <c r="F52" s="5">
        <f t="shared" si="28"/>
        <v>6.3340388902199798E-2</v>
      </c>
      <c r="G52" s="1"/>
      <c r="H52" s="1">
        <f>SUM(OSRRefH22_6x_0)</f>
        <v>18987.060000000001</v>
      </c>
      <c r="I52" s="1"/>
      <c r="J52" s="5">
        <f t="shared" si="29"/>
        <v>1.4363896545230155E-2</v>
      </c>
      <c r="K52" s="1"/>
      <c r="L52" s="1">
        <f t="shared" si="30"/>
        <v>-13625.780000000002</v>
      </c>
      <c r="M52" s="1"/>
      <c r="N52" s="5">
        <f t="shared" si="31"/>
        <v>-0.71763506303766889</v>
      </c>
      <c r="O52" s="13"/>
      <c r="P52" s="1">
        <f>SUM(OSRRefP22_6x_0)</f>
        <v>43642.43</v>
      </c>
      <c r="Q52" s="1"/>
      <c r="R52" s="5">
        <f t="shared" si="32"/>
        <v>5.7470122500542779E-2</v>
      </c>
      <c r="S52" s="1"/>
      <c r="T52" s="1">
        <f>SUM(OSRRefT22_6x_0)</f>
        <v>105906.26999999999</v>
      </c>
      <c r="U52" s="1"/>
      <c r="V52" s="5">
        <f t="shared" si="33"/>
        <v>1.3141099797733841E-2</v>
      </c>
      <c r="W52" s="1"/>
      <c r="X52" s="1">
        <f t="shared" si="34"/>
        <v>-62263.839999999989</v>
      </c>
      <c r="Y52" s="1"/>
      <c r="Z52" s="5">
        <f t="shared" si="35"/>
        <v>-0.58791457767325761</v>
      </c>
    </row>
    <row r="53" spans="1:26" s="24" customFormat="1" hidden="1" outlineLevel="2" x14ac:dyDescent="0.25">
      <c r="A53" s="26"/>
      <c r="B53" s="11" t="str">
        <f>CONCATENATE("          ", "6399", " - ", "DONATION-ON CAMPUS")</f>
        <v xml:space="preserve">          6399 - DONATION-ON CAMPUS</v>
      </c>
      <c r="C53" s="11"/>
      <c r="D53" s="6">
        <v>5361.28</v>
      </c>
      <c r="E53" s="2"/>
      <c r="F53" s="7">
        <f t="shared" si="28"/>
        <v>6.3340388902199798E-2</v>
      </c>
      <c r="G53" s="2"/>
      <c r="H53" s="6">
        <v>18987.060000000001</v>
      </c>
      <c r="I53" s="2"/>
      <c r="J53" s="7">
        <f t="shared" si="29"/>
        <v>1.4363896545230155E-2</v>
      </c>
      <c r="K53" s="2"/>
      <c r="L53" s="6">
        <f t="shared" si="30"/>
        <v>-13625.780000000002</v>
      </c>
      <c r="M53" s="2"/>
      <c r="N53" s="7">
        <f t="shared" si="31"/>
        <v>-0.71763506303766889</v>
      </c>
      <c r="O53" s="11"/>
      <c r="P53" s="6">
        <v>43642.43</v>
      </c>
      <c r="Q53" s="2"/>
      <c r="R53" s="7">
        <f t="shared" si="32"/>
        <v>5.7470122500542779E-2</v>
      </c>
      <c r="S53" s="2"/>
      <c r="T53" s="6">
        <v>105906.26999999999</v>
      </c>
      <c r="U53" s="2"/>
      <c r="V53" s="7">
        <f t="shared" si="33"/>
        <v>1.3141099797733841E-2</v>
      </c>
      <c r="W53" s="2"/>
      <c r="X53" s="6">
        <f t="shared" si="34"/>
        <v>-62263.839999999989</v>
      </c>
      <c r="Y53" s="2"/>
      <c r="Z53" s="7">
        <f t="shared" si="35"/>
        <v>-0.58791457767325761</v>
      </c>
    </row>
    <row r="54" spans="1:26" s="25" customFormat="1" outlineLevel="1" collapsed="1" x14ac:dyDescent="0.25">
      <c r="A54" s="27"/>
      <c r="B54" s="13" t="str">
        <f>CONCATENATE("     ","Employees' Appreciation                           ")</f>
        <v xml:space="preserve">     Employees' Appreciation                           </v>
      </c>
      <c r="C54" s="13"/>
      <c r="D54" s="1">
        <f>SUM(OSRRefD22_7x_0)</f>
        <v>0</v>
      </c>
      <c r="E54" s="1"/>
      <c r="F54" s="5">
        <f t="shared" si="28"/>
        <v>0</v>
      </c>
      <c r="G54" s="1"/>
      <c r="H54" s="1">
        <f>SUM(OSRRefH22_7x_0)</f>
        <v>0</v>
      </c>
      <c r="I54" s="1"/>
      <c r="J54" s="5">
        <f t="shared" si="29"/>
        <v>0</v>
      </c>
      <c r="K54" s="1"/>
      <c r="L54" s="1">
        <f t="shared" si="30"/>
        <v>0</v>
      </c>
      <c r="M54" s="1"/>
      <c r="N54" s="5">
        <f t="shared" si="31"/>
        <v>0</v>
      </c>
      <c r="O54" s="13"/>
      <c r="P54" s="1">
        <f>SUM(OSRRefP22_7x_0)</f>
        <v>0</v>
      </c>
      <c r="Q54" s="1"/>
      <c r="R54" s="5">
        <f t="shared" si="32"/>
        <v>0</v>
      </c>
      <c r="S54" s="1"/>
      <c r="T54" s="1">
        <f>SUM(OSRRefT22_7x_0)</f>
        <v>1798.43</v>
      </c>
      <c r="U54" s="1"/>
      <c r="V54" s="5">
        <f t="shared" si="33"/>
        <v>2.2315343661181227E-4</v>
      </c>
      <c r="W54" s="1"/>
      <c r="X54" s="1">
        <f t="shared" si="34"/>
        <v>-1798.43</v>
      </c>
      <c r="Y54" s="1"/>
      <c r="Z54" s="5">
        <f t="shared" si="35"/>
        <v>-1</v>
      </c>
    </row>
    <row r="55" spans="1:26" s="24" customFormat="1" hidden="1" outlineLevel="2" x14ac:dyDescent="0.25">
      <c r="A55" s="26"/>
      <c r="B55" s="11" t="str">
        <f>CONCATENATE("          ", "6277", " - ", "EMPLOYEE APPRECIATION")</f>
        <v xml:space="preserve">          6277 - EMPLOYEE APPRECIATION</v>
      </c>
      <c r="C55" s="11"/>
      <c r="D55" s="6"/>
      <c r="E55" s="2"/>
      <c r="F55" s="7">
        <f t="shared" si="28"/>
        <v>0</v>
      </c>
      <c r="G55" s="2"/>
      <c r="H55" s="6"/>
      <c r="I55" s="2"/>
      <c r="J55" s="7">
        <f t="shared" si="29"/>
        <v>0</v>
      </c>
      <c r="K55" s="2"/>
      <c r="L55" s="6">
        <f t="shared" si="30"/>
        <v>0</v>
      </c>
      <c r="M55" s="2"/>
      <c r="N55" s="7">
        <f t="shared" si="31"/>
        <v>0</v>
      </c>
      <c r="O55" s="11"/>
      <c r="P55" s="6"/>
      <c r="Q55" s="2"/>
      <c r="R55" s="7">
        <f t="shared" si="32"/>
        <v>0</v>
      </c>
      <c r="S55" s="2"/>
      <c r="T55" s="6">
        <v>1798.43</v>
      </c>
      <c r="U55" s="2"/>
      <c r="V55" s="7">
        <f t="shared" si="33"/>
        <v>2.2315343661181227E-4</v>
      </c>
      <c r="W55" s="2"/>
      <c r="X55" s="6">
        <f t="shared" si="34"/>
        <v>-1798.43</v>
      </c>
      <c r="Y55" s="2"/>
      <c r="Z55" s="7">
        <f t="shared" si="35"/>
        <v>-1</v>
      </c>
    </row>
    <row r="56" spans="1:26" s="25" customFormat="1" outlineLevel="1" collapsed="1" x14ac:dyDescent="0.25">
      <c r="A56" s="27"/>
      <c r="B56" s="13" t="str">
        <f>CONCATENATE("     ","Equipment Rental                                  ")</f>
        <v xml:space="preserve">     Equipment Rental                                  </v>
      </c>
      <c r="C56" s="13"/>
      <c r="D56" s="1">
        <f>SUM(OSRRefD22_8x_0)</f>
        <v>556.54</v>
      </c>
      <c r="E56" s="1"/>
      <c r="F56" s="5">
        <f t="shared" si="28"/>
        <v>6.5751947370087504E-3</v>
      </c>
      <c r="G56" s="1"/>
      <c r="H56" s="1">
        <f>SUM(OSRRefH22_8x_0)</f>
        <v>428.03</v>
      </c>
      <c r="I56" s="1"/>
      <c r="J56" s="5">
        <f t="shared" si="29"/>
        <v>3.2380888027187267E-4</v>
      </c>
      <c r="K56" s="1"/>
      <c r="L56" s="1">
        <f t="shared" si="30"/>
        <v>128.51</v>
      </c>
      <c r="M56" s="1"/>
      <c r="N56" s="5">
        <f t="shared" si="31"/>
        <v>0.30023596476882464</v>
      </c>
      <c r="O56" s="13"/>
      <c r="P56" s="1">
        <f>SUM(OSRRefP22_8x_0)</f>
        <v>3837.56</v>
      </c>
      <c r="Q56" s="1"/>
      <c r="R56" s="5">
        <f t="shared" si="32"/>
        <v>5.0534547068800464E-3</v>
      </c>
      <c r="S56" s="1"/>
      <c r="T56" s="1">
        <f>SUM(OSRRefT22_8x_0)</f>
        <v>4325.33</v>
      </c>
      <c r="U56" s="1"/>
      <c r="V56" s="5">
        <f t="shared" si="33"/>
        <v>5.3669714916909183E-4</v>
      </c>
      <c r="W56" s="1"/>
      <c r="X56" s="1">
        <f t="shared" si="34"/>
        <v>-487.77</v>
      </c>
      <c r="Y56" s="1"/>
      <c r="Z56" s="5">
        <f t="shared" si="35"/>
        <v>-0.1127705862905258</v>
      </c>
    </row>
    <row r="57" spans="1:26" s="24" customFormat="1" hidden="1" outlineLevel="2" x14ac:dyDescent="0.25">
      <c r="A57" s="26"/>
      <c r="B57" s="11" t="str">
        <f>CONCATENATE("          ", "6351", " - ", "EQUIPMENT RENTAL")</f>
        <v xml:space="preserve">          6351 - EQUIPMENT RENTAL</v>
      </c>
      <c r="C57" s="11"/>
      <c r="D57" s="6">
        <v>556.54</v>
      </c>
      <c r="E57" s="2"/>
      <c r="F57" s="7">
        <f t="shared" si="28"/>
        <v>6.5751947370087504E-3</v>
      </c>
      <c r="G57" s="2"/>
      <c r="H57" s="6">
        <v>428.03</v>
      </c>
      <c r="I57" s="2"/>
      <c r="J57" s="7">
        <f t="shared" si="29"/>
        <v>3.2380888027187267E-4</v>
      </c>
      <c r="K57" s="2"/>
      <c r="L57" s="6">
        <f t="shared" si="30"/>
        <v>128.51</v>
      </c>
      <c r="M57" s="2"/>
      <c r="N57" s="7">
        <f t="shared" si="31"/>
        <v>0.30023596476882464</v>
      </c>
      <c r="O57" s="11"/>
      <c r="P57" s="6">
        <v>3837.56</v>
      </c>
      <c r="Q57" s="2"/>
      <c r="R57" s="7">
        <f t="shared" si="32"/>
        <v>5.0534547068800464E-3</v>
      </c>
      <c r="S57" s="2"/>
      <c r="T57" s="6">
        <v>4325.33</v>
      </c>
      <c r="U57" s="2"/>
      <c r="V57" s="7">
        <f t="shared" si="33"/>
        <v>5.3669714916909183E-4</v>
      </c>
      <c r="W57" s="2"/>
      <c r="X57" s="6">
        <f t="shared" si="34"/>
        <v>-487.77</v>
      </c>
      <c r="Y57" s="2"/>
      <c r="Z57" s="7">
        <f t="shared" si="35"/>
        <v>-0.1127705862905258</v>
      </c>
    </row>
    <row r="58" spans="1:26" s="25" customFormat="1" outlineLevel="1" collapsed="1" x14ac:dyDescent="0.25">
      <c r="A58" s="27"/>
      <c r="B58" s="13" t="str">
        <f>CONCATENATE("     ","General                                           ")</f>
        <v xml:space="preserve">     General                                           </v>
      </c>
      <c r="C58" s="13"/>
      <c r="D58" s="1">
        <f>SUM(OSRRefD22_9x_0)</f>
        <v>0</v>
      </c>
      <c r="E58" s="1"/>
      <c r="F58" s="5">
        <f t="shared" si="28"/>
        <v>0</v>
      </c>
      <c r="G58" s="1"/>
      <c r="H58" s="1">
        <f>SUM(OSRRefH22_9x_0)</f>
        <v>242.27</v>
      </c>
      <c r="I58" s="1"/>
      <c r="J58" s="5">
        <f t="shared" si="29"/>
        <v>1.8327962391296543E-4</v>
      </c>
      <c r="K58" s="1"/>
      <c r="L58" s="1">
        <f t="shared" si="30"/>
        <v>-242.27</v>
      </c>
      <c r="M58" s="1"/>
      <c r="N58" s="5">
        <f t="shared" si="31"/>
        <v>-1</v>
      </c>
      <c r="O58" s="13"/>
      <c r="P58" s="1">
        <f>SUM(OSRRefP22_9x_0)</f>
        <v>7158.43</v>
      </c>
      <c r="Q58" s="1"/>
      <c r="R58" s="5">
        <f t="shared" si="32"/>
        <v>9.4265110584254921E-3</v>
      </c>
      <c r="S58" s="1"/>
      <c r="T58" s="1">
        <f>SUM(OSRRefT22_9x_0)</f>
        <v>8493.7900000000009</v>
      </c>
      <c r="U58" s="1"/>
      <c r="V58" s="5">
        <f t="shared" si="33"/>
        <v>1.0539294987066748E-3</v>
      </c>
      <c r="W58" s="1"/>
      <c r="X58" s="1">
        <f t="shared" si="34"/>
        <v>-1335.3600000000006</v>
      </c>
      <c r="Y58" s="1"/>
      <c r="Z58" s="5">
        <f t="shared" si="35"/>
        <v>-0.15721603665736972</v>
      </c>
    </row>
    <row r="59" spans="1:26" s="24" customFormat="1" hidden="1" outlineLevel="2" x14ac:dyDescent="0.25">
      <c r="A59" s="26"/>
      <c r="B59" s="11" t="str">
        <f>CONCATENATE("          ", "6279", " - ", "GENERAL EXPENSE")</f>
        <v xml:space="preserve">          6279 - GENERAL EXPENSE</v>
      </c>
      <c r="C59" s="11"/>
      <c r="D59" s="6"/>
      <c r="E59" s="2"/>
      <c r="F59" s="7">
        <f t="shared" si="28"/>
        <v>0</v>
      </c>
      <c r="G59" s="2"/>
      <c r="H59" s="6">
        <v>242.27</v>
      </c>
      <c r="I59" s="2"/>
      <c r="J59" s="7">
        <f t="shared" si="29"/>
        <v>1.8327962391296543E-4</v>
      </c>
      <c r="K59" s="2"/>
      <c r="L59" s="6">
        <f t="shared" si="30"/>
        <v>-242.27</v>
      </c>
      <c r="M59" s="2"/>
      <c r="N59" s="7">
        <f t="shared" si="31"/>
        <v>-1</v>
      </c>
      <c r="O59" s="11"/>
      <c r="P59" s="6">
        <v>7158.43</v>
      </c>
      <c r="Q59" s="2"/>
      <c r="R59" s="7">
        <f t="shared" si="32"/>
        <v>9.4265110584254921E-3</v>
      </c>
      <c r="S59" s="2"/>
      <c r="T59" s="6">
        <v>8493.7900000000009</v>
      </c>
      <c r="U59" s="2"/>
      <c r="V59" s="7">
        <f t="shared" si="33"/>
        <v>1.0539294987066748E-3</v>
      </c>
      <c r="W59" s="2"/>
      <c r="X59" s="6">
        <f t="shared" si="34"/>
        <v>-1335.3600000000006</v>
      </c>
      <c r="Y59" s="2"/>
      <c r="Z59" s="7">
        <f t="shared" si="35"/>
        <v>-0.15721603665736972</v>
      </c>
    </row>
    <row r="60" spans="1:26" s="25" customFormat="1" outlineLevel="1" collapsed="1" x14ac:dyDescent="0.25">
      <c r="A60" s="27"/>
      <c r="B60" s="13" t="str">
        <f>CONCATENATE("     ","Insurance                                         ")</f>
        <v xml:space="preserve">     Insurance                                         </v>
      </c>
      <c r="C60" s="13"/>
      <c r="D60" s="1">
        <f>SUM(OSRRefD22_10x_0)</f>
        <v>5.9</v>
      </c>
      <c r="E60" s="1"/>
      <c r="F60" s="5">
        <f t="shared" si="28"/>
        <v>6.9705050757091371E-5</v>
      </c>
      <c r="G60" s="1"/>
      <c r="H60" s="1">
        <f>SUM(OSRRefH22_10x_0)</f>
        <v>5.9</v>
      </c>
      <c r="I60" s="1"/>
      <c r="J60" s="5">
        <f t="shared" si="29"/>
        <v>4.4634076901246384E-6</v>
      </c>
      <c r="K60" s="1"/>
      <c r="L60" s="1">
        <f t="shared" si="30"/>
        <v>0</v>
      </c>
      <c r="M60" s="1"/>
      <c r="N60" s="5">
        <f t="shared" si="31"/>
        <v>0</v>
      </c>
      <c r="O60" s="13"/>
      <c r="P60" s="1">
        <f>SUM(OSRRefP22_10x_0)</f>
        <v>47.2</v>
      </c>
      <c r="Q60" s="1"/>
      <c r="R60" s="5">
        <f t="shared" si="32"/>
        <v>6.2154875015566719E-5</v>
      </c>
      <c r="S60" s="1"/>
      <c r="T60" s="1">
        <f>SUM(OSRRefT22_10x_0)</f>
        <v>47.2</v>
      </c>
      <c r="U60" s="1"/>
      <c r="V60" s="5">
        <f t="shared" si="33"/>
        <v>5.8566873373317501E-6</v>
      </c>
      <c r="W60" s="1"/>
      <c r="X60" s="1">
        <f t="shared" si="34"/>
        <v>0</v>
      </c>
      <c r="Y60" s="1"/>
      <c r="Z60" s="5">
        <f t="shared" si="35"/>
        <v>0</v>
      </c>
    </row>
    <row r="61" spans="1:26" s="24" customFormat="1" hidden="1" outlineLevel="2" x14ac:dyDescent="0.25">
      <c r="A61" s="26"/>
      <c r="B61" s="11" t="str">
        <f>CONCATENATE("          ", "6314", " - ", "LIABILITY INSURANCE")</f>
        <v xml:space="preserve">          6314 - LIABILITY INSURANCE</v>
      </c>
      <c r="C61" s="11"/>
      <c r="D61" s="6">
        <v>5.9</v>
      </c>
      <c r="E61" s="2"/>
      <c r="F61" s="7">
        <f t="shared" si="28"/>
        <v>6.9705050757091371E-5</v>
      </c>
      <c r="G61" s="2"/>
      <c r="H61" s="6">
        <v>5.9</v>
      </c>
      <c r="I61" s="2"/>
      <c r="J61" s="7">
        <f t="shared" si="29"/>
        <v>4.4634076901246384E-6</v>
      </c>
      <c r="K61" s="2"/>
      <c r="L61" s="6">
        <f t="shared" si="30"/>
        <v>0</v>
      </c>
      <c r="M61" s="2"/>
      <c r="N61" s="7">
        <f t="shared" si="31"/>
        <v>0</v>
      </c>
      <c r="O61" s="11"/>
      <c r="P61" s="6">
        <v>47.2</v>
      </c>
      <c r="Q61" s="2"/>
      <c r="R61" s="7">
        <f t="shared" si="32"/>
        <v>6.2154875015566719E-5</v>
      </c>
      <c r="S61" s="2"/>
      <c r="T61" s="6">
        <v>47.2</v>
      </c>
      <c r="U61" s="2"/>
      <c r="V61" s="7">
        <f t="shared" si="33"/>
        <v>5.8566873373317501E-6</v>
      </c>
      <c r="W61" s="2"/>
      <c r="X61" s="6">
        <f t="shared" si="34"/>
        <v>0</v>
      </c>
      <c r="Y61" s="2"/>
      <c r="Z61" s="7">
        <f t="shared" si="35"/>
        <v>0</v>
      </c>
    </row>
    <row r="62" spans="1:26" s="25" customFormat="1" outlineLevel="1" collapsed="1" x14ac:dyDescent="0.25">
      <c r="A62" s="27"/>
      <c r="B62" s="13" t="str">
        <f>CONCATENATE("     ","R/H Commissions                                   ")</f>
        <v xml:space="preserve">     R/H Commissions                                   </v>
      </c>
      <c r="C62" s="13"/>
      <c r="D62" s="1">
        <f>SUM(OSRRefD22_11x_0)</f>
        <v>6342.49</v>
      </c>
      <c r="E62" s="1"/>
      <c r="F62" s="5">
        <f t="shared" si="28"/>
        <v>7.4932811419719386E-2</v>
      </c>
      <c r="G62" s="1"/>
      <c r="H62" s="1">
        <f>SUM(OSRRefH22_11x_0)</f>
        <v>102261.27</v>
      </c>
      <c r="I62" s="1"/>
      <c r="J62" s="5">
        <f t="shared" si="29"/>
        <v>7.7361650664391851E-2</v>
      </c>
      <c r="K62" s="1"/>
      <c r="L62" s="1">
        <f t="shared" si="30"/>
        <v>-95918.78</v>
      </c>
      <c r="M62" s="1"/>
      <c r="N62" s="5">
        <f t="shared" si="31"/>
        <v>-0.93797759405882597</v>
      </c>
      <c r="O62" s="13"/>
      <c r="P62" s="1">
        <f>SUM(OSRRefP22_11x_0)</f>
        <v>52255.85</v>
      </c>
      <c r="Q62" s="1"/>
      <c r="R62" s="5">
        <f t="shared" si="32"/>
        <v>6.8812623423351732E-2</v>
      </c>
      <c r="S62" s="1"/>
      <c r="T62" s="1">
        <f>SUM(OSRRefT22_11x_0)</f>
        <v>626051.28</v>
      </c>
      <c r="U62" s="1"/>
      <c r="V62" s="5">
        <f t="shared" si="33"/>
        <v>7.7681919578312164E-2</v>
      </c>
      <c r="W62" s="1"/>
      <c r="X62" s="1">
        <f t="shared" si="34"/>
        <v>-573795.43000000005</v>
      </c>
      <c r="Y62" s="1"/>
      <c r="Z62" s="5">
        <f t="shared" si="35"/>
        <v>-0.9165310387992498</v>
      </c>
    </row>
    <row r="63" spans="1:26" s="24" customFormat="1" hidden="1" outlineLevel="2" x14ac:dyDescent="0.25">
      <c r="A63" s="26"/>
      <c r="B63" s="11" t="str">
        <f>CONCATENATE("          ", "6387", " - ", "COMMISSION DUE HOUSING")</f>
        <v xml:space="preserve">          6387 - COMMISSION DUE HOUSING</v>
      </c>
      <c r="C63" s="11"/>
      <c r="D63" s="6">
        <v>6342.49</v>
      </c>
      <c r="E63" s="2"/>
      <c r="F63" s="7">
        <f t="shared" si="28"/>
        <v>7.4932811419719386E-2</v>
      </c>
      <c r="G63" s="2"/>
      <c r="H63" s="6">
        <v>102261.27</v>
      </c>
      <c r="I63" s="2"/>
      <c r="J63" s="7">
        <f t="shared" si="29"/>
        <v>7.7361650664391851E-2</v>
      </c>
      <c r="K63" s="2"/>
      <c r="L63" s="6">
        <f t="shared" si="30"/>
        <v>-95918.78</v>
      </c>
      <c r="M63" s="2"/>
      <c r="N63" s="7">
        <f t="shared" si="31"/>
        <v>-0.93797759405882597</v>
      </c>
      <c r="O63" s="11"/>
      <c r="P63" s="6">
        <v>52255.85</v>
      </c>
      <c r="Q63" s="2"/>
      <c r="R63" s="7">
        <f t="shared" si="32"/>
        <v>6.8812623423351732E-2</v>
      </c>
      <c r="S63" s="2"/>
      <c r="T63" s="6">
        <v>626051.28</v>
      </c>
      <c r="U63" s="2"/>
      <c r="V63" s="7">
        <f t="shared" si="33"/>
        <v>7.7681919578312164E-2</v>
      </c>
      <c r="W63" s="2"/>
      <c r="X63" s="6">
        <f t="shared" si="34"/>
        <v>-573795.43000000005</v>
      </c>
      <c r="Y63" s="2"/>
      <c r="Z63" s="7">
        <f t="shared" si="35"/>
        <v>-0.9165310387992498</v>
      </c>
    </row>
    <row r="64" spans="1:26" s="25" customFormat="1" outlineLevel="1" collapsed="1" x14ac:dyDescent="0.25">
      <c r="A64" s="27"/>
      <c r="B64" s="13" t="str">
        <f>CONCATENATE("     ","Repair and Maintenance                            ")</f>
        <v xml:space="preserve">     Repair and Maintenance                            </v>
      </c>
      <c r="C64" s="13"/>
      <c r="D64" s="1">
        <f>SUM(OSRRefD22_12x_0)</f>
        <v>3587.74</v>
      </c>
      <c r="E64" s="1"/>
      <c r="F64" s="5">
        <f t="shared" si="28"/>
        <v>4.2387050644618132E-2</v>
      </c>
      <c r="G64" s="1"/>
      <c r="H64" s="1">
        <f>SUM(OSRRefH22_12x_0)</f>
        <v>39208.270000000004</v>
      </c>
      <c r="I64" s="1"/>
      <c r="J64" s="5">
        <f t="shared" si="29"/>
        <v>2.9661439632963246E-2</v>
      </c>
      <c r="K64" s="1"/>
      <c r="L64" s="1">
        <f t="shared" si="30"/>
        <v>-35620.530000000006</v>
      </c>
      <c r="M64" s="1"/>
      <c r="N64" s="5">
        <f t="shared" si="31"/>
        <v>-0.90849532509340514</v>
      </c>
      <c r="O64" s="13"/>
      <c r="P64" s="1">
        <f>SUM(OSRRefP22_12x_0)</f>
        <v>15259.470000000001</v>
      </c>
      <c r="Q64" s="1"/>
      <c r="R64" s="5">
        <f t="shared" si="32"/>
        <v>2.0094289208766734E-2</v>
      </c>
      <c r="S64" s="1"/>
      <c r="T64" s="1">
        <f>SUM(OSRRefT22_12x_0)</f>
        <v>63017.210000000006</v>
      </c>
      <c r="U64" s="1"/>
      <c r="V64" s="5">
        <f t="shared" si="33"/>
        <v>7.819324064427452E-3</v>
      </c>
      <c r="W64" s="1"/>
      <c r="X64" s="1">
        <f t="shared" si="34"/>
        <v>-47757.740000000005</v>
      </c>
      <c r="Y64" s="1"/>
      <c r="Z64" s="5">
        <f t="shared" si="35"/>
        <v>-0.75785233906737537</v>
      </c>
    </row>
    <row r="65" spans="1:26" s="24" customFormat="1" hidden="1" outlineLevel="2" x14ac:dyDescent="0.25">
      <c r="A65" s="26"/>
      <c r="B65" s="11" t="str">
        <f>CONCATENATE("          ", "6371", " - ", "COMPUTER SOFTWARE MAINTENANCE")</f>
        <v xml:space="preserve">          6371 - COMPUTER SOFTWARE MAINTENANCE</v>
      </c>
      <c r="C65" s="11"/>
      <c r="D65" s="6">
        <v>3500</v>
      </c>
      <c r="E65" s="2"/>
      <c r="F65" s="7">
        <f t="shared" si="28"/>
        <v>4.1350453838952507E-2</v>
      </c>
      <c r="G65" s="2"/>
      <c r="H65" s="6">
        <v>40245</v>
      </c>
      <c r="I65" s="2"/>
      <c r="J65" s="7">
        <f t="shared" si="29"/>
        <v>3.0445736015095943E-2</v>
      </c>
      <c r="K65" s="2"/>
      <c r="L65" s="6">
        <f t="shared" si="30"/>
        <v>-36745</v>
      </c>
      <c r="M65" s="2"/>
      <c r="N65" s="7">
        <f t="shared" si="31"/>
        <v>-0.91303267486644302</v>
      </c>
      <c r="O65" s="11"/>
      <c r="P65" s="6">
        <v>10500</v>
      </c>
      <c r="Q65" s="2"/>
      <c r="R65" s="7">
        <f t="shared" si="32"/>
        <v>1.3826826009818867E-2</v>
      </c>
      <c r="S65" s="2"/>
      <c r="T65" s="6">
        <v>63062.930000000008</v>
      </c>
      <c r="U65" s="2"/>
      <c r="V65" s="7">
        <f t="shared" si="33"/>
        <v>7.8249971098736989E-3</v>
      </c>
      <c r="W65" s="2"/>
      <c r="X65" s="6">
        <f t="shared" si="34"/>
        <v>-52562.930000000008</v>
      </c>
      <c r="Y65" s="2"/>
      <c r="Z65" s="7">
        <f t="shared" si="35"/>
        <v>-0.83349964868425874</v>
      </c>
    </row>
    <row r="66" spans="1:26" s="24" customFormat="1" hidden="1" outlineLevel="2" x14ac:dyDescent="0.25">
      <c r="A66" s="26"/>
      <c r="B66" s="11" t="str">
        <f>CONCATENATE("          ", "6373", " - ", "MAINTENANCE CONTRACTS")</f>
        <v xml:space="preserve">          6373 - MAINTENANCE CONTRACTS</v>
      </c>
      <c r="C66" s="11"/>
      <c r="D66" s="6">
        <v>9.5399999999999991</v>
      </c>
      <c r="E66" s="2"/>
      <c r="F66" s="7">
        <f t="shared" si="28"/>
        <v>1.1270952274960195E-4</v>
      </c>
      <c r="G66" s="2"/>
      <c r="H66" s="6">
        <v>17.829999999999998</v>
      </c>
      <c r="I66" s="2"/>
      <c r="J66" s="7">
        <f t="shared" si="29"/>
        <v>1.3488569341512251E-5</v>
      </c>
      <c r="K66" s="2"/>
      <c r="L66" s="6">
        <f t="shared" si="30"/>
        <v>-8.2899999999999991</v>
      </c>
      <c r="M66" s="2"/>
      <c r="N66" s="7">
        <f t="shared" si="31"/>
        <v>-0.46494671901289958</v>
      </c>
      <c r="O66" s="11"/>
      <c r="P66" s="6">
        <v>2985.45</v>
      </c>
      <c r="Q66" s="2"/>
      <c r="R66" s="7">
        <f t="shared" si="32"/>
        <v>3.9313616867632127E-3</v>
      </c>
      <c r="S66" s="2"/>
      <c r="T66" s="6">
        <v>499.65</v>
      </c>
      <c r="U66" s="2"/>
      <c r="V66" s="7">
        <f t="shared" si="33"/>
        <v>6.1997750595292554E-5</v>
      </c>
      <c r="W66" s="2"/>
      <c r="X66" s="6">
        <f t="shared" si="34"/>
        <v>2485.7999999999997</v>
      </c>
      <c r="Y66" s="2"/>
      <c r="Z66" s="7">
        <f t="shared" si="35"/>
        <v>4.9750825577904534</v>
      </c>
    </row>
    <row r="67" spans="1:26" s="24" customFormat="1" hidden="1" outlineLevel="2" x14ac:dyDescent="0.25">
      <c r="A67" s="26"/>
      <c r="B67" s="11" t="str">
        <f>CONCATENATE("          ", "6375", " - ", "OUTSIDE REPAIRS &amp; MAINTENANCE")</f>
        <v xml:space="preserve">          6375 - OUTSIDE REPAIRS &amp; MAINTENANCE</v>
      </c>
      <c r="C67" s="11"/>
      <c r="D67" s="6">
        <v>78.2</v>
      </c>
      <c r="E67" s="2"/>
      <c r="F67" s="7">
        <f t="shared" si="28"/>
        <v>9.2388728291602456E-4</v>
      </c>
      <c r="G67" s="2"/>
      <c r="H67" s="6">
        <v>-1054.56</v>
      </c>
      <c r="I67" s="2"/>
      <c r="J67" s="7">
        <f t="shared" si="29"/>
        <v>-7.9778495147420981E-4</v>
      </c>
      <c r="K67" s="2"/>
      <c r="L67" s="6">
        <f t="shared" si="30"/>
        <v>1132.76</v>
      </c>
      <c r="M67" s="2"/>
      <c r="N67" s="7">
        <f t="shared" si="31"/>
        <v>-1.0741541495979365</v>
      </c>
      <c r="O67" s="11"/>
      <c r="P67" s="6">
        <v>1774.02</v>
      </c>
      <c r="Q67" s="2"/>
      <c r="R67" s="7">
        <f t="shared" si="32"/>
        <v>2.3361015121846538E-3</v>
      </c>
      <c r="S67" s="2"/>
      <c r="T67" s="6">
        <v>-545.37</v>
      </c>
      <c r="U67" s="2"/>
      <c r="V67" s="7">
        <f t="shared" si="33"/>
        <v>-6.7670796041538481E-5</v>
      </c>
      <c r="W67" s="2"/>
      <c r="X67" s="6">
        <f t="shared" si="34"/>
        <v>2319.39</v>
      </c>
      <c r="Y67" s="2"/>
      <c r="Z67" s="7">
        <f t="shared" si="35"/>
        <v>-4.2528741955003024</v>
      </c>
    </row>
    <row r="68" spans="1:26" s="25" customFormat="1" outlineLevel="1" collapsed="1" x14ac:dyDescent="0.25">
      <c r="A68" s="27"/>
      <c r="B68" s="13" t="str">
        <f>CONCATENATE("     ","Services                                          ")</f>
        <v xml:space="preserve">     Services                                          </v>
      </c>
      <c r="C68" s="13"/>
      <c r="D68" s="1">
        <f>SUM(OSRRefD22_13x_0)</f>
        <v>10292.240000000002</v>
      </c>
      <c r="E68" s="1"/>
      <c r="F68" s="5">
        <f t="shared" ref="F68:F72" si="36">IF(D$12=0,0,D68/D$12)</f>
        <v>0.12159679857697732</v>
      </c>
      <c r="G68" s="1"/>
      <c r="H68" s="1">
        <f>SUM(OSRRefH22_13x_0)</f>
        <v>19905.43</v>
      </c>
      <c r="I68" s="1"/>
      <c r="J68" s="5">
        <f t="shared" ref="J68:J72" si="37">IF(H$12=0,0,H68/H$12)</f>
        <v>1.5058652430040283E-2</v>
      </c>
      <c r="K68" s="1"/>
      <c r="L68" s="1">
        <f t="shared" ref="L68:L72" si="38">+D68-H68</f>
        <v>-9613.1899999999987</v>
      </c>
      <c r="M68" s="1"/>
      <c r="N68" s="5">
        <f t="shared" ref="N68:N72" si="39">IF(H68=0,0,L68/H68)</f>
        <v>-0.48294309643147615</v>
      </c>
      <c r="O68" s="13"/>
      <c r="P68" s="1">
        <f>SUM(OSRRefP22_13x_0)</f>
        <v>89099.18</v>
      </c>
      <c r="Q68" s="1"/>
      <c r="R68" s="5">
        <f t="shared" ref="R68:R72" si="40">IF(P$12=0,0,P68/P$12)</f>
        <v>0.11732941518833646</v>
      </c>
      <c r="S68" s="1"/>
      <c r="T68" s="1">
        <f>SUM(OSRRefT22_13x_0)</f>
        <v>148858.28999999998</v>
      </c>
      <c r="U68" s="1"/>
      <c r="V68" s="5">
        <f t="shared" ref="V68:V72" si="41">IF(T$12=0,0,T68/T$12)</f>
        <v>1.847068775635291E-2</v>
      </c>
      <c r="W68" s="1"/>
      <c r="X68" s="1">
        <f t="shared" ref="X68:X72" si="42">+P68-T68</f>
        <v>-59759.109999999986</v>
      </c>
      <c r="Y68" s="1"/>
      <c r="Z68" s="5">
        <f t="shared" ref="Z68:Z72" si="43">IF(T68=0,0,X68/T68)</f>
        <v>-0.40144966061345994</v>
      </c>
    </row>
    <row r="69" spans="1:26" s="24" customFormat="1" hidden="1" outlineLevel="2" x14ac:dyDescent="0.25">
      <c r="A69" s="26"/>
      <c r="B69" s="11" t="str">
        <f>CONCATENATE("          ", "6282", " - ", "JANITORIAL/EXTERMINATOR EXPENS")</f>
        <v xml:space="preserve">          6282 - JANITORIAL/EXTERMINATOR EXPENS</v>
      </c>
      <c r="C69" s="11"/>
      <c r="D69" s="6">
        <v>421.34</v>
      </c>
      <c r="E69" s="2"/>
      <c r="F69" s="7">
        <f t="shared" si="36"/>
        <v>4.977885777286928E-3</v>
      </c>
      <c r="G69" s="2"/>
      <c r="H69" s="6">
        <v>3016.6</v>
      </c>
      <c r="I69" s="2"/>
      <c r="J69" s="7">
        <f t="shared" si="37"/>
        <v>2.2820873962762682E-3</v>
      </c>
      <c r="K69" s="2"/>
      <c r="L69" s="6">
        <f t="shared" si="38"/>
        <v>-2595.2599999999998</v>
      </c>
      <c r="M69" s="2"/>
      <c r="N69" s="7">
        <f t="shared" si="39"/>
        <v>-0.86032619505403429</v>
      </c>
      <c r="O69" s="11"/>
      <c r="P69" s="6">
        <v>9916.65</v>
      </c>
      <c r="Q69" s="2"/>
      <c r="R69" s="7">
        <f t="shared" si="40"/>
        <v>1.30586470619305E-2</v>
      </c>
      <c r="S69" s="2"/>
      <c r="T69" s="6">
        <v>13844.7</v>
      </c>
      <c r="U69" s="2"/>
      <c r="V69" s="7">
        <f t="shared" si="41"/>
        <v>1.7178830334567137E-3</v>
      </c>
      <c r="W69" s="2"/>
      <c r="X69" s="6">
        <f t="shared" si="42"/>
        <v>-3928.0500000000011</v>
      </c>
      <c r="Y69" s="2"/>
      <c r="Z69" s="7">
        <f t="shared" si="43"/>
        <v>-0.28372229084053829</v>
      </c>
    </row>
    <row r="70" spans="1:26" s="24" customFormat="1" hidden="1" outlineLevel="2" x14ac:dyDescent="0.25">
      <c r="A70" s="26"/>
      <c r="B70" s="11" t="str">
        <f>CONCATENATE("          ", "6284", " - ", "TRASH REMOVAL EXPENSE")</f>
        <v xml:space="preserve">          6284 - TRASH REMOVAL EXPENSE</v>
      </c>
      <c r="C70" s="11"/>
      <c r="D70" s="6"/>
      <c r="E70" s="2"/>
      <c r="F70" s="7">
        <f t="shared" si="36"/>
        <v>0</v>
      </c>
      <c r="G70" s="2"/>
      <c r="H70" s="6"/>
      <c r="I70" s="2"/>
      <c r="J70" s="7">
        <f t="shared" si="37"/>
        <v>0</v>
      </c>
      <c r="K70" s="2"/>
      <c r="L70" s="6">
        <f t="shared" si="38"/>
        <v>0</v>
      </c>
      <c r="M70" s="2"/>
      <c r="N70" s="7">
        <f t="shared" si="39"/>
        <v>0</v>
      </c>
      <c r="O70" s="11"/>
      <c r="P70" s="6">
        <v>282.75</v>
      </c>
      <c r="Q70" s="2"/>
      <c r="R70" s="7">
        <f t="shared" si="40"/>
        <v>3.723366718358366E-4</v>
      </c>
      <c r="S70" s="2"/>
      <c r="T70" s="6"/>
      <c r="U70" s="2"/>
      <c r="V70" s="7">
        <f t="shared" si="41"/>
        <v>0</v>
      </c>
      <c r="W70" s="2"/>
      <c r="X70" s="6">
        <f t="shared" si="42"/>
        <v>282.75</v>
      </c>
      <c r="Y70" s="2"/>
      <c r="Z70" s="7">
        <f t="shared" si="43"/>
        <v>0</v>
      </c>
    </row>
    <row r="71" spans="1:26" s="24" customFormat="1" hidden="1" outlineLevel="2" x14ac:dyDescent="0.25">
      <c r="A71" s="26"/>
      <c r="B71" s="11" t="str">
        <f>CONCATENATE("          ", "6285", " - ", "JANITORIAL SERVICES")</f>
        <v xml:space="preserve">          6285 - JANITORIAL SERVICES</v>
      </c>
      <c r="C71" s="11"/>
      <c r="D71" s="6">
        <v>8897.19</v>
      </c>
      <c r="E71" s="2"/>
      <c r="F71" s="7">
        <f t="shared" si="36"/>
        <v>0.10511509839753996</v>
      </c>
      <c r="G71" s="2"/>
      <c r="H71" s="6">
        <v>12248.2</v>
      </c>
      <c r="I71" s="2"/>
      <c r="J71" s="7">
        <f t="shared" si="37"/>
        <v>9.2658830627431518E-3</v>
      </c>
      <c r="K71" s="2"/>
      <c r="L71" s="6">
        <f t="shared" si="38"/>
        <v>-3351.01</v>
      </c>
      <c r="M71" s="2"/>
      <c r="N71" s="7">
        <f t="shared" si="39"/>
        <v>-0.27359203801374898</v>
      </c>
      <c r="O71" s="11"/>
      <c r="P71" s="6">
        <v>67096.36</v>
      </c>
      <c r="Q71" s="2"/>
      <c r="R71" s="7">
        <f t="shared" si="40"/>
        <v>8.835520910592097E-2</v>
      </c>
      <c r="S71" s="2"/>
      <c r="T71" s="6">
        <v>98581.42</v>
      </c>
      <c r="U71" s="2"/>
      <c r="V71" s="7">
        <f t="shared" si="41"/>
        <v>1.2232215131571671E-2</v>
      </c>
      <c r="W71" s="2"/>
      <c r="X71" s="6">
        <f t="shared" si="42"/>
        <v>-31485.059999999998</v>
      </c>
      <c r="Y71" s="2"/>
      <c r="Z71" s="7">
        <f t="shared" si="43"/>
        <v>-0.31938127894688467</v>
      </c>
    </row>
    <row r="72" spans="1:26" s="24" customFormat="1" hidden="1" outlineLevel="2" x14ac:dyDescent="0.25">
      <c r="A72" s="26"/>
      <c r="B72" s="11" t="str">
        <f>CONCATENATE("          ", "6286", " - ", "LAUNDRY EXPENSE")</f>
        <v xml:space="preserve">          6286 - LAUNDRY EXPENSE</v>
      </c>
      <c r="C72" s="11"/>
      <c r="D72" s="6">
        <v>973.71</v>
      </c>
      <c r="E72" s="2"/>
      <c r="F72" s="7">
        <f t="shared" si="36"/>
        <v>1.1503814402150413E-2</v>
      </c>
      <c r="G72" s="2"/>
      <c r="H72" s="6">
        <v>4640.63</v>
      </c>
      <c r="I72" s="2"/>
      <c r="J72" s="7">
        <f t="shared" si="37"/>
        <v>3.5106819710208643E-3</v>
      </c>
      <c r="K72" s="2"/>
      <c r="L72" s="6">
        <f t="shared" si="38"/>
        <v>-3666.92</v>
      </c>
      <c r="M72" s="2"/>
      <c r="N72" s="7">
        <f t="shared" si="39"/>
        <v>-0.79017719576867795</v>
      </c>
      <c r="O72" s="11"/>
      <c r="P72" s="6">
        <v>11803.42</v>
      </c>
      <c r="Q72" s="2"/>
      <c r="R72" s="7">
        <f t="shared" si="40"/>
        <v>1.5543222348649162E-2</v>
      </c>
      <c r="S72" s="2"/>
      <c r="T72" s="6">
        <v>36432.17</v>
      </c>
      <c r="U72" s="2"/>
      <c r="V72" s="7">
        <f t="shared" si="41"/>
        <v>4.520589591324526E-3</v>
      </c>
      <c r="W72" s="2"/>
      <c r="X72" s="6">
        <f t="shared" si="42"/>
        <v>-24628.75</v>
      </c>
      <c r="Y72" s="2"/>
      <c r="Z72" s="7">
        <f t="shared" si="43"/>
        <v>-0.67601655350202861</v>
      </c>
    </row>
    <row r="73" spans="1:26" s="25" customFormat="1" outlineLevel="1" collapsed="1" x14ac:dyDescent="0.25">
      <c r="A73" s="27"/>
      <c r="B73" s="13" t="str">
        <f>CONCATENATE("     ","Subscriptions &amp; Dues                              ")</f>
        <v xml:space="preserve">     Subscriptions &amp; Dues                              </v>
      </c>
      <c r="C73" s="13"/>
      <c r="D73" s="1">
        <f>SUM(OSRRefD22_14x_0)</f>
        <v>0</v>
      </c>
      <c r="E73" s="1"/>
      <c r="F73" s="5">
        <f t="shared" ref="F73:F84" si="44">IF(D$12=0,0,D73/D$12)</f>
        <v>0</v>
      </c>
      <c r="G73" s="1"/>
      <c r="H73" s="1">
        <f>SUM(OSRRefH22_14x_0)</f>
        <v>0</v>
      </c>
      <c r="I73" s="1"/>
      <c r="J73" s="5">
        <f t="shared" ref="J73:J84" si="45">IF(H$12=0,0,H73/H$12)</f>
        <v>0</v>
      </c>
      <c r="K73" s="1"/>
      <c r="L73" s="1">
        <f t="shared" ref="L73:L84" si="46">+D73-H73</f>
        <v>0</v>
      </c>
      <c r="M73" s="1"/>
      <c r="N73" s="5">
        <f t="shared" ref="N73:N84" si="47">IF(H73=0,0,L73/H73)</f>
        <v>0</v>
      </c>
      <c r="O73" s="13"/>
      <c r="P73" s="1">
        <f>SUM(OSRRefP22_14x_0)</f>
        <v>795</v>
      </c>
      <c r="Q73" s="1"/>
      <c r="R73" s="5">
        <f t="shared" ref="R73:R84" si="48">IF(P$12=0,0,P73/P$12)</f>
        <v>1.0468882550291427E-3</v>
      </c>
      <c r="S73" s="1"/>
      <c r="T73" s="1">
        <f>SUM(OSRRefT22_14x_0)</f>
        <v>0</v>
      </c>
      <c r="U73" s="1"/>
      <c r="V73" s="5">
        <f t="shared" ref="V73:V84" si="49">IF(T$12=0,0,T73/T$12)</f>
        <v>0</v>
      </c>
      <c r="W73" s="1"/>
      <c r="X73" s="1">
        <f t="shared" ref="X73:X84" si="50">+P73-T73</f>
        <v>795</v>
      </c>
      <c r="Y73" s="1"/>
      <c r="Z73" s="5">
        <f t="shared" ref="Z73:Z84" si="51">IF(T73=0,0,X73/T73)</f>
        <v>0</v>
      </c>
    </row>
    <row r="74" spans="1:26" s="24" customFormat="1" hidden="1" outlineLevel="2" x14ac:dyDescent="0.25">
      <c r="A74" s="26"/>
      <c r="B74" s="11" t="str">
        <f>CONCATENATE("          ", "6258", " - ", "MEMBERSHIP DUES")</f>
        <v xml:space="preserve">          6258 - MEMBERSHIP DUES</v>
      </c>
      <c r="C74" s="11"/>
      <c r="D74" s="6"/>
      <c r="E74" s="2"/>
      <c r="F74" s="7">
        <f t="shared" si="44"/>
        <v>0</v>
      </c>
      <c r="G74" s="2"/>
      <c r="H74" s="6"/>
      <c r="I74" s="2"/>
      <c r="J74" s="7">
        <f t="shared" si="45"/>
        <v>0</v>
      </c>
      <c r="K74" s="2"/>
      <c r="L74" s="6">
        <f t="shared" si="46"/>
        <v>0</v>
      </c>
      <c r="M74" s="2"/>
      <c r="N74" s="7">
        <f t="shared" si="47"/>
        <v>0</v>
      </c>
      <c r="O74" s="11"/>
      <c r="P74" s="6">
        <v>795</v>
      </c>
      <c r="Q74" s="2"/>
      <c r="R74" s="7">
        <f t="shared" si="48"/>
        <v>1.0468882550291427E-3</v>
      </c>
      <c r="S74" s="2"/>
      <c r="T74" s="6"/>
      <c r="U74" s="2"/>
      <c r="V74" s="7">
        <f t="shared" si="49"/>
        <v>0</v>
      </c>
      <c r="W74" s="2"/>
      <c r="X74" s="6">
        <f t="shared" si="50"/>
        <v>795</v>
      </c>
      <c r="Y74" s="2"/>
      <c r="Z74" s="7">
        <f t="shared" si="51"/>
        <v>0</v>
      </c>
    </row>
    <row r="75" spans="1:26" s="25" customFormat="1" outlineLevel="1" collapsed="1" x14ac:dyDescent="0.25">
      <c r="A75" s="27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SUM(OSRRefD22_15x_0)</f>
        <v>12072.349999999999</v>
      </c>
      <c r="E75" s="1"/>
      <c r="F75" s="5">
        <f t="shared" si="44"/>
        <v>0.14262775754362234</v>
      </c>
      <c r="G75" s="1"/>
      <c r="H75" s="1">
        <f>SUM(OSRRefH22_15x_0)</f>
        <v>19615.349999999999</v>
      </c>
      <c r="I75" s="1"/>
      <c r="J75" s="5">
        <f t="shared" si="45"/>
        <v>1.4839204073641747E-2</v>
      </c>
      <c r="K75" s="1"/>
      <c r="L75" s="1">
        <f t="shared" si="46"/>
        <v>-7543</v>
      </c>
      <c r="M75" s="1"/>
      <c r="N75" s="5">
        <f t="shared" si="47"/>
        <v>-0.38454577664940981</v>
      </c>
      <c r="O75" s="13"/>
      <c r="P75" s="1">
        <f>SUM(OSRRefP22_15x_0)</f>
        <v>112571.37</v>
      </c>
      <c r="Q75" s="1"/>
      <c r="R75" s="5">
        <f t="shared" si="48"/>
        <v>0.148238547302566</v>
      </c>
      <c r="S75" s="1"/>
      <c r="T75" s="1">
        <f>SUM(OSRRefT22_15x_0)</f>
        <v>169882.46</v>
      </c>
      <c r="U75" s="1"/>
      <c r="V75" s="5">
        <f t="shared" si="49"/>
        <v>2.1079416362643377E-2</v>
      </c>
      <c r="W75" s="1"/>
      <c r="X75" s="1">
        <f t="shared" si="50"/>
        <v>-57311.09</v>
      </c>
      <c r="Y75" s="1"/>
      <c r="Z75" s="5">
        <f t="shared" si="51"/>
        <v>-0.33735731163770527</v>
      </c>
    </row>
    <row r="76" spans="1:26" s="24" customFormat="1" hidden="1" outlineLevel="2" x14ac:dyDescent="0.25">
      <c r="A76" s="26"/>
      <c r="B76" s="11" t="str">
        <f>CONCATENATE("          ", "6234", " - ", "EXPENDABLE SUPPLIES &amp; EQUIPMEN")</f>
        <v xml:space="preserve">          6234 - EXPENDABLE SUPPLIES &amp; EQUIPMEN</v>
      </c>
      <c r="C76" s="11"/>
      <c r="D76" s="6"/>
      <c r="E76" s="2"/>
      <c r="F76" s="7">
        <f t="shared" si="44"/>
        <v>0</v>
      </c>
      <c r="G76" s="2"/>
      <c r="H76" s="6">
        <v>18.34</v>
      </c>
      <c r="I76" s="2"/>
      <c r="J76" s="7">
        <f t="shared" si="45"/>
        <v>1.3874389328285739E-5</v>
      </c>
      <c r="K76" s="2"/>
      <c r="L76" s="6">
        <f t="shared" si="46"/>
        <v>-18.34</v>
      </c>
      <c r="M76" s="2"/>
      <c r="N76" s="7">
        <f t="shared" si="47"/>
        <v>-1</v>
      </c>
      <c r="O76" s="11"/>
      <c r="P76" s="6"/>
      <c r="Q76" s="2"/>
      <c r="R76" s="7">
        <f t="shared" si="48"/>
        <v>0</v>
      </c>
      <c r="S76" s="2"/>
      <c r="T76" s="6">
        <v>118.34</v>
      </c>
      <c r="U76" s="2"/>
      <c r="V76" s="7">
        <f t="shared" si="49"/>
        <v>1.4683906345335578E-5</v>
      </c>
      <c r="W76" s="2"/>
      <c r="X76" s="6">
        <f t="shared" si="50"/>
        <v>-118.34</v>
      </c>
      <c r="Y76" s="2"/>
      <c r="Z76" s="7">
        <f t="shared" si="51"/>
        <v>-1</v>
      </c>
    </row>
    <row r="77" spans="1:26" s="24" customFormat="1" hidden="1" outlineLevel="2" x14ac:dyDescent="0.25">
      <c r="A77" s="26"/>
      <c r="B77" s="11" t="str">
        <f>CONCATENATE("          ", "6235", " - ", "COVID-19 EXPENSES")</f>
        <v xml:space="preserve">          6235 - COVID-19 EXPENSES</v>
      </c>
      <c r="C77" s="11"/>
      <c r="D77" s="6">
        <v>2921.2</v>
      </c>
      <c r="E77" s="2"/>
      <c r="F77" s="7">
        <f t="shared" si="44"/>
        <v>3.4512270215528017E-2</v>
      </c>
      <c r="G77" s="2"/>
      <c r="H77" s="6"/>
      <c r="I77" s="2"/>
      <c r="J77" s="7">
        <f t="shared" si="45"/>
        <v>0</v>
      </c>
      <c r="K77" s="2"/>
      <c r="L77" s="6">
        <f t="shared" si="46"/>
        <v>2921.2</v>
      </c>
      <c r="M77" s="2"/>
      <c r="N77" s="7">
        <f t="shared" si="47"/>
        <v>0</v>
      </c>
      <c r="O77" s="11"/>
      <c r="P77" s="6">
        <v>53569.55</v>
      </c>
      <c r="Q77" s="2"/>
      <c r="R77" s="7">
        <f t="shared" si="48"/>
        <v>7.0542556883265925E-2</v>
      </c>
      <c r="S77" s="2"/>
      <c r="T77" s="6"/>
      <c r="U77" s="2"/>
      <c r="V77" s="7">
        <f t="shared" si="49"/>
        <v>0</v>
      </c>
      <c r="W77" s="2"/>
      <c r="X77" s="6">
        <f t="shared" si="50"/>
        <v>53569.55</v>
      </c>
      <c r="Y77" s="2"/>
      <c r="Z77" s="7">
        <f t="shared" si="51"/>
        <v>0</v>
      </c>
    </row>
    <row r="78" spans="1:26" s="24" customFormat="1" hidden="1" outlineLevel="2" x14ac:dyDescent="0.25">
      <c r="A78" s="26"/>
      <c r="B78" s="11" t="str">
        <f>CONCATENATE("          ", "6237", " - ", "JANITORIAL SUPPLIES")</f>
        <v xml:space="preserve">          6237 - JANITORIAL SUPPLIES</v>
      </c>
      <c r="C78" s="11"/>
      <c r="D78" s="6">
        <v>648.99</v>
      </c>
      <c r="E78" s="2"/>
      <c r="F78" s="7">
        <f t="shared" si="44"/>
        <v>7.667437439126225E-3</v>
      </c>
      <c r="G78" s="2"/>
      <c r="H78" s="6">
        <v>8859.7999999999993</v>
      </c>
      <c r="I78" s="2"/>
      <c r="J78" s="7">
        <f t="shared" si="45"/>
        <v>6.7025253310112314E-3</v>
      </c>
      <c r="K78" s="2"/>
      <c r="L78" s="6">
        <f t="shared" si="46"/>
        <v>-8210.81</v>
      </c>
      <c r="M78" s="2"/>
      <c r="N78" s="7">
        <f t="shared" si="47"/>
        <v>-0.92674891081062782</v>
      </c>
      <c r="O78" s="11"/>
      <c r="P78" s="6">
        <v>17884.8</v>
      </c>
      <c r="Q78" s="2"/>
      <c r="R78" s="7">
        <f t="shared" si="48"/>
        <v>2.3551430268610327E-2</v>
      </c>
      <c r="S78" s="2"/>
      <c r="T78" s="6">
        <v>65255.92</v>
      </c>
      <c r="U78" s="2"/>
      <c r="V78" s="7">
        <f t="shared" si="49"/>
        <v>8.0971084819901201E-3</v>
      </c>
      <c r="W78" s="2"/>
      <c r="X78" s="6">
        <f t="shared" si="50"/>
        <v>-47371.119999999995</v>
      </c>
      <c r="Y78" s="2"/>
      <c r="Z78" s="7">
        <f t="shared" si="51"/>
        <v>-0.72592831424336668</v>
      </c>
    </row>
    <row r="79" spans="1:26" s="24" customFormat="1" hidden="1" outlineLevel="2" x14ac:dyDescent="0.25">
      <c r="A79" s="26"/>
      <c r="B79" s="11" t="str">
        <f>CONCATENATE("          ", "6239", " - ", "KITCHEN SUPPLIES")</f>
        <v xml:space="preserve">          6239 - KITCHEN SUPPLIES</v>
      </c>
      <c r="C79" s="11"/>
      <c r="D79" s="6">
        <v>253.3</v>
      </c>
      <c r="E79" s="2"/>
      <c r="F79" s="7">
        <f t="shared" si="44"/>
        <v>2.9925914164019058E-3</v>
      </c>
      <c r="G79" s="2"/>
      <c r="H79" s="6">
        <v>1711.77</v>
      </c>
      <c r="I79" s="2"/>
      <c r="J79" s="7">
        <f t="shared" si="45"/>
        <v>1.2949707426651951E-3</v>
      </c>
      <c r="K79" s="2"/>
      <c r="L79" s="6">
        <f t="shared" si="46"/>
        <v>-1458.47</v>
      </c>
      <c r="M79" s="2"/>
      <c r="N79" s="7">
        <f t="shared" si="47"/>
        <v>-0.85202451263896439</v>
      </c>
      <c r="O79" s="11"/>
      <c r="P79" s="6">
        <v>7047.33</v>
      </c>
      <c r="Q79" s="2"/>
      <c r="R79" s="7">
        <f t="shared" si="48"/>
        <v>9.2802100708358846E-3</v>
      </c>
      <c r="S79" s="2"/>
      <c r="T79" s="6">
        <v>26642.92</v>
      </c>
      <c r="U79" s="2"/>
      <c r="V79" s="7">
        <f t="shared" si="49"/>
        <v>3.3059163600326867E-3</v>
      </c>
      <c r="W79" s="2"/>
      <c r="X79" s="6">
        <f t="shared" si="50"/>
        <v>-19595.589999999997</v>
      </c>
      <c r="Y79" s="2"/>
      <c r="Z79" s="7">
        <f t="shared" si="51"/>
        <v>-0.73548957846962715</v>
      </c>
    </row>
    <row r="80" spans="1:26" s="24" customFormat="1" hidden="1" outlineLevel="2" x14ac:dyDescent="0.25">
      <c r="A80" s="26"/>
      <c r="B80" s="11" t="str">
        <f>CONCATENATE("          ", "6241", " - ", "OFFICE EXPENSE")</f>
        <v xml:space="preserve">          6241 - OFFICE EXPENSE</v>
      </c>
      <c r="C80" s="11"/>
      <c r="D80" s="6">
        <v>1048.1199999999999</v>
      </c>
      <c r="E80" s="2"/>
      <c r="F80" s="7">
        <f t="shared" si="44"/>
        <v>1.2382925050766541E-2</v>
      </c>
      <c r="G80" s="2"/>
      <c r="H80" s="6">
        <v>1056.43</v>
      </c>
      <c r="I80" s="2"/>
      <c r="J80" s="7">
        <f t="shared" si="45"/>
        <v>7.9919962475904604E-4</v>
      </c>
      <c r="K80" s="2"/>
      <c r="L80" s="6">
        <f t="shared" si="46"/>
        <v>-8.3100000000001728</v>
      </c>
      <c r="M80" s="2"/>
      <c r="N80" s="7">
        <f t="shared" si="47"/>
        <v>-7.8661151235767373E-3</v>
      </c>
      <c r="O80" s="11"/>
      <c r="P80" s="6">
        <v>5315.61</v>
      </c>
      <c r="Q80" s="2"/>
      <c r="R80" s="7">
        <f t="shared" si="48"/>
        <v>6.999810914862215E-3</v>
      </c>
      <c r="S80" s="2"/>
      <c r="T80" s="6">
        <v>27429.62</v>
      </c>
      <c r="U80" s="2"/>
      <c r="V80" s="7">
        <f t="shared" si="49"/>
        <v>3.4035319517335106E-3</v>
      </c>
      <c r="W80" s="2"/>
      <c r="X80" s="6">
        <f t="shared" si="50"/>
        <v>-22114.01</v>
      </c>
      <c r="Y80" s="2"/>
      <c r="Z80" s="7">
        <f t="shared" si="51"/>
        <v>-0.80620912721357418</v>
      </c>
    </row>
    <row r="81" spans="1:26" s="24" customFormat="1" hidden="1" outlineLevel="2" x14ac:dyDescent="0.25">
      <c r="A81" s="26"/>
      <c r="B81" s="11" t="str">
        <f>CONCATENATE("          ", "6243", " - ", "PAPER SUPPLIES")</f>
        <v xml:space="preserve">          6243 - PAPER SUPPLIES</v>
      </c>
      <c r="C81" s="11"/>
      <c r="D81" s="6">
        <v>7200.74</v>
      </c>
      <c r="E81" s="2"/>
      <c r="F81" s="7">
        <f t="shared" si="44"/>
        <v>8.507253342179967E-2</v>
      </c>
      <c r="G81" s="2"/>
      <c r="H81" s="6">
        <v>7969.01</v>
      </c>
      <c r="I81" s="2"/>
      <c r="J81" s="7">
        <f t="shared" si="45"/>
        <v>6.0286339858779897E-3</v>
      </c>
      <c r="K81" s="2"/>
      <c r="L81" s="6">
        <f t="shared" si="46"/>
        <v>-768.27000000000044</v>
      </c>
      <c r="M81" s="2"/>
      <c r="N81" s="7">
        <f t="shared" si="47"/>
        <v>-9.6407207419742277E-2</v>
      </c>
      <c r="O81" s="11"/>
      <c r="P81" s="6">
        <v>24253.489999999998</v>
      </c>
      <c r="Q81" s="2"/>
      <c r="R81" s="7">
        <f t="shared" si="48"/>
        <v>3.1937979653417312E-2</v>
      </c>
      <c r="S81" s="2"/>
      <c r="T81" s="6">
        <v>50112.780000000006</v>
      </c>
      <c r="U81" s="2"/>
      <c r="V81" s="7">
        <f t="shared" si="49"/>
        <v>6.2181119505188938E-3</v>
      </c>
      <c r="W81" s="2"/>
      <c r="X81" s="6">
        <f t="shared" si="50"/>
        <v>-25859.290000000008</v>
      </c>
      <c r="Y81" s="2"/>
      <c r="Z81" s="7">
        <f t="shared" si="51"/>
        <v>-0.51602186109012527</v>
      </c>
    </row>
    <row r="82" spans="1:26" s="24" customFormat="1" hidden="1" outlineLevel="2" x14ac:dyDescent="0.25">
      <c r="A82" s="26"/>
      <c r="B82" s="11" t="str">
        <f>CONCATENATE("          ", "6245", " - ", "PRINTING")</f>
        <v xml:space="preserve">          6245 - PRINTING</v>
      </c>
      <c r="C82" s="11"/>
      <c r="D82" s="6"/>
      <c r="E82" s="2"/>
      <c r="F82" s="7">
        <f t="shared" si="44"/>
        <v>0</v>
      </c>
      <c r="G82" s="2"/>
      <c r="H82" s="6"/>
      <c r="I82" s="2"/>
      <c r="J82" s="7">
        <f t="shared" si="45"/>
        <v>0</v>
      </c>
      <c r="K82" s="2"/>
      <c r="L82" s="6">
        <f t="shared" si="46"/>
        <v>0</v>
      </c>
      <c r="M82" s="2"/>
      <c r="N82" s="7">
        <f t="shared" si="47"/>
        <v>0</v>
      </c>
      <c r="O82" s="11"/>
      <c r="P82" s="6"/>
      <c r="Q82" s="2"/>
      <c r="R82" s="7">
        <f t="shared" si="48"/>
        <v>0</v>
      </c>
      <c r="S82" s="2"/>
      <c r="T82" s="6">
        <v>1351.44</v>
      </c>
      <c r="U82" s="2"/>
      <c r="V82" s="7">
        <f t="shared" si="49"/>
        <v>1.6768986303312755E-4</v>
      </c>
      <c r="W82" s="2"/>
      <c r="X82" s="6">
        <f t="shared" si="50"/>
        <v>-1351.44</v>
      </c>
      <c r="Y82" s="2"/>
      <c r="Z82" s="7">
        <f t="shared" si="51"/>
        <v>-1</v>
      </c>
    </row>
    <row r="83" spans="1:26" s="24" customFormat="1" hidden="1" outlineLevel="2" x14ac:dyDescent="0.25">
      <c r="A83" s="26"/>
      <c r="B83" s="11" t="str">
        <f>CONCATENATE("          ", "6247", " - ", "STORE SUPPLIES")</f>
        <v xml:space="preserve">          6247 - STORE SUPPLIES</v>
      </c>
      <c r="C83" s="11"/>
      <c r="D83" s="6"/>
      <c r="E83" s="2"/>
      <c r="F83" s="7">
        <f t="shared" si="44"/>
        <v>0</v>
      </c>
      <c r="G83" s="2"/>
      <c r="H83" s="6"/>
      <c r="I83" s="2"/>
      <c r="J83" s="7">
        <f t="shared" si="45"/>
        <v>0</v>
      </c>
      <c r="K83" s="2"/>
      <c r="L83" s="6">
        <f t="shared" si="46"/>
        <v>0</v>
      </c>
      <c r="M83" s="2"/>
      <c r="N83" s="7">
        <f t="shared" si="47"/>
        <v>0</v>
      </c>
      <c r="O83" s="11"/>
      <c r="P83" s="6"/>
      <c r="Q83" s="2"/>
      <c r="R83" s="7">
        <f t="shared" si="48"/>
        <v>0</v>
      </c>
      <c r="S83" s="2"/>
      <c r="T83" s="6">
        <v>667.78</v>
      </c>
      <c r="U83" s="2"/>
      <c r="V83" s="7">
        <f t="shared" si="49"/>
        <v>8.2859717587360085E-5</v>
      </c>
      <c r="W83" s="2"/>
      <c r="X83" s="6">
        <f t="shared" si="50"/>
        <v>-667.78</v>
      </c>
      <c r="Y83" s="2"/>
      <c r="Z83" s="7">
        <f t="shared" si="51"/>
        <v>-1</v>
      </c>
    </row>
    <row r="84" spans="1:26" s="24" customFormat="1" hidden="1" outlineLevel="2" x14ac:dyDescent="0.25">
      <c r="A84" s="26"/>
      <c r="B84" s="11" t="str">
        <f>CONCATENATE("          ", "6248", " - ", "UNIFORMS")</f>
        <v xml:space="preserve">          6248 - UNIFORMS</v>
      </c>
      <c r="C84" s="11"/>
      <c r="D84" s="6"/>
      <c r="E84" s="2"/>
      <c r="F84" s="7">
        <f t="shared" si="44"/>
        <v>0</v>
      </c>
      <c r="G84" s="2"/>
      <c r="H84" s="6"/>
      <c r="I84" s="2"/>
      <c r="J84" s="7">
        <f t="shared" si="45"/>
        <v>0</v>
      </c>
      <c r="K84" s="2"/>
      <c r="L84" s="6">
        <f t="shared" si="46"/>
        <v>0</v>
      </c>
      <c r="M84" s="2"/>
      <c r="N84" s="7">
        <f t="shared" si="47"/>
        <v>0</v>
      </c>
      <c r="O84" s="11"/>
      <c r="P84" s="6">
        <v>4500.59</v>
      </c>
      <c r="Q84" s="2"/>
      <c r="R84" s="7">
        <f t="shared" si="48"/>
        <v>5.926559511574352E-3</v>
      </c>
      <c r="S84" s="2"/>
      <c r="T84" s="6">
        <v>-1696.34</v>
      </c>
      <c r="U84" s="2"/>
      <c r="V84" s="7">
        <f t="shared" si="49"/>
        <v>-2.104858685976555E-4</v>
      </c>
      <c r="W84" s="2"/>
      <c r="X84" s="6">
        <f t="shared" si="50"/>
        <v>6196.93</v>
      </c>
      <c r="Y84" s="2"/>
      <c r="Z84" s="7">
        <f t="shared" si="51"/>
        <v>-3.653117889102421</v>
      </c>
    </row>
    <row r="85" spans="1:26" s="25" customFormat="1" outlineLevel="1" collapsed="1" x14ac:dyDescent="0.25">
      <c r="A85" s="27"/>
      <c r="B85" s="13" t="str">
        <f>CONCATENATE("     ","Telephone/Data Lines                              ")</f>
        <v xml:space="preserve">     Telephone/Data Lines                              </v>
      </c>
      <c r="C85" s="13"/>
      <c r="D85" s="1">
        <f>SUM(OSRRefD22_16x_0)</f>
        <v>248</v>
      </c>
      <c r="E85" s="1"/>
      <c r="F85" s="5">
        <f t="shared" ref="F85:F90" si="52">IF(D$12=0,0,D85/D$12)</f>
        <v>2.9299750148743487E-3</v>
      </c>
      <c r="G85" s="1"/>
      <c r="H85" s="1">
        <f>SUM(OSRRefH22_16x_0)</f>
        <v>736.8</v>
      </c>
      <c r="I85" s="1"/>
      <c r="J85" s="5">
        <f t="shared" ref="J85:J90" si="53">IF(H$12=0,0,H85/H$12)</f>
        <v>5.573964044209886E-4</v>
      </c>
      <c r="K85" s="1"/>
      <c r="L85" s="1">
        <f t="shared" ref="L85:L90" si="54">+D85-H85</f>
        <v>-488.79999999999995</v>
      </c>
      <c r="M85" s="1"/>
      <c r="N85" s="5">
        <f t="shared" ref="N85:N90" si="55">IF(H85=0,0,L85/H85)</f>
        <v>-0.66340933767643862</v>
      </c>
      <c r="O85" s="13"/>
      <c r="P85" s="1">
        <f>SUM(OSRRefP22_16x_0)</f>
        <v>4279.32</v>
      </c>
      <c r="Q85" s="1"/>
      <c r="R85" s="5">
        <f t="shared" ref="R85:R90" si="56">IF(P$12=0,0,P85/P$12)</f>
        <v>5.6351821981274345E-3</v>
      </c>
      <c r="S85" s="1"/>
      <c r="T85" s="1">
        <f>SUM(OSRRefT22_16x_0)</f>
        <v>5169</v>
      </c>
      <c r="U85" s="1"/>
      <c r="V85" s="5">
        <f t="shared" ref="V85:V90" si="57">IF(T$12=0,0,T85/T$12)</f>
        <v>6.4138171285313167E-4</v>
      </c>
      <c r="W85" s="1"/>
      <c r="X85" s="1">
        <f t="shared" ref="X85:X90" si="58">+P85-T85</f>
        <v>-889.68000000000029</v>
      </c>
      <c r="Y85" s="1"/>
      <c r="Z85" s="5">
        <f t="shared" ref="Z85:Z90" si="59">IF(T85=0,0,X85/T85)</f>
        <v>-0.1721183981427743</v>
      </c>
    </row>
    <row r="86" spans="1:26" s="24" customFormat="1" hidden="1" outlineLevel="2" x14ac:dyDescent="0.25">
      <c r="A86" s="26"/>
      <c r="B86" s="11" t="str">
        <f>CONCATENATE("          ", "6309", " - ", "TELEPHONE")</f>
        <v xml:space="preserve">          6309 - TELEPHONE</v>
      </c>
      <c r="C86" s="11"/>
      <c r="D86" s="6">
        <v>248</v>
      </c>
      <c r="E86" s="2"/>
      <c r="F86" s="7">
        <f t="shared" si="52"/>
        <v>2.9299750148743487E-3</v>
      </c>
      <c r="G86" s="2"/>
      <c r="H86" s="6">
        <v>736.8</v>
      </c>
      <c r="I86" s="2"/>
      <c r="J86" s="7">
        <f t="shared" si="53"/>
        <v>5.573964044209886E-4</v>
      </c>
      <c r="K86" s="2"/>
      <c r="L86" s="6">
        <f t="shared" si="54"/>
        <v>-488.79999999999995</v>
      </c>
      <c r="M86" s="2"/>
      <c r="N86" s="7">
        <f t="shared" si="55"/>
        <v>-0.66340933767643862</v>
      </c>
      <c r="O86" s="11"/>
      <c r="P86" s="6">
        <v>4279.32</v>
      </c>
      <c r="Q86" s="2"/>
      <c r="R86" s="7">
        <f t="shared" si="56"/>
        <v>5.6351821981274345E-3</v>
      </c>
      <c r="S86" s="2"/>
      <c r="T86" s="6">
        <v>5169</v>
      </c>
      <c r="U86" s="2"/>
      <c r="V86" s="7">
        <f t="shared" si="57"/>
        <v>6.4138171285313167E-4</v>
      </c>
      <c r="W86" s="2"/>
      <c r="X86" s="6">
        <f t="shared" si="58"/>
        <v>-889.68000000000029</v>
      </c>
      <c r="Y86" s="2"/>
      <c r="Z86" s="7">
        <f t="shared" si="59"/>
        <v>-0.1721183981427743</v>
      </c>
    </row>
    <row r="87" spans="1:26" s="25" customFormat="1" outlineLevel="1" collapsed="1" x14ac:dyDescent="0.25">
      <c r="A87" s="27"/>
      <c r="B87" s="13" t="str">
        <f>CONCATENATE("     ","Training                                          ")</f>
        <v xml:space="preserve">     Training                                          </v>
      </c>
      <c r="C87" s="13"/>
      <c r="D87" s="1">
        <f>SUM(OSRRefD22_17x_0)</f>
        <v>0</v>
      </c>
      <c r="E87" s="1"/>
      <c r="F87" s="5">
        <f t="shared" si="52"/>
        <v>0</v>
      </c>
      <c r="G87" s="1"/>
      <c r="H87" s="1">
        <f>SUM(OSRRefH22_17x_0)</f>
        <v>363.54</v>
      </c>
      <c r="I87" s="1"/>
      <c r="J87" s="5">
        <f t="shared" si="53"/>
        <v>2.7502156468947641E-4</v>
      </c>
      <c r="K87" s="1"/>
      <c r="L87" s="1">
        <f t="shared" si="54"/>
        <v>-363.54</v>
      </c>
      <c r="M87" s="1"/>
      <c r="N87" s="5">
        <f t="shared" si="55"/>
        <v>-1</v>
      </c>
      <c r="O87" s="13"/>
      <c r="P87" s="1">
        <f>SUM(OSRRefP22_17x_0)</f>
        <v>735</v>
      </c>
      <c r="Q87" s="1"/>
      <c r="R87" s="5">
        <f t="shared" si="56"/>
        <v>9.6787782068732064E-4</v>
      </c>
      <c r="S87" s="1"/>
      <c r="T87" s="1">
        <f>SUM(OSRRefT22_17x_0)</f>
        <v>6398.23</v>
      </c>
      <c r="U87" s="1"/>
      <c r="V87" s="5">
        <f t="shared" si="57"/>
        <v>7.939074708122059E-4</v>
      </c>
      <c r="W87" s="1"/>
      <c r="X87" s="1">
        <f t="shared" si="58"/>
        <v>-5663.23</v>
      </c>
      <c r="Y87" s="1"/>
      <c r="Z87" s="5">
        <f t="shared" si="59"/>
        <v>-0.88512447973892783</v>
      </c>
    </row>
    <row r="88" spans="1:26" s="24" customFormat="1" hidden="1" outlineLevel="2" x14ac:dyDescent="0.25">
      <c r="A88" s="26"/>
      <c r="B88" s="11" t="str">
        <f>CONCATENATE("          ", "6376", " - ", "TRAINING")</f>
        <v xml:space="preserve">          6376 - TRAINING</v>
      </c>
      <c r="C88" s="11"/>
      <c r="D88" s="6"/>
      <c r="E88" s="2"/>
      <c r="F88" s="7">
        <f t="shared" si="52"/>
        <v>0</v>
      </c>
      <c r="G88" s="2"/>
      <c r="H88" s="6">
        <v>363.54</v>
      </c>
      <c r="I88" s="2"/>
      <c r="J88" s="7">
        <f t="shared" si="53"/>
        <v>2.7502156468947641E-4</v>
      </c>
      <c r="K88" s="2"/>
      <c r="L88" s="6">
        <f t="shared" si="54"/>
        <v>-363.54</v>
      </c>
      <c r="M88" s="2"/>
      <c r="N88" s="7">
        <f t="shared" si="55"/>
        <v>-1</v>
      </c>
      <c r="O88" s="11"/>
      <c r="P88" s="6">
        <v>735</v>
      </c>
      <c r="Q88" s="2"/>
      <c r="R88" s="7">
        <f t="shared" si="56"/>
        <v>9.6787782068732064E-4</v>
      </c>
      <c r="S88" s="2"/>
      <c r="T88" s="6">
        <v>6398.23</v>
      </c>
      <c r="U88" s="2"/>
      <c r="V88" s="7">
        <f t="shared" si="57"/>
        <v>7.939074708122059E-4</v>
      </c>
      <c r="W88" s="2"/>
      <c r="X88" s="6">
        <f t="shared" si="58"/>
        <v>-5663.23</v>
      </c>
      <c r="Y88" s="2"/>
      <c r="Z88" s="7">
        <f t="shared" si="59"/>
        <v>-0.88512447973892783</v>
      </c>
    </row>
    <row r="89" spans="1:26" s="25" customFormat="1" outlineLevel="1" collapsed="1" x14ac:dyDescent="0.25">
      <c r="A89" s="27"/>
      <c r="B89" s="13" t="str">
        <f>CONCATENATE("     ","Travel                                            ")</f>
        <v xml:space="preserve">     Travel                                            </v>
      </c>
      <c r="C89" s="13"/>
      <c r="D89" s="1">
        <f>SUM(OSRRefD22_18x_0)</f>
        <v>0</v>
      </c>
      <c r="E89" s="1"/>
      <c r="F89" s="5">
        <f t="shared" si="52"/>
        <v>0</v>
      </c>
      <c r="G89" s="1"/>
      <c r="H89" s="1">
        <f>SUM(OSRRefH22_18x_0)</f>
        <v>0</v>
      </c>
      <c r="I89" s="1"/>
      <c r="J89" s="5">
        <f t="shared" si="53"/>
        <v>0</v>
      </c>
      <c r="K89" s="1"/>
      <c r="L89" s="1">
        <f t="shared" si="54"/>
        <v>0</v>
      </c>
      <c r="M89" s="1"/>
      <c r="N89" s="5">
        <f t="shared" si="55"/>
        <v>0</v>
      </c>
      <c r="O89" s="13"/>
      <c r="P89" s="1">
        <f>SUM(OSRRefP22_18x_0)</f>
        <v>0</v>
      </c>
      <c r="Q89" s="1"/>
      <c r="R89" s="5">
        <f t="shared" si="56"/>
        <v>0</v>
      </c>
      <c r="S89" s="1"/>
      <c r="T89" s="1">
        <f>SUM(OSRRefT22_18x_0)</f>
        <v>1894.26</v>
      </c>
      <c r="U89" s="1"/>
      <c r="V89" s="5">
        <f t="shared" si="57"/>
        <v>2.3504424905961951E-4</v>
      </c>
      <c r="W89" s="1"/>
      <c r="X89" s="1">
        <f t="shared" si="58"/>
        <v>-1894.26</v>
      </c>
      <c r="Y89" s="1"/>
      <c r="Z89" s="5">
        <f t="shared" si="59"/>
        <v>-1</v>
      </c>
    </row>
    <row r="90" spans="1:26" s="24" customFormat="1" hidden="1" outlineLevel="2" x14ac:dyDescent="0.25">
      <c r="A90" s="26"/>
      <c r="B90" s="11" t="str">
        <f>CONCATENATE("          ", "6292", " - ", "TRAVEL/CONFERENCE")</f>
        <v xml:space="preserve">          6292 - TRAVEL/CONFERENCE</v>
      </c>
      <c r="C90" s="11"/>
      <c r="D90" s="6"/>
      <c r="E90" s="2"/>
      <c r="F90" s="7">
        <f t="shared" si="52"/>
        <v>0</v>
      </c>
      <c r="G90" s="2"/>
      <c r="H90" s="6"/>
      <c r="I90" s="2"/>
      <c r="J90" s="7">
        <f t="shared" si="53"/>
        <v>0</v>
      </c>
      <c r="K90" s="2"/>
      <c r="L90" s="6">
        <f t="shared" si="54"/>
        <v>0</v>
      </c>
      <c r="M90" s="2"/>
      <c r="N90" s="7">
        <f t="shared" si="55"/>
        <v>0</v>
      </c>
      <c r="O90" s="11"/>
      <c r="P90" s="6"/>
      <c r="Q90" s="2"/>
      <c r="R90" s="7">
        <f t="shared" si="56"/>
        <v>0</v>
      </c>
      <c r="S90" s="2"/>
      <c r="T90" s="6">
        <v>1894.26</v>
      </c>
      <c r="U90" s="2"/>
      <c r="V90" s="7">
        <f t="shared" si="57"/>
        <v>2.3504424905961951E-4</v>
      </c>
      <c r="W90" s="2"/>
      <c r="X90" s="6">
        <f t="shared" si="58"/>
        <v>-1894.26</v>
      </c>
      <c r="Y90" s="2"/>
      <c r="Z90" s="7">
        <f t="shared" si="59"/>
        <v>-1</v>
      </c>
    </row>
    <row r="91" spans="1:26" s="52" customFormat="1" x14ac:dyDescent="0.25">
      <c r="A91" s="37"/>
      <c r="B91" s="37"/>
      <c r="C91" s="37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7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3" customFormat="1" x14ac:dyDescent="0.25">
      <c r="A92" s="10"/>
      <c r="B92" s="28" t="s">
        <v>0</v>
      </c>
      <c r="C92" s="10"/>
      <c r="D92" s="4">
        <f>SUM(0)</f>
        <v>0</v>
      </c>
      <c r="E92" s="4"/>
      <c r="F92" s="12">
        <f>IF(D$12=0,0,D92/D$12)</f>
        <v>0</v>
      </c>
      <c r="G92" s="4"/>
      <c r="H92" s="4">
        <f>SUM(0)</f>
        <v>0</v>
      </c>
      <c r="I92" s="4"/>
      <c r="J92" s="12">
        <f>IF(H$12=0,0,H92/H$12)</f>
        <v>0</v>
      </c>
      <c r="K92" s="4"/>
      <c r="L92" s="4">
        <f>+D92-H92</f>
        <v>0</v>
      </c>
      <c r="M92" s="4"/>
      <c r="N92" s="12">
        <f>IF(H92=0,0,L92/H92)</f>
        <v>0</v>
      </c>
      <c r="O92" s="10"/>
      <c r="P92" s="4">
        <f>SUM(0)</f>
        <v>0</v>
      </c>
      <c r="Q92" s="4"/>
      <c r="R92" s="12">
        <f>IF(P$12=0,0,P92/P$12)</f>
        <v>0</v>
      </c>
      <c r="S92" s="4"/>
      <c r="T92" s="4">
        <f>SUM(0)</f>
        <v>0</v>
      </c>
      <c r="U92" s="4"/>
      <c r="V92" s="12">
        <f>IF(T$12=0,0,T92/T$12)</f>
        <v>0</v>
      </c>
      <c r="W92" s="4"/>
      <c r="X92" s="4">
        <f>+P92-T92</f>
        <v>0</v>
      </c>
      <c r="Y92" s="4"/>
      <c r="Z92" s="12">
        <f>IF(T92=0,0,X92/T92)</f>
        <v>0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10"/>
      <c r="B94" s="29" t="s">
        <v>3</v>
      </c>
      <c r="C94" s="29"/>
      <c r="D94" s="22">
        <f>+D23-D25+D92</f>
        <v>-169656.61</v>
      </c>
      <c r="E94" s="14"/>
      <c r="F94" s="20">
        <f>IF(D$12=0,0,D94/D$12)</f>
        <v>-2.0043936629366192</v>
      </c>
      <c r="G94" s="14"/>
      <c r="H94" s="22">
        <f>+H23-H25+H92</f>
        <v>403842.24000000011</v>
      </c>
      <c r="I94" s="14"/>
      <c r="J94" s="20">
        <f>IF(H$12=0,0,H94/H$12)</f>
        <v>0.30551060332426444</v>
      </c>
      <c r="K94" s="16"/>
      <c r="L94" s="22">
        <f>+D94-H94</f>
        <v>-573498.85000000009</v>
      </c>
      <c r="M94" s="16"/>
      <c r="N94" s="20">
        <f>IF(H94=0,0,L94/H94)</f>
        <v>-1.4201061533335393</v>
      </c>
      <c r="O94" s="28"/>
      <c r="P94" s="22">
        <f>+P23-P25+P92</f>
        <v>-1363199.0400000003</v>
      </c>
      <c r="Q94" s="14"/>
      <c r="R94" s="20">
        <f>IF(P$12=0,0,P94/P$12)</f>
        <v>-1.7951158040792488</v>
      </c>
      <c r="S94" s="14"/>
      <c r="T94" s="22">
        <f>+T23-T25+T92</f>
        <v>2171373.6499999994</v>
      </c>
      <c r="U94" s="14"/>
      <c r="V94" s="20">
        <f>IF(T$12=0,0,T94/T$12)</f>
        <v>0.26942916441887327</v>
      </c>
      <c r="W94" s="16"/>
      <c r="X94" s="22">
        <f>+P94-T94</f>
        <v>-3534572.6899999995</v>
      </c>
      <c r="Y94" s="16"/>
      <c r="Z94" s="20">
        <f>IF(T94=0,0,X94/T94)</f>
        <v>-1.6278049104998582</v>
      </c>
    </row>
    <row r="95" spans="1:26" x14ac:dyDescent="0.25">
      <c r="A95" s="9"/>
      <c r="B95" s="10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51"/>
      <c r="B96" s="10" t="s">
        <v>13</v>
      </c>
      <c r="C96" s="10"/>
      <c r="D96" s="4">
        <v>27901.9</v>
      </c>
      <c r="E96" s="4"/>
      <c r="F96" s="12">
        <f>IF(D$12=0,0,D96/D$12)</f>
        <v>0.32964463656259113</v>
      </c>
      <c r="G96" s="4"/>
      <c r="H96" s="4">
        <v>118782.76</v>
      </c>
      <c r="I96" s="4"/>
      <c r="J96" s="12">
        <f>IF(H$12=0,0,H96/H$12)</f>
        <v>8.9860319396310034E-2</v>
      </c>
      <c r="K96" s="4"/>
      <c r="L96" s="4">
        <f>+D96-H96</f>
        <v>-90880.859999999986</v>
      </c>
      <c r="M96" s="4"/>
      <c r="N96" s="12">
        <f>IF(H96=0,0,L96/H96)</f>
        <v>-0.76510143391178986</v>
      </c>
      <c r="O96" s="10"/>
      <c r="P96" s="4">
        <v>150387.06</v>
      </c>
      <c r="Q96" s="4"/>
      <c r="R96" s="12">
        <f>IF(P$12=0,0,P96/P$12)</f>
        <v>0.19803578216649431</v>
      </c>
      <c r="S96" s="4"/>
      <c r="T96" s="4">
        <v>821388.08</v>
      </c>
      <c r="U96" s="4"/>
      <c r="V96" s="12">
        <f>IF(T$12=0,0,T96/T$12)</f>
        <v>0.10191977049091606</v>
      </c>
      <c r="W96" s="4"/>
      <c r="X96" s="4">
        <f>+P96-T96</f>
        <v>-671001.02</v>
      </c>
      <c r="Y96" s="4"/>
      <c r="Z96" s="12">
        <f>IF(T96=0,0,X96/T96)</f>
        <v>-0.81691107570005161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9" t="s">
        <v>4</v>
      </c>
      <c r="C98" s="29"/>
      <c r="D98" s="35">
        <f>+D94-D96</f>
        <v>-197558.50999999998</v>
      </c>
      <c r="E98" s="14"/>
      <c r="F98" s="36">
        <f>IF(D$12=0,0,D98/D$12)</f>
        <v>-2.3340382994992104</v>
      </c>
      <c r="G98" s="14"/>
      <c r="H98" s="35">
        <f>+H94-H96</f>
        <v>285059.4800000001</v>
      </c>
      <c r="I98" s="14"/>
      <c r="J98" s="36">
        <f>IF(H$12=0,0,H98/H$12)</f>
        <v>0.21565028392795438</v>
      </c>
      <c r="K98" s="16"/>
      <c r="L98" s="35">
        <f>D98-H98</f>
        <v>-482617.99000000011</v>
      </c>
      <c r="M98" s="16"/>
      <c r="N98" s="36">
        <f>IF(H98=0,0,L98/H98)</f>
        <v>-1.693043115071984</v>
      </c>
      <c r="O98" s="28"/>
      <c r="P98" s="35">
        <f>+P94-P96</f>
        <v>-1513586.1000000003</v>
      </c>
      <c r="Q98" s="14"/>
      <c r="R98" s="36">
        <f>IF(P$12=0,0,P98/P$12)</f>
        <v>-1.9931515862457432</v>
      </c>
      <c r="S98" s="14"/>
      <c r="T98" s="35">
        <f>+T94-T96</f>
        <v>1349985.5699999994</v>
      </c>
      <c r="U98" s="14"/>
      <c r="V98" s="36">
        <f>IF(T$12=0,0,T98/T$12)</f>
        <v>0.16750939392795722</v>
      </c>
      <c r="W98" s="16"/>
      <c r="X98" s="35">
        <f>P98-T98</f>
        <v>-2863571.67</v>
      </c>
      <c r="Y98" s="16"/>
      <c r="Z98" s="36">
        <f>IF(T98=0,0,X98/T98)</f>
        <v>-2.1211868731308003</v>
      </c>
    </row>
    <row r="99" spans="1:26" ht="15.75" thickTop="1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9" t="s">
        <v>5</v>
      </c>
      <c r="C101" s="29"/>
      <c r="D101" s="31">
        <f>SUM(D98:D100)</f>
        <v>-197558.50999999998</v>
      </c>
      <c r="E101" s="14"/>
      <c r="F101" s="33">
        <f>IF(D$12=0,0,D101/D$12)</f>
        <v>-2.3340382994992104</v>
      </c>
      <c r="G101" s="14"/>
      <c r="H101" s="31">
        <f>SUM(H98:H100)</f>
        <v>285059.4800000001</v>
      </c>
      <c r="I101" s="14"/>
      <c r="J101" s="33">
        <f>IF(H$12=0,0,H101/H$12)</f>
        <v>0.21565028392795438</v>
      </c>
      <c r="K101" s="16"/>
      <c r="L101" s="31">
        <f>+D101-H101</f>
        <v>-482617.99000000011</v>
      </c>
      <c r="M101" s="16"/>
      <c r="N101" s="33">
        <f>IF(H101=0,0,L101/H101)</f>
        <v>-1.693043115071984</v>
      </c>
      <c r="O101" s="28"/>
      <c r="P101" s="31">
        <f>SUM(P98:P100)</f>
        <v>-1513586.1000000003</v>
      </c>
      <c r="Q101" s="14"/>
      <c r="R101" s="33">
        <f>IF(P$12=0,0,P101/P$12)</f>
        <v>-1.9931515862457432</v>
      </c>
      <c r="S101" s="14"/>
      <c r="T101" s="31">
        <f>SUM(T98:T100)</f>
        <v>1349985.5699999994</v>
      </c>
      <c r="U101" s="14"/>
      <c r="V101" s="33">
        <f>IF(T$12=0,0,T101/T$12)</f>
        <v>0.16750939392795722</v>
      </c>
      <c r="W101" s="16"/>
      <c r="X101" s="31">
        <f>+P101-T101</f>
        <v>-2863571.67</v>
      </c>
      <c r="Y101" s="16"/>
      <c r="Z101" s="33">
        <f>IF(T101=0,0,X101/T101)</f>
        <v>-2.1211868731308003</v>
      </c>
    </row>
    <row r="102" spans="1:26" ht="15.75" thickTop="1" x14ac:dyDescent="0.25">
      <c r="A102" s="9"/>
      <c r="C102" s="9"/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56">
        <v>44267.667975891207</v>
      </c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A104" s="9"/>
      <c r="B104" s="54" t="s">
        <v>313</v>
      </c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A105" s="9"/>
      <c r="B105" s="58"/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","430", " - ", "Res Hall Management")</f>
        <v>Department 430 - Res Hall Management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17844.22</v>
      </c>
      <c r="E18" s="21"/>
      <c r="F18" s="32">
        <f t="shared" ref="F18:F27" si="0">IF(D$12=0,0,D18/D$12)</f>
        <v>0</v>
      </c>
      <c r="G18" s="21"/>
      <c r="H18" s="21">
        <f>SUM(OSRRefH22x_0)</f>
        <v>54350.12</v>
      </c>
      <c r="I18" s="21"/>
      <c r="J18" s="32">
        <f t="shared" ref="J18:J27" si="1">IF(H$12=0,0,H18/H$12)</f>
        <v>0</v>
      </c>
      <c r="K18" s="4"/>
      <c r="L18" s="21">
        <f t="shared" ref="L18:L27" si="2">+D18-H18</f>
        <v>-36505.9</v>
      </c>
      <c r="M18" s="4"/>
      <c r="N18" s="32">
        <f t="shared" ref="N18:N27" si="3">IF(H18=0,0,L18/H18)</f>
        <v>-0.67168020972170805</v>
      </c>
      <c r="O18" s="10"/>
      <c r="P18" s="21">
        <f>SUM(OSRRefP22x_0)</f>
        <v>135791.74</v>
      </c>
      <c r="Q18" s="21"/>
      <c r="R18" s="32">
        <f t="shared" ref="R18:R27" si="4">IF(P$12=0,0,P18/P$12)</f>
        <v>0</v>
      </c>
      <c r="S18" s="21"/>
      <c r="T18" s="21">
        <f>SUM(OSRRefT22x_0)</f>
        <v>162717.88</v>
      </c>
      <c r="U18" s="21"/>
      <c r="V18" s="32">
        <f t="shared" ref="V18:V27" si="5">IF(T$12=0,0,T18/T$12)</f>
        <v>0</v>
      </c>
      <c r="W18" s="4"/>
      <c r="X18" s="21">
        <f t="shared" ref="X18:X27" si="6">+P18-T18</f>
        <v>-26926.140000000014</v>
      </c>
      <c r="Y18" s="4"/>
      <c r="Z18" s="32">
        <f t="shared" ref="Z18:Z27" si="7">IF(T18=0,0,X18/T18)</f>
        <v>-0.16547745091074204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5309.6799999999994</v>
      </c>
      <c r="E19" s="1"/>
      <c r="F19" s="5">
        <f t="shared" si="0"/>
        <v>0</v>
      </c>
      <c r="G19" s="1"/>
      <c r="H19" s="1">
        <f>SUM(OSRRefH22_0x_0)</f>
        <v>5554.93</v>
      </c>
      <c r="I19" s="1"/>
      <c r="J19" s="5">
        <f t="shared" si="1"/>
        <v>0</v>
      </c>
      <c r="K19" s="1"/>
      <c r="L19" s="1">
        <f t="shared" si="2"/>
        <v>-245.25000000000091</v>
      </c>
      <c r="M19" s="1"/>
      <c r="N19" s="5">
        <f t="shared" si="3"/>
        <v>-4.4149971286767051E-2</v>
      </c>
      <c r="O19" s="13"/>
      <c r="P19" s="1">
        <f>SUM(OSRRefP22_0x_0)</f>
        <v>46780.53</v>
      </c>
      <c r="Q19" s="1"/>
      <c r="R19" s="5">
        <f t="shared" si="4"/>
        <v>0</v>
      </c>
      <c r="S19" s="1"/>
      <c r="T19" s="1">
        <f>SUM(OSRRefT22_0x_0)</f>
        <v>46812.45</v>
      </c>
      <c r="U19" s="1"/>
      <c r="V19" s="5">
        <f t="shared" si="5"/>
        <v>0</v>
      </c>
      <c r="W19" s="1"/>
      <c r="X19" s="1">
        <f t="shared" si="6"/>
        <v>-31.919999999998254</v>
      </c>
      <c r="Y19" s="1"/>
      <c r="Z19" s="5">
        <f t="shared" si="7"/>
        <v>-6.8186988717741236E-4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691.15</v>
      </c>
      <c r="E20" s="2"/>
      <c r="F20" s="7">
        <f t="shared" si="0"/>
        <v>0</v>
      </c>
      <c r="G20" s="2"/>
      <c r="H20" s="6">
        <v>623.1</v>
      </c>
      <c r="I20" s="2"/>
      <c r="J20" s="7">
        <f t="shared" si="1"/>
        <v>0</v>
      </c>
      <c r="K20" s="2"/>
      <c r="L20" s="6">
        <f t="shared" si="2"/>
        <v>68.049999999999955</v>
      </c>
      <c r="M20" s="2"/>
      <c r="N20" s="7">
        <f t="shared" si="3"/>
        <v>0.10921200449366066</v>
      </c>
      <c r="O20" s="11"/>
      <c r="P20" s="6">
        <v>6054.8</v>
      </c>
      <c r="Q20" s="2"/>
      <c r="R20" s="7">
        <f t="shared" si="4"/>
        <v>0</v>
      </c>
      <c r="S20" s="2"/>
      <c r="T20" s="6">
        <v>6161.74</v>
      </c>
      <c r="U20" s="2"/>
      <c r="V20" s="7">
        <f t="shared" si="5"/>
        <v>0</v>
      </c>
      <c r="W20" s="2"/>
      <c r="X20" s="6">
        <f t="shared" si="6"/>
        <v>-106.9399999999996</v>
      </c>
      <c r="Y20" s="2"/>
      <c r="Z20" s="7">
        <f t="shared" si="7"/>
        <v>-1.7355487248731625E-2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387.58</v>
      </c>
      <c r="E21" s="2"/>
      <c r="F21" s="7">
        <f t="shared" si="0"/>
        <v>0</v>
      </c>
      <c r="G21" s="2"/>
      <c r="H21" s="6">
        <v>316.02999999999997</v>
      </c>
      <c r="I21" s="2"/>
      <c r="J21" s="7">
        <f t="shared" si="1"/>
        <v>0</v>
      </c>
      <c r="K21" s="2"/>
      <c r="L21" s="6">
        <f t="shared" si="2"/>
        <v>71.550000000000011</v>
      </c>
      <c r="M21" s="2"/>
      <c r="N21" s="7">
        <f t="shared" si="3"/>
        <v>0.22640255671929885</v>
      </c>
      <c r="O21" s="11"/>
      <c r="P21" s="6">
        <v>3385.93</v>
      </c>
      <c r="Q21" s="2"/>
      <c r="R21" s="7">
        <f t="shared" si="4"/>
        <v>0</v>
      </c>
      <c r="S21" s="2"/>
      <c r="T21" s="6">
        <v>2534.81</v>
      </c>
      <c r="U21" s="2"/>
      <c r="V21" s="7">
        <f t="shared" si="5"/>
        <v>0</v>
      </c>
      <c r="W21" s="2"/>
      <c r="X21" s="6">
        <f t="shared" si="6"/>
        <v>851.11999999999989</v>
      </c>
      <c r="Y21" s="2"/>
      <c r="Z21" s="7">
        <f t="shared" si="7"/>
        <v>0.33577270091249439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2691.73</v>
      </c>
      <c r="E22" s="2"/>
      <c r="F22" s="7">
        <f t="shared" si="0"/>
        <v>0</v>
      </c>
      <c r="G22" s="2"/>
      <c r="H22" s="6">
        <v>2737.9</v>
      </c>
      <c r="I22" s="2"/>
      <c r="J22" s="7">
        <f t="shared" si="1"/>
        <v>0</v>
      </c>
      <c r="K22" s="2"/>
      <c r="L22" s="6">
        <f t="shared" si="2"/>
        <v>-46.170000000000073</v>
      </c>
      <c r="M22" s="2"/>
      <c r="N22" s="7">
        <f t="shared" si="3"/>
        <v>-1.686328938237338E-2</v>
      </c>
      <c r="O22" s="11"/>
      <c r="P22" s="6">
        <v>21810.86</v>
      </c>
      <c r="Q22" s="2"/>
      <c r="R22" s="7">
        <f t="shared" si="4"/>
        <v>0</v>
      </c>
      <c r="S22" s="2"/>
      <c r="T22" s="6">
        <v>21859.4</v>
      </c>
      <c r="U22" s="2"/>
      <c r="V22" s="7">
        <f t="shared" si="5"/>
        <v>0</v>
      </c>
      <c r="W22" s="2"/>
      <c r="X22" s="6">
        <f t="shared" si="6"/>
        <v>-48.540000000000873</v>
      </c>
      <c r="Y22" s="2"/>
      <c r="Z22" s="7">
        <f t="shared" si="7"/>
        <v>-2.2205550015096877E-3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23.49</v>
      </c>
      <c r="E23" s="2"/>
      <c r="F23" s="7">
        <f t="shared" si="0"/>
        <v>0</v>
      </c>
      <c r="G23" s="2"/>
      <c r="H23" s="6">
        <v>21.18</v>
      </c>
      <c r="I23" s="2"/>
      <c r="J23" s="7">
        <f t="shared" si="1"/>
        <v>0</v>
      </c>
      <c r="K23" s="2"/>
      <c r="L23" s="6">
        <f t="shared" si="2"/>
        <v>2.3099999999999987</v>
      </c>
      <c r="M23" s="2"/>
      <c r="N23" s="7">
        <f t="shared" si="3"/>
        <v>0.10906515580736538</v>
      </c>
      <c r="O23" s="11"/>
      <c r="P23" s="6">
        <v>205.19</v>
      </c>
      <c r="Q23" s="2"/>
      <c r="R23" s="7">
        <f t="shared" si="4"/>
        <v>0</v>
      </c>
      <c r="S23" s="2"/>
      <c r="T23" s="6">
        <v>208.93</v>
      </c>
      <c r="U23" s="2"/>
      <c r="V23" s="7">
        <f t="shared" si="5"/>
        <v>0</v>
      </c>
      <c r="W23" s="2"/>
      <c r="X23" s="6">
        <f t="shared" si="6"/>
        <v>-3.7400000000000091</v>
      </c>
      <c r="Y23" s="2"/>
      <c r="Z23" s="7">
        <f t="shared" si="7"/>
        <v>-1.7900732302685154E-2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692.57</v>
      </c>
      <c r="E24" s="2"/>
      <c r="F24" s="7">
        <f t="shared" si="0"/>
        <v>0</v>
      </c>
      <c r="G24" s="2"/>
      <c r="H24" s="6">
        <v>568.92999999999995</v>
      </c>
      <c r="I24" s="2"/>
      <c r="J24" s="7">
        <f t="shared" si="1"/>
        <v>0</v>
      </c>
      <c r="K24" s="2"/>
      <c r="L24" s="6">
        <f t="shared" si="2"/>
        <v>123.6400000000001</v>
      </c>
      <c r="M24" s="2"/>
      <c r="N24" s="7">
        <f t="shared" si="3"/>
        <v>0.21732023271755771</v>
      </c>
      <c r="O24" s="11"/>
      <c r="P24" s="6">
        <v>6233.14</v>
      </c>
      <c r="Q24" s="2"/>
      <c r="R24" s="7">
        <f t="shared" si="4"/>
        <v>0</v>
      </c>
      <c r="S24" s="2"/>
      <c r="T24" s="6">
        <v>4835.91</v>
      </c>
      <c r="U24" s="2"/>
      <c r="V24" s="7">
        <f t="shared" si="5"/>
        <v>0</v>
      </c>
      <c r="W24" s="2"/>
      <c r="X24" s="6">
        <f t="shared" si="6"/>
        <v>1397.2300000000005</v>
      </c>
      <c r="Y24" s="2"/>
      <c r="Z24" s="7">
        <f t="shared" si="7"/>
        <v>0.28892804043086007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>
        <v>409.9</v>
      </c>
      <c r="E25" s="2"/>
      <c r="F25" s="7">
        <f t="shared" si="0"/>
        <v>0</v>
      </c>
      <c r="G25" s="2"/>
      <c r="H25" s="6">
        <v>752.4</v>
      </c>
      <c r="I25" s="2"/>
      <c r="J25" s="7">
        <f t="shared" si="1"/>
        <v>0</v>
      </c>
      <c r="K25" s="2"/>
      <c r="L25" s="6">
        <f t="shared" si="2"/>
        <v>-342.5</v>
      </c>
      <c r="M25" s="2"/>
      <c r="N25" s="7">
        <f t="shared" si="3"/>
        <v>-0.4552099946836789</v>
      </c>
      <c r="O25" s="11"/>
      <c r="P25" s="6">
        <v>5409.9</v>
      </c>
      <c r="Q25" s="2"/>
      <c r="R25" s="7">
        <f t="shared" si="4"/>
        <v>0</v>
      </c>
      <c r="S25" s="2"/>
      <c r="T25" s="6">
        <v>6735.85</v>
      </c>
      <c r="U25" s="2"/>
      <c r="V25" s="7">
        <f t="shared" si="5"/>
        <v>0</v>
      </c>
      <c r="W25" s="2"/>
      <c r="X25" s="6">
        <f t="shared" si="6"/>
        <v>-1325.9500000000007</v>
      </c>
      <c r="Y25" s="2"/>
      <c r="Z25" s="7">
        <f t="shared" si="7"/>
        <v>-0.19684969231797037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>
        <v>413.26</v>
      </c>
      <c r="E26" s="2"/>
      <c r="F26" s="7">
        <f t="shared" si="0"/>
        <v>0</v>
      </c>
      <c r="G26" s="2"/>
      <c r="H26" s="6">
        <v>375.68</v>
      </c>
      <c r="I26" s="2"/>
      <c r="J26" s="7">
        <f t="shared" si="1"/>
        <v>0</v>
      </c>
      <c r="K26" s="2"/>
      <c r="L26" s="6">
        <f t="shared" si="2"/>
        <v>37.579999999999984</v>
      </c>
      <c r="M26" s="2"/>
      <c r="N26" s="7">
        <f t="shared" si="3"/>
        <v>0.10003194207836452</v>
      </c>
      <c r="O26" s="11"/>
      <c r="P26" s="6">
        <v>3512.71</v>
      </c>
      <c r="Q26" s="2"/>
      <c r="R26" s="7">
        <f t="shared" si="4"/>
        <v>0</v>
      </c>
      <c r="S26" s="2"/>
      <c r="T26" s="6">
        <v>3423.78</v>
      </c>
      <c r="U26" s="2"/>
      <c r="V26" s="7">
        <f t="shared" si="5"/>
        <v>0</v>
      </c>
      <c r="W26" s="2"/>
      <c r="X26" s="6">
        <f t="shared" si="6"/>
        <v>88.929999999999836</v>
      </c>
      <c r="Y26" s="2"/>
      <c r="Z26" s="7">
        <f t="shared" si="7"/>
        <v>2.5974215633013754E-2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6"/>
      <c r="E27" s="2"/>
      <c r="F27" s="7">
        <f t="shared" si="0"/>
        <v>0</v>
      </c>
      <c r="G27" s="2"/>
      <c r="H27" s="6">
        <v>159.71</v>
      </c>
      <c r="I27" s="2"/>
      <c r="J27" s="7">
        <f t="shared" si="1"/>
        <v>0</v>
      </c>
      <c r="K27" s="2"/>
      <c r="L27" s="6">
        <f t="shared" si="2"/>
        <v>-159.71</v>
      </c>
      <c r="M27" s="2"/>
      <c r="N27" s="7">
        <f t="shared" si="3"/>
        <v>-1</v>
      </c>
      <c r="O27" s="11"/>
      <c r="P27" s="6">
        <v>168</v>
      </c>
      <c r="Q27" s="2"/>
      <c r="R27" s="7">
        <f t="shared" si="4"/>
        <v>0</v>
      </c>
      <c r="S27" s="2"/>
      <c r="T27" s="6">
        <v>1052.03</v>
      </c>
      <c r="U27" s="2"/>
      <c r="V27" s="7">
        <f t="shared" si="5"/>
        <v>0</v>
      </c>
      <c r="W27" s="2"/>
      <c r="X27" s="6">
        <f t="shared" si="6"/>
        <v>-884.03</v>
      </c>
      <c r="Y27" s="2"/>
      <c r="Z27" s="7">
        <f t="shared" si="7"/>
        <v>-0.84030873644287707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9034.5400000000009</v>
      </c>
      <c r="E28" s="1"/>
      <c r="F28" s="5">
        <f t="shared" ref="F28:F36" si="8">IF(D$12=0,0,D28/D$12)</f>
        <v>0</v>
      </c>
      <c r="G28" s="1"/>
      <c r="H28" s="1">
        <f>SUM(OSRRefH22_1x_0)</f>
        <v>8349.0400000000009</v>
      </c>
      <c r="I28" s="1"/>
      <c r="J28" s="5">
        <f t="shared" ref="J28:J36" si="9">IF(H$12=0,0,H28/H$12)</f>
        <v>0</v>
      </c>
      <c r="K28" s="1"/>
      <c r="L28" s="1">
        <f t="shared" ref="L28:L36" si="10">+D28-H28</f>
        <v>685.5</v>
      </c>
      <c r="M28" s="1"/>
      <c r="N28" s="5">
        <f t="shared" ref="N28:N36" si="11">IF(H28=0,0,L28/H28)</f>
        <v>8.2105248028515848E-2</v>
      </c>
      <c r="O28" s="13"/>
      <c r="P28" s="1">
        <f>SUM(OSRRefP22_1x_0)</f>
        <v>73170.36</v>
      </c>
      <c r="Q28" s="1"/>
      <c r="R28" s="5">
        <f t="shared" ref="R28:R36" si="12">IF(P$12=0,0,P28/P$12)</f>
        <v>0</v>
      </c>
      <c r="S28" s="1"/>
      <c r="T28" s="1">
        <f>SUM(OSRRefT22_1x_0)</f>
        <v>62513.319999999992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10657.040000000008</v>
      </c>
      <c r="Y28" s="1"/>
      <c r="Z28" s="5">
        <f t="shared" ref="Z28:Z36" si="15">IF(T28=0,0,X28/T28)</f>
        <v>0.17047630808922018</v>
      </c>
    </row>
    <row r="29" spans="1:26" s="24" customFormat="1" hidden="1" outlineLevel="2" x14ac:dyDescent="0.25">
      <c r="A29" s="26"/>
      <c r="B29" s="11" t="str">
        <f>CONCATENATE("          ", "6001", " - ", "ADMINISTRATIVE SALARIES")</f>
        <v xml:space="preserve">          6001 - ADMINISTRATIVE SALARIES</v>
      </c>
      <c r="C29" s="11"/>
      <c r="D29" s="6">
        <v>9034.5400000000009</v>
      </c>
      <c r="E29" s="2"/>
      <c r="F29" s="7">
        <f t="shared" si="8"/>
        <v>0</v>
      </c>
      <c r="G29" s="2"/>
      <c r="H29" s="6">
        <v>8349.0400000000009</v>
      </c>
      <c r="I29" s="2"/>
      <c r="J29" s="7">
        <f t="shared" si="9"/>
        <v>0</v>
      </c>
      <c r="K29" s="2"/>
      <c r="L29" s="6">
        <f t="shared" si="10"/>
        <v>685.5</v>
      </c>
      <c r="M29" s="2"/>
      <c r="N29" s="7">
        <f t="shared" si="11"/>
        <v>8.2105248028515848E-2</v>
      </c>
      <c r="O29" s="11"/>
      <c r="P29" s="6">
        <v>73170.36</v>
      </c>
      <c r="Q29" s="2"/>
      <c r="R29" s="7">
        <f t="shared" si="12"/>
        <v>0</v>
      </c>
      <c r="S29" s="2"/>
      <c r="T29" s="6">
        <v>62513.319999999992</v>
      </c>
      <c r="U29" s="2"/>
      <c r="V29" s="7">
        <f t="shared" si="13"/>
        <v>0</v>
      </c>
      <c r="W29" s="2"/>
      <c r="X29" s="6">
        <f t="shared" si="14"/>
        <v>10657.040000000008</v>
      </c>
      <c r="Y29" s="2"/>
      <c r="Z29" s="7">
        <f t="shared" si="15"/>
        <v>0.17047630808922018</v>
      </c>
    </row>
    <row r="30" spans="1:26" s="25" customFormat="1" outlineLevel="1" collapsed="1" x14ac:dyDescent="0.25">
      <c r="A30" s="27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-7.73</v>
      </c>
      <c r="I30" s="1"/>
      <c r="J30" s="5">
        <f t="shared" si="9"/>
        <v>0</v>
      </c>
      <c r="K30" s="1"/>
      <c r="L30" s="1">
        <f t="shared" si="10"/>
        <v>7.73</v>
      </c>
      <c r="M30" s="1"/>
      <c r="N30" s="5">
        <f t="shared" si="11"/>
        <v>-1</v>
      </c>
      <c r="O30" s="13"/>
      <c r="P30" s="1">
        <f>SUM(OSRRefP22_2x_0)</f>
        <v>1.65</v>
      </c>
      <c r="Q30" s="1"/>
      <c r="R30" s="5">
        <f t="shared" si="12"/>
        <v>0</v>
      </c>
      <c r="S30" s="1"/>
      <c r="T30" s="1">
        <f>SUM(OSRRefT22_2x_0)</f>
        <v>206.82</v>
      </c>
      <c r="U30" s="1"/>
      <c r="V30" s="5">
        <f t="shared" si="13"/>
        <v>0</v>
      </c>
      <c r="W30" s="1"/>
      <c r="X30" s="1">
        <f t="shared" si="14"/>
        <v>-205.17</v>
      </c>
      <c r="Y30" s="1"/>
      <c r="Z30" s="5">
        <f t="shared" si="15"/>
        <v>-0.99202204815781836</v>
      </c>
    </row>
    <row r="31" spans="1:26" s="24" customFormat="1" hidden="1" outlineLevel="2" x14ac:dyDescent="0.25">
      <c r="A31" s="26"/>
      <c r="B31" s="11" t="str">
        <f>CONCATENATE("          ", "6279", " - ", "GENERAL EXPENSE")</f>
        <v xml:space="preserve">          6279 - GENERAL EXPENSE</v>
      </c>
      <c r="C31" s="11"/>
      <c r="D31" s="6"/>
      <c r="E31" s="2"/>
      <c r="F31" s="7">
        <f t="shared" si="8"/>
        <v>0</v>
      </c>
      <c r="G31" s="2"/>
      <c r="H31" s="6">
        <v>-7.73</v>
      </c>
      <c r="I31" s="2"/>
      <c r="J31" s="7">
        <f t="shared" si="9"/>
        <v>0</v>
      </c>
      <c r="K31" s="2"/>
      <c r="L31" s="6">
        <f t="shared" si="10"/>
        <v>7.73</v>
      </c>
      <c r="M31" s="2"/>
      <c r="N31" s="7">
        <f t="shared" si="11"/>
        <v>-1</v>
      </c>
      <c r="O31" s="11"/>
      <c r="P31" s="6">
        <v>1.65</v>
      </c>
      <c r="Q31" s="2"/>
      <c r="R31" s="7">
        <f t="shared" si="12"/>
        <v>0</v>
      </c>
      <c r="S31" s="2"/>
      <c r="T31" s="6">
        <v>206.82</v>
      </c>
      <c r="U31" s="2"/>
      <c r="V31" s="7">
        <f t="shared" si="13"/>
        <v>0</v>
      </c>
      <c r="W31" s="2"/>
      <c r="X31" s="6">
        <f t="shared" si="14"/>
        <v>-205.17</v>
      </c>
      <c r="Y31" s="2"/>
      <c r="Z31" s="7">
        <f t="shared" si="15"/>
        <v>-0.99202204815781836</v>
      </c>
    </row>
    <row r="32" spans="1:26" s="25" customFormat="1" outlineLevel="1" collapsed="1" x14ac:dyDescent="0.25">
      <c r="A32" s="27"/>
      <c r="B32" s="13" t="str">
        <f>CONCATENATE("     ","Repair and Maintenance                            ")</f>
        <v xml:space="preserve">     Repair and Maintenance                            </v>
      </c>
      <c r="C32" s="13"/>
      <c r="D32" s="1">
        <f>SUM(OSRRefD22_3x_0)</f>
        <v>3500</v>
      </c>
      <c r="E32" s="1"/>
      <c r="F32" s="5">
        <f t="shared" si="8"/>
        <v>0</v>
      </c>
      <c r="G32" s="1"/>
      <c r="H32" s="1">
        <f>SUM(OSRRefH22_3x_0)</f>
        <v>40245</v>
      </c>
      <c r="I32" s="1"/>
      <c r="J32" s="5">
        <f t="shared" si="9"/>
        <v>0</v>
      </c>
      <c r="K32" s="1"/>
      <c r="L32" s="1">
        <f t="shared" si="10"/>
        <v>-36745</v>
      </c>
      <c r="M32" s="1"/>
      <c r="N32" s="5">
        <f t="shared" si="11"/>
        <v>-0.91303267486644302</v>
      </c>
      <c r="O32" s="13"/>
      <c r="P32" s="1">
        <f>SUM(OSRRefP22_3x_0)</f>
        <v>10500</v>
      </c>
      <c r="Q32" s="1"/>
      <c r="R32" s="5">
        <f t="shared" si="12"/>
        <v>0</v>
      </c>
      <c r="S32" s="1"/>
      <c r="T32" s="1">
        <f>SUM(OSRRefT22_3x_0)</f>
        <v>46585.43</v>
      </c>
      <c r="U32" s="1"/>
      <c r="V32" s="5">
        <f t="shared" si="13"/>
        <v>0</v>
      </c>
      <c r="W32" s="1"/>
      <c r="X32" s="1">
        <f t="shared" si="14"/>
        <v>-36085.43</v>
      </c>
      <c r="Y32" s="1"/>
      <c r="Z32" s="5">
        <f t="shared" si="15"/>
        <v>-0.77460764019995088</v>
      </c>
    </row>
    <row r="33" spans="1:26" s="24" customFormat="1" hidden="1" outlineLevel="2" x14ac:dyDescent="0.25">
      <c r="A33" s="26"/>
      <c r="B33" s="11" t="str">
        <f>CONCATENATE("          ", "6371", " - ", "COMPUTER SOFTWARE MAINTENANCE")</f>
        <v xml:space="preserve">          6371 - COMPUTER SOFTWARE MAINTENANCE</v>
      </c>
      <c r="C33" s="11"/>
      <c r="D33" s="6">
        <v>3500</v>
      </c>
      <c r="E33" s="2"/>
      <c r="F33" s="7">
        <f t="shared" si="8"/>
        <v>0</v>
      </c>
      <c r="G33" s="2"/>
      <c r="H33" s="6">
        <v>40245</v>
      </c>
      <c r="I33" s="2"/>
      <c r="J33" s="7">
        <f t="shared" si="9"/>
        <v>0</v>
      </c>
      <c r="K33" s="2"/>
      <c r="L33" s="6">
        <f t="shared" si="10"/>
        <v>-36745</v>
      </c>
      <c r="M33" s="2"/>
      <c r="N33" s="7">
        <f t="shared" si="11"/>
        <v>-0.91303267486644302</v>
      </c>
      <c r="O33" s="11"/>
      <c r="P33" s="6">
        <v>10500</v>
      </c>
      <c r="Q33" s="2"/>
      <c r="R33" s="7">
        <f t="shared" si="12"/>
        <v>0</v>
      </c>
      <c r="S33" s="2"/>
      <c r="T33" s="6">
        <v>46585.43</v>
      </c>
      <c r="U33" s="2"/>
      <c r="V33" s="7">
        <f t="shared" si="13"/>
        <v>0</v>
      </c>
      <c r="W33" s="2"/>
      <c r="X33" s="6">
        <f t="shared" si="14"/>
        <v>-36085.43</v>
      </c>
      <c r="Y33" s="2"/>
      <c r="Z33" s="7">
        <f t="shared" si="15"/>
        <v>-0.77460764019995088</v>
      </c>
    </row>
    <row r="34" spans="1:26" s="25" customFormat="1" outlineLevel="1" collapsed="1" x14ac:dyDescent="0.25">
      <c r="A34" s="27"/>
      <c r="B34" s="13" t="str">
        <f>CONCATENATE("     ","Supplies                                          ")</f>
        <v xml:space="preserve">     Supplies                                          </v>
      </c>
      <c r="C34" s="13"/>
      <c r="D34" s="1">
        <f>SUM(OSRRefD22_4x_0)</f>
        <v>0</v>
      </c>
      <c r="E34" s="1"/>
      <c r="F34" s="5">
        <f t="shared" si="8"/>
        <v>0</v>
      </c>
      <c r="G34" s="1"/>
      <c r="H34" s="1">
        <f>SUM(OSRRefH22_4x_0)</f>
        <v>158.88</v>
      </c>
      <c r="I34" s="1"/>
      <c r="J34" s="5">
        <f t="shared" si="9"/>
        <v>0</v>
      </c>
      <c r="K34" s="1"/>
      <c r="L34" s="1">
        <f t="shared" si="10"/>
        <v>-158.88</v>
      </c>
      <c r="M34" s="1"/>
      <c r="N34" s="5">
        <f t="shared" si="11"/>
        <v>-1</v>
      </c>
      <c r="O34" s="13"/>
      <c r="P34" s="1">
        <f>SUM(OSRRefP22_4x_0)</f>
        <v>4939.2</v>
      </c>
      <c r="Q34" s="1"/>
      <c r="R34" s="5">
        <f t="shared" si="12"/>
        <v>0</v>
      </c>
      <c r="S34" s="1"/>
      <c r="T34" s="1">
        <f>SUM(OSRRefT22_4x_0)</f>
        <v>3823.89</v>
      </c>
      <c r="U34" s="1"/>
      <c r="V34" s="5">
        <f t="shared" si="13"/>
        <v>0</v>
      </c>
      <c r="W34" s="1"/>
      <c r="X34" s="1">
        <f t="shared" si="14"/>
        <v>1115.31</v>
      </c>
      <c r="Y34" s="1"/>
      <c r="Z34" s="5">
        <f t="shared" si="15"/>
        <v>0.29166895491240596</v>
      </c>
    </row>
    <row r="35" spans="1:26" s="24" customFormat="1" hidden="1" outlineLevel="2" x14ac:dyDescent="0.25">
      <c r="A35" s="26"/>
      <c r="B35" s="11" t="str">
        <f>CONCATENATE("          ", "6235", " - ", "COVID-19 EXPENSES")</f>
        <v xml:space="preserve">          6235 - COVID-19 EXPENSES</v>
      </c>
      <c r="C35" s="11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>
        <v>4939.2</v>
      </c>
      <c r="Q35" s="2"/>
      <c r="R35" s="7">
        <f t="shared" si="12"/>
        <v>0</v>
      </c>
      <c r="S35" s="2"/>
      <c r="T35" s="6"/>
      <c r="U35" s="2"/>
      <c r="V35" s="7">
        <f t="shared" si="13"/>
        <v>0</v>
      </c>
      <c r="W35" s="2"/>
      <c r="X35" s="6">
        <f t="shared" si="14"/>
        <v>4939.2</v>
      </c>
      <c r="Y35" s="2"/>
      <c r="Z35" s="7">
        <f t="shared" si="15"/>
        <v>0</v>
      </c>
    </row>
    <row r="36" spans="1:26" s="24" customFormat="1" hidden="1" outlineLevel="2" x14ac:dyDescent="0.25">
      <c r="A36" s="26"/>
      <c r="B36" s="11" t="str">
        <f>CONCATENATE("          ", "6241", " - ", "OFFICE EXPENSE")</f>
        <v xml:space="preserve">          6241 - OFFICE EXPENSE</v>
      </c>
      <c r="C36" s="11"/>
      <c r="D36" s="6"/>
      <c r="E36" s="2"/>
      <c r="F36" s="7">
        <f t="shared" si="8"/>
        <v>0</v>
      </c>
      <c r="G36" s="2"/>
      <c r="H36" s="6">
        <v>158.88</v>
      </c>
      <c r="I36" s="2"/>
      <c r="J36" s="7">
        <f t="shared" si="9"/>
        <v>0</v>
      </c>
      <c r="K36" s="2"/>
      <c r="L36" s="6">
        <f t="shared" si="10"/>
        <v>-158.88</v>
      </c>
      <c r="M36" s="2"/>
      <c r="N36" s="7">
        <f t="shared" si="11"/>
        <v>-1</v>
      </c>
      <c r="O36" s="11"/>
      <c r="P36" s="6"/>
      <c r="Q36" s="2"/>
      <c r="R36" s="7">
        <f t="shared" si="12"/>
        <v>0</v>
      </c>
      <c r="S36" s="2"/>
      <c r="T36" s="6">
        <v>3823.89</v>
      </c>
      <c r="U36" s="2"/>
      <c r="V36" s="7">
        <f t="shared" si="13"/>
        <v>0</v>
      </c>
      <c r="W36" s="2"/>
      <c r="X36" s="6">
        <f t="shared" si="14"/>
        <v>-3823.89</v>
      </c>
      <c r="Y36" s="2"/>
      <c r="Z36" s="7">
        <f t="shared" si="15"/>
        <v>-1</v>
      </c>
    </row>
    <row r="37" spans="1:26" s="25" customFormat="1" outlineLevel="1" collapsed="1" x14ac:dyDescent="0.25">
      <c r="A37" s="27"/>
      <c r="B37" s="13" t="str">
        <f>CONCATENATE("     ","Telephone/Data Lines                              ")</f>
        <v xml:space="preserve">     Telephone/Data Lines                              </v>
      </c>
      <c r="C37" s="13"/>
      <c r="D37" s="1">
        <f>SUM(OSRRefD22_5x_0)</f>
        <v>0</v>
      </c>
      <c r="E37" s="1"/>
      <c r="F37" s="5">
        <f t="shared" ref="F37:F42" si="16">IF(D$12=0,0,D37/D$12)</f>
        <v>0</v>
      </c>
      <c r="G37" s="1"/>
      <c r="H37" s="1">
        <f>SUM(OSRRefH22_5x_0)</f>
        <v>50</v>
      </c>
      <c r="I37" s="1"/>
      <c r="J37" s="5">
        <f t="shared" ref="J37:J42" si="17">IF(H$12=0,0,H37/H$12)</f>
        <v>0</v>
      </c>
      <c r="K37" s="1"/>
      <c r="L37" s="1">
        <f t="shared" ref="L37:L42" si="18">+D37-H37</f>
        <v>-50</v>
      </c>
      <c r="M37" s="1"/>
      <c r="N37" s="5">
        <f t="shared" ref="N37:N42" si="19">IF(H37=0,0,L37/H37)</f>
        <v>-1</v>
      </c>
      <c r="O37" s="13"/>
      <c r="P37" s="1">
        <f>SUM(OSRRefP22_5x_0)</f>
        <v>400</v>
      </c>
      <c r="Q37" s="1"/>
      <c r="R37" s="5">
        <f t="shared" ref="R37:R42" si="20">IF(P$12=0,0,P37/P$12)</f>
        <v>0</v>
      </c>
      <c r="S37" s="1"/>
      <c r="T37" s="1">
        <f>SUM(OSRRefT22_5x_0)</f>
        <v>-500</v>
      </c>
      <c r="U37" s="1"/>
      <c r="V37" s="5">
        <f t="shared" ref="V37:V42" si="21">IF(T$12=0,0,T37/T$12)</f>
        <v>0</v>
      </c>
      <c r="W37" s="1"/>
      <c r="X37" s="1">
        <f t="shared" ref="X37:X42" si="22">+P37-T37</f>
        <v>900</v>
      </c>
      <c r="Y37" s="1"/>
      <c r="Z37" s="5">
        <f t="shared" ref="Z37:Z42" si="23">IF(T37=0,0,X37/T37)</f>
        <v>-1.8</v>
      </c>
    </row>
    <row r="38" spans="1:26" s="24" customFormat="1" hidden="1" outlineLevel="2" x14ac:dyDescent="0.25">
      <c r="A38" s="26"/>
      <c r="B38" s="11" t="str">
        <f>CONCATENATE("          ", "6309", " - ", "TELEPHONE")</f>
        <v xml:space="preserve">          6309 - TELEPHONE</v>
      </c>
      <c r="C38" s="11"/>
      <c r="D38" s="6"/>
      <c r="E38" s="2"/>
      <c r="F38" s="7">
        <f t="shared" si="16"/>
        <v>0</v>
      </c>
      <c r="G38" s="2"/>
      <c r="H38" s="6">
        <v>50</v>
      </c>
      <c r="I38" s="2"/>
      <c r="J38" s="7">
        <f t="shared" si="17"/>
        <v>0</v>
      </c>
      <c r="K38" s="2"/>
      <c r="L38" s="6">
        <f t="shared" si="18"/>
        <v>-50</v>
      </c>
      <c r="M38" s="2"/>
      <c r="N38" s="7">
        <f t="shared" si="19"/>
        <v>-1</v>
      </c>
      <c r="O38" s="11"/>
      <c r="P38" s="6">
        <v>400</v>
      </c>
      <c r="Q38" s="2"/>
      <c r="R38" s="7">
        <f t="shared" si="20"/>
        <v>0</v>
      </c>
      <c r="S38" s="2"/>
      <c r="T38" s="6">
        <v>-500</v>
      </c>
      <c r="U38" s="2"/>
      <c r="V38" s="7">
        <f t="shared" si="21"/>
        <v>0</v>
      </c>
      <c r="W38" s="2"/>
      <c r="X38" s="6">
        <f t="shared" si="22"/>
        <v>900</v>
      </c>
      <c r="Y38" s="2"/>
      <c r="Z38" s="7">
        <f t="shared" si="23"/>
        <v>-1.8</v>
      </c>
    </row>
    <row r="39" spans="1:26" s="25" customFormat="1" outlineLevel="1" collapsed="1" x14ac:dyDescent="0.25">
      <c r="A39" s="27"/>
      <c r="B39" s="13" t="str">
        <f>CONCATENATE("     ","Training                                          ")</f>
        <v xml:space="preserve">     Training                                          </v>
      </c>
      <c r="C39" s="13"/>
      <c r="D39" s="1">
        <f>SUM(OSRRefD22_6x_0)</f>
        <v>0</v>
      </c>
      <c r="E39" s="1"/>
      <c r="F39" s="5">
        <f t="shared" si="16"/>
        <v>0</v>
      </c>
      <c r="G39" s="1"/>
      <c r="H39" s="1">
        <f>SUM(OSRRefH22_6x_0)</f>
        <v>0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3"/>
      <c r="P39" s="1">
        <f>SUM(OSRRefP22_6x_0)</f>
        <v>0</v>
      </c>
      <c r="Q39" s="1"/>
      <c r="R39" s="5">
        <f t="shared" si="20"/>
        <v>0</v>
      </c>
      <c r="S39" s="1"/>
      <c r="T39" s="1">
        <f>SUM(OSRRefT22_6x_0)</f>
        <v>2950.22</v>
      </c>
      <c r="U39" s="1"/>
      <c r="V39" s="5">
        <f t="shared" si="21"/>
        <v>0</v>
      </c>
      <c r="W39" s="1"/>
      <c r="X39" s="1">
        <f t="shared" si="22"/>
        <v>-2950.22</v>
      </c>
      <c r="Y39" s="1"/>
      <c r="Z39" s="5">
        <f t="shared" si="23"/>
        <v>-1</v>
      </c>
    </row>
    <row r="40" spans="1:26" s="24" customFormat="1" hidden="1" outlineLevel="2" x14ac:dyDescent="0.25">
      <c r="A40" s="26"/>
      <c r="B40" s="11" t="str">
        <f>CONCATENATE("          ", "6376", " - ", "TRAINING")</f>
        <v xml:space="preserve">          6376 - TRAINING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/>
      <c r="Q40" s="2"/>
      <c r="R40" s="7">
        <f t="shared" si="20"/>
        <v>0</v>
      </c>
      <c r="S40" s="2"/>
      <c r="T40" s="6">
        <v>2950.22</v>
      </c>
      <c r="U40" s="2"/>
      <c r="V40" s="7">
        <f t="shared" si="21"/>
        <v>0</v>
      </c>
      <c r="W40" s="2"/>
      <c r="X40" s="6">
        <f t="shared" si="22"/>
        <v>-2950.22</v>
      </c>
      <c r="Y40" s="2"/>
      <c r="Z40" s="7">
        <f t="shared" si="23"/>
        <v>-1</v>
      </c>
    </row>
    <row r="41" spans="1:26" s="25" customFormat="1" outlineLevel="1" collapsed="1" x14ac:dyDescent="0.25">
      <c r="A41" s="27"/>
      <c r="B41" s="13" t="str">
        <f>CONCATENATE("     ","Travel                                            ")</f>
        <v xml:space="preserve">     Travel                                            </v>
      </c>
      <c r="C41" s="13"/>
      <c r="D41" s="1">
        <f>SUM(OSRRefD22_7x_0)</f>
        <v>0</v>
      </c>
      <c r="E41" s="1"/>
      <c r="F41" s="5">
        <f t="shared" si="16"/>
        <v>0</v>
      </c>
      <c r="G41" s="1"/>
      <c r="H41" s="1">
        <f>SUM(OSRRefH22_7x_0)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3"/>
      <c r="P41" s="1">
        <f>SUM(OSRRefP22_7x_0)</f>
        <v>0</v>
      </c>
      <c r="Q41" s="1"/>
      <c r="R41" s="5">
        <f t="shared" si="20"/>
        <v>0</v>
      </c>
      <c r="S41" s="1"/>
      <c r="T41" s="1">
        <f>SUM(OSRRefT22_7x_0)</f>
        <v>325.75</v>
      </c>
      <c r="U41" s="1"/>
      <c r="V41" s="5">
        <f t="shared" si="21"/>
        <v>0</v>
      </c>
      <c r="W41" s="1"/>
      <c r="X41" s="1">
        <f t="shared" si="22"/>
        <v>-325.75</v>
      </c>
      <c r="Y41" s="1"/>
      <c r="Z41" s="5">
        <f t="shared" si="23"/>
        <v>-1</v>
      </c>
    </row>
    <row r="42" spans="1:26" s="24" customFormat="1" hidden="1" outlineLevel="2" x14ac:dyDescent="0.25">
      <c r="A42" s="26"/>
      <c r="B42" s="11" t="str">
        <f>CONCATENATE("          ", "6292", " - ", "TRAVEL/CONFERENCE")</f>
        <v xml:space="preserve">          6292 - TRAVEL/CONFERENCE</v>
      </c>
      <c r="C42" s="11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/>
      <c r="Q42" s="2"/>
      <c r="R42" s="7">
        <f t="shared" si="20"/>
        <v>0</v>
      </c>
      <c r="S42" s="2"/>
      <c r="T42" s="6">
        <v>325.75</v>
      </c>
      <c r="U42" s="2"/>
      <c r="V42" s="7">
        <f t="shared" si="21"/>
        <v>0</v>
      </c>
      <c r="W42" s="2"/>
      <c r="X42" s="6">
        <f t="shared" si="22"/>
        <v>-325.75</v>
      </c>
      <c r="Y42" s="2"/>
      <c r="Z42" s="7">
        <f t="shared" si="23"/>
        <v>-1</v>
      </c>
    </row>
    <row r="43" spans="1:26" s="52" customFormat="1" x14ac:dyDescent="0.25">
      <c r="A43" s="37"/>
      <c r="B43" s="37"/>
      <c r="C43" s="37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25">
      <c r="A44" s="10"/>
      <c r="B44" s="28" t="s">
        <v>0</v>
      </c>
      <c r="C44" s="10"/>
      <c r="D44" s="4">
        <f>SUM(0)</f>
        <v>0</v>
      </c>
      <c r="E44" s="4"/>
      <c r="F44" s="12">
        <f>IF(D$12=0,0,D44/D$12)</f>
        <v>0</v>
      </c>
      <c r="G44" s="4"/>
      <c r="H44" s="4">
        <f>SUM(0)</f>
        <v>0</v>
      </c>
      <c r="I44" s="4"/>
      <c r="J44" s="12">
        <f>IF(H$12=0,0,H44/H$12)</f>
        <v>0</v>
      </c>
      <c r="K44" s="4"/>
      <c r="L44" s="4">
        <f>+D44-H44</f>
        <v>0</v>
      </c>
      <c r="M44" s="4"/>
      <c r="N44" s="12">
        <f>IF(H44=0,0,L44/H44)</f>
        <v>0</v>
      </c>
      <c r="O44" s="10"/>
      <c r="P44" s="4">
        <f>SUM(0)</f>
        <v>0</v>
      </c>
      <c r="Q44" s="4"/>
      <c r="R44" s="12">
        <f>IF(P$12=0,0,P44/P$12)</f>
        <v>0</v>
      </c>
      <c r="S44" s="4"/>
      <c r="T44" s="4">
        <f>SUM(0)</f>
        <v>0</v>
      </c>
      <c r="U44" s="4"/>
      <c r="V44" s="12">
        <f>IF(T$12=0,0,T44/T$12)</f>
        <v>0</v>
      </c>
      <c r="W44" s="4"/>
      <c r="X44" s="4">
        <f>+P44-T44</f>
        <v>0</v>
      </c>
      <c r="Y44" s="4"/>
      <c r="Z44" s="12">
        <f>IF(T44=0,0,X44/T44)</f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9" t="s">
        <v>3</v>
      </c>
      <c r="C46" s="29"/>
      <c r="D46" s="22">
        <f>+D16-D18+D44</f>
        <v>-17844.22</v>
      </c>
      <c r="E46" s="14"/>
      <c r="F46" s="20">
        <f>IF(D$12=0,0,D46/D$12)</f>
        <v>0</v>
      </c>
      <c r="G46" s="14"/>
      <c r="H46" s="22">
        <f>+H16-H18+H44</f>
        <v>-54350.12</v>
      </c>
      <c r="I46" s="14"/>
      <c r="J46" s="20">
        <f>IF(H$12=0,0,H46/H$12)</f>
        <v>0</v>
      </c>
      <c r="K46" s="16"/>
      <c r="L46" s="22">
        <f>+D46-H46</f>
        <v>36505.9</v>
      </c>
      <c r="M46" s="16"/>
      <c r="N46" s="20">
        <f>IF(H46=0,0,L46/H46)</f>
        <v>-0.67168020972170805</v>
      </c>
      <c r="O46" s="28"/>
      <c r="P46" s="22">
        <f>+P16-P18+P44</f>
        <v>-135791.74</v>
      </c>
      <c r="Q46" s="14"/>
      <c r="R46" s="20">
        <f>IF(P$12=0,0,P46/P$12)</f>
        <v>0</v>
      </c>
      <c r="S46" s="14"/>
      <c r="T46" s="22">
        <f>+T16-T18+T44</f>
        <v>-162717.88</v>
      </c>
      <c r="U46" s="14"/>
      <c r="V46" s="20">
        <f>IF(T$12=0,0,T46/T$12)</f>
        <v>0</v>
      </c>
      <c r="W46" s="16"/>
      <c r="X46" s="22">
        <f>+P46-T46</f>
        <v>26926.140000000014</v>
      </c>
      <c r="Y46" s="16"/>
      <c r="Z46" s="20">
        <f>IF(T46=0,0,X46/T46)</f>
        <v>-0.16547745091074204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1"/>
      <c r="B48" s="10" t="s">
        <v>13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9" t="s">
        <v>4</v>
      </c>
      <c r="C50" s="29"/>
      <c r="D50" s="35">
        <f>+D46-D48</f>
        <v>-17844.22</v>
      </c>
      <c r="E50" s="14"/>
      <c r="F50" s="36">
        <f>IF(D$12=0,0,D50/D$12)</f>
        <v>0</v>
      </c>
      <c r="G50" s="14"/>
      <c r="H50" s="35">
        <f>+H46-H48</f>
        <v>-54350.12</v>
      </c>
      <c r="I50" s="14"/>
      <c r="J50" s="36">
        <f>IF(H$12=0,0,H50/H$12)</f>
        <v>0</v>
      </c>
      <c r="K50" s="16"/>
      <c r="L50" s="35">
        <f>D50-H50</f>
        <v>36505.9</v>
      </c>
      <c r="M50" s="16"/>
      <c r="N50" s="36">
        <f>IF(H50=0,0,L50/H50)</f>
        <v>-0.67168020972170805</v>
      </c>
      <c r="O50" s="28"/>
      <c r="P50" s="35">
        <f>+P46-P48</f>
        <v>-135791.74</v>
      </c>
      <c r="Q50" s="14"/>
      <c r="R50" s="36">
        <f>IF(P$12=0,0,P50/P$12)</f>
        <v>0</v>
      </c>
      <c r="S50" s="14"/>
      <c r="T50" s="35">
        <f>+T46-T48</f>
        <v>-162717.88</v>
      </c>
      <c r="U50" s="14"/>
      <c r="V50" s="36">
        <f>IF(T$12=0,0,T50/T$12)</f>
        <v>0</v>
      </c>
      <c r="W50" s="16"/>
      <c r="X50" s="35">
        <f>P50-T50</f>
        <v>26926.140000000014</v>
      </c>
      <c r="Y50" s="16"/>
      <c r="Z50" s="36">
        <f>IF(T50=0,0,X50/T50)</f>
        <v>-0.16547745091074204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9" t="s">
        <v>5</v>
      </c>
      <c r="C53" s="29"/>
      <c r="D53" s="31">
        <f>SUM(D50:D52)</f>
        <v>-17844.22</v>
      </c>
      <c r="E53" s="14"/>
      <c r="F53" s="33">
        <f>IF(D$12=0,0,D53/D$12)</f>
        <v>0</v>
      </c>
      <c r="G53" s="14"/>
      <c r="H53" s="31">
        <f>SUM(H50:H52)</f>
        <v>-54350.12</v>
      </c>
      <c r="I53" s="14"/>
      <c r="J53" s="33">
        <f>IF(H$12=0,0,H53/H$12)</f>
        <v>0</v>
      </c>
      <c r="K53" s="16"/>
      <c r="L53" s="31">
        <f>+D53-H53</f>
        <v>36505.9</v>
      </c>
      <c r="M53" s="16"/>
      <c r="N53" s="33">
        <f>IF(H53=0,0,L53/H53)</f>
        <v>-0.67168020972170805</v>
      </c>
      <c r="O53" s="28"/>
      <c r="P53" s="31">
        <f>SUM(P50:P52)</f>
        <v>-135791.74</v>
      </c>
      <c r="Q53" s="14"/>
      <c r="R53" s="33">
        <f>IF(P$12=0,0,P53/P$12)</f>
        <v>0</v>
      </c>
      <c r="S53" s="14"/>
      <c r="T53" s="31">
        <f>SUM(T50:T52)</f>
        <v>-162717.88</v>
      </c>
      <c r="U53" s="14"/>
      <c r="V53" s="33">
        <f>IF(T$12=0,0,T53/T$12)</f>
        <v>0</v>
      </c>
      <c r="W53" s="16"/>
      <c r="X53" s="31">
        <f>+P53-T53</f>
        <v>26926.140000000014</v>
      </c>
      <c r="Y53" s="16"/>
      <c r="Z53" s="33">
        <f>IF(T53=0,0,X53/T53)</f>
        <v>-0.16547745091074204</v>
      </c>
    </row>
    <row r="54" spans="1:26" ht="15.75" thickTop="1" x14ac:dyDescent="0.25">
      <c r="A54" s="9"/>
      <c r="C54" s="9"/>
      <c r="D54" s="18"/>
      <c r="E54" s="18"/>
      <c r="G54" s="18"/>
      <c r="H54" s="18"/>
      <c r="I54" s="18"/>
      <c r="J54" s="43"/>
      <c r="K54" s="18"/>
      <c r="L54" s="18"/>
      <c r="M54" s="18"/>
      <c r="P54" s="18"/>
      <c r="Q54" s="18"/>
      <c r="R54" s="43"/>
      <c r="S54" s="18"/>
      <c r="T54" s="18"/>
      <c r="U54" s="18"/>
      <c r="V54" s="43"/>
      <c r="W54" s="18"/>
      <c r="X54" s="18"/>
    </row>
    <row r="55" spans="1:26" x14ac:dyDescent="0.25">
      <c r="A55" s="9"/>
      <c r="B55" s="56">
        <v>44267.668692627318</v>
      </c>
      <c r="D55" s="18"/>
      <c r="E55" s="18"/>
      <c r="G55" s="18"/>
      <c r="H55" s="18"/>
      <c r="I55" s="18"/>
      <c r="J55" s="43"/>
      <c r="K55" s="18"/>
      <c r="L55" s="18"/>
      <c r="M55" s="18"/>
      <c r="P55" s="18"/>
      <c r="Q55" s="18"/>
      <c r="R55" s="43"/>
      <c r="S55" s="18"/>
      <c r="T55" s="18"/>
      <c r="U55" s="18"/>
      <c r="V55" s="43"/>
      <c r="W55" s="18"/>
      <c r="X55" s="18"/>
    </row>
    <row r="56" spans="1:26" x14ac:dyDescent="0.25">
      <c r="A56" s="9"/>
      <c r="B56" s="54" t="s">
        <v>313</v>
      </c>
      <c r="D56" s="18"/>
      <c r="E56" s="18"/>
      <c r="G56" s="18"/>
      <c r="H56" s="18"/>
      <c r="I56" s="18"/>
      <c r="J56" s="43"/>
      <c r="K56" s="18"/>
      <c r="L56" s="18"/>
      <c r="M56" s="18"/>
      <c r="P56" s="18"/>
      <c r="Q56" s="18"/>
      <c r="R56" s="43"/>
      <c r="S56" s="18"/>
      <c r="T56" s="18"/>
      <c r="U56" s="18"/>
      <c r="V56" s="43"/>
      <c r="W56" s="18"/>
      <c r="X56" s="18"/>
    </row>
    <row r="57" spans="1:26" x14ac:dyDescent="0.25">
      <c r="A57" s="9"/>
      <c r="B57" s="58"/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25"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","433", " - ", "Hillside Dining Hall")</f>
        <v>Department 433 - Hillside Dining Hall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515968.29999999993</v>
      </c>
      <c r="I12" s="4"/>
      <c r="J12" s="12"/>
      <c r="K12" s="4"/>
      <c r="L12" s="4">
        <f t="shared" ref="L12:L15" si="0">+D12-H12</f>
        <v>-515968.29999999993</v>
      </c>
      <c r="M12" s="4"/>
      <c r="N12" s="12">
        <f t="shared" ref="N12:N15" si="1">IF(H12=0,0,L12/H12)</f>
        <v>-1</v>
      </c>
      <c r="O12" s="10"/>
      <c r="P12" s="4">
        <f>SUM(OSRRefP13x_0)</f>
        <v>23641.919999999998</v>
      </c>
      <c r="Q12" s="4"/>
      <c r="R12" s="12"/>
      <c r="S12" s="4"/>
      <c r="T12" s="4">
        <f>SUM(OSRRefT13x_0)</f>
        <v>3279552.8899999997</v>
      </c>
      <c r="U12" s="4"/>
      <c r="V12" s="12"/>
      <c r="W12" s="4"/>
      <c r="X12" s="4">
        <f t="shared" ref="X12:X15" si="2">+P12-T12</f>
        <v>-3255910.9699999997</v>
      </c>
      <c r="Y12" s="4"/>
      <c r="Z12" s="12">
        <f t="shared" ref="Z12:Z15" si="3">IF(T12=0,0,X12/T12)</f>
        <v>-0.99279111488883476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5" si="4">0</f>
        <v>0</v>
      </c>
      <c r="E13" s="2"/>
      <c r="F13" s="19"/>
      <c r="G13" s="2"/>
      <c r="H13" s="2">
        <f>--968.92</f>
        <v>968.92</v>
      </c>
      <c r="I13" s="2"/>
      <c r="J13" s="19"/>
      <c r="K13" s="2"/>
      <c r="L13" s="2">
        <f t="shared" si="0"/>
        <v>-968.92</v>
      </c>
      <c r="M13" s="2"/>
      <c r="N13" s="19">
        <f t="shared" si="1"/>
        <v>-1</v>
      </c>
      <c r="O13" s="11"/>
      <c r="P13" s="2">
        <f>--217.65</f>
        <v>217.65</v>
      </c>
      <c r="Q13" s="2"/>
      <c r="R13" s="19"/>
      <c r="S13" s="2"/>
      <c r="T13" s="2">
        <f>--19287.92</f>
        <v>19287.919999999998</v>
      </c>
      <c r="U13" s="2"/>
      <c r="V13" s="19"/>
      <c r="W13" s="2"/>
      <c r="X13" s="2">
        <f t="shared" si="2"/>
        <v>-19070.269999999997</v>
      </c>
      <c r="Y13" s="2"/>
      <c r="Z13" s="19">
        <f t="shared" si="3"/>
        <v>-0.98871573503000831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--497179.6</f>
        <v>497179.6</v>
      </c>
      <c r="I14" s="2"/>
      <c r="J14" s="19"/>
      <c r="K14" s="2"/>
      <c r="L14" s="2">
        <f t="shared" si="0"/>
        <v>-497179.6</v>
      </c>
      <c r="M14" s="2"/>
      <c r="N14" s="19">
        <f t="shared" si="1"/>
        <v>-1</v>
      </c>
      <c r="O14" s="11"/>
      <c r="P14" s="2">
        <f>--16096</f>
        <v>16096</v>
      </c>
      <c r="Q14" s="2"/>
      <c r="R14" s="19"/>
      <c r="S14" s="2"/>
      <c r="T14" s="2">
        <f>--3022143.51</f>
        <v>3022143.51</v>
      </c>
      <c r="U14" s="2"/>
      <c r="V14" s="19"/>
      <c r="W14" s="2"/>
      <c r="X14" s="2">
        <f t="shared" si="2"/>
        <v>-3006047.51</v>
      </c>
      <c r="Y14" s="2"/>
      <c r="Z14" s="19">
        <f t="shared" si="3"/>
        <v>-0.99467397893358145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 t="shared" si="4"/>
        <v>0</v>
      </c>
      <c r="E15" s="2"/>
      <c r="F15" s="19"/>
      <c r="G15" s="2"/>
      <c r="H15" s="2">
        <f>--17819.78</f>
        <v>17819.78</v>
      </c>
      <c r="I15" s="2"/>
      <c r="J15" s="19"/>
      <c r="K15" s="2"/>
      <c r="L15" s="2">
        <f t="shared" si="0"/>
        <v>-17819.78</v>
      </c>
      <c r="M15" s="2"/>
      <c r="N15" s="19">
        <f t="shared" si="1"/>
        <v>-1</v>
      </c>
      <c r="O15" s="11"/>
      <c r="P15" s="2">
        <f>--7328.27</f>
        <v>7328.27</v>
      </c>
      <c r="Q15" s="2"/>
      <c r="R15" s="19"/>
      <c r="S15" s="2"/>
      <c r="T15" s="2">
        <f>--238121.46</f>
        <v>238121.46</v>
      </c>
      <c r="U15" s="2"/>
      <c r="V15" s="19"/>
      <c r="W15" s="2"/>
      <c r="X15" s="2">
        <f t="shared" si="2"/>
        <v>-230793.19</v>
      </c>
      <c r="Y15" s="2"/>
      <c r="Z15" s="19">
        <f t="shared" si="3"/>
        <v>-0.96922465535025704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0</v>
      </c>
      <c r="E17" s="4"/>
      <c r="F17" s="12">
        <f t="shared" ref="F17:F19" si="5">IF(D$12=0,0,D17/D$12)</f>
        <v>0</v>
      </c>
      <c r="G17" s="4"/>
      <c r="H17" s="4">
        <f>SUM(OSRRefH16x_0)</f>
        <v>132424.53</v>
      </c>
      <c r="I17" s="4"/>
      <c r="J17" s="12">
        <f t="shared" ref="J17:J19" si="6">IF(H$12=0,0,H17/H$12)</f>
        <v>0.25665245326117908</v>
      </c>
      <c r="K17" s="4"/>
      <c r="L17" s="4">
        <f t="shared" ref="L17:L19" si="7">+D17-H17</f>
        <v>-132424.53</v>
      </c>
      <c r="M17" s="4"/>
      <c r="N17" s="12">
        <f t="shared" ref="N17:N19" si="8">IF(H17=0,0,L17/H17)</f>
        <v>-1</v>
      </c>
      <c r="O17" s="10"/>
      <c r="P17" s="4">
        <f>SUM(OSRRefP16x_0)</f>
        <v>25322.92</v>
      </c>
      <c r="Q17" s="4"/>
      <c r="R17" s="12">
        <f t="shared" ref="R17:R19" si="9">IF(P$12=0,0,P17/P$12)</f>
        <v>1.0711025162084975</v>
      </c>
      <c r="S17" s="4"/>
      <c r="T17" s="4">
        <f>SUM(OSRRefT16x_0)</f>
        <v>786788.23</v>
      </c>
      <c r="U17" s="4"/>
      <c r="V17" s="12">
        <f t="shared" ref="V17:V19" si="10">IF(T$12=0,0,T17/T$12)</f>
        <v>0.23990716307673271</v>
      </c>
      <c r="W17" s="4"/>
      <c r="X17" s="4">
        <f t="shared" ref="X17:X19" si="11">+P17-T17</f>
        <v>-761465.30999999994</v>
      </c>
      <c r="Y17" s="4"/>
      <c r="Z17" s="12">
        <f t="shared" ref="Z17:Z19" si="12">IF(T17=0,0,X17/T17)</f>
        <v>-0.96781482102242422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5"/>
        <v>0</v>
      </c>
      <c r="G18" s="2"/>
      <c r="H18" s="2">
        <v>129668.53</v>
      </c>
      <c r="I18" s="2"/>
      <c r="J18" s="19">
        <f t="shared" si="6"/>
        <v>0.25131103984488973</v>
      </c>
      <c r="K18" s="2"/>
      <c r="L18" s="2">
        <f t="shared" si="7"/>
        <v>-129668.53</v>
      </c>
      <c r="M18" s="2"/>
      <c r="N18" s="19">
        <f t="shared" si="8"/>
        <v>-1</v>
      </c>
      <c r="O18" s="11"/>
      <c r="P18" s="2">
        <v>14410.92</v>
      </c>
      <c r="Q18" s="2"/>
      <c r="R18" s="19">
        <f t="shared" si="9"/>
        <v>0.60954947821496741</v>
      </c>
      <c r="S18" s="2"/>
      <c r="T18" s="2">
        <v>808047.23</v>
      </c>
      <c r="U18" s="2"/>
      <c r="V18" s="19">
        <f t="shared" si="10"/>
        <v>0.24638944914225794</v>
      </c>
      <c r="W18" s="2"/>
      <c r="X18" s="2">
        <f t="shared" si="11"/>
        <v>-793636.30999999994</v>
      </c>
      <c r="Y18" s="2"/>
      <c r="Z18" s="19">
        <f t="shared" si="12"/>
        <v>-0.98216574543544932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5"/>
        <v>0</v>
      </c>
      <c r="G19" s="2"/>
      <c r="H19" s="2">
        <v>2756</v>
      </c>
      <c r="I19" s="2"/>
      <c r="J19" s="19">
        <f t="shared" si="6"/>
        <v>5.3414134162893352E-3</v>
      </c>
      <c r="K19" s="2"/>
      <c r="L19" s="2">
        <f t="shared" si="7"/>
        <v>-2756</v>
      </c>
      <c r="M19" s="2"/>
      <c r="N19" s="19">
        <f t="shared" si="8"/>
        <v>-1</v>
      </c>
      <c r="O19" s="11"/>
      <c r="P19" s="2">
        <v>10912</v>
      </c>
      <c r="Q19" s="2"/>
      <c r="R19" s="19">
        <f t="shared" si="9"/>
        <v>0.46155303799353015</v>
      </c>
      <c r="S19" s="2"/>
      <c r="T19" s="2">
        <v>-21259</v>
      </c>
      <c r="U19" s="2"/>
      <c r="V19" s="19">
        <f t="shared" si="10"/>
        <v>-6.4822860655252314E-3</v>
      </c>
      <c r="W19" s="2"/>
      <c r="X19" s="2">
        <f t="shared" si="11"/>
        <v>32171</v>
      </c>
      <c r="Y19" s="2"/>
      <c r="Z19" s="19">
        <f t="shared" si="12"/>
        <v>-1.5132884895808834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9" t="s">
        <v>6</v>
      </c>
      <c r="C21" s="29"/>
      <c r="D21" s="22">
        <f>D12-D17</f>
        <v>0</v>
      </c>
      <c r="E21" s="14"/>
      <c r="F21" s="20">
        <f>IF(D$12=0,0,D21/D$12)</f>
        <v>0</v>
      </c>
      <c r="G21" s="14"/>
      <c r="H21" s="22">
        <f>H12-H17</f>
        <v>383543.7699999999</v>
      </c>
      <c r="I21" s="14"/>
      <c r="J21" s="20">
        <f>IF(H$12=0,0,H21/H$12)</f>
        <v>0.74334754673882086</v>
      </c>
      <c r="K21" s="16"/>
      <c r="L21" s="22">
        <f>+D21-H21</f>
        <v>-383543.7699999999</v>
      </c>
      <c r="M21" s="16"/>
      <c r="N21" s="20">
        <f>IF(H21=0,0,L21/H21)</f>
        <v>-1</v>
      </c>
      <c r="O21" s="28"/>
      <c r="P21" s="22">
        <f>P12-P17</f>
        <v>-1681</v>
      </c>
      <c r="Q21" s="14"/>
      <c r="R21" s="20">
        <f>IF(P$12=0,0,P21/P$12)</f>
        <v>-7.110251620849746E-2</v>
      </c>
      <c r="S21" s="14"/>
      <c r="T21" s="22">
        <f>T12-T17</f>
        <v>2492764.6599999997</v>
      </c>
      <c r="U21" s="14"/>
      <c r="V21" s="20">
        <f>IF(T$12=0,0,T21/T$12)</f>
        <v>0.76009283692326723</v>
      </c>
      <c r="W21" s="16"/>
      <c r="X21" s="22">
        <f>+P21-T21</f>
        <v>-2494445.6599999997</v>
      </c>
      <c r="Y21" s="16"/>
      <c r="Z21" s="20">
        <f>IF(T21=0,0,X21/T21)</f>
        <v>-1.0006743516654315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8" t="s">
        <v>9</v>
      </c>
      <c r="C23" s="10"/>
      <c r="D23" s="21">
        <f>SUM(OSRRefD22x_0)</f>
        <v>46306.989999999991</v>
      </c>
      <c r="E23" s="21"/>
      <c r="F23" s="32">
        <f t="shared" ref="F23:F33" si="13">IF(D$12=0,0,D23/D$12)</f>
        <v>0</v>
      </c>
      <c r="G23" s="21"/>
      <c r="H23" s="21">
        <f>SUM(OSRRefH22x_0)</f>
        <v>193896.33</v>
      </c>
      <c r="I23" s="21"/>
      <c r="J23" s="32">
        <f t="shared" ref="J23:J33" si="14">IF(H$12=0,0,H23/H$12)</f>
        <v>0.37579116779073446</v>
      </c>
      <c r="K23" s="4"/>
      <c r="L23" s="21">
        <f t="shared" ref="L23:L33" si="15">+D23-H23</f>
        <v>-147589.34</v>
      </c>
      <c r="M23" s="4"/>
      <c r="N23" s="32">
        <f t="shared" ref="N23:N33" si="16">IF(H23=0,0,L23/H23)</f>
        <v>-0.76117655243913074</v>
      </c>
      <c r="O23" s="10"/>
      <c r="P23" s="21">
        <f>SUM(OSRRefP22x_0)</f>
        <v>414616.77999999997</v>
      </c>
      <c r="Q23" s="21"/>
      <c r="R23" s="32">
        <f t="shared" ref="R23:R33" si="17">IF(P$12=0,0,P23/P$12)</f>
        <v>17.537356526035111</v>
      </c>
      <c r="S23" s="21"/>
      <c r="T23" s="21">
        <f>SUM(OSRRefT22x_0)</f>
        <v>1351082.38</v>
      </c>
      <c r="U23" s="21"/>
      <c r="V23" s="32">
        <f t="shared" ref="V23:V33" si="18">IF(T$12=0,0,T23/T$12)</f>
        <v>0.41197151725154829</v>
      </c>
      <c r="W23" s="4"/>
      <c r="X23" s="21">
        <f t="shared" ref="X23:X33" si="19">+P23-T23</f>
        <v>-936465.59999999986</v>
      </c>
      <c r="Y23" s="4"/>
      <c r="Z23" s="32">
        <f t="shared" ref="Z23:Z33" si="20">IF(T23=0,0,X23/T23)</f>
        <v>-0.69312250227110495</v>
      </c>
    </row>
    <row r="24" spans="1:26" s="25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20319.529999999995</v>
      </c>
      <c r="E24" s="1"/>
      <c r="F24" s="5">
        <f t="shared" si="13"/>
        <v>0</v>
      </c>
      <c r="G24" s="1"/>
      <c r="H24" s="1">
        <f>SUM(OSRRefH22_0x_0)</f>
        <v>28795.71</v>
      </c>
      <c r="I24" s="1"/>
      <c r="J24" s="5">
        <f t="shared" si="14"/>
        <v>5.5809068115231113E-2</v>
      </c>
      <c r="K24" s="1"/>
      <c r="L24" s="1">
        <f t="shared" si="15"/>
        <v>-8476.1800000000039</v>
      </c>
      <c r="M24" s="1"/>
      <c r="N24" s="5">
        <f t="shared" si="16"/>
        <v>-0.29435565228292704</v>
      </c>
      <c r="O24" s="13"/>
      <c r="P24" s="1">
        <f>SUM(OSRRefP22_0x_0)</f>
        <v>166930.31999999998</v>
      </c>
      <c r="Q24" s="1"/>
      <c r="R24" s="5">
        <f t="shared" si="17"/>
        <v>7.0607767897023592</v>
      </c>
      <c r="S24" s="1"/>
      <c r="T24" s="1">
        <f>SUM(OSRRefT22_0x_0)</f>
        <v>224028.61</v>
      </c>
      <c r="U24" s="1"/>
      <c r="V24" s="5">
        <f t="shared" si="18"/>
        <v>6.831071719657493E-2</v>
      </c>
      <c r="W24" s="1"/>
      <c r="X24" s="1">
        <f t="shared" si="19"/>
        <v>-57098.290000000008</v>
      </c>
      <c r="Y24" s="1"/>
      <c r="Z24" s="5">
        <f t="shared" si="20"/>
        <v>-0.25487052747414723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6">
        <v>1785.8</v>
      </c>
      <c r="E25" s="2"/>
      <c r="F25" s="7">
        <f t="shared" si="13"/>
        <v>0</v>
      </c>
      <c r="G25" s="2"/>
      <c r="H25" s="6">
        <v>3928.4</v>
      </c>
      <c r="I25" s="2"/>
      <c r="J25" s="7">
        <f t="shared" si="14"/>
        <v>7.6136460321302698E-3</v>
      </c>
      <c r="K25" s="2"/>
      <c r="L25" s="6">
        <f t="shared" si="15"/>
        <v>-2142.6000000000004</v>
      </c>
      <c r="M25" s="2"/>
      <c r="N25" s="7">
        <f t="shared" si="16"/>
        <v>-0.54541289074432342</v>
      </c>
      <c r="O25" s="11"/>
      <c r="P25" s="6">
        <v>16132.169999999998</v>
      </c>
      <c r="Q25" s="2"/>
      <c r="R25" s="7">
        <f t="shared" si="17"/>
        <v>0.68235447882405487</v>
      </c>
      <c r="S25" s="2"/>
      <c r="T25" s="6">
        <v>34442.97</v>
      </c>
      <c r="U25" s="2"/>
      <c r="V25" s="7">
        <f t="shared" si="18"/>
        <v>1.050233710364098E-2</v>
      </c>
      <c r="W25" s="2"/>
      <c r="X25" s="6">
        <f t="shared" si="19"/>
        <v>-18310.800000000003</v>
      </c>
      <c r="Y25" s="2"/>
      <c r="Z25" s="7">
        <f t="shared" si="20"/>
        <v>-0.53162662801727034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6">
        <v>997.82</v>
      </c>
      <c r="E26" s="2"/>
      <c r="F26" s="7">
        <f t="shared" si="13"/>
        <v>0</v>
      </c>
      <c r="G26" s="2"/>
      <c r="H26" s="6">
        <v>4070.85</v>
      </c>
      <c r="I26" s="2"/>
      <c r="J26" s="7">
        <f t="shared" si="14"/>
        <v>7.889728884507053E-3</v>
      </c>
      <c r="K26" s="2"/>
      <c r="L26" s="6">
        <f t="shared" si="15"/>
        <v>-3073.0299999999997</v>
      </c>
      <c r="M26" s="2"/>
      <c r="N26" s="7">
        <f t="shared" si="16"/>
        <v>-0.75488657160052564</v>
      </c>
      <c r="O26" s="11"/>
      <c r="P26" s="6">
        <v>9164.16</v>
      </c>
      <c r="Q26" s="2"/>
      <c r="R26" s="7">
        <f t="shared" si="17"/>
        <v>0.387623340236326</v>
      </c>
      <c r="S26" s="2"/>
      <c r="T26" s="6">
        <v>22077.279999999999</v>
      </c>
      <c r="U26" s="2"/>
      <c r="V26" s="7">
        <f t="shared" si="18"/>
        <v>6.7317956869419483E-3</v>
      </c>
      <c r="W26" s="2"/>
      <c r="X26" s="6">
        <f t="shared" si="19"/>
        <v>-12913.119999999999</v>
      </c>
      <c r="Y26" s="2"/>
      <c r="Z26" s="7">
        <f t="shared" si="20"/>
        <v>-0.5849053868954871</v>
      </c>
    </row>
    <row r="27" spans="1:26" s="24" customFormat="1" hidden="1" outlineLevel="2" x14ac:dyDescent="0.25">
      <c r="A27" s="26"/>
      <c r="B27" s="11" t="str">
        <f>CONCATENATE("          ", "6113", " - ", "GROUP INSURANCE")</f>
        <v xml:space="preserve">          6113 - GROUP INSURANCE</v>
      </c>
      <c r="C27" s="11"/>
      <c r="D27" s="6">
        <v>12552.45</v>
      </c>
      <c r="E27" s="2"/>
      <c r="F27" s="7">
        <f t="shared" si="13"/>
        <v>0</v>
      </c>
      <c r="G27" s="2"/>
      <c r="H27" s="6">
        <v>13844.04</v>
      </c>
      <c r="I27" s="2"/>
      <c r="J27" s="7">
        <f t="shared" si="14"/>
        <v>2.6831183233543617E-2</v>
      </c>
      <c r="K27" s="2"/>
      <c r="L27" s="6">
        <f t="shared" si="15"/>
        <v>-1291.5900000000001</v>
      </c>
      <c r="M27" s="2"/>
      <c r="N27" s="7">
        <f t="shared" si="16"/>
        <v>-9.329574315012093E-2</v>
      </c>
      <c r="O27" s="11"/>
      <c r="P27" s="6">
        <v>97564.03</v>
      </c>
      <c r="Q27" s="2"/>
      <c r="R27" s="7">
        <f t="shared" si="17"/>
        <v>4.1267388604648021</v>
      </c>
      <c r="S27" s="2"/>
      <c r="T27" s="6">
        <v>104004.25</v>
      </c>
      <c r="U27" s="2"/>
      <c r="V27" s="7">
        <f t="shared" si="18"/>
        <v>3.1712935722771653E-2</v>
      </c>
      <c r="W27" s="2"/>
      <c r="X27" s="6">
        <f t="shared" si="19"/>
        <v>-6440.2200000000012</v>
      </c>
      <c r="Y27" s="2"/>
      <c r="Z27" s="7">
        <f t="shared" si="20"/>
        <v>-6.1922661814300867E-2</v>
      </c>
    </row>
    <row r="28" spans="1:26" s="24" customFormat="1" hidden="1" outlineLevel="2" x14ac:dyDescent="0.25">
      <c r="A28" s="26"/>
      <c r="B28" s="11" t="str">
        <f>CONCATENATE("          ", "6114", " - ", "STATE UNEMPLOYMENT INSURANCE")</f>
        <v xml:space="preserve">          6114 - STATE UNEMPLOYMENT INSURANCE</v>
      </c>
      <c r="C28" s="11"/>
      <c r="D28" s="6">
        <v>60.47</v>
      </c>
      <c r="E28" s="2"/>
      <c r="F28" s="7">
        <f t="shared" si="13"/>
        <v>0</v>
      </c>
      <c r="G28" s="2"/>
      <c r="H28" s="6">
        <v>272.8</v>
      </c>
      <c r="I28" s="2"/>
      <c r="J28" s="7">
        <f t="shared" si="14"/>
        <v>5.2871465165592552E-4</v>
      </c>
      <c r="K28" s="2"/>
      <c r="L28" s="6">
        <f t="shared" si="15"/>
        <v>-212.33</v>
      </c>
      <c r="M28" s="2"/>
      <c r="N28" s="7">
        <f t="shared" si="16"/>
        <v>-0.77833577712609969</v>
      </c>
      <c r="O28" s="11"/>
      <c r="P28" s="6">
        <v>555.4</v>
      </c>
      <c r="Q28" s="2"/>
      <c r="R28" s="7">
        <f t="shared" si="17"/>
        <v>2.3492169840689758E-2</v>
      </c>
      <c r="S28" s="2"/>
      <c r="T28" s="6">
        <v>1790.64</v>
      </c>
      <c r="U28" s="2"/>
      <c r="V28" s="7">
        <f t="shared" si="18"/>
        <v>5.4600125689694247E-4</v>
      </c>
      <c r="W28" s="2"/>
      <c r="X28" s="6">
        <f t="shared" si="19"/>
        <v>-1235.2400000000002</v>
      </c>
      <c r="Y28" s="2"/>
      <c r="Z28" s="7">
        <f t="shared" si="20"/>
        <v>-0.68983156860117067</v>
      </c>
    </row>
    <row r="29" spans="1:26" s="24" customFormat="1" hidden="1" outlineLevel="2" x14ac:dyDescent="0.25">
      <c r="A29" s="26"/>
      <c r="B29" s="11" t="str">
        <f>CONCATENATE("          ", "6115", " - ", "P.E.R.S.")</f>
        <v xml:space="preserve">          6115 - P.E.R.S.</v>
      </c>
      <c r="C29" s="11"/>
      <c r="D29" s="6">
        <v>950.04</v>
      </c>
      <c r="E29" s="2"/>
      <c r="F29" s="7">
        <f t="shared" si="13"/>
        <v>0</v>
      </c>
      <c r="G29" s="2"/>
      <c r="H29" s="6">
        <v>1221.6600000000001</v>
      </c>
      <c r="I29" s="2"/>
      <c r="J29" s="7">
        <f t="shared" si="14"/>
        <v>2.3677035972946405E-3</v>
      </c>
      <c r="K29" s="2"/>
      <c r="L29" s="6">
        <f t="shared" si="15"/>
        <v>-271.62000000000012</v>
      </c>
      <c r="M29" s="2"/>
      <c r="N29" s="7">
        <f t="shared" si="16"/>
        <v>-0.22233682039192582</v>
      </c>
      <c r="O29" s="11"/>
      <c r="P29" s="6">
        <v>8630.7900000000009</v>
      </c>
      <c r="Q29" s="2"/>
      <c r="R29" s="7">
        <f t="shared" si="17"/>
        <v>0.36506298980793445</v>
      </c>
      <c r="S29" s="2"/>
      <c r="T29" s="6">
        <v>10769.31</v>
      </c>
      <c r="U29" s="2"/>
      <c r="V29" s="7">
        <f t="shared" si="18"/>
        <v>3.28377384394005E-3</v>
      </c>
      <c r="W29" s="2"/>
      <c r="X29" s="6">
        <f t="shared" si="19"/>
        <v>-2138.5199999999986</v>
      </c>
      <c r="Y29" s="2"/>
      <c r="Z29" s="7">
        <f t="shared" si="20"/>
        <v>-0.19857539619529929</v>
      </c>
    </row>
    <row r="30" spans="1:26" s="24" customFormat="1" hidden="1" outlineLevel="2" x14ac:dyDescent="0.25">
      <c r="A30" s="26"/>
      <c r="B30" s="11" t="str">
        <f>CONCATENATE("          ", "6117", " - ", "RETIREMENT STAFF HOURLY")</f>
        <v xml:space="preserve">          6117 - RETIREMENT STAFF HOURLY</v>
      </c>
      <c r="C30" s="11"/>
      <c r="D30" s="6">
        <v>353.46</v>
      </c>
      <c r="E30" s="2"/>
      <c r="F30" s="7">
        <f t="shared" si="13"/>
        <v>0</v>
      </c>
      <c r="G30" s="2"/>
      <c r="H30" s="6">
        <v>310.86</v>
      </c>
      <c r="I30" s="2"/>
      <c r="J30" s="7">
        <f t="shared" si="14"/>
        <v>6.0247887321759896E-4</v>
      </c>
      <c r="K30" s="2"/>
      <c r="L30" s="6">
        <f t="shared" si="15"/>
        <v>42.599999999999966</v>
      </c>
      <c r="M30" s="2"/>
      <c r="N30" s="7">
        <f t="shared" si="16"/>
        <v>0.13703918162516876</v>
      </c>
      <c r="O30" s="11"/>
      <c r="P30" s="6">
        <v>3099.84</v>
      </c>
      <c r="Q30" s="2"/>
      <c r="R30" s="7">
        <f t="shared" si="17"/>
        <v>0.13111625451739961</v>
      </c>
      <c r="S30" s="2"/>
      <c r="T30" s="6">
        <v>3822.36</v>
      </c>
      <c r="U30" s="2"/>
      <c r="V30" s="7">
        <f t="shared" si="18"/>
        <v>1.1655125342406052E-3</v>
      </c>
      <c r="W30" s="2"/>
      <c r="X30" s="6">
        <f t="shared" si="19"/>
        <v>-722.52</v>
      </c>
      <c r="Y30" s="2"/>
      <c r="Z30" s="7">
        <f t="shared" si="20"/>
        <v>-0.18902458167205599</v>
      </c>
    </row>
    <row r="31" spans="1:26" s="24" customFormat="1" hidden="1" outlineLevel="2" x14ac:dyDescent="0.25">
      <c r="A31" s="26"/>
      <c r="B31" s="11" t="str">
        <f>CONCATENATE("          ", "6118", " - ", "VACATION")</f>
        <v xml:space="preserve">          6118 - VACATION</v>
      </c>
      <c r="C31" s="11"/>
      <c r="D31" s="6">
        <v>1575.8</v>
      </c>
      <c r="E31" s="2"/>
      <c r="F31" s="7">
        <f t="shared" si="13"/>
        <v>0</v>
      </c>
      <c r="G31" s="2"/>
      <c r="H31" s="6">
        <v>2209.12</v>
      </c>
      <c r="I31" s="2"/>
      <c r="J31" s="7">
        <f t="shared" si="14"/>
        <v>4.2815033404183939E-3</v>
      </c>
      <c r="K31" s="2"/>
      <c r="L31" s="6">
        <f t="shared" si="15"/>
        <v>-633.31999999999994</v>
      </c>
      <c r="M31" s="2"/>
      <c r="N31" s="7">
        <f t="shared" si="16"/>
        <v>-0.28668429057724343</v>
      </c>
      <c r="O31" s="11"/>
      <c r="P31" s="6">
        <v>15291.48</v>
      </c>
      <c r="Q31" s="2"/>
      <c r="R31" s="7">
        <f t="shared" si="17"/>
        <v>0.64679518414748038</v>
      </c>
      <c r="S31" s="2"/>
      <c r="T31" s="6">
        <v>20211.79</v>
      </c>
      <c r="U31" s="2"/>
      <c r="V31" s="7">
        <f t="shared" si="18"/>
        <v>6.1629711969670362E-3</v>
      </c>
      <c r="W31" s="2"/>
      <c r="X31" s="6">
        <f t="shared" si="19"/>
        <v>-4920.3100000000013</v>
      </c>
      <c r="Y31" s="2"/>
      <c r="Z31" s="7">
        <f t="shared" si="20"/>
        <v>-0.24343761735106098</v>
      </c>
    </row>
    <row r="32" spans="1:26" s="24" customFormat="1" hidden="1" outlineLevel="2" x14ac:dyDescent="0.25">
      <c r="A32" s="26"/>
      <c r="B32" s="11" t="str">
        <f>CONCATENATE("          ", "6119", " - ", "SICK LEAVE")</f>
        <v xml:space="preserve">          6119 - SICK LEAVE</v>
      </c>
      <c r="C32" s="11"/>
      <c r="D32" s="6">
        <v>1152.05</v>
      </c>
      <c r="E32" s="2"/>
      <c r="F32" s="7">
        <f t="shared" si="13"/>
        <v>0</v>
      </c>
      <c r="G32" s="2"/>
      <c r="H32" s="6">
        <v>1528.04</v>
      </c>
      <c r="I32" s="2"/>
      <c r="J32" s="7">
        <f t="shared" si="14"/>
        <v>2.9614997665554262E-3</v>
      </c>
      <c r="K32" s="2"/>
      <c r="L32" s="6">
        <f t="shared" si="15"/>
        <v>-375.99</v>
      </c>
      <c r="M32" s="2"/>
      <c r="N32" s="7">
        <f t="shared" si="16"/>
        <v>-0.24606031255726291</v>
      </c>
      <c r="O32" s="11"/>
      <c r="P32" s="6">
        <v>10126.74</v>
      </c>
      <c r="Q32" s="2"/>
      <c r="R32" s="7">
        <f t="shared" si="17"/>
        <v>0.42833830754862551</v>
      </c>
      <c r="S32" s="2"/>
      <c r="T32" s="6">
        <v>17653.96</v>
      </c>
      <c r="U32" s="2"/>
      <c r="V32" s="7">
        <f t="shared" si="18"/>
        <v>5.3830386617122073E-3</v>
      </c>
      <c r="W32" s="2"/>
      <c r="X32" s="6">
        <f t="shared" si="19"/>
        <v>-7527.2199999999993</v>
      </c>
      <c r="Y32" s="2"/>
      <c r="Z32" s="7">
        <f t="shared" si="20"/>
        <v>-0.4263757253330131</v>
      </c>
    </row>
    <row r="33" spans="1:26" s="24" customFormat="1" hidden="1" outlineLevel="2" x14ac:dyDescent="0.25">
      <c r="A33" s="26"/>
      <c r="B33" s="11" t="str">
        <f>CONCATENATE("          ", "6156", " - ", "EMPLOYEE MEALS")</f>
        <v xml:space="preserve">          6156 - EMPLOYEE MEALS</v>
      </c>
      <c r="C33" s="11"/>
      <c r="D33" s="6">
        <v>891.64</v>
      </c>
      <c r="E33" s="2"/>
      <c r="F33" s="7">
        <f t="shared" si="13"/>
        <v>0</v>
      </c>
      <c r="G33" s="2"/>
      <c r="H33" s="6">
        <v>1409.94</v>
      </c>
      <c r="I33" s="2"/>
      <c r="J33" s="7">
        <f t="shared" si="14"/>
        <v>2.7326097359081951E-3</v>
      </c>
      <c r="K33" s="2"/>
      <c r="L33" s="6">
        <f t="shared" si="15"/>
        <v>-518.30000000000007</v>
      </c>
      <c r="M33" s="2"/>
      <c r="N33" s="7">
        <f t="shared" si="16"/>
        <v>-0.36760429521823629</v>
      </c>
      <c r="O33" s="11"/>
      <c r="P33" s="6">
        <v>6365.71</v>
      </c>
      <c r="Q33" s="2"/>
      <c r="R33" s="7">
        <f t="shared" si="17"/>
        <v>0.26925520431504718</v>
      </c>
      <c r="S33" s="2"/>
      <c r="T33" s="6">
        <v>9256.0499999999993</v>
      </c>
      <c r="U33" s="2"/>
      <c r="V33" s="7">
        <f t="shared" si="18"/>
        <v>2.8223511894635124E-3</v>
      </c>
      <c r="W33" s="2"/>
      <c r="X33" s="6">
        <f t="shared" si="19"/>
        <v>-2890.3399999999992</v>
      </c>
      <c r="Y33" s="2"/>
      <c r="Z33" s="7">
        <f t="shared" si="20"/>
        <v>-0.31226495103202762</v>
      </c>
    </row>
    <row r="34" spans="1:26" s="25" customFormat="1" outlineLevel="1" collapsed="1" x14ac:dyDescent="0.25">
      <c r="A34" s="27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20656.62</v>
      </c>
      <c r="E34" s="1"/>
      <c r="F34" s="5">
        <f t="shared" ref="F34:F40" si="21">IF(D$12=0,0,D34/D$12)</f>
        <v>0</v>
      </c>
      <c r="G34" s="1"/>
      <c r="H34" s="1">
        <f>SUM(OSRRefH22_1x_0)</f>
        <v>100172.85999999999</v>
      </c>
      <c r="I34" s="1"/>
      <c r="J34" s="5">
        <f t="shared" ref="J34:J40" si="22">IF(H$12=0,0,H34/H$12)</f>
        <v>0.19414537676054905</v>
      </c>
      <c r="K34" s="1"/>
      <c r="L34" s="1">
        <f t="shared" ref="L34:L40" si="23">+D34-H34</f>
        <v>-79516.239999999991</v>
      </c>
      <c r="M34" s="1"/>
      <c r="N34" s="5">
        <f t="shared" ref="N34:N40" si="24">IF(H34=0,0,L34/H34)</f>
        <v>-0.7937902541666475</v>
      </c>
      <c r="O34" s="13"/>
      <c r="P34" s="1">
        <f>SUM(OSRRefP22_1x_0)</f>
        <v>179480.73</v>
      </c>
      <c r="Q34" s="1"/>
      <c r="R34" s="5">
        <f t="shared" ref="R34:R40" si="25">IF(P$12=0,0,P34/P$12)</f>
        <v>7.5916308827709438</v>
      </c>
      <c r="S34" s="1"/>
      <c r="T34" s="1">
        <f>SUM(OSRRefT22_1x_0)</f>
        <v>685548.13</v>
      </c>
      <c r="U34" s="1"/>
      <c r="V34" s="5">
        <f t="shared" ref="V34:V40" si="26">IF(T$12=0,0,T34/T$12)</f>
        <v>0.20903707090389387</v>
      </c>
      <c r="W34" s="1"/>
      <c r="X34" s="1">
        <f t="shared" ref="X34:X40" si="27">+P34-T34</f>
        <v>-506067.4</v>
      </c>
      <c r="Y34" s="1"/>
      <c r="Z34" s="5">
        <f t="shared" ref="Z34:Z40" si="28">IF(T34=0,0,X34/T34)</f>
        <v>-0.73819383038795539</v>
      </c>
    </row>
    <row r="35" spans="1:26" s="24" customFormat="1" hidden="1" outlineLevel="2" x14ac:dyDescent="0.25">
      <c r="A35" s="26"/>
      <c r="B35" s="11" t="str">
        <f>CONCATENATE("          ", "6002", " - ", "STAFF SALARIES")</f>
        <v xml:space="preserve">          6002 - STAFF SALARIES</v>
      </c>
      <c r="C35" s="11"/>
      <c r="D35" s="6">
        <v>9455.32</v>
      </c>
      <c r="E35" s="2"/>
      <c r="F35" s="7">
        <f t="shared" si="21"/>
        <v>0</v>
      </c>
      <c r="G35" s="2"/>
      <c r="H35" s="6">
        <v>14374.72</v>
      </c>
      <c r="I35" s="2"/>
      <c r="J35" s="7">
        <f t="shared" si="22"/>
        <v>2.7859696031713579E-2</v>
      </c>
      <c r="K35" s="2"/>
      <c r="L35" s="6">
        <f t="shared" si="23"/>
        <v>-4919.3999999999996</v>
      </c>
      <c r="M35" s="2"/>
      <c r="N35" s="7">
        <f t="shared" si="24"/>
        <v>-0.34222579639812112</v>
      </c>
      <c r="O35" s="11"/>
      <c r="P35" s="6">
        <v>73806.070000000007</v>
      </c>
      <c r="Q35" s="2"/>
      <c r="R35" s="7">
        <f t="shared" si="25"/>
        <v>3.1218306296612126</v>
      </c>
      <c r="S35" s="2"/>
      <c r="T35" s="6">
        <v>118171.48000000001</v>
      </c>
      <c r="U35" s="2"/>
      <c r="V35" s="7">
        <f t="shared" si="26"/>
        <v>3.6032802020155873E-2</v>
      </c>
      <c r="W35" s="2"/>
      <c r="X35" s="6">
        <f t="shared" si="27"/>
        <v>-44365.41</v>
      </c>
      <c r="Y35" s="2"/>
      <c r="Z35" s="7">
        <f t="shared" si="28"/>
        <v>-0.37543246475376291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6">
        <v>11458.3</v>
      </c>
      <c r="E36" s="2"/>
      <c r="F36" s="7">
        <f t="shared" si="21"/>
        <v>0</v>
      </c>
      <c r="G36" s="2"/>
      <c r="H36" s="6">
        <v>18440.72</v>
      </c>
      <c r="I36" s="2"/>
      <c r="J36" s="7">
        <f t="shared" si="22"/>
        <v>3.5740025113945958E-2</v>
      </c>
      <c r="K36" s="2"/>
      <c r="L36" s="6">
        <f t="shared" si="23"/>
        <v>-6982.4200000000019</v>
      </c>
      <c r="M36" s="2"/>
      <c r="N36" s="7">
        <f t="shared" si="24"/>
        <v>-0.37864139794975477</v>
      </c>
      <c r="O36" s="11"/>
      <c r="P36" s="6">
        <v>103331.66</v>
      </c>
      <c r="Q36" s="2"/>
      <c r="R36" s="7">
        <f t="shared" si="25"/>
        <v>4.3706966270082974</v>
      </c>
      <c r="S36" s="2"/>
      <c r="T36" s="6">
        <v>144694.54</v>
      </c>
      <c r="U36" s="2"/>
      <c r="V36" s="7">
        <f t="shared" si="26"/>
        <v>4.4120203226849015E-2</v>
      </c>
      <c r="W36" s="2"/>
      <c r="X36" s="6">
        <f t="shared" si="27"/>
        <v>-41362.880000000005</v>
      </c>
      <c r="Y36" s="2"/>
      <c r="Z36" s="7">
        <f t="shared" si="28"/>
        <v>-0.28586344723166474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6"/>
      <c r="E37" s="2"/>
      <c r="F37" s="7">
        <f t="shared" si="21"/>
        <v>0</v>
      </c>
      <c r="G37" s="2"/>
      <c r="H37" s="6">
        <v>17518.98</v>
      </c>
      <c r="I37" s="2"/>
      <c r="J37" s="7">
        <f t="shared" si="22"/>
        <v>3.3953597536902948E-2</v>
      </c>
      <c r="K37" s="2"/>
      <c r="L37" s="6">
        <f t="shared" si="23"/>
        <v>-17518.98</v>
      </c>
      <c r="M37" s="2"/>
      <c r="N37" s="7">
        <f t="shared" si="24"/>
        <v>-1</v>
      </c>
      <c r="O37" s="11"/>
      <c r="P37" s="6"/>
      <c r="Q37" s="2"/>
      <c r="R37" s="7">
        <f t="shared" si="25"/>
        <v>0</v>
      </c>
      <c r="S37" s="2"/>
      <c r="T37" s="6">
        <v>110870.81</v>
      </c>
      <c r="U37" s="2"/>
      <c r="V37" s="7">
        <f t="shared" si="26"/>
        <v>3.3806684544733782E-2</v>
      </c>
      <c r="W37" s="2"/>
      <c r="X37" s="6">
        <f t="shared" si="27"/>
        <v>-110870.81</v>
      </c>
      <c r="Y37" s="2"/>
      <c r="Z37" s="7">
        <f t="shared" si="28"/>
        <v>-1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1"/>
        <v>0</v>
      </c>
      <c r="G38" s="2"/>
      <c r="H38" s="6"/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10133.07</v>
      </c>
      <c r="U38" s="2"/>
      <c r="V38" s="7">
        <f t="shared" si="26"/>
        <v>3.0897717889831013E-3</v>
      </c>
      <c r="W38" s="2"/>
      <c r="X38" s="6">
        <f t="shared" si="27"/>
        <v>-10133.07</v>
      </c>
      <c r="Y38" s="2"/>
      <c r="Z38" s="7">
        <f t="shared" si="28"/>
        <v>-1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6">
        <v>-257</v>
      </c>
      <c r="E39" s="2"/>
      <c r="F39" s="7">
        <f t="shared" si="21"/>
        <v>0</v>
      </c>
      <c r="G39" s="2"/>
      <c r="H39" s="6">
        <v>45369.689999999995</v>
      </c>
      <c r="I39" s="2"/>
      <c r="J39" s="7">
        <f t="shared" si="22"/>
        <v>8.7931157786243844E-2</v>
      </c>
      <c r="K39" s="2"/>
      <c r="L39" s="6">
        <f t="shared" si="23"/>
        <v>-45626.689999999995</v>
      </c>
      <c r="M39" s="2"/>
      <c r="N39" s="7">
        <f t="shared" si="24"/>
        <v>-1.0056645747414188</v>
      </c>
      <c r="O39" s="11"/>
      <c r="P39" s="6">
        <v>2343</v>
      </c>
      <c r="Q39" s="2"/>
      <c r="R39" s="7">
        <f t="shared" si="25"/>
        <v>9.910362610143339E-2</v>
      </c>
      <c r="S39" s="2"/>
      <c r="T39" s="6">
        <v>278354.98</v>
      </c>
      <c r="U39" s="2"/>
      <c r="V39" s="7">
        <f t="shared" si="26"/>
        <v>8.4875892945272799E-2</v>
      </c>
      <c r="W39" s="2"/>
      <c r="X39" s="6">
        <f t="shared" si="27"/>
        <v>-276011.98</v>
      </c>
      <c r="Y39" s="2"/>
      <c r="Z39" s="7">
        <f t="shared" si="28"/>
        <v>-0.99158269056296389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1"/>
        <v>0</v>
      </c>
      <c r="G40" s="2"/>
      <c r="H40" s="6">
        <v>4468.75</v>
      </c>
      <c r="I40" s="2"/>
      <c r="J40" s="7">
        <f t="shared" si="22"/>
        <v>8.6609002917427298E-3</v>
      </c>
      <c r="K40" s="2"/>
      <c r="L40" s="6">
        <f t="shared" si="23"/>
        <v>-4468.75</v>
      </c>
      <c r="M40" s="2"/>
      <c r="N40" s="7">
        <f t="shared" si="24"/>
        <v>-1</v>
      </c>
      <c r="O40" s="11"/>
      <c r="P40" s="6"/>
      <c r="Q40" s="2"/>
      <c r="R40" s="7">
        <f t="shared" si="25"/>
        <v>0</v>
      </c>
      <c r="S40" s="2"/>
      <c r="T40" s="6">
        <v>23323.25</v>
      </c>
      <c r="U40" s="2"/>
      <c r="V40" s="7">
        <f t="shared" si="26"/>
        <v>7.1117163778993062E-3</v>
      </c>
      <c r="W40" s="2"/>
      <c r="X40" s="6">
        <f t="shared" si="27"/>
        <v>-23323.25</v>
      </c>
      <c r="Y40" s="2"/>
      <c r="Z40" s="7">
        <f t="shared" si="28"/>
        <v>-1</v>
      </c>
    </row>
    <row r="41" spans="1:26" s="25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62" si="29">IF(D$12=0,0,D41/D$12)</f>
        <v>0</v>
      </c>
      <c r="G41" s="1"/>
      <c r="H41" s="1">
        <f>SUM(OSRRefH22_2x_0)</f>
        <v>56.26</v>
      </c>
      <c r="I41" s="1"/>
      <c r="J41" s="5">
        <f t="shared" ref="J41:J62" si="30">IF(H$12=0,0,H41/H$12)</f>
        <v>1.0903770638622567E-4</v>
      </c>
      <c r="K41" s="1"/>
      <c r="L41" s="1">
        <f t="shared" ref="L41:L62" si="31">+D41-H41</f>
        <v>-56.26</v>
      </c>
      <c r="M41" s="1"/>
      <c r="N41" s="5">
        <f t="shared" ref="N41:N62" si="32">IF(H41=0,0,L41/H41)</f>
        <v>-1</v>
      </c>
      <c r="O41" s="13"/>
      <c r="P41" s="1">
        <f>SUM(OSRRefP22_2x_0)</f>
        <v>204.75</v>
      </c>
      <c r="Q41" s="1"/>
      <c r="R41" s="5">
        <f t="shared" ref="R41:R62" si="33">IF(P$12=0,0,P41/P$12)</f>
        <v>8.660464124741139E-3</v>
      </c>
      <c r="S41" s="1"/>
      <c r="T41" s="1">
        <f>SUM(OSRRefT22_2x_0)</f>
        <v>2828.94</v>
      </c>
      <c r="U41" s="1"/>
      <c r="V41" s="5">
        <f t="shared" ref="V41:V62" si="34">IF(T$12=0,0,T41/T$12)</f>
        <v>8.6259929169796084E-4</v>
      </c>
      <c r="W41" s="1"/>
      <c r="X41" s="1">
        <f t="shared" ref="X41:X62" si="35">+P41-T41</f>
        <v>-2624.19</v>
      </c>
      <c r="Y41" s="1"/>
      <c r="Z41" s="5">
        <f t="shared" ref="Z41:Z62" si="36">IF(T41=0,0,X41/T41)</f>
        <v>-0.9276230672972916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9"/>
        <v>0</v>
      </c>
      <c r="G42" s="2"/>
      <c r="H42" s="6">
        <v>56.26</v>
      </c>
      <c r="I42" s="2"/>
      <c r="J42" s="7">
        <f t="shared" si="30"/>
        <v>1.0903770638622567E-4</v>
      </c>
      <c r="K42" s="2"/>
      <c r="L42" s="6">
        <f t="shared" si="31"/>
        <v>-56.26</v>
      </c>
      <c r="M42" s="2"/>
      <c r="N42" s="7">
        <f t="shared" si="32"/>
        <v>-1</v>
      </c>
      <c r="O42" s="11"/>
      <c r="P42" s="6">
        <v>204.75</v>
      </c>
      <c r="Q42" s="2"/>
      <c r="R42" s="7">
        <f t="shared" si="33"/>
        <v>8.660464124741139E-3</v>
      </c>
      <c r="S42" s="2"/>
      <c r="T42" s="6">
        <v>2828.94</v>
      </c>
      <c r="U42" s="2"/>
      <c r="V42" s="7">
        <f t="shared" si="34"/>
        <v>8.6259929169796084E-4</v>
      </c>
      <c r="W42" s="2"/>
      <c r="X42" s="6">
        <f t="shared" si="35"/>
        <v>-2624.19</v>
      </c>
      <c r="Y42" s="2"/>
      <c r="Z42" s="7">
        <f t="shared" si="36"/>
        <v>-0.9276230672972916</v>
      </c>
    </row>
    <row r="43" spans="1:26" s="25" customFormat="1" outlineLevel="1" collapsed="1" x14ac:dyDescent="0.25">
      <c r="A43" s="27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0</v>
      </c>
      <c r="E43" s="1"/>
      <c r="F43" s="5">
        <f t="shared" si="29"/>
        <v>0</v>
      </c>
      <c r="G43" s="1"/>
      <c r="H43" s="1">
        <f>SUM(OSRRefH22_3x_0)</f>
        <v>1</v>
      </c>
      <c r="I43" s="1"/>
      <c r="J43" s="5">
        <f t="shared" si="30"/>
        <v>1.9381035617885828E-6</v>
      </c>
      <c r="K43" s="1"/>
      <c r="L43" s="1">
        <f t="shared" si="31"/>
        <v>-1</v>
      </c>
      <c r="M43" s="1"/>
      <c r="N43" s="5">
        <f t="shared" si="32"/>
        <v>-1</v>
      </c>
      <c r="O43" s="13"/>
      <c r="P43" s="1">
        <f>SUM(OSRRefP22_3x_0)</f>
        <v>0</v>
      </c>
      <c r="Q43" s="1"/>
      <c r="R43" s="5">
        <f t="shared" si="33"/>
        <v>0</v>
      </c>
      <c r="S43" s="1"/>
      <c r="T43" s="1">
        <f>SUM(OSRRefT22_3x_0)</f>
        <v>1.95</v>
      </c>
      <c r="U43" s="1"/>
      <c r="V43" s="5">
        <f t="shared" si="34"/>
        <v>5.9459324652025966E-7</v>
      </c>
      <c r="W43" s="1"/>
      <c r="X43" s="1">
        <f t="shared" si="35"/>
        <v>-1.95</v>
      </c>
      <c r="Y43" s="1"/>
      <c r="Z43" s="5">
        <f t="shared" si="36"/>
        <v>-1</v>
      </c>
    </row>
    <row r="44" spans="1:26" s="24" customFormat="1" hidden="1" outlineLevel="2" x14ac:dyDescent="0.25">
      <c r="A44" s="26"/>
      <c r="B44" s="11" t="str">
        <f>CONCATENATE("          ", "6272", " - ", "CASH (OVER/SHORT)")</f>
        <v xml:space="preserve">          6272 - CASH (OVER/SHORT)</v>
      </c>
      <c r="C44" s="11"/>
      <c r="D44" s="6"/>
      <c r="E44" s="2"/>
      <c r="F44" s="7">
        <f t="shared" si="29"/>
        <v>0</v>
      </c>
      <c r="G44" s="2"/>
      <c r="H44" s="6">
        <v>1</v>
      </c>
      <c r="I44" s="2"/>
      <c r="J44" s="7">
        <f t="shared" si="30"/>
        <v>1.9381035617885828E-6</v>
      </c>
      <c r="K44" s="2"/>
      <c r="L44" s="6">
        <f t="shared" si="31"/>
        <v>-1</v>
      </c>
      <c r="M44" s="2"/>
      <c r="N44" s="7">
        <f t="shared" si="32"/>
        <v>-1</v>
      </c>
      <c r="O44" s="11"/>
      <c r="P44" s="6"/>
      <c r="Q44" s="2"/>
      <c r="R44" s="7">
        <f t="shared" si="33"/>
        <v>0</v>
      </c>
      <c r="S44" s="2"/>
      <c r="T44" s="6">
        <v>1.95</v>
      </c>
      <c r="U44" s="2"/>
      <c r="V44" s="7">
        <f t="shared" si="34"/>
        <v>5.9459324652025966E-7</v>
      </c>
      <c r="W44" s="2"/>
      <c r="X44" s="6">
        <f t="shared" si="35"/>
        <v>-1.95</v>
      </c>
      <c r="Y44" s="2"/>
      <c r="Z44" s="7">
        <f t="shared" si="36"/>
        <v>-1</v>
      </c>
    </row>
    <row r="45" spans="1:26" s="25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0</v>
      </c>
      <c r="E45" s="1"/>
      <c r="F45" s="5">
        <f t="shared" si="29"/>
        <v>0</v>
      </c>
      <c r="G45" s="1"/>
      <c r="H45" s="1">
        <f>SUM(OSRRefH22_4x_0)</f>
        <v>159.88999999999999</v>
      </c>
      <c r="I45" s="1"/>
      <c r="J45" s="5">
        <f t="shared" si="30"/>
        <v>3.0988337849437652E-4</v>
      </c>
      <c r="K45" s="1"/>
      <c r="L45" s="1">
        <f t="shared" si="31"/>
        <v>-159.88999999999999</v>
      </c>
      <c r="M45" s="1"/>
      <c r="N45" s="5">
        <f t="shared" si="32"/>
        <v>-1</v>
      </c>
      <c r="O45" s="13"/>
      <c r="P45" s="1">
        <f>SUM(OSRRefP22_4x_0)</f>
        <v>0</v>
      </c>
      <c r="Q45" s="1"/>
      <c r="R45" s="5">
        <f t="shared" si="33"/>
        <v>0</v>
      </c>
      <c r="S45" s="1"/>
      <c r="T45" s="1">
        <f>SUM(OSRRefT22_4x_0)</f>
        <v>1763.05</v>
      </c>
      <c r="U45" s="1"/>
      <c r="V45" s="5">
        <f t="shared" si="34"/>
        <v>5.375885247577148E-4</v>
      </c>
      <c r="W45" s="1"/>
      <c r="X45" s="1">
        <f t="shared" si="35"/>
        <v>-1763.05</v>
      </c>
      <c r="Y45" s="1"/>
      <c r="Z45" s="5">
        <f t="shared" si="36"/>
        <v>-1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6"/>
      <c r="E46" s="2"/>
      <c r="F46" s="7">
        <f t="shared" si="29"/>
        <v>0</v>
      </c>
      <c r="G46" s="2"/>
      <c r="H46" s="6">
        <v>159.88999999999999</v>
      </c>
      <c r="I46" s="2"/>
      <c r="J46" s="7">
        <f t="shared" si="30"/>
        <v>3.0988337849437652E-4</v>
      </c>
      <c r="K46" s="2"/>
      <c r="L46" s="6">
        <f t="shared" si="31"/>
        <v>-159.88999999999999</v>
      </c>
      <c r="M46" s="2"/>
      <c r="N46" s="7">
        <f t="shared" si="32"/>
        <v>-1</v>
      </c>
      <c r="O46" s="11"/>
      <c r="P46" s="6"/>
      <c r="Q46" s="2"/>
      <c r="R46" s="7">
        <f t="shared" si="33"/>
        <v>0</v>
      </c>
      <c r="S46" s="2"/>
      <c r="T46" s="6">
        <v>1763.05</v>
      </c>
      <c r="U46" s="2"/>
      <c r="V46" s="7">
        <f t="shared" si="34"/>
        <v>5.375885247577148E-4</v>
      </c>
      <c r="W46" s="2"/>
      <c r="X46" s="6">
        <f t="shared" si="35"/>
        <v>-1763.05</v>
      </c>
      <c r="Y46" s="2"/>
      <c r="Z46" s="7">
        <f t="shared" si="36"/>
        <v>-1</v>
      </c>
    </row>
    <row r="47" spans="1:26" s="25" customFormat="1" outlineLevel="1" collapsed="1" x14ac:dyDescent="0.25">
      <c r="A47" s="27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SUM(OSRRefD22_5x_0)</f>
        <v>272.74</v>
      </c>
      <c r="E47" s="1"/>
      <c r="F47" s="5">
        <f t="shared" si="29"/>
        <v>0</v>
      </c>
      <c r="G47" s="1"/>
      <c r="H47" s="1">
        <f>SUM(OSRRefH22_5x_0)</f>
        <v>0</v>
      </c>
      <c r="I47" s="1"/>
      <c r="J47" s="5">
        <f t="shared" si="30"/>
        <v>0</v>
      </c>
      <c r="K47" s="1"/>
      <c r="L47" s="1">
        <f t="shared" si="31"/>
        <v>272.74</v>
      </c>
      <c r="M47" s="1"/>
      <c r="N47" s="5">
        <f t="shared" si="32"/>
        <v>0</v>
      </c>
      <c r="O47" s="13"/>
      <c r="P47" s="1">
        <f>SUM(OSRRefP22_5x_0)</f>
        <v>1917.7</v>
      </c>
      <c r="Q47" s="1"/>
      <c r="R47" s="5">
        <f t="shared" si="33"/>
        <v>8.1114393416439959E-2</v>
      </c>
      <c r="S47" s="1"/>
      <c r="T47" s="1">
        <f>SUM(OSRRefT22_5x_0)</f>
        <v>0</v>
      </c>
      <c r="U47" s="1"/>
      <c r="V47" s="5">
        <f t="shared" si="34"/>
        <v>0</v>
      </c>
      <c r="W47" s="1"/>
      <c r="X47" s="1">
        <f t="shared" si="35"/>
        <v>1917.7</v>
      </c>
      <c r="Y47" s="1"/>
      <c r="Z47" s="5">
        <f t="shared" si="36"/>
        <v>0</v>
      </c>
    </row>
    <row r="48" spans="1:26" s="24" customFormat="1" hidden="1" outlineLevel="2" x14ac:dyDescent="0.25">
      <c r="A48" s="26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272.74</v>
      </c>
      <c r="E48" s="2"/>
      <c r="F48" s="7">
        <f t="shared" si="29"/>
        <v>0</v>
      </c>
      <c r="G48" s="2"/>
      <c r="H48" s="6"/>
      <c r="I48" s="2"/>
      <c r="J48" s="7">
        <f t="shared" si="30"/>
        <v>0</v>
      </c>
      <c r="K48" s="2"/>
      <c r="L48" s="6">
        <f t="shared" si="31"/>
        <v>272.74</v>
      </c>
      <c r="M48" s="2"/>
      <c r="N48" s="7">
        <f t="shared" si="32"/>
        <v>0</v>
      </c>
      <c r="O48" s="11"/>
      <c r="P48" s="6">
        <v>1917.7</v>
      </c>
      <c r="Q48" s="2"/>
      <c r="R48" s="7">
        <f t="shared" si="33"/>
        <v>8.1114393416439959E-2</v>
      </c>
      <c r="S48" s="2"/>
      <c r="T48" s="6"/>
      <c r="U48" s="2"/>
      <c r="V48" s="7">
        <f t="shared" si="34"/>
        <v>0</v>
      </c>
      <c r="W48" s="2"/>
      <c r="X48" s="6">
        <f t="shared" si="35"/>
        <v>1917.7</v>
      </c>
      <c r="Y48" s="2"/>
      <c r="Z48" s="7">
        <f t="shared" si="36"/>
        <v>0</v>
      </c>
    </row>
    <row r="49" spans="1:26" s="25" customFormat="1" outlineLevel="1" collapsed="1" x14ac:dyDescent="0.25">
      <c r="A49" s="27"/>
      <c r="B49" s="13" t="str">
        <f>CONCATENATE("     ","Donations                                         ")</f>
        <v xml:space="preserve">     Donations                                         </v>
      </c>
      <c r="C49" s="13"/>
      <c r="D49" s="1">
        <f>SUM(OSRRefD22_6x_0)</f>
        <v>0</v>
      </c>
      <c r="E49" s="1"/>
      <c r="F49" s="5">
        <f t="shared" si="29"/>
        <v>0</v>
      </c>
      <c r="G49" s="1"/>
      <c r="H49" s="1">
        <f>SUM(OSRRefH22_6x_0)</f>
        <v>11586.15</v>
      </c>
      <c r="I49" s="1"/>
      <c r="J49" s="5">
        <f t="shared" si="30"/>
        <v>2.2455158582416791E-2</v>
      </c>
      <c r="K49" s="1"/>
      <c r="L49" s="1">
        <f t="shared" si="31"/>
        <v>-11586.15</v>
      </c>
      <c r="M49" s="1"/>
      <c r="N49" s="5">
        <f t="shared" si="32"/>
        <v>-1</v>
      </c>
      <c r="O49" s="13"/>
      <c r="P49" s="1">
        <f>SUM(OSRRefP22_6x_0)</f>
        <v>0</v>
      </c>
      <c r="Q49" s="1"/>
      <c r="R49" s="5">
        <f t="shared" si="33"/>
        <v>0</v>
      </c>
      <c r="S49" s="1"/>
      <c r="T49" s="1">
        <f>SUM(OSRRefT22_6x_0)</f>
        <v>63456.429999999993</v>
      </c>
      <c r="U49" s="1"/>
      <c r="V49" s="5">
        <f t="shared" si="34"/>
        <v>1.9349110116043896E-2</v>
      </c>
      <c r="W49" s="1"/>
      <c r="X49" s="1">
        <f t="shared" si="35"/>
        <v>-63456.429999999993</v>
      </c>
      <c r="Y49" s="1"/>
      <c r="Z49" s="5">
        <f t="shared" si="36"/>
        <v>-1</v>
      </c>
    </row>
    <row r="50" spans="1:26" s="24" customFormat="1" hidden="1" outlineLevel="2" x14ac:dyDescent="0.25">
      <c r="A50" s="26"/>
      <c r="B50" s="11" t="str">
        <f>CONCATENATE("          ", "6399", " - ", "DONATION-ON CAMPUS")</f>
        <v xml:space="preserve">          6399 - DONATION-ON CAMPUS</v>
      </c>
      <c r="C50" s="11"/>
      <c r="D50" s="6"/>
      <c r="E50" s="2"/>
      <c r="F50" s="7">
        <f t="shared" si="29"/>
        <v>0</v>
      </c>
      <c r="G50" s="2"/>
      <c r="H50" s="6">
        <v>11586.15</v>
      </c>
      <c r="I50" s="2"/>
      <c r="J50" s="7">
        <f t="shared" si="30"/>
        <v>2.2455158582416791E-2</v>
      </c>
      <c r="K50" s="2"/>
      <c r="L50" s="6">
        <f t="shared" si="31"/>
        <v>-11586.15</v>
      </c>
      <c r="M50" s="2"/>
      <c r="N50" s="7">
        <f t="shared" si="32"/>
        <v>-1</v>
      </c>
      <c r="O50" s="11"/>
      <c r="P50" s="6"/>
      <c r="Q50" s="2"/>
      <c r="R50" s="7">
        <f t="shared" si="33"/>
        <v>0</v>
      </c>
      <c r="S50" s="2"/>
      <c r="T50" s="6">
        <v>63456.429999999993</v>
      </c>
      <c r="U50" s="2"/>
      <c r="V50" s="7">
        <f t="shared" si="34"/>
        <v>1.9349110116043896E-2</v>
      </c>
      <c r="W50" s="2"/>
      <c r="X50" s="6">
        <f t="shared" si="35"/>
        <v>-63456.429999999993</v>
      </c>
      <c r="Y50" s="2"/>
      <c r="Z50" s="7">
        <f t="shared" si="36"/>
        <v>-1</v>
      </c>
    </row>
    <row r="51" spans="1:26" s="25" customFormat="1" outlineLevel="1" collapsed="1" x14ac:dyDescent="0.25">
      <c r="A51" s="27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SUM(OSRRefD22_7x_0)</f>
        <v>0</v>
      </c>
      <c r="E51" s="1"/>
      <c r="F51" s="5">
        <f t="shared" si="29"/>
        <v>0</v>
      </c>
      <c r="G51" s="1"/>
      <c r="H51" s="1">
        <f>SUM(OSRRefH22_7x_0)</f>
        <v>0</v>
      </c>
      <c r="I51" s="1"/>
      <c r="J51" s="5">
        <f t="shared" si="30"/>
        <v>0</v>
      </c>
      <c r="K51" s="1"/>
      <c r="L51" s="1">
        <f t="shared" si="31"/>
        <v>0</v>
      </c>
      <c r="M51" s="1"/>
      <c r="N51" s="5">
        <f t="shared" si="32"/>
        <v>0</v>
      </c>
      <c r="O51" s="13"/>
      <c r="P51" s="1">
        <f>SUM(OSRRefP22_7x_0)</f>
        <v>0</v>
      </c>
      <c r="Q51" s="1"/>
      <c r="R51" s="5">
        <f t="shared" si="33"/>
        <v>0</v>
      </c>
      <c r="S51" s="1"/>
      <c r="T51" s="1">
        <f>SUM(OSRRefT22_7x_0)</f>
        <v>172.29</v>
      </c>
      <c r="U51" s="1"/>
      <c r="V51" s="5">
        <f t="shared" si="34"/>
        <v>5.2534600227166942E-5</v>
      </c>
      <c r="W51" s="1"/>
      <c r="X51" s="1">
        <f t="shared" si="35"/>
        <v>-172.29</v>
      </c>
      <c r="Y51" s="1"/>
      <c r="Z51" s="5">
        <f t="shared" si="36"/>
        <v>-1</v>
      </c>
    </row>
    <row r="52" spans="1:26" s="24" customFormat="1" hidden="1" outlineLevel="2" x14ac:dyDescent="0.25">
      <c r="A52" s="26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29"/>
        <v>0</v>
      </c>
      <c r="G52" s="2"/>
      <c r="H52" s="6"/>
      <c r="I52" s="2"/>
      <c r="J52" s="7">
        <f t="shared" si="30"/>
        <v>0</v>
      </c>
      <c r="K52" s="2"/>
      <c r="L52" s="6">
        <f t="shared" si="31"/>
        <v>0</v>
      </c>
      <c r="M52" s="2"/>
      <c r="N52" s="7">
        <f t="shared" si="32"/>
        <v>0</v>
      </c>
      <c r="O52" s="11"/>
      <c r="P52" s="6"/>
      <c r="Q52" s="2"/>
      <c r="R52" s="7">
        <f t="shared" si="33"/>
        <v>0</v>
      </c>
      <c r="S52" s="2"/>
      <c r="T52" s="6">
        <v>172.29</v>
      </c>
      <c r="U52" s="2"/>
      <c r="V52" s="7">
        <f t="shared" si="34"/>
        <v>5.2534600227166942E-5</v>
      </c>
      <c r="W52" s="2"/>
      <c r="X52" s="6">
        <f t="shared" si="35"/>
        <v>-172.29</v>
      </c>
      <c r="Y52" s="2"/>
      <c r="Z52" s="7">
        <f t="shared" si="36"/>
        <v>-1</v>
      </c>
    </row>
    <row r="53" spans="1:26" s="25" customFormat="1" outlineLevel="1" collapsed="1" x14ac:dyDescent="0.25">
      <c r="A53" s="27"/>
      <c r="B53" s="13" t="str">
        <f>CONCATENATE("     ","Equipment Rental                                  ")</f>
        <v xml:space="preserve">     Equipment Rental                                  </v>
      </c>
      <c r="C53" s="13"/>
      <c r="D53" s="1">
        <f>SUM(OSRRefD22_8x_0)</f>
        <v>219.68</v>
      </c>
      <c r="E53" s="1"/>
      <c r="F53" s="5">
        <f t="shared" si="29"/>
        <v>0</v>
      </c>
      <c r="G53" s="1"/>
      <c r="H53" s="1">
        <f>SUM(OSRRefH22_8x_0)</f>
        <v>88.89</v>
      </c>
      <c r="I53" s="1"/>
      <c r="J53" s="5">
        <f t="shared" si="30"/>
        <v>1.7227802560738713E-4</v>
      </c>
      <c r="K53" s="1"/>
      <c r="L53" s="1">
        <f t="shared" si="31"/>
        <v>130.79000000000002</v>
      </c>
      <c r="M53" s="1"/>
      <c r="N53" s="5">
        <f t="shared" si="32"/>
        <v>1.4713691078861517</v>
      </c>
      <c r="O53" s="13"/>
      <c r="P53" s="1">
        <f>SUM(OSRRefP22_8x_0)</f>
        <v>1714.24</v>
      </c>
      <c r="Q53" s="1"/>
      <c r="R53" s="5">
        <f t="shared" si="33"/>
        <v>7.2508493388015863E-2</v>
      </c>
      <c r="S53" s="1"/>
      <c r="T53" s="1">
        <f>SUM(OSRRefT22_8x_0)</f>
        <v>1958.21</v>
      </c>
      <c r="U53" s="1"/>
      <c r="V53" s="5">
        <f t="shared" si="34"/>
        <v>5.9709663654791678E-4</v>
      </c>
      <c r="W53" s="1"/>
      <c r="X53" s="1">
        <f t="shared" si="35"/>
        <v>-243.97000000000003</v>
      </c>
      <c r="Y53" s="1"/>
      <c r="Z53" s="5">
        <f t="shared" si="36"/>
        <v>-0.12458827194223297</v>
      </c>
    </row>
    <row r="54" spans="1:26" s="24" customFormat="1" hidden="1" outlineLevel="2" x14ac:dyDescent="0.25">
      <c r="A54" s="26"/>
      <c r="B54" s="11" t="str">
        <f>CONCATENATE("          ", "6351", " - ", "EQUIPMENT RENTAL")</f>
        <v xml:space="preserve">          6351 - EQUIPMENT RENTAL</v>
      </c>
      <c r="C54" s="11"/>
      <c r="D54" s="6">
        <v>219.68</v>
      </c>
      <c r="E54" s="2"/>
      <c r="F54" s="7">
        <f t="shared" si="29"/>
        <v>0</v>
      </c>
      <c r="G54" s="2"/>
      <c r="H54" s="6">
        <v>88.89</v>
      </c>
      <c r="I54" s="2"/>
      <c r="J54" s="7">
        <f t="shared" si="30"/>
        <v>1.7227802560738713E-4</v>
      </c>
      <c r="K54" s="2"/>
      <c r="L54" s="6">
        <f t="shared" si="31"/>
        <v>130.79000000000002</v>
      </c>
      <c r="M54" s="2"/>
      <c r="N54" s="7">
        <f t="shared" si="32"/>
        <v>1.4713691078861517</v>
      </c>
      <c r="O54" s="11"/>
      <c r="P54" s="6">
        <v>1714.24</v>
      </c>
      <c r="Q54" s="2"/>
      <c r="R54" s="7">
        <f t="shared" si="33"/>
        <v>7.2508493388015863E-2</v>
      </c>
      <c r="S54" s="2"/>
      <c r="T54" s="6">
        <v>1958.21</v>
      </c>
      <c r="U54" s="2"/>
      <c r="V54" s="7">
        <f t="shared" si="34"/>
        <v>5.9709663654791678E-4</v>
      </c>
      <c r="W54" s="2"/>
      <c r="X54" s="6">
        <f t="shared" si="35"/>
        <v>-243.97000000000003</v>
      </c>
      <c r="Y54" s="2"/>
      <c r="Z54" s="7">
        <f t="shared" si="36"/>
        <v>-0.12458827194223297</v>
      </c>
    </row>
    <row r="55" spans="1:26" s="25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SUM(OSRRefD22_9x_0)</f>
        <v>0</v>
      </c>
      <c r="E55" s="1"/>
      <c r="F55" s="5">
        <f t="shared" si="29"/>
        <v>0</v>
      </c>
      <c r="G55" s="1"/>
      <c r="H55" s="1">
        <f>SUM(OSRRefH22_9x_0)</f>
        <v>0</v>
      </c>
      <c r="I55" s="1"/>
      <c r="J55" s="5">
        <f t="shared" si="30"/>
        <v>0</v>
      </c>
      <c r="K55" s="1"/>
      <c r="L55" s="1">
        <f t="shared" si="31"/>
        <v>0</v>
      </c>
      <c r="M55" s="1"/>
      <c r="N55" s="5">
        <f t="shared" si="32"/>
        <v>0</v>
      </c>
      <c r="O55" s="13"/>
      <c r="P55" s="1">
        <f>SUM(OSRRefP22_9x_0)</f>
        <v>3828.45</v>
      </c>
      <c r="Q55" s="1"/>
      <c r="R55" s="5">
        <f t="shared" si="33"/>
        <v>0.16193481747675317</v>
      </c>
      <c r="S55" s="1"/>
      <c r="T55" s="1">
        <f>SUM(OSRRefT22_9x_0)</f>
        <v>2391.19</v>
      </c>
      <c r="U55" s="1"/>
      <c r="V55" s="5">
        <f t="shared" si="34"/>
        <v>7.2912073084450252E-4</v>
      </c>
      <c r="W55" s="1"/>
      <c r="X55" s="1">
        <f t="shared" si="35"/>
        <v>1437.2599999999998</v>
      </c>
      <c r="Y55" s="1"/>
      <c r="Z55" s="5">
        <f t="shared" si="36"/>
        <v>0.60106474182310887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29"/>
        <v>0</v>
      </c>
      <c r="G56" s="2"/>
      <c r="H56" s="6"/>
      <c r="I56" s="2"/>
      <c r="J56" s="7">
        <f t="shared" si="30"/>
        <v>0</v>
      </c>
      <c r="K56" s="2"/>
      <c r="L56" s="6">
        <f t="shared" si="31"/>
        <v>0</v>
      </c>
      <c r="M56" s="2"/>
      <c r="N56" s="7">
        <f t="shared" si="32"/>
        <v>0</v>
      </c>
      <c r="O56" s="11"/>
      <c r="P56" s="6">
        <v>3828.45</v>
      </c>
      <c r="Q56" s="2"/>
      <c r="R56" s="7">
        <f t="shared" si="33"/>
        <v>0.16193481747675317</v>
      </c>
      <c r="S56" s="2"/>
      <c r="T56" s="6">
        <v>2391.19</v>
      </c>
      <c r="U56" s="2"/>
      <c r="V56" s="7">
        <f t="shared" si="34"/>
        <v>7.2912073084450252E-4</v>
      </c>
      <c r="W56" s="2"/>
      <c r="X56" s="6">
        <f t="shared" si="35"/>
        <v>1437.2599999999998</v>
      </c>
      <c r="Y56" s="2"/>
      <c r="Z56" s="7">
        <f t="shared" si="36"/>
        <v>0.60106474182310887</v>
      </c>
    </row>
    <row r="57" spans="1:26" s="25" customFormat="1" outlineLevel="1" collapsed="1" x14ac:dyDescent="0.25">
      <c r="A57" s="27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SUM(OSRRefD22_10x_0)</f>
        <v>0</v>
      </c>
      <c r="E57" s="1"/>
      <c r="F57" s="5">
        <f t="shared" si="29"/>
        <v>0</v>
      </c>
      <c r="G57" s="1"/>
      <c r="H57" s="1">
        <f>SUM(OSRRefH22_10x_0)</f>
        <v>38847.480000000003</v>
      </c>
      <c r="I57" s="1"/>
      <c r="J57" s="5">
        <f t="shared" si="30"/>
        <v>7.5290439354510755E-2</v>
      </c>
      <c r="K57" s="1"/>
      <c r="L57" s="1">
        <f t="shared" si="31"/>
        <v>-38847.480000000003</v>
      </c>
      <c r="M57" s="1"/>
      <c r="N57" s="5">
        <f t="shared" si="32"/>
        <v>-1</v>
      </c>
      <c r="O57" s="13"/>
      <c r="P57" s="1">
        <f>SUM(OSRRefP22_10x_0)</f>
        <v>1899.35</v>
      </c>
      <c r="Q57" s="1"/>
      <c r="R57" s="5">
        <f t="shared" si="33"/>
        <v>8.0338229720767179E-2</v>
      </c>
      <c r="S57" s="1"/>
      <c r="T57" s="1">
        <f>SUM(OSRRefT22_10x_0)</f>
        <v>252421.51</v>
      </c>
      <c r="U57" s="1"/>
      <c r="V57" s="5">
        <f t="shared" si="34"/>
        <v>7.6968269293562153E-2</v>
      </c>
      <c r="W57" s="1"/>
      <c r="X57" s="1">
        <f t="shared" si="35"/>
        <v>-250522.16</v>
      </c>
      <c r="Y57" s="1"/>
      <c r="Z57" s="5">
        <f t="shared" si="36"/>
        <v>-0.99247548277482367</v>
      </c>
    </row>
    <row r="58" spans="1:26" s="24" customFormat="1" hidden="1" outlineLevel="2" x14ac:dyDescent="0.25">
      <c r="A58" s="26"/>
      <c r="B58" s="11" t="str">
        <f>CONCATENATE("          ", "6387", " - ", "COMMISSION DUE HOUSING")</f>
        <v xml:space="preserve">          6387 - COMMISSION DUE HOUSING</v>
      </c>
      <c r="C58" s="11"/>
      <c r="D58" s="6"/>
      <c r="E58" s="2"/>
      <c r="F58" s="7">
        <f t="shared" si="29"/>
        <v>0</v>
      </c>
      <c r="G58" s="2"/>
      <c r="H58" s="6">
        <v>38847.480000000003</v>
      </c>
      <c r="I58" s="2"/>
      <c r="J58" s="7">
        <f t="shared" si="30"/>
        <v>7.5290439354510755E-2</v>
      </c>
      <c r="K58" s="2"/>
      <c r="L58" s="6">
        <f t="shared" si="31"/>
        <v>-38847.480000000003</v>
      </c>
      <c r="M58" s="2"/>
      <c r="N58" s="7">
        <f t="shared" si="32"/>
        <v>-1</v>
      </c>
      <c r="O58" s="11"/>
      <c r="P58" s="6">
        <v>1899.35</v>
      </c>
      <c r="Q58" s="2"/>
      <c r="R58" s="7">
        <f t="shared" si="33"/>
        <v>8.0338229720767179E-2</v>
      </c>
      <c r="S58" s="2"/>
      <c r="T58" s="6">
        <v>252421.51</v>
      </c>
      <c r="U58" s="2"/>
      <c r="V58" s="7">
        <f t="shared" si="34"/>
        <v>7.6968269293562153E-2</v>
      </c>
      <c r="W58" s="2"/>
      <c r="X58" s="6">
        <f t="shared" si="35"/>
        <v>-250522.16</v>
      </c>
      <c r="Y58" s="2"/>
      <c r="Z58" s="7">
        <f t="shared" si="36"/>
        <v>-0.99247548277482367</v>
      </c>
    </row>
    <row r="59" spans="1:26" s="25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0</v>
      </c>
      <c r="E59" s="1"/>
      <c r="F59" s="5">
        <f t="shared" si="29"/>
        <v>0</v>
      </c>
      <c r="G59" s="1"/>
      <c r="H59" s="1">
        <f>SUM(OSRRefH22_11x_0)</f>
        <v>0</v>
      </c>
      <c r="I59" s="1"/>
      <c r="J59" s="5">
        <f t="shared" si="30"/>
        <v>0</v>
      </c>
      <c r="K59" s="1"/>
      <c r="L59" s="1">
        <f t="shared" si="31"/>
        <v>0</v>
      </c>
      <c r="M59" s="1"/>
      <c r="N59" s="5">
        <f t="shared" si="32"/>
        <v>0</v>
      </c>
      <c r="O59" s="13"/>
      <c r="P59" s="1">
        <f>SUM(OSRRefP22_11x_0)</f>
        <v>1260.8499999999999</v>
      </c>
      <c r="Q59" s="1"/>
      <c r="R59" s="5">
        <f t="shared" si="33"/>
        <v>5.3331116931281383E-2</v>
      </c>
      <c r="S59" s="1"/>
      <c r="T59" s="1">
        <f>SUM(OSRRefT22_11x_0)</f>
        <v>8530.3700000000008</v>
      </c>
      <c r="U59" s="1"/>
      <c r="V59" s="5">
        <f t="shared" si="34"/>
        <v>2.6010771242661684E-3</v>
      </c>
      <c r="W59" s="1"/>
      <c r="X59" s="1">
        <f t="shared" si="35"/>
        <v>-7269.52</v>
      </c>
      <c r="Y59" s="1"/>
      <c r="Z59" s="5">
        <f t="shared" si="36"/>
        <v>-0.85219281226957322</v>
      </c>
    </row>
    <row r="60" spans="1:26" s="24" customFormat="1" hidden="1" outlineLevel="2" x14ac:dyDescent="0.25">
      <c r="A60" s="26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9"/>
        <v>0</v>
      </c>
      <c r="G60" s="2"/>
      <c r="H60" s="6"/>
      <c r="I60" s="2"/>
      <c r="J60" s="7">
        <f t="shared" si="30"/>
        <v>0</v>
      </c>
      <c r="K60" s="2"/>
      <c r="L60" s="6">
        <f t="shared" si="31"/>
        <v>0</v>
      </c>
      <c r="M60" s="2"/>
      <c r="N60" s="7">
        <f t="shared" si="32"/>
        <v>0</v>
      </c>
      <c r="O60" s="11"/>
      <c r="P60" s="6"/>
      <c r="Q60" s="2"/>
      <c r="R60" s="7">
        <f t="shared" si="33"/>
        <v>0</v>
      </c>
      <c r="S60" s="2"/>
      <c r="T60" s="6">
        <v>8238.75</v>
      </c>
      <c r="U60" s="2"/>
      <c r="V60" s="7">
        <f t="shared" si="34"/>
        <v>2.5121564665480972E-3</v>
      </c>
      <c r="W60" s="2"/>
      <c r="X60" s="6">
        <f t="shared" si="35"/>
        <v>-8238.75</v>
      </c>
      <c r="Y60" s="2"/>
      <c r="Z60" s="7">
        <f t="shared" si="36"/>
        <v>-1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29"/>
        <v>0</v>
      </c>
      <c r="G61" s="2"/>
      <c r="H61" s="6"/>
      <c r="I61" s="2"/>
      <c r="J61" s="7">
        <f t="shared" si="30"/>
        <v>0</v>
      </c>
      <c r="K61" s="2"/>
      <c r="L61" s="6">
        <f t="shared" si="31"/>
        <v>0</v>
      </c>
      <c r="M61" s="2"/>
      <c r="N61" s="7">
        <f t="shared" si="32"/>
        <v>0</v>
      </c>
      <c r="O61" s="11"/>
      <c r="P61" s="6">
        <v>1241.8499999999999</v>
      </c>
      <c r="Q61" s="2"/>
      <c r="R61" s="7">
        <f t="shared" si="33"/>
        <v>5.2527459698704676E-2</v>
      </c>
      <c r="S61" s="2"/>
      <c r="T61" s="6">
        <v>139.84</v>
      </c>
      <c r="U61" s="2"/>
      <c r="V61" s="7">
        <f t="shared" si="34"/>
        <v>4.2639958765842627E-5</v>
      </c>
      <c r="W61" s="2"/>
      <c r="X61" s="6">
        <f t="shared" si="35"/>
        <v>1102.01</v>
      </c>
      <c r="Y61" s="2"/>
      <c r="Z61" s="7">
        <f t="shared" si="36"/>
        <v>7.880506292906178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29"/>
        <v>0</v>
      </c>
      <c r="G62" s="2"/>
      <c r="H62" s="6"/>
      <c r="I62" s="2"/>
      <c r="J62" s="7">
        <f t="shared" si="30"/>
        <v>0</v>
      </c>
      <c r="K62" s="2"/>
      <c r="L62" s="6">
        <f t="shared" si="31"/>
        <v>0</v>
      </c>
      <c r="M62" s="2"/>
      <c r="N62" s="7">
        <f t="shared" si="32"/>
        <v>0</v>
      </c>
      <c r="O62" s="11"/>
      <c r="P62" s="6">
        <v>19</v>
      </c>
      <c r="Q62" s="2"/>
      <c r="R62" s="7">
        <f t="shared" si="33"/>
        <v>8.036572325767113E-4</v>
      </c>
      <c r="S62" s="2"/>
      <c r="T62" s="6">
        <v>151.78</v>
      </c>
      <c r="U62" s="2"/>
      <c r="V62" s="7">
        <f t="shared" si="34"/>
        <v>4.6280698952228219E-5</v>
      </c>
      <c r="W62" s="2"/>
      <c r="X62" s="6">
        <f t="shared" si="35"/>
        <v>-132.78</v>
      </c>
      <c r="Y62" s="2"/>
      <c r="Z62" s="7">
        <f t="shared" si="36"/>
        <v>-0.87481881670839368</v>
      </c>
    </row>
    <row r="63" spans="1:26" s="25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4749.42</v>
      </c>
      <c r="E63" s="1"/>
      <c r="F63" s="5">
        <f t="shared" ref="F63:F66" si="37">IF(D$12=0,0,D63/D$12)</f>
        <v>0</v>
      </c>
      <c r="G63" s="1"/>
      <c r="H63" s="1">
        <f>SUM(OSRRefH22_12x_0)</f>
        <v>6957.6500000000005</v>
      </c>
      <c r="I63" s="1"/>
      <c r="J63" s="5">
        <f t="shared" ref="J63:J66" si="38">IF(H$12=0,0,H63/H$12)</f>
        <v>1.3484646246678335E-2</v>
      </c>
      <c r="K63" s="1"/>
      <c r="L63" s="1">
        <f t="shared" ref="L63:L66" si="39">+D63-H63</f>
        <v>-2208.2300000000005</v>
      </c>
      <c r="M63" s="1"/>
      <c r="N63" s="5">
        <f t="shared" ref="N63:N66" si="40">IF(H63=0,0,L63/H63)</f>
        <v>-0.3173815871738303</v>
      </c>
      <c r="O63" s="13"/>
      <c r="P63" s="1">
        <f>SUM(OSRRefP22_12x_0)</f>
        <v>46157.060000000005</v>
      </c>
      <c r="Q63" s="1"/>
      <c r="R63" s="5">
        <f t="shared" ref="R63:R66" si="41">IF(P$12=0,0,P63/P$12)</f>
        <v>1.9523397422882747</v>
      </c>
      <c r="S63" s="1"/>
      <c r="T63" s="1">
        <f>SUM(OSRRefT22_12x_0)</f>
        <v>50811.1</v>
      </c>
      <c r="U63" s="1"/>
      <c r="V63" s="5">
        <f t="shared" ref="V63:V66" si="42">IF(T$12=0,0,T63/T$12)</f>
        <v>1.5493300978597727E-2</v>
      </c>
      <c r="W63" s="1"/>
      <c r="X63" s="1">
        <f t="shared" ref="X63:X66" si="43">+P63-T63</f>
        <v>-4654.0399999999936</v>
      </c>
      <c r="Y63" s="1"/>
      <c r="Z63" s="5">
        <f t="shared" ref="Z63:Z66" si="44">IF(T63=0,0,X63/T63)</f>
        <v>-9.1594946773441113E-2</v>
      </c>
    </row>
    <row r="64" spans="1:26" s="24" customFormat="1" hidden="1" outlineLevel="2" x14ac:dyDescent="0.25">
      <c r="A64" s="26"/>
      <c r="B64" s="11" t="str">
        <f>CONCATENATE("          ", "6282", " - ", "JANITORIAL/EXTERMINATOR EXPENS")</f>
        <v xml:space="preserve">          6282 - JANITORIAL/EXTERMINATOR EXPENS</v>
      </c>
      <c r="C64" s="11"/>
      <c r="D64" s="6"/>
      <c r="E64" s="2"/>
      <c r="F64" s="7">
        <f t="shared" si="37"/>
        <v>0</v>
      </c>
      <c r="G64" s="2"/>
      <c r="H64" s="6">
        <v>834.64</v>
      </c>
      <c r="I64" s="2"/>
      <c r="J64" s="7">
        <f t="shared" si="38"/>
        <v>1.617618756811223E-3</v>
      </c>
      <c r="K64" s="2"/>
      <c r="L64" s="6">
        <f t="shared" si="39"/>
        <v>-834.64</v>
      </c>
      <c r="M64" s="2"/>
      <c r="N64" s="7">
        <f t="shared" si="40"/>
        <v>-1</v>
      </c>
      <c r="O64" s="11"/>
      <c r="P64" s="6">
        <v>3009.62</v>
      </c>
      <c r="Q64" s="2"/>
      <c r="R64" s="7">
        <f t="shared" si="41"/>
        <v>0.12730015159513272</v>
      </c>
      <c r="S64" s="2"/>
      <c r="T64" s="6">
        <v>3875.88</v>
      </c>
      <c r="U64" s="2"/>
      <c r="V64" s="7">
        <f t="shared" si="42"/>
        <v>1.1818318319604842E-3</v>
      </c>
      <c r="W64" s="2"/>
      <c r="X64" s="6">
        <f t="shared" si="43"/>
        <v>-866.26000000000022</v>
      </c>
      <c r="Y64" s="2"/>
      <c r="Z64" s="7">
        <f t="shared" si="44"/>
        <v>-0.22350021156485758</v>
      </c>
    </row>
    <row r="65" spans="1:26" s="24" customFormat="1" hidden="1" outlineLevel="2" x14ac:dyDescent="0.25">
      <c r="A65" s="26"/>
      <c r="B65" s="11" t="str">
        <f>CONCATENATE("          ", "6285", " - ", "JANITORIAL SERVICES")</f>
        <v xml:space="preserve">          6285 - JANITORIAL SERVICES</v>
      </c>
      <c r="C65" s="11"/>
      <c r="D65" s="6">
        <v>4428.8599999999997</v>
      </c>
      <c r="E65" s="2"/>
      <c r="F65" s="7">
        <f t="shared" si="37"/>
        <v>0</v>
      </c>
      <c r="G65" s="2"/>
      <c r="H65" s="6">
        <v>4157.05</v>
      </c>
      <c r="I65" s="2"/>
      <c r="J65" s="7">
        <f t="shared" si="38"/>
        <v>8.056793411533229E-3</v>
      </c>
      <c r="K65" s="2"/>
      <c r="L65" s="6">
        <f t="shared" si="39"/>
        <v>271.80999999999949</v>
      </c>
      <c r="M65" s="2"/>
      <c r="N65" s="7">
        <f t="shared" si="40"/>
        <v>6.5385309293850086E-2</v>
      </c>
      <c r="O65" s="11"/>
      <c r="P65" s="6">
        <v>37957.07</v>
      </c>
      <c r="Q65" s="2"/>
      <c r="R65" s="7">
        <f t="shared" si="41"/>
        <v>1.6054986227852899</v>
      </c>
      <c r="S65" s="2"/>
      <c r="T65" s="6">
        <v>32863.480000000003</v>
      </c>
      <c r="U65" s="2"/>
      <c r="V65" s="7">
        <f t="shared" si="42"/>
        <v>1.0020719623155707E-2</v>
      </c>
      <c r="W65" s="2"/>
      <c r="X65" s="6">
        <f t="shared" si="43"/>
        <v>5093.5899999999965</v>
      </c>
      <c r="Y65" s="2"/>
      <c r="Z65" s="7">
        <f t="shared" si="44"/>
        <v>0.15499241102889882</v>
      </c>
    </row>
    <row r="66" spans="1:26" s="24" customFormat="1" hidden="1" outlineLevel="2" x14ac:dyDescent="0.25">
      <c r="A66" s="26"/>
      <c r="B66" s="11" t="str">
        <f>CONCATENATE("          ", "6286", " - ", "LAUNDRY EXPENSE")</f>
        <v xml:space="preserve">          6286 - LAUNDRY EXPENSE</v>
      </c>
      <c r="C66" s="11"/>
      <c r="D66" s="6">
        <v>320.56</v>
      </c>
      <c r="E66" s="2"/>
      <c r="F66" s="7">
        <f t="shared" si="37"/>
        <v>0</v>
      </c>
      <c r="G66" s="2"/>
      <c r="H66" s="6">
        <v>1965.96</v>
      </c>
      <c r="I66" s="2"/>
      <c r="J66" s="7">
        <f t="shared" si="38"/>
        <v>3.8102340783338828E-3</v>
      </c>
      <c r="K66" s="2"/>
      <c r="L66" s="6">
        <f t="shared" si="39"/>
        <v>-1645.4</v>
      </c>
      <c r="M66" s="2"/>
      <c r="N66" s="7">
        <f t="shared" si="40"/>
        <v>-0.83694480050458808</v>
      </c>
      <c r="O66" s="11"/>
      <c r="P66" s="6">
        <v>5190.37</v>
      </c>
      <c r="Q66" s="2"/>
      <c r="R66" s="7">
        <f t="shared" si="41"/>
        <v>0.21954096790785183</v>
      </c>
      <c r="S66" s="2"/>
      <c r="T66" s="6">
        <v>14071.74</v>
      </c>
      <c r="U66" s="2"/>
      <c r="V66" s="7">
        <f t="shared" si="42"/>
        <v>4.2907495234815385E-3</v>
      </c>
      <c r="W66" s="2"/>
      <c r="X66" s="6">
        <f t="shared" si="43"/>
        <v>-8881.369999999999</v>
      </c>
      <c r="Y66" s="2"/>
      <c r="Z66" s="7">
        <f t="shared" si="44"/>
        <v>-0.6311493816685072</v>
      </c>
    </row>
    <row r="67" spans="1:26" s="25" customFormat="1" outlineLevel="1" collapsed="1" x14ac:dyDescent="0.25">
      <c r="A67" s="27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0</v>
      </c>
      <c r="E67" s="1"/>
      <c r="F67" s="5">
        <f t="shared" ref="F67:F75" si="45">IF(D$12=0,0,D67/D$12)</f>
        <v>0</v>
      </c>
      <c r="G67" s="1"/>
      <c r="H67" s="1">
        <f>SUM(OSRRefH22_13x_0)</f>
        <v>6979.93</v>
      </c>
      <c r="I67" s="1"/>
      <c r="J67" s="5">
        <f t="shared" ref="J67:J75" si="46">IF(H$12=0,0,H67/H$12)</f>
        <v>1.3527827194034985E-2</v>
      </c>
      <c r="K67" s="1"/>
      <c r="L67" s="1">
        <f t="shared" ref="L67:L75" si="47">+D67-H67</f>
        <v>-6979.93</v>
      </c>
      <c r="M67" s="1"/>
      <c r="N67" s="5">
        <f t="shared" ref="N67:N75" si="48">IF(H67=0,0,L67/H67)</f>
        <v>-1</v>
      </c>
      <c r="O67" s="13"/>
      <c r="P67" s="1">
        <f>SUM(OSRRefP22_13x_0)</f>
        <v>10125.33</v>
      </c>
      <c r="Q67" s="1"/>
      <c r="R67" s="5">
        <f t="shared" ref="R67:R75" si="49">IF(P$12=0,0,P67/P$12)</f>
        <v>0.42827866772241852</v>
      </c>
      <c r="S67" s="1"/>
      <c r="T67" s="1">
        <f>SUM(OSRRefT22_13x_0)</f>
        <v>53556.46</v>
      </c>
      <c r="U67" s="1"/>
      <c r="V67" s="5">
        <f t="shared" ref="V67:V75" si="50">IF(T$12=0,0,T67/T$12)</f>
        <v>1.6330415088990989E-2</v>
      </c>
      <c r="W67" s="1"/>
      <c r="X67" s="1">
        <f t="shared" ref="X67:X75" si="51">+P67-T67</f>
        <v>-43431.13</v>
      </c>
      <c r="Y67" s="1"/>
      <c r="Z67" s="5">
        <f t="shared" ref="Z67:Z75" si="52">IF(T67=0,0,X67/T67)</f>
        <v>-0.81094101439863642</v>
      </c>
    </row>
    <row r="68" spans="1:26" s="24" customFormat="1" hidden="1" outlineLevel="2" x14ac:dyDescent="0.25">
      <c r="A68" s="26"/>
      <c r="B68" s="11" t="str">
        <f>CONCATENATE("          ", "6235", " - ", "COVID-19 EXPENSES")</f>
        <v xml:space="preserve">          6235 - COVID-19 EXPENSES</v>
      </c>
      <c r="C68" s="11"/>
      <c r="D68" s="6"/>
      <c r="E68" s="2"/>
      <c r="F68" s="7">
        <f t="shared" si="45"/>
        <v>0</v>
      </c>
      <c r="G68" s="2"/>
      <c r="H68" s="6"/>
      <c r="I68" s="2"/>
      <c r="J68" s="7">
        <f t="shared" si="46"/>
        <v>0</v>
      </c>
      <c r="K68" s="2"/>
      <c r="L68" s="6">
        <f t="shared" si="47"/>
        <v>0</v>
      </c>
      <c r="M68" s="2"/>
      <c r="N68" s="7">
        <f t="shared" si="48"/>
        <v>0</v>
      </c>
      <c r="O68" s="11"/>
      <c r="P68" s="6">
        <v>1375.08</v>
      </c>
      <c r="Q68" s="2"/>
      <c r="R68" s="7">
        <f t="shared" si="49"/>
        <v>5.8162788809030738E-2</v>
      </c>
      <c r="S68" s="2"/>
      <c r="T68" s="6"/>
      <c r="U68" s="2"/>
      <c r="V68" s="7">
        <f t="shared" si="50"/>
        <v>0</v>
      </c>
      <c r="W68" s="2"/>
      <c r="X68" s="6">
        <f t="shared" si="51"/>
        <v>1375.08</v>
      </c>
      <c r="Y68" s="2"/>
      <c r="Z68" s="7">
        <f t="shared" si="52"/>
        <v>0</v>
      </c>
    </row>
    <row r="69" spans="1:26" s="24" customFormat="1" hidden="1" outlineLevel="2" x14ac:dyDescent="0.25">
      <c r="A69" s="26"/>
      <c r="B69" s="11" t="str">
        <f>CONCATENATE("          ", "6237", " - ", "JANITORIAL SUPPLIES")</f>
        <v xml:space="preserve">          6237 - JANITORIAL SUPPLIES</v>
      </c>
      <c r="C69" s="11"/>
      <c r="D69" s="6"/>
      <c r="E69" s="2"/>
      <c r="F69" s="7">
        <f t="shared" si="45"/>
        <v>0</v>
      </c>
      <c r="G69" s="2"/>
      <c r="H69" s="6">
        <v>3317.59</v>
      </c>
      <c r="I69" s="2"/>
      <c r="J69" s="7">
        <f t="shared" si="46"/>
        <v>6.429832995554185E-3</v>
      </c>
      <c r="K69" s="2"/>
      <c r="L69" s="6">
        <f t="shared" si="47"/>
        <v>-3317.59</v>
      </c>
      <c r="M69" s="2"/>
      <c r="N69" s="7">
        <f t="shared" si="48"/>
        <v>-1</v>
      </c>
      <c r="O69" s="11"/>
      <c r="P69" s="6">
        <v>4689.93</v>
      </c>
      <c r="Q69" s="2"/>
      <c r="R69" s="7">
        <f t="shared" si="49"/>
        <v>0.19837348235676294</v>
      </c>
      <c r="S69" s="2"/>
      <c r="T69" s="6">
        <v>23651.17</v>
      </c>
      <c r="U69" s="2"/>
      <c r="V69" s="7">
        <f t="shared" si="50"/>
        <v>7.2117056175910613E-3</v>
      </c>
      <c r="W69" s="2"/>
      <c r="X69" s="6">
        <f t="shared" si="51"/>
        <v>-18961.239999999998</v>
      </c>
      <c r="Y69" s="2"/>
      <c r="Z69" s="7">
        <f t="shared" si="52"/>
        <v>-0.80170410174211248</v>
      </c>
    </row>
    <row r="70" spans="1:26" s="24" customFormat="1" hidden="1" outlineLevel="2" x14ac:dyDescent="0.25">
      <c r="A70" s="26"/>
      <c r="B70" s="11" t="str">
        <f>CONCATENATE("          ", "6239", " - ", "KITCHEN SUPPLIES")</f>
        <v xml:space="preserve">          6239 - KITCHEN SUPPLIES</v>
      </c>
      <c r="C70" s="11"/>
      <c r="D70" s="6"/>
      <c r="E70" s="2"/>
      <c r="F70" s="7">
        <f t="shared" si="45"/>
        <v>0</v>
      </c>
      <c r="G70" s="2"/>
      <c r="H70" s="6">
        <v>799.28</v>
      </c>
      <c r="I70" s="2"/>
      <c r="J70" s="7">
        <f t="shared" si="46"/>
        <v>1.5490874148663787E-3</v>
      </c>
      <c r="K70" s="2"/>
      <c r="L70" s="6">
        <f t="shared" si="47"/>
        <v>-799.28</v>
      </c>
      <c r="M70" s="2"/>
      <c r="N70" s="7">
        <f t="shared" si="48"/>
        <v>-1</v>
      </c>
      <c r="O70" s="11"/>
      <c r="P70" s="6">
        <v>1031.07</v>
      </c>
      <c r="Q70" s="2"/>
      <c r="R70" s="7">
        <f t="shared" si="49"/>
        <v>4.3611940146993135E-2</v>
      </c>
      <c r="S70" s="2"/>
      <c r="T70" s="6">
        <v>5625.04</v>
      </c>
      <c r="U70" s="2"/>
      <c r="V70" s="7">
        <f t="shared" si="50"/>
        <v>1.7151850232852931E-3</v>
      </c>
      <c r="W70" s="2"/>
      <c r="X70" s="6">
        <f t="shared" si="51"/>
        <v>-4593.97</v>
      </c>
      <c r="Y70" s="2"/>
      <c r="Z70" s="7">
        <f t="shared" si="52"/>
        <v>-0.81669997013354578</v>
      </c>
    </row>
    <row r="71" spans="1:26" s="24" customFormat="1" hidden="1" outlineLevel="2" x14ac:dyDescent="0.25">
      <c r="A71" s="26"/>
      <c r="B71" s="11" t="str">
        <f>CONCATENATE("          ", "6241", " - ", "OFFICE EXPENSE")</f>
        <v xml:space="preserve">          6241 - OFFICE EXPENSE</v>
      </c>
      <c r="C71" s="11"/>
      <c r="D71" s="6"/>
      <c r="E71" s="2"/>
      <c r="F71" s="7">
        <f t="shared" si="45"/>
        <v>0</v>
      </c>
      <c r="G71" s="2"/>
      <c r="H71" s="6">
        <v>270.29000000000002</v>
      </c>
      <c r="I71" s="2"/>
      <c r="J71" s="7">
        <f t="shared" si="46"/>
        <v>5.2385001171583617E-4</v>
      </c>
      <c r="K71" s="2"/>
      <c r="L71" s="6">
        <f t="shared" si="47"/>
        <v>-270.29000000000002</v>
      </c>
      <c r="M71" s="2"/>
      <c r="N71" s="7">
        <f t="shared" si="48"/>
        <v>-1</v>
      </c>
      <c r="O71" s="11"/>
      <c r="P71" s="6">
        <v>19.7</v>
      </c>
      <c r="Q71" s="2"/>
      <c r="R71" s="7">
        <f t="shared" si="49"/>
        <v>8.3326565693480064E-4</v>
      </c>
      <c r="S71" s="2"/>
      <c r="T71" s="6">
        <v>2032.15</v>
      </c>
      <c r="U71" s="2"/>
      <c r="V71" s="7">
        <f t="shared" si="50"/>
        <v>6.1964239277751071E-4</v>
      </c>
      <c r="W71" s="2"/>
      <c r="X71" s="6">
        <f t="shared" si="51"/>
        <v>-2012.45</v>
      </c>
      <c r="Y71" s="2"/>
      <c r="Z71" s="7">
        <f t="shared" si="52"/>
        <v>-0.99030583372290426</v>
      </c>
    </row>
    <row r="72" spans="1:26" s="24" customFormat="1" hidden="1" outlineLevel="2" x14ac:dyDescent="0.25">
      <c r="A72" s="26"/>
      <c r="B72" s="11" t="str">
        <f>CONCATENATE("          ", "6243", " - ", "PAPER SUPPLIES")</f>
        <v xml:space="preserve">          6243 - PAPER SUPPLIES</v>
      </c>
      <c r="C72" s="11"/>
      <c r="D72" s="6"/>
      <c r="E72" s="2"/>
      <c r="F72" s="7">
        <f t="shared" si="45"/>
        <v>0</v>
      </c>
      <c r="G72" s="2"/>
      <c r="H72" s="6">
        <v>2592.77</v>
      </c>
      <c r="I72" s="2"/>
      <c r="J72" s="7">
        <f t="shared" si="46"/>
        <v>5.0250567718985841E-3</v>
      </c>
      <c r="K72" s="2"/>
      <c r="L72" s="6">
        <f t="shared" si="47"/>
        <v>-2592.77</v>
      </c>
      <c r="M72" s="2"/>
      <c r="N72" s="7">
        <f t="shared" si="48"/>
        <v>-1</v>
      </c>
      <c r="O72" s="11"/>
      <c r="P72" s="6">
        <v>3009.55</v>
      </c>
      <c r="Q72" s="2"/>
      <c r="R72" s="7">
        <f t="shared" si="49"/>
        <v>0.12729719075269691</v>
      </c>
      <c r="S72" s="2"/>
      <c r="T72" s="6">
        <v>19772.510000000002</v>
      </c>
      <c r="U72" s="2"/>
      <c r="V72" s="7">
        <f t="shared" si="50"/>
        <v>6.0290261091047702E-3</v>
      </c>
      <c r="W72" s="2"/>
      <c r="X72" s="6">
        <f t="shared" si="51"/>
        <v>-16762.960000000003</v>
      </c>
      <c r="Y72" s="2"/>
      <c r="Z72" s="7">
        <f t="shared" si="52"/>
        <v>-0.84779120101595606</v>
      </c>
    </row>
    <row r="73" spans="1:26" s="24" customFormat="1" hidden="1" outlineLevel="2" x14ac:dyDescent="0.25">
      <c r="A73" s="26"/>
      <c r="B73" s="11" t="str">
        <f>CONCATENATE("          ", "6245", " - ", "PRINTING")</f>
        <v xml:space="preserve">          6245 - PRINTING</v>
      </c>
      <c r="C73" s="11"/>
      <c r="D73" s="6"/>
      <c r="E73" s="2"/>
      <c r="F73" s="7">
        <f t="shared" si="45"/>
        <v>0</v>
      </c>
      <c r="G73" s="2"/>
      <c r="H73" s="6"/>
      <c r="I73" s="2"/>
      <c r="J73" s="7">
        <f t="shared" si="46"/>
        <v>0</v>
      </c>
      <c r="K73" s="2"/>
      <c r="L73" s="6">
        <f t="shared" si="47"/>
        <v>0</v>
      </c>
      <c r="M73" s="2"/>
      <c r="N73" s="7">
        <f t="shared" si="48"/>
        <v>0</v>
      </c>
      <c r="O73" s="11"/>
      <c r="P73" s="6"/>
      <c r="Q73" s="2"/>
      <c r="R73" s="7">
        <f t="shared" si="49"/>
        <v>0</v>
      </c>
      <c r="S73" s="2"/>
      <c r="T73" s="6">
        <v>441</v>
      </c>
      <c r="U73" s="2"/>
      <c r="V73" s="7">
        <f t="shared" si="50"/>
        <v>1.3446954959765874E-4</v>
      </c>
      <c r="W73" s="2"/>
      <c r="X73" s="6">
        <f t="shared" si="51"/>
        <v>-441</v>
      </c>
      <c r="Y73" s="2"/>
      <c r="Z73" s="7">
        <f t="shared" si="52"/>
        <v>-1</v>
      </c>
    </row>
    <row r="74" spans="1:26" s="24" customFormat="1" hidden="1" outlineLevel="2" x14ac:dyDescent="0.25">
      <c r="A74" s="26"/>
      <c r="B74" s="11" t="str">
        <f>CONCATENATE("          ", "6247", " - ", "STORE SUPPLIES")</f>
        <v xml:space="preserve">          6247 - STORE SUPPLIES</v>
      </c>
      <c r="C74" s="11"/>
      <c r="D74" s="6"/>
      <c r="E74" s="2"/>
      <c r="F74" s="7">
        <f t="shared" si="45"/>
        <v>0</v>
      </c>
      <c r="G74" s="2"/>
      <c r="H74" s="6"/>
      <c r="I74" s="2"/>
      <c r="J74" s="7">
        <f t="shared" si="46"/>
        <v>0</v>
      </c>
      <c r="K74" s="2"/>
      <c r="L74" s="6">
        <f t="shared" si="47"/>
        <v>0</v>
      </c>
      <c r="M74" s="2"/>
      <c r="N74" s="7">
        <f t="shared" si="48"/>
        <v>0</v>
      </c>
      <c r="O74" s="11"/>
      <c r="P74" s="6"/>
      <c r="Q74" s="2"/>
      <c r="R74" s="7">
        <f t="shared" si="49"/>
        <v>0</v>
      </c>
      <c r="S74" s="2"/>
      <c r="T74" s="6">
        <v>82.5</v>
      </c>
      <c r="U74" s="2"/>
      <c r="V74" s="7">
        <f t="shared" si="50"/>
        <v>2.515586812201099E-5</v>
      </c>
      <c r="W74" s="2"/>
      <c r="X74" s="6">
        <f t="shared" si="51"/>
        <v>-82.5</v>
      </c>
      <c r="Y74" s="2"/>
      <c r="Z74" s="7">
        <f t="shared" si="52"/>
        <v>-1</v>
      </c>
    </row>
    <row r="75" spans="1:26" s="24" customFormat="1" hidden="1" outlineLevel="2" x14ac:dyDescent="0.25">
      <c r="A75" s="26"/>
      <c r="B75" s="11" t="str">
        <f>CONCATENATE("          ", "6248", " - ", "UNIFORMS")</f>
        <v xml:space="preserve">          6248 - UNIFORMS</v>
      </c>
      <c r="C75" s="11"/>
      <c r="D75" s="6"/>
      <c r="E75" s="2"/>
      <c r="F75" s="7">
        <f t="shared" si="45"/>
        <v>0</v>
      </c>
      <c r="G75" s="2"/>
      <c r="H75" s="6"/>
      <c r="I75" s="2"/>
      <c r="J75" s="7">
        <f t="shared" si="46"/>
        <v>0</v>
      </c>
      <c r="K75" s="2"/>
      <c r="L75" s="6">
        <f t="shared" si="47"/>
        <v>0</v>
      </c>
      <c r="M75" s="2"/>
      <c r="N75" s="7">
        <f t="shared" si="48"/>
        <v>0</v>
      </c>
      <c r="O75" s="11"/>
      <c r="P75" s="6"/>
      <c r="Q75" s="2"/>
      <c r="R75" s="7">
        <f t="shared" si="49"/>
        <v>0</v>
      </c>
      <c r="S75" s="2"/>
      <c r="T75" s="6">
        <v>1952.09</v>
      </c>
      <c r="U75" s="2"/>
      <c r="V75" s="7">
        <f t="shared" si="50"/>
        <v>5.9523052851268401E-4</v>
      </c>
      <c r="W75" s="2"/>
      <c r="X75" s="6">
        <f t="shared" si="51"/>
        <v>-1952.09</v>
      </c>
      <c r="Y75" s="2"/>
      <c r="Z75" s="7">
        <f t="shared" si="52"/>
        <v>-1</v>
      </c>
    </row>
    <row r="76" spans="1:26" s="25" customFormat="1" outlineLevel="1" collapsed="1" x14ac:dyDescent="0.25">
      <c r="A76" s="27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SUM(OSRRefD22_14x_0)</f>
        <v>89</v>
      </c>
      <c r="E76" s="1"/>
      <c r="F76" s="5">
        <f t="shared" ref="F76:F81" si="53">IF(D$12=0,0,D76/D$12)</f>
        <v>0</v>
      </c>
      <c r="G76" s="1"/>
      <c r="H76" s="1">
        <f>SUM(OSRRefH22_14x_0)</f>
        <v>189.4</v>
      </c>
      <c r="I76" s="1"/>
      <c r="J76" s="5">
        <f t="shared" ref="J76:J81" si="54">IF(H$12=0,0,H76/H$12)</f>
        <v>3.6707681460275762E-4</v>
      </c>
      <c r="K76" s="1"/>
      <c r="L76" s="1">
        <f t="shared" ref="L76:L81" si="55">+D76-H76</f>
        <v>-100.4</v>
      </c>
      <c r="M76" s="1"/>
      <c r="N76" s="5">
        <f t="shared" ref="N76:N81" si="56">IF(H76=0,0,L76/H76)</f>
        <v>-0.53009503695881732</v>
      </c>
      <c r="O76" s="13"/>
      <c r="P76" s="1">
        <f>SUM(OSRRefP22_14x_0)</f>
        <v>1098</v>
      </c>
      <c r="Q76" s="1"/>
      <c r="R76" s="5">
        <f t="shared" ref="R76:R81" si="57">IF(P$12=0,0,P76/P$12)</f>
        <v>4.6442928493117312E-2</v>
      </c>
      <c r="S76" s="1"/>
      <c r="T76" s="1">
        <f>SUM(OSRRefT22_14x_0)</f>
        <v>1505.8</v>
      </c>
      <c r="U76" s="1"/>
      <c r="V76" s="5">
        <f t="shared" ref="V76:V81" si="58">IF(T$12=0,0,T76/T$12)</f>
        <v>4.5914795415908055E-4</v>
      </c>
      <c r="W76" s="1"/>
      <c r="X76" s="1">
        <f t="shared" ref="X76:X81" si="59">+P76-T76</f>
        <v>-407.79999999999995</v>
      </c>
      <c r="Y76" s="1"/>
      <c r="Z76" s="5">
        <f t="shared" ref="Z76:Z81" si="60">IF(T76=0,0,X76/T76)</f>
        <v>-0.27081949794129362</v>
      </c>
    </row>
    <row r="77" spans="1:26" s="24" customFormat="1" hidden="1" outlineLevel="2" x14ac:dyDescent="0.25">
      <c r="A77" s="26"/>
      <c r="B77" s="11" t="str">
        <f>CONCATENATE("          ", "6309", " - ", "TELEPHONE")</f>
        <v xml:space="preserve">          6309 - TELEPHONE</v>
      </c>
      <c r="C77" s="11"/>
      <c r="D77" s="6">
        <v>89</v>
      </c>
      <c r="E77" s="2"/>
      <c r="F77" s="7">
        <f t="shared" si="53"/>
        <v>0</v>
      </c>
      <c r="G77" s="2"/>
      <c r="H77" s="6">
        <v>189.4</v>
      </c>
      <c r="I77" s="2"/>
      <c r="J77" s="7">
        <f t="shared" si="54"/>
        <v>3.6707681460275762E-4</v>
      </c>
      <c r="K77" s="2"/>
      <c r="L77" s="6">
        <f t="shared" si="55"/>
        <v>-100.4</v>
      </c>
      <c r="M77" s="2"/>
      <c r="N77" s="7">
        <f t="shared" si="56"/>
        <v>-0.53009503695881732</v>
      </c>
      <c r="O77" s="11"/>
      <c r="P77" s="6">
        <v>1098</v>
      </c>
      <c r="Q77" s="2"/>
      <c r="R77" s="7">
        <f t="shared" si="57"/>
        <v>4.6442928493117312E-2</v>
      </c>
      <c r="S77" s="2"/>
      <c r="T77" s="6">
        <v>1505.8</v>
      </c>
      <c r="U77" s="2"/>
      <c r="V77" s="7">
        <f t="shared" si="58"/>
        <v>4.5914795415908055E-4</v>
      </c>
      <c r="W77" s="2"/>
      <c r="X77" s="6">
        <f t="shared" si="59"/>
        <v>-407.79999999999995</v>
      </c>
      <c r="Y77" s="2"/>
      <c r="Z77" s="7">
        <f t="shared" si="60"/>
        <v>-0.27081949794129362</v>
      </c>
    </row>
    <row r="78" spans="1:26" s="25" customFormat="1" outlineLevel="1" collapsed="1" x14ac:dyDescent="0.25">
      <c r="A78" s="27"/>
      <c r="B78" s="13" t="str">
        <f>CONCATENATE("     ","Training                                          ")</f>
        <v xml:space="preserve">     Training                                          </v>
      </c>
      <c r="C78" s="13"/>
      <c r="D78" s="1">
        <f>SUM(OSRRefD22_15x_0)</f>
        <v>0</v>
      </c>
      <c r="E78" s="1"/>
      <c r="F78" s="5">
        <f t="shared" si="53"/>
        <v>0</v>
      </c>
      <c r="G78" s="1"/>
      <c r="H78" s="1">
        <f>SUM(OSRRefH22_15x_0)</f>
        <v>61.11</v>
      </c>
      <c r="I78" s="1"/>
      <c r="J78" s="5">
        <f t="shared" si="54"/>
        <v>1.1843750866090031E-4</v>
      </c>
      <c r="K78" s="1"/>
      <c r="L78" s="1">
        <f t="shared" si="55"/>
        <v>-61.11</v>
      </c>
      <c r="M78" s="1"/>
      <c r="N78" s="5">
        <f t="shared" si="56"/>
        <v>-1</v>
      </c>
      <c r="O78" s="13"/>
      <c r="P78" s="1">
        <f>SUM(OSRRefP22_15x_0)</f>
        <v>0</v>
      </c>
      <c r="Q78" s="1"/>
      <c r="R78" s="5">
        <f t="shared" si="57"/>
        <v>0</v>
      </c>
      <c r="S78" s="1"/>
      <c r="T78" s="1">
        <f>SUM(OSRRefT22_15x_0)</f>
        <v>678.48</v>
      </c>
      <c r="U78" s="1"/>
      <c r="V78" s="5">
        <f t="shared" si="58"/>
        <v>2.0688185943541838E-4</v>
      </c>
      <c r="W78" s="1"/>
      <c r="X78" s="1">
        <f t="shared" si="59"/>
        <v>-678.48</v>
      </c>
      <c r="Y78" s="1"/>
      <c r="Z78" s="5">
        <f t="shared" si="60"/>
        <v>-1</v>
      </c>
    </row>
    <row r="79" spans="1:26" s="24" customFormat="1" hidden="1" outlineLevel="2" x14ac:dyDescent="0.25">
      <c r="A79" s="26"/>
      <c r="B79" s="11" t="str">
        <f>CONCATENATE("          ", "6376", " - ", "TRAINING")</f>
        <v xml:space="preserve">          6376 - TRAINING</v>
      </c>
      <c r="C79" s="11"/>
      <c r="D79" s="6"/>
      <c r="E79" s="2"/>
      <c r="F79" s="7">
        <f t="shared" si="53"/>
        <v>0</v>
      </c>
      <c r="G79" s="2"/>
      <c r="H79" s="6">
        <v>61.11</v>
      </c>
      <c r="I79" s="2"/>
      <c r="J79" s="7">
        <f t="shared" si="54"/>
        <v>1.1843750866090031E-4</v>
      </c>
      <c r="K79" s="2"/>
      <c r="L79" s="6">
        <f t="shared" si="55"/>
        <v>-61.11</v>
      </c>
      <c r="M79" s="2"/>
      <c r="N79" s="7">
        <f t="shared" si="56"/>
        <v>-1</v>
      </c>
      <c r="O79" s="11"/>
      <c r="P79" s="6"/>
      <c r="Q79" s="2"/>
      <c r="R79" s="7">
        <f t="shared" si="57"/>
        <v>0</v>
      </c>
      <c r="S79" s="2"/>
      <c r="T79" s="6">
        <v>678.48</v>
      </c>
      <c r="U79" s="2"/>
      <c r="V79" s="7">
        <f t="shared" si="58"/>
        <v>2.0688185943541838E-4</v>
      </c>
      <c r="W79" s="2"/>
      <c r="X79" s="6">
        <f t="shared" si="59"/>
        <v>-678.48</v>
      </c>
      <c r="Y79" s="2"/>
      <c r="Z79" s="7">
        <f t="shared" si="60"/>
        <v>-1</v>
      </c>
    </row>
    <row r="80" spans="1:26" s="25" customFormat="1" outlineLevel="1" collapsed="1" x14ac:dyDescent="0.25">
      <c r="A80" s="27"/>
      <c r="B80" s="13" t="str">
        <f>CONCATENATE("     ","Travel                                            ")</f>
        <v xml:space="preserve">     Travel                                            </v>
      </c>
      <c r="C80" s="13"/>
      <c r="D80" s="1">
        <f>SUM(OSRRefD22_16x_0)</f>
        <v>0</v>
      </c>
      <c r="E80" s="1"/>
      <c r="F80" s="5">
        <f t="shared" si="53"/>
        <v>0</v>
      </c>
      <c r="G80" s="1"/>
      <c r="H80" s="1">
        <f>SUM(OSRRefH22_16x_0)</f>
        <v>0</v>
      </c>
      <c r="I80" s="1"/>
      <c r="J80" s="5">
        <f t="shared" si="54"/>
        <v>0</v>
      </c>
      <c r="K80" s="1"/>
      <c r="L80" s="1">
        <f t="shared" si="55"/>
        <v>0</v>
      </c>
      <c r="M80" s="1"/>
      <c r="N80" s="5">
        <f t="shared" si="56"/>
        <v>0</v>
      </c>
      <c r="O80" s="13"/>
      <c r="P80" s="1">
        <f>SUM(OSRRefP22_16x_0)</f>
        <v>0</v>
      </c>
      <c r="Q80" s="1"/>
      <c r="R80" s="5">
        <f t="shared" si="57"/>
        <v>0</v>
      </c>
      <c r="S80" s="1"/>
      <c r="T80" s="1">
        <f>SUM(OSRRefT22_16x_0)</f>
        <v>1429.86</v>
      </c>
      <c r="U80" s="1"/>
      <c r="V80" s="5">
        <f t="shared" si="58"/>
        <v>4.3599235870228642E-4</v>
      </c>
      <c r="W80" s="1"/>
      <c r="X80" s="1">
        <f t="shared" si="59"/>
        <v>-1429.86</v>
      </c>
      <c r="Y80" s="1"/>
      <c r="Z80" s="5">
        <f t="shared" si="60"/>
        <v>-1</v>
      </c>
    </row>
    <row r="81" spans="1:26" s="24" customFormat="1" hidden="1" outlineLevel="2" x14ac:dyDescent="0.25">
      <c r="A81" s="26"/>
      <c r="B81" s="11" t="str">
        <f>CONCATENATE("          ", "6292", " - ", "TRAVEL/CONFERENCE")</f>
        <v xml:space="preserve">          6292 - TRAVEL/CONFERENCE</v>
      </c>
      <c r="C81" s="11"/>
      <c r="D81" s="6"/>
      <c r="E81" s="2"/>
      <c r="F81" s="7">
        <f t="shared" si="53"/>
        <v>0</v>
      </c>
      <c r="G81" s="2"/>
      <c r="H81" s="6"/>
      <c r="I81" s="2"/>
      <c r="J81" s="7">
        <f t="shared" si="54"/>
        <v>0</v>
      </c>
      <c r="K81" s="2"/>
      <c r="L81" s="6">
        <f t="shared" si="55"/>
        <v>0</v>
      </c>
      <c r="M81" s="2"/>
      <c r="N81" s="7">
        <f t="shared" si="56"/>
        <v>0</v>
      </c>
      <c r="O81" s="11"/>
      <c r="P81" s="6"/>
      <c r="Q81" s="2"/>
      <c r="R81" s="7">
        <f t="shared" si="57"/>
        <v>0</v>
      </c>
      <c r="S81" s="2"/>
      <c r="T81" s="6">
        <v>1429.86</v>
      </c>
      <c r="U81" s="2"/>
      <c r="V81" s="7">
        <f t="shared" si="58"/>
        <v>4.3599235870228642E-4</v>
      </c>
      <c r="W81" s="2"/>
      <c r="X81" s="6">
        <f t="shared" si="59"/>
        <v>-1429.86</v>
      </c>
      <c r="Y81" s="2"/>
      <c r="Z81" s="7">
        <f t="shared" si="60"/>
        <v>-1</v>
      </c>
    </row>
    <row r="82" spans="1:26" s="52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8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9" t="s">
        <v>3</v>
      </c>
      <c r="C85" s="29"/>
      <c r="D85" s="22">
        <f>+D21-D23+D83</f>
        <v>-46306.989999999991</v>
      </c>
      <c r="E85" s="14"/>
      <c r="F85" s="20">
        <f>IF(D$12=0,0,D85/D$12)</f>
        <v>0</v>
      </c>
      <c r="G85" s="14"/>
      <c r="H85" s="22">
        <f>+H21-H23+H83</f>
        <v>189647.43999999992</v>
      </c>
      <c r="I85" s="14"/>
      <c r="J85" s="20">
        <f>IF(H$12=0,0,H85/H$12)</f>
        <v>0.3675563789480864</v>
      </c>
      <c r="K85" s="16"/>
      <c r="L85" s="22">
        <f>+D85-H85</f>
        <v>-235954.42999999991</v>
      </c>
      <c r="M85" s="16"/>
      <c r="N85" s="20">
        <f>IF(H85=0,0,L85/H85)</f>
        <v>-1.2441740842903022</v>
      </c>
      <c r="O85" s="28"/>
      <c r="P85" s="22">
        <f>+P21-P23+P83</f>
        <v>-416297.77999999997</v>
      </c>
      <c r="Q85" s="14"/>
      <c r="R85" s="20">
        <f>IF(P$12=0,0,P85/P$12)</f>
        <v>-17.608459042243609</v>
      </c>
      <c r="S85" s="14"/>
      <c r="T85" s="22">
        <f>+T21-T23+T83</f>
        <v>1141682.2799999998</v>
      </c>
      <c r="U85" s="14"/>
      <c r="V85" s="20">
        <f>IF(T$12=0,0,T85/T$12)</f>
        <v>0.348121319671719</v>
      </c>
      <c r="W85" s="16"/>
      <c r="X85" s="22">
        <f>+P85-T85</f>
        <v>-1557980.0599999998</v>
      </c>
      <c r="Y85" s="16"/>
      <c r="Z85" s="20">
        <f>IF(T85=0,0,X85/T85)</f>
        <v>-1.3646354045190228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1"/>
      <c r="B87" s="10" t="s">
        <v>13</v>
      </c>
      <c r="C87" s="10"/>
      <c r="D87" s="4">
        <v>390.32</v>
      </c>
      <c r="E87" s="4"/>
      <c r="F87" s="12">
        <f>IF(D$12=0,0,D87/D$12)</f>
        <v>0</v>
      </c>
      <c r="G87" s="4"/>
      <c r="H87" s="4">
        <v>46048.56</v>
      </c>
      <c r="I87" s="4"/>
      <c r="J87" s="12">
        <f>IF(H$12=0,0,H87/H$12)</f>
        <v>8.9246878151235262E-2</v>
      </c>
      <c r="K87" s="4"/>
      <c r="L87" s="4">
        <f>+D87-H87</f>
        <v>-45658.239999999998</v>
      </c>
      <c r="M87" s="4"/>
      <c r="N87" s="12">
        <f>IF(H87=0,0,L87/H87)</f>
        <v>-0.99152373060091348</v>
      </c>
      <c r="O87" s="10"/>
      <c r="P87" s="4">
        <v>4681.95</v>
      </c>
      <c r="Q87" s="4"/>
      <c r="R87" s="12">
        <f>IF(P$12=0,0,P87/P$12)</f>
        <v>0.1980359463190807</v>
      </c>
      <c r="S87" s="4"/>
      <c r="T87" s="4">
        <v>334251.29000000004</v>
      </c>
      <c r="U87" s="4"/>
      <c r="V87" s="12">
        <f>IF(T$12=0,0,T87/T$12)</f>
        <v>0.10191977419214607</v>
      </c>
      <c r="W87" s="4"/>
      <c r="X87" s="4">
        <f>+P87-T87</f>
        <v>-329569.34000000003</v>
      </c>
      <c r="Y87" s="4"/>
      <c r="Z87" s="12">
        <f>IF(T87=0,0,X87/T87)</f>
        <v>-0.9859927242165617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4</v>
      </c>
      <c r="C89" s="29"/>
      <c r="D89" s="35">
        <f>+D85-D87</f>
        <v>-46697.30999999999</v>
      </c>
      <c r="E89" s="14"/>
      <c r="F89" s="36">
        <f>IF(D$12=0,0,D89/D$12)</f>
        <v>0</v>
      </c>
      <c r="G89" s="14"/>
      <c r="H89" s="35">
        <f>+H85-H87</f>
        <v>143598.87999999992</v>
      </c>
      <c r="I89" s="14"/>
      <c r="J89" s="36">
        <f>IF(H$12=0,0,H89/H$12)</f>
        <v>0.27830950079685118</v>
      </c>
      <c r="K89" s="16"/>
      <c r="L89" s="35">
        <f>D89-H89</f>
        <v>-190296.18999999992</v>
      </c>
      <c r="M89" s="16"/>
      <c r="N89" s="36">
        <f>IF(H89=0,0,L89/H89)</f>
        <v>-1.3251927173805258</v>
      </c>
      <c r="O89" s="28"/>
      <c r="P89" s="35">
        <f>+P85-P87</f>
        <v>-420979.73</v>
      </c>
      <c r="Q89" s="14"/>
      <c r="R89" s="36">
        <f>IF(P$12=0,0,P89/P$12)</f>
        <v>-17.80649498856269</v>
      </c>
      <c r="S89" s="14"/>
      <c r="T89" s="35">
        <f>+T85-T87</f>
        <v>807430.98999999976</v>
      </c>
      <c r="U89" s="14"/>
      <c r="V89" s="36">
        <f>IF(T$12=0,0,T89/T$12)</f>
        <v>0.24620154547957293</v>
      </c>
      <c r="W89" s="16"/>
      <c r="X89" s="35">
        <f>P89-T89</f>
        <v>-1228410.7199999997</v>
      </c>
      <c r="Y89" s="16"/>
      <c r="Z89" s="36">
        <f>IF(T89=0,0,X89/T89)</f>
        <v>-1.5213816848917332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9" t="s">
        <v>5</v>
      </c>
      <c r="C92" s="29"/>
      <c r="D92" s="31">
        <f>SUM(D89:D91)</f>
        <v>-46697.30999999999</v>
      </c>
      <c r="E92" s="14"/>
      <c r="F92" s="33">
        <f>IF(D$12=0,0,D92/D$12)</f>
        <v>0</v>
      </c>
      <c r="G92" s="14"/>
      <c r="H92" s="31">
        <f>SUM(H89:H91)</f>
        <v>143598.87999999992</v>
      </c>
      <c r="I92" s="14"/>
      <c r="J92" s="33">
        <f>IF(H$12=0,0,H92/H$12)</f>
        <v>0.27830950079685118</v>
      </c>
      <c r="K92" s="16"/>
      <c r="L92" s="31">
        <f>+D92-H92</f>
        <v>-190296.18999999992</v>
      </c>
      <c r="M92" s="16"/>
      <c r="N92" s="33">
        <f>IF(H92=0,0,L92/H92)</f>
        <v>-1.3251927173805258</v>
      </c>
      <c r="O92" s="28"/>
      <c r="P92" s="31">
        <f>SUM(P89:P91)</f>
        <v>-420979.73</v>
      </c>
      <c r="Q92" s="14"/>
      <c r="R92" s="33">
        <f>IF(P$12=0,0,P92/P$12)</f>
        <v>-17.80649498856269</v>
      </c>
      <c r="S92" s="14"/>
      <c r="T92" s="31">
        <f>SUM(T89:T91)</f>
        <v>807430.98999999976</v>
      </c>
      <c r="U92" s="14"/>
      <c r="V92" s="33">
        <f>IF(T$12=0,0,T92/T$12)</f>
        <v>0.24620154547957293</v>
      </c>
      <c r="W92" s="16"/>
      <c r="X92" s="31">
        <f>+P92-T92</f>
        <v>-1228410.7199999997</v>
      </c>
      <c r="Y92" s="16"/>
      <c r="Z92" s="33">
        <f>IF(T92=0,0,X92/T92)</f>
        <v>-1.5213816848917332</v>
      </c>
    </row>
    <row r="93" spans="1:26" ht="15.75" thickTop="1" x14ac:dyDescent="0.25">
      <c r="A93" s="9"/>
      <c r="C93" s="9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56">
        <v>44267.668705358796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54" t="s">
        <v>313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8"/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4:24" x14ac:dyDescent="0.25"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","435", " - ", "Ground Floor Coffee House")</f>
        <v>Department 435 - Ground Floor Coffee House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0</v>
      </c>
      <c r="M12" s="4"/>
      <c r="N12" s="12">
        <f t="shared" ref="N12:N15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5179.0200000000004</v>
      </c>
      <c r="U12" s="4"/>
      <c r="V12" s="12"/>
      <c r="W12" s="4"/>
      <c r="X12" s="4">
        <f t="shared" ref="X12:X15" si="2">+P12-T12</f>
        <v>-5179.0200000000004</v>
      </c>
      <c r="Y12" s="4"/>
      <c r="Z12" s="12">
        <f t="shared" ref="Z12:Z15" si="3">IF(T12=0,0,X12/T12)</f>
        <v>-1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5" si="4">0</f>
        <v>0</v>
      </c>
      <c r="E13" s="2"/>
      <c r="F13" s="19"/>
      <c r="G13" s="2"/>
      <c r="H13" s="2">
        <f t="shared" ref="H13:H15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5" si="6">0</f>
        <v>0</v>
      </c>
      <c r="Q13" s="2"/>
      <c r="R13" s="19"/>
      <c r="S13" s="2"/>
      <c r="T13" s="2">
        <f>--973.49</f>
        <v>973.49</v>
      </c>
      <c r="U13" s="2"/>
      <c r="V13" s="19"/>
      <c r="W13" s="2"/>
      <c r="X13" s="2">
        <f t="shared" si="2"/>
        <v>-973.49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6"/>
        <v>0</v>
      </c>
      <c r="Q14" s="2"/>
      <c r="R14" s="19"/>
      <c r="S14" s="2"/>
      <c r="T14" s="2">
        <f>--471.63</f>
        <v>471.63</v>
      </c>
      <c r="U14" s="2"/>
      <c r="V14" s="19"/>
      <c r="W14" s="2"/>
      <c r="X14" s="2">
        <f t="shared" si="2"/>
        <v>-471.63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"4155", " - ", "NON-TAXABLE SALES-FOOD")</f>
        <v xml:space="preserve">          4155 - NON-TAXABLE SALES-FOOD</v>
      </c>
      <c r="C15" s="11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6"/>
        <v>0</v>
      </c>
      <c r="Q15" s="2"/>
      <c r="R15" s="19"/>
      <c r="S15" s="2"/>
      <c r="T15" s="2">
        <f>--3733.9</f>
        <v>3733.9</v>
      </c>
      <c r="U15" s="2"/>
      <c r="V15" s="19"/>
      <c r="W15" s="2"/>
      <c r="X15" s="2">
        <f t="shared" si="2"/>
        <v>-3733.9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0</v>
      </c>
      <c r="E17" s="4"/>
      <c r="F17" s="12">
        <f t="shared" ref="F17:F19" si="7">IF(D$12=0,0,D17/D$12)</f>
        <v>0</v>
      </c>
      <c r="G17" s="4"/>
      <c r="H17" s="4">
        <f>SUM(OSRRefH16x_0)</f>
        <v>0</v>
      </c>
      <c r="I17" s="4"/>
      <c r="J17" s="12">
        <f t="shared" ref="J17:J19" si="8">IF(H$12=0,0,H17/H$12)</f>
        <v>0</v>
      </c>
      <c r="K17" s="4"/>
      <c r="L17" s="4">
        <f t="shared" ref="L17:L19" si="9">+D17-H17</f>
        <v>0</v>
      </c>
      <c r="M17" s="4"/>
      <c r="N17" s="12">
        <f t="shared" ref="N17:N19" si="10">IF(H17=0,0,L17/H17)</f>
        <v>0</v>
      </c>
      <c r="O17" s="10"/>
      <c r="P17" s="4">
        <f>SUM(OSRRefP16x_0)</f>
        <v>0</v>
      </c>
      <c r="Q17" s="4"/>
      <c r="R17" s="12">
        <f t="shared" ref="R17:R19" si="11">IF(P$12=0,0,P17/P$12)</f>
        <v>0</v>
      </c>
      <c r="S17" s="4"/>
      <c r="T17" s="4">
        <f>SUM(OSRRefT16x_0)</f>
        <v>1954.47</v>
      </c>
      <c r="U17" s="4"/>
      <c r="V17" s="12">
        <f t="shared" ref="V17:V19" si="12">IF(T$12=0,0,T17/T$12)</f>
        <v>0.37738220744465167</v>
      </c>
      <c r="W17" s="4"/>
      <c r="X17" s="4">
        <f t="shared" ref="X17:X19" si="13">+P17-T17</f>
        <v>-1954.47</v>
      </c>
      <c r="Y17" s="4"/>
      <c r="Z17" s="12">
        <f t="shared" ref="Z17:Z19" si="14">IF(T17=0,0,X17/T17)</f>
        <v>-1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7"/>
        <v>0</v>
      </c>
      <c r="G18" s="2"/>
      <c r="H18" s="2"/>
      <c r="I18" s="2"/>
      <c r="J18" s="19">
        <f t="shared" si="8"/>
        <v>0</v>
      </c>
      <c r="K18" s="2"/>
      <c r="L18" s="2">
        <f t="shared" si="9"/>
        <v>0</v>
      </c>
      <c r="M18" s="2"/>
      <c r="N18" s="19">
        <f t="shared" si="10"/>
        <v>0</v>
      </c>
      <c r="O18" s="11"/>
      <c r="P18" s="2"/>
      <c r="Q18" s="2"/>
      <c r="R18" s="19">
        <f t="shared" si="11"/>
        <v>0</v>
      </c>
      <c r="S18" s="2"/>
      <c r="T18" s="2">
        <v>3948.48</v>
      </c>
      <c r="U18" s="2"/>
      <c r="V18" s="19">
        <f t="shared" si="12"/>
        <v>0.762399063915567</v>
      </c>
      <c r="W18" s="2"/>
      <c r="X18" s="2">
        <f t="shared" si="13"/>
        <v>-3948.48</v>
      </c>
      <c r="Y18" s="2"/>
      <c r="Z18" s="19">
        <f t="shared" si="14"/>
        <v>-1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7"/>
        <v>0</v>
      </c>
      <c r="G19" s="2"/>
      <c r="H19" s="2"/>
      <c r="I19" s="2"/>
      <c r="J19" s="19">
        <f t="shared" si="8"/>
        <v>0</v>
      </c>
      <c r="K19" s="2"/>
      <c r="L19" s="2">
        <f t="shared" si="9"/>
        <v>0</v>
      </c>
      <c r="M19" s="2"/>
      <c r="N19" s="19">
        <f t="shared" si="10"/>
        <v>0</v>
      </c>
      <c r="O19" s="11"/>
      <c r="P19" s="2"/>
      <c r="Q19" s="2"/>
      <c r="R19" s="19">
        <f t="shared" si="11"/>
        <v>0</v>
      </c>
      <c r="S19" s="2"/>
      <c r="T19" s="2">
        <v>-1994.01</v>
      </c>
      <c r="U19" s="2"/>
      <c r="V19" s="19">
        <f t="shared" si="12"/>
        <v>-0.38501685647091533</v>
      </c>
      <c r="W19" s="2"/>
      <c r="X19" s="2">
        <f t="shared" si="13"/>
        <v>1994.01</v>
      </c>
      <c r="Y19" s="2"/>
      <c r="Z19" s="19">
        <f t="shared" si="14"/>
        <v>-1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9" t="s">
        <v>6</v>
      </c>
      <c r="C21" s="29"/>
      <c r="D21" s="22">
        <f>D12-D17</f>
        <v>0</v>
      </c>
      <c r="E21" s="14"/>
      <c r="F21" s="20">
        <f>IF(D$12=0,0,D21/D$12)</f>
        <v>0</v>
      </c>
      <c r="G21" s="14"/>
      <c r="H21" s="22">
        <f>H12-H17</f>
        <v>0</v>
      </c>
      <c r="I21" s="14"/>
      <c r="J21" s="20">
        <f>IF(H$12=0,0,H21/H$12)</f>
        <v>0</v>
      </c>
      <c r="K21" s="16"/>
      <c r="L21" s="22">
        <f>+D21-H21</f>
        <v>0</v>
      </c>
      <c r="M21" s="16"/>
      <c r="N21" s="20">
        <f>IF(H21=0,0,L21/H21)</f>
        <v>0</v>
      </c>
      <c r="O21" s="28"/>
      <c r="P21" s="22">
        <f>P12-P17</f>
        <v>0</v>
      </c>
      <c r="Q21" s="14"/>
      <c r="R21" s="20">
        <f>IF(P$12=0,0,P21/P$12)</f>
        <v>0</v>
      </c>
      <c r="S21" s="14"/>
      <c r="T21" s="22">
        <f>T12-T17</f>
        <v>3224.55</v>
      </c>
      <c r="U21" s="14"/>
      <c r="V21" s="20">
        <f>IF(T$12=0,0,T21/T$12)</f>
        <v>0.62261779255534833</v>
      </c>
      <c r="W21" s="16"/>
      <c r="X21" s="22">
        <f>+P21-T21</f>
        <v>-3224.55</v>
      </c>
      <c r="Y21" s="16"/>
      <c r="Z21" s="20">
        <f>IF(T21=0,0,X21/T21)</f>
        <v>-1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8" t="s">
        <v>9</v>
      </c>
      <c r="C23" s="10"/>
      <c r="D23" s="21">
        <f>SUM(OSRRefD22x_0)</f>
        <v>0</v>
      </c>
      <c r="E23" s="21"/>
      <c r="F23" s="32">
        <f t="shared" ref="F23:F27" si="15">IF(D$12=0,0,D23/D$12)</f>
        <v>0</v>
      </c>
      <c r="G23" s="21"/>
      <c r="H23" s="21">
        <f>SUM(OSRRefH22x_0)</f>
        <v>75.5</v>
      </c>
      <c r="I23" s="21"/>
      <c r="J23" s="32">
        <f t="shared" ref="J23:J27" si="16">IF(H$12=0,0,H23/H$12)</f>
        <v>0</v>
      </c>
      <c r="K23" s="4"/>
      <c r="L23" s="21">
        <f t="shared" ref="L23:L27" si="17">+D23-H23</f>
        <v>-75.5</v>
      </c>
      <c r="M23" s="4"/>
      <c r="N23" s="32">
        <f t="shared" ref="N23:N27" si="18">IF(H23=0,0,L23/H23)</f>
        <v>-1</v>
      </c>
      <c r="O23" s="10"/>
      <c r="P23" s="21">
        <f>SUM(OSRRefP22x_0)</f>
        <v>178.69</v>
      </c>
      <c r="Q23" s="21"/>
      <c r="R23" s="32">
        <f t="shared" ref="R23:R27" si="19">IF(P$12=0,0,P23/P$12)</f>
        <v>0</v>
      </c>
      <c r="S23" s="21"/>
      <c r="T23" s="21">
        <f>SUM(OSRRefT22x_0)</f>
        <v>15662.719999999998</v>
      </c>
      <c r="U23" s="21"/>
      <c r="V23" s="32">
        <f t="shared" ref="V23:V27" si="20">IF(T$12=0,0,T23/T$12)</f>
        <v>3.0242632776085046</v>
      </c>
      <c r="W23" s="4"/>
      <c r="X23" s="21">
        <f t="shared" ref="X23:X27" si="21">+P23-T23</f>
        <v>-15484.029999999997</v>
      </c>
      <c r="Y23" s="4"/>
      <c r="Z23" s="32">
        <f t="shared" ref="Z23:Z27" si="22">IF(T23=0,0,X23/T23)</f>
        <v>-0.98859138131818736</v>
      </c>
    </row>
    <row r="24" spans="1:26" s="25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0</v>
      </c>
      <c r="E24" s="1"/>
      <c r="F24" s="5">
        <f t="shared" si="15"/>
        <v>0</v>
      </c>
      <c r="G24" s="1"/>
      <c r="H24" s="1">
        <f>SUM(OSRRefH22_0x_0)</f>
        <v>0</v>
      </c>
      <c r="I24" s="1"/>
      <c r="J24" s="5">
        <f t="shared" si="16"/>
        <v>0</v>
      </c>
      <c r="K24" s="1"/>
      <c r="L24" s="1">
        <f t="shared" si="17"/>
        <v>0</v>
      </c>
      <c r="M24" s="1"/>
      <c r="N24" s="5">
        <f t="shared" si="18"/>
        <v>0</v>
      </c>
      <c r="O24" s="13"/>
      <c r="P24" s="1">
        <f>SUM(OSRRefP22_0x_0)</f>
        <v>0</v>
      </c>
      <c r="Q24" s="1"/>
      <c r="R24" s="5">
        <f t="shared" si="19"/>
        <v>0</v>
      </c>
      <c r="S24" s="1"/>
      <c r="T24" s="1">
        <f>SUM(OSRRefT22_0x_0)</f>
        <v>858.58</v>
      </c>
      <c r="U24" s="1"/>
      <c r="V24" s="5">
        <f t="shared" si="20"/>
        <v>0.16578039860823091</v>
      </c>
      <c r="W24" s="1"/>
      <c r="X24" s="1">
        <f t="shared" si="21"/>
        <v>-858.58</v>
      </c>
      <c r="Y24" s="1"/>
      <c r="Z24" s="5">
        <f t="shared" si="22"/>
        <v>-1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6"/>
      <c r="E25" s="2"/>
      <c r="F25" s="7">
        <f t="shared" si="15"/>
        <v>0</v>
      </c>
      <c r="G25" s="2"/>
      <c r="H25" s="6"/>
      <c r="I25" s="2"/>
      <c r="J25" s="7">
        <f t="shared" si="16"/>
        <v>0</v>
      </c>
      <c r="K25" s="2"/>
      <c r="L25" s="6">
        <f t="shared" si="17"/>
        <v>0</v>
      </c>
      <c r="M25" s="2"/>
      <c r="N25" s="7">
        <f t="shared" si="18"/>
        <v>0</v>
      </c>
      <c r="O25" s="11"/>
      <c r="P25" s="6"/>
      <c r="Q25" s="2"/>
      <c r="R25" s="7">
        <f t="shared" si="19"/>
        <v>0</v>
      </c>
      <c r="S25" s="2"/>
      <c r="T25" s="6">
        <v>602.38</v>
      </c>
      <c r="U25" s="2"/>
      <c r="V25" s="7">
        <f t="shared" si="20"/>
        <v>0.11631158018312343</v>
      </c>
      <c r="W25" s="2"/>
      <c r="X25" s="6">
        <f t="shared" si="21"/>
        <v>-602.38</v>
      </c>
      <c r="Y25" s="2"/>
      <c r="Z25" s="7">
        <f t="shared" si="22"/>
        <v>-1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6"/>
      <c r="E26" s="2"/>
      <c r="F26" s="7">
        <f t="shared" si="15"/>
        <v>0</v>
      </c>
      <c r="G26" s="2"/>
      <c r="H26" s="6"/>
      <c r="I26" s="2"/>
      <c r="J26" s="7">
        <f t="shared" si="16"/>
        <v>0</v>
      </c>
      <c r="K26" s="2"/>
      <c r="L26" s="6">
        <f t="shared" si="17"/>
        <v>0</v>
      </c>
      <c r="M26" s="2"/>
      <c r="N26" s="7">
        <f t="shared" si="18"/>
        <v>0</v>
      </c>
      <c r="O26" s="11"/>
      <c r="P26" s="6"/>
      <c r="Q26" s="2"/>
      <c r="R26" s="7">
        <f t="shared" si="19"/>
        <v>0</v>
      </c>
      <c r="S26" s="2"/>
      <c r="T26" s="6">
        <v>221.3</v>
      </c>
      <c r="U26" s="2"/>
      <c r="V26" s="7">
        <f t="shared" si="20"/>
        <v>4.2730091793428099E-2</v>
      </c>
      <c r="W26" s="2"/>
      <c r="X26" s="6">
        <f t="shared" si="21"/>
        <v>-221.3</v>
      </c>
      <c r="Y26" s="2"/>
      <c r="Z26" s="7">
        <f t="shared" si="22"/>
        <v>-1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5"/>
        <v>0</v>
      </c>
      <c r="G27" s="2"/>
      <c r="H27" s="6"/>
      <c r="I27" s="2"/>
      <c r="J27" s="7">
        <f t="shared" si="16"/>
        <v>0</v>
      </c>
      <c r="K27" s="2"/>
      <c r="L27" s="6">
        <f t="shared" si="17"/>
        <v>0</v>
      </c>
      <c r="M27" s="2"/>
      <c r="N27" s="7">
        <f t="shared" si="18"/>
        <v>0</v>
      </c>
      <c r="O27" s="11"/>
      <c r="P27" s="6"/>
      <c r="Q27" s="2"/>
      <c r="R27" s="7">
        <f t="shared" si="19"/>
        <v>0</v>
      </c>
      <c r="S27" s="2"/>
      <c r="T27" s="6">
        <v>34.9</v>
      </c>
      <c r="U27" s="2"/>
      <c r="V27" s="7">
        <f t="shared" si="20"/>
        <v>6.7387266316793516E-3</v>
      </c>
      <c r="W27" s="2"/>
      <c r="X27" s="6">
        <f t="shared" si="21"/>
        <v>-34.9</v>
      </c>
      <c r="Y27" s="2"/>
      <c r="Z27" s="7">
        <f t="shared" si="22"/>
        <v>-1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0</v>
      </c>
      <c r="E28" s="1"/>
      <c r="F28" s="5">
        <f t="shared" ref="F28:F31" si="23">IF(D$12=0,0,D28/D$12)</f>
        <v>0</v>
      </c>
      <c r="G28" s="1"/>
      <c r="H28" s="1">
        <f>SUM(OSRRefH22_1x_0)</f>
        <v>0</v>
      </c>
      <c r="I28" s="1"/>
      <c r="J28" s="5">
        <f t="shared" ref="J28:J31" si="24">IF(H$12=0,0,H28/H$12)</f>
        <v>0</v>
      </c>
      <c r="K28" s="1"/>
      <c r="L28" s="1">
        <f t="shared" ref="L28:L31" si="25">+D28-H28</f>
        <v>0</v>
      </c>
      <c r="M28" s="1"/>
      <c r="N28" s="5">
        <f t="shared" ref="N28:N31" si="26">IF(H28=0,0,L28/H28)</f>
        <v>0</v>
      </c>
      <c r="O28" s="13"/>
      <c r="P28" s="1">
        <f>SUM(OSRRefP22_1x_0)</f>
        <v>0</v>
      </c>
      <c r="Q28" s="1"/>
      <c r="R28" s="5">
        <f t="shared" ref="R28:R31" si="27">IF(P$12=0,0,P28/P$12)</f>
        <v>0</v>
      </c>
      <c r="S28" s="1"/>
      <c r="T28" s="1">
        <f>SUM(OSRRefT22_1x_0)</f>
        <v>10914.98</v>
      </c>
      <c r="U28" s="1"/>
      <c r="V28" s="5">
        <f t="shared" ref="V28:V31" si="28">IF(T$12=0,0,T28/T$12)</f>
        <v>2.1075377194913321</v>
      </c>
      <c r="W28" s="1"/>
      <c r="X28" s="1">
        <f t="shared" ref="X28:X31" si="29">+P28-T28</f>
        <v>-10914.98</v>
      </c>
      <c r="Y28" s="1"/>
      <c r="Z28" s="5">
        <f t="shared" ref="Z28:Z31" si="30">IF(T28=0,0,X28/T28)</f>
        <v>-1</v>
      </c>
    </row>
    <row r="29" spans="1:26" s="24" customFormat="1" hidden="1" outlineLevel="2" x14ac:dyDescent="0.25">
      <c r="A29" s="26"/>
      <c r="B29" s="11" t="str">
        <f>CONCATENATE("          ", "6005", " - ", "TEMPORARY WAGES-HOURLY")</f>
        <v xml:space="preserve">          6005 - TEMPORARY WAGES-HOURLY</v>
      </c>
      <c r="C29" s="11"/>
      <c r="D29" s="6"/>
      <c r="E29" s="2"/>
      <c r="F29" s="7">
        <f t="shared" si="23"/>
        <v>0</v>
      </c>
      <c r="G29" s="2"/>
      <c r="H29" s="6"/>
      <c r="I29" s="2"/>
      <c r="J29" s="7">
        <f t="shared" si="24"/>
        <v>0</v>
      </c>
      <c r="K29" s="2"/>
      <c r="L29" s="6">
        <f t="shared" si="25"/>
        <v>0</v>
      </c>
      <c r="M29" s="2"/>
      <c r="N29" s="7">
        <f t="shared" si="26"/>
        <v>0</v>
      </c>
      <c r="O29" s="11"/>
      <c r="P29" s="6"/>
      <c r="Q29" s="2"/>
      <c r="R29" s="7">
        <f t="shared" si="27"/>
        <v>0</v>
      </c>
      <c r="S29" s="2"/>
      <c r="T29" s="6">
        <v>7765.17</v>
      </c>
      <c r="U29" s="2"/>
      <c r="V29" s="7">
        <f t="shared" si="28"/>
        <v>1.4993512286108182</v>
      </c>
      <c r="W29" s="2"/>
      <c r="X29" s="6">
        <f t="shared" si="29"/>
        <v>-7765.17</v>
      </c>
      <c r="Y29" s="2"/>
      <c r="Z29" s="7">
        <f t="shared" si="30"/>
        <v>-1</v>
      </c>
    </row>
    <row r="30" spans="1:26" s="24" customFormat="1" hidden="1" outlineLevel="2" x14ac:dyDescent="0.25">
      <c r="A30" s="26"/>
      <c r="B30" s="11" t="str">
        <f>CONCATENATE("          ", "6006", " - ", "TEMPORARY PART TIME")</f>
        <v xml:space="preserve">          6006 - TEMPORARY PART TIME</v>
      </c>
      <c r="C30" s="11"/>
      <c r="D30" s="6"/>
      <c r="E30" s="2"/>
      <c r="F30" s="7">
        <f t="shared" si="23"/>
        <v>0</v>
      </c>
      <c r="G30" s="2"/>
      <c r="H30" s="6"/>
      <c r="I30" s="2"/>
      <c r="J30" s="7">
        <f t="shared" si="24"/>
        <v>0</v>
      </c>
      <c r="K30" s="2"/>
      <c r="L30" s="6">
        <f t="shared" si="25"/>
        <v>0</v>
      </c>
      <c r="M30" s="2"/>
      <c r="N30" s="7">
        <f t="shared" si="26"/>
        <v>0</v>
      </c>
      <c r="O30" s="11"/>
      <c r="P30" s="6"/>
      <c r="Q30" s="2"/>
      <c r="R30" s="7">
        <f t="shared" si="27"/>
        <v>0</v>
      </c>
      <c r="S30" s="2"/>
      <c r="T30" s="6">
        <v>73.31</v>
      </c>
      <c r="U30" s="2"/>
      <c r="V30" s="7">
        <f t="shared" si="28"/>
        <v>1.4155187660986054E-2</v>
      </c>
      <c r="W30" s="2"/>
      <c r="X30" s="6">
        <f t="shared" si="29"/>
        <v>-73.31</v>
      </c>
      <c r="Y30" s="2"/>
      <c r="Z30" s="7">
        <f t="shared" si="30"/>
        <v>-1</v>
      </c>
    </row>
    <row r="31" spans="1:26" s="24" customFormat="1" hidden="1" outlineLevel="2" x14ac:dyDescent="0.25">
      <c r="A31" s="26"/>
      <c r="B31" s="11" t="str">
        <f>CONCATENATE("          ", "6007", " - ", "STUDENT HOURLY")</f>
        <v xml:space="preserve">          6007 - STUDENT HOURLY</v>
      </c>
      <c r="C31" s="11"/>
      <c r="D31" s="6"/>
      <c r="E31" s="2"/>
      <c r="F31" s="7">
        <f t="shared" si="23"/>
        <v>0</v>
      </c>
      <c r="G31" s="2"/>
      <c r="H31" s="6"/>
      <c r="I31" s="2"/>
      <c r="J31" s="7">
        <f t="shared" si="24"/>
        <v>0</v>
      </c>
      <c r="K31" s="2"/>
      <c r="L31" s="6">
        <f t="shared" si="25"/>
        <v>0</v>
      </c>
      <c r="M31" s="2"/>
      <c r="N31" s="7">
        <f t="shared" si="26"/>
        <v>0</v>
      </c>
      <c r="O31" s="11"/>
      <c r="P31" s="6"/>
      <c r="Q31" s="2"/>
      <c r="R31" s="7">
        <f t="shared" si="27"/>
        <v>0</v>
      </c>
      <c r="S31" s="2"/>
      <c r="T31" s="6">
        <v>3076.5</v>
      </c>
      <c r="U31" s="2"/>
      <c r="V31" s="7">
        <f t="shared" si="28"/>
        <v>0.59403130321952802</v>
      </c>
      <c r="W31" s="2"/>
      <c r="X31" s="6">
        <f t="shared" si="29"/>
        <v>-3076.5</v>
      </c>
      <c r="Y31" s="2"/>
      <c r="Z31" s="7">
        <f t="shared" si="30"/>
        <v>-1</v>
      </c>
    </row>
    <row r="32" spans="1:26" s="25" customFormat="1" outlineLevel="1" collapsed="1" x14ac:dyDescent="0.25">
      <c r="A32" s="27"/>
      <c r="B32" s="13" t="str">
        <f>CONCATENATE("     ","Bad Debts/Over/Short                              ")</f>
        <v xml:space="preserve">     Bad Debts/Over/Short                              </v>
      </c>
      <c r="C32" s="13"/>
      <c r="D32" s="1">
        <f>SUM(OSRRefD22_2x_0)</f>
        <v>0</v>
      </c>
      <c r="E32" s="1"/>
      <c r="F32" s="5">
        <f t="shared" ref="F32:F45" si="31">IF(D$12=0,0,D32/D$12)</f>
        <v>0</v>
      </c>
      <c r="G32" s="1"/>
      <c r="H32" s="1">
        <f>SUM(OSRRefH22_2x_0)</f>
        <v>0</v>
      </c>
      <c r="I32" s="1"/>
      <c r="J32" s="5">
        <f t="shared" ref="J32:J45" si="32">IF(H$12=0,0,H32/H$12)</f>
        <v>0</v>
      </c>
      <c r="K32" s="1"/>
      <c r="L32" s="1">
        <f t="shared" ref="L32:L45" si="33">+D32-H32</f>
        <v>0</v>
      </c>
      <c r="M32" s="1"/>
      <c r="N32" s="5">
        <f t="shared" ref="N32:N45" si="34">IF(H32=0,0,L32/H32)</f>
        <v>0</v>
      </c>
      <c r="O32" s="13"/>
      <c r="P32" s="1">
        <f>SUM(OSRRefP22_2x_0)</f>
        <v>0</v>
      </c>
      <c r="Q32" s="1"/>
      <c r="R32" s="5">
        <f t="shared" ref="R32:R45" si="35">IF(P$12=0,0,P32/P$12)</f>
        <v>0</v>
      </c>
      <c r="S32" s="1"/>
      <c r="T32" s="1">
        <f>SUM(OSRRefT22_2x_0)</f>
        <v>-1.41</v>
      </c>
      <c r="U32" s="1"/>
      <c r="V32" s="5">
        <f t="shared" ref="V32:V45" si="36">IF(T$12=0,0,T32/T$12)</f>
        <v>-2.7225227938876463E-4</v>
      </c>
      <c r="W32" s="1"/>
      <c r="X32" s="1">
        <f t="shared" ref="X32:X45" si="37">+P32-T32</f>
        <v>1.41</v>
      </c>
      <c r="Y32" s="1"/>
      <c r="Z32" s="5">
        <f t="shared" ref="Z32:Z45" si="38">IF(T32=0,0,X32/T32)</f>
        <v>-1</v>
      </c>
    </row>
    <row r="33" spans="1:26" s="24" customFormat="1" hidden="1" outlineLevel="2" x14ac:dyDescent="0.25">
      <c r="A33" s="26"/>
      <c r="B33" s="11" t="str">
        <f>CONCATENATE("          ", "6272", " - ", "CASH (OVER/SHORT)")</f>
        <v xml:space="preserve">          6272 - CASH (OVER/SHORT)</v>
      </c>
      <c r="C33" s="11"/>
      <c r="D33" s="6"/>
      <c r="E33" s="2"/>
      <c r="F33" s="7">
        <f t="shared" si="31"/>
        <v>0</v>
      </c>
      <c r="G33" s="2"/>
      <c r="H33" s="6"/>
      <c r="I33" s="2"/>
      <c r="J33" s="7">
        <f t="shared" si="32"/>
        <v>0</v>
      </c>
      <c r="K33" s="2"/>
      <c r="L33" s="6">
        <f t="shared" si="33"/>
        <v>0</v>
      </c>
      <c r="M33" s="2"/>
      <c r="N33" s="7">
        <f t="shared" si="34"/>
        <v>0</v>
      </c>
      <c r="O33" s="11"/>
      <c r="P33" s="6"/>
      <c r="Q33" s="2"/>
      <c r="R33" s="7">
        <f t="shared" si="35"/>
        <v>0</v>
      </c>
      <c r="S33" s="2"/>
      <c r="T33" s="6">
        <v>-1.41</v>
      </c>
      <c r="U33" s="2"/>
      <c r="V33" s="7">
        <f t="shared" si="36"/>
        <v>-2.7225227938876463E-4</v>
      </c>
      <c r="W33" s="2"/>
      <c r="X33" s="6">
        <f t="shared" si="37"/>
        <v>1.41</v>
      </c>
      <c r="Y33" s="2"/>
      <c r="Z33" s="7">
        <f t="shared" si="38"/>
        <v>-1</v>
      </c>
    </row>
    <row r="34" spans="1:26" s="25" customFormat="1" outlineLevel="1" collapsed="1" x14ac:dyDescent="0.25">
      <c r="A34" s="27"/>
      <c r="B34" s="13" t="str">
        <f>CONCATENATE("     ","Bank/card Fees                                    ")</f>
        <v xml:space="preserve">     Bank/card Fees                                    </v>
      </c>
      <c r="C34" s="13"/>
      <c r="D34" s="1">
        <f>SUM(OSRRefD22_3x_0)</f>
        <v>0</v>
      </c>
      <c r="E34" s="1"/>
      <c r="F34" s="5">
        <f t="shared" si="31"/>
        <v>0</v>
      </c>
      <c r="G34" s="1"/>
      <c r="H34" s="1">
        <f>SUM(OSRRefH22_3x_0)</f>
        <v>0</v>
      </c>
      <c r="I34" s="1"/>
      <c r="J34" s="5">
        <f t="shared" si="32"/>
        <v>0</v>
      </c>
      <c r="K34" s="1"/>
      <c r="L34" s="1">
        <f t="shared" si="33"/>
        <v>0</v>
      </c>
      <c r="M34" s="1"/>
      <c r="N34" s="5">
        <f t="shared" si="34"/>
        <v>0</v>
      </c>
      <c r="O34" s="13"/>
      <c r="P34" s="1">
        <f>SUM(OSRRefP22_3x_0)</f>
        <v>0</v>
      </c>
      <c r="Q34" s="1"/>
      <c r="R34" s="5">
        <f t="shared" si="35"/>
        <v>0</v>
      </c>
      <c r="S34" s="1"/>
      <c r="T34" s="1">
        <f>SUM(OSRRefT22_3x_0)</f>
        <v>125.26</v>
      </c>
      <c r="U34" s="1"/>
      <c r="V34" s="5">
        <f t="shared" si="36"/>
        <v>2.418604291931678E-2</v>
      </c>
      <c r="W34" s="1"/>
      <c r="X34" s="1">
        <f t="shared" si="37"/>
        <v>-125.26</v>
      </c>
      <c r="Y34" s="1"/>
      <c r="Z34" s="5">
        <f t="shared" si="38"/>
        <v>-1</v>
      </c>
    </row>
    <row r="35" spans="1:26" s="24" customFormat="1" hidden="1" outlineLevel="2" x14ac:dyDescent="0.25">
      <c r="A35" s="26"/>
      <c r="B35" s="11" t="str">
        <f>CONCATENATE("          ", "6381", " - ", "BANK/CREDIT CARD FEES")</f>
        <v xml:space="preserve">          6381 - BANK/CREDIT CARD FEES</v>
      </c>
      <c r="C35" s="11"/>
      <c r="D35" s="6"/>
      <c r="E35" s="2"/>
      <c r="F35" s="7">
        <f t="shared" si="31"/>
        <v>0</v>
      </c>
      <c r="G35" s="2"/>
      <c r="H35" s="6"/>
      <c r="I35" s="2"/>
      <c r="J35" s="7">
        <f t="shared" si="32"/>
        <v>0</v>
      </c>
      <c r="K35" s="2"/>
      <c r="L35" s="6">
        <f t="shared" si="33"/>
        <v>0</v>
      </c>
      <c r="M35" s="2"/>
      <c r="N35" s="7">
        <f t="shared" si="34"/>
        <v>0</v>
      </c>
      <c r="O35" s="11"/>
      <c r="P35" s="6"/>
      <c r="Q35" s="2"/>
      <c r="R35" s="7">
        <f t="shared" si="35"/>
        <v>0</v>
      </c>
      <c r="S35" s="2"/>
      <c r="T35" s="6">
        <v>125.26</v>
      </c>
      <c r="U35" s="2"/>
      <c r="V35" s="7">
        <f t="shared" si="36"/>
        <v>2.418604291931678E-2</v>
      </c>
      <c r="W35" s="2"/>
      <c r="X35" s="6">
        <f t="shared" si="37"/>
        <v>-125.26</v>
      </c>
      <c r="Y35" s="2"/>
      <c r="Z35" s="7">
        <f t="shared" si="38"/>
        <v>-1</v>
      </c>
    </row>
    <row r="36" spans="1:26" s="25" customFormat="1" outlineLevel="1" collapsed="1" x14ac:dyDescent="0.25">
      <c r="A36" s="27"/>
      <c r="B36" s="13" t="str">
        <f>CONCATENATE("     ","Employees' Appreciation                           ")</f>
        <v xml:space="preserve">     Employees' Appreciation                           </v>
      </c>
      <c r="C36" s="13"/>
      <c r="D36" s="1">
        <f>SUM(OSRRefD22_4x_0)</f>
        <v>0</v>
      </c>
      <c r="E36" s="1"/>
      <c r="F36" s="5">
        <f t="shared" si="31"/>
        <v>0</v>
      </c>
      <c r="G36" s="1"/>
      <c r="H36" s="1">
        <f>SUM(OSRRefH22_4x_0)</f>
        <v>0</v>
      </c>
      <c r="I36" s="1"/>
      <c r="J36" s="5">
        <f t="shared" si="32"/>
        <v>0</v>
      </c>
      <c r="K36" s="1"/>
      <c r="L36" s="1">
        <f t="shared" si="33"/>
        <v>0</v>
      </c>
      <c r="M36" s="1"/>
      <c r="N36" s="5">
        <f t="shared" si="34"/>
        <v>0</v>
      </c>
      <c r="O36" s="13"/>
      <c r="P36" s="1">
        <f>SUM(OSRRefP22_4x_0)</f>
        <v>0</v>
      </c>
      <c r="Q36" s="1"/>
      <c r="R36" s="5">
        <f t="shared" si="35"/>
        <v>0</v>
      </c>
      <c r="S36" s="1"/>
      <c r="T36" s="1">
        <f>SUM(OSRRefT22_4x_0)</f>
        <v>40.799999999999997</v>
      </c>
      <c r="U36" s="1"/>
      <c r="V36" s="5">
        <f t="shared" si="36"/>
        <v>7.877938297206807E-3</v>
      </c>
      <c r="W36" s="1"/>
      <c r="X36" s="1">
        <f t="shared" si="37"/>
        <v>-40.799999999999997</v>
      </c>
      <c r="Y36" s="1"/>
      <c r="Z36" s="5">
        <f t="shared" si="38"/>
        <v>-1</v>
      </c>
    </row>
    <row r="37" spans="1:26" s="24" customFormat="1" hidden="1" outlineLevel="2" x14ac:dyDescent="0.25">
      <c r="A37" s="26"/>
      <c r="B37" s="11" t="str">
        <f>CONCATENATE("          ", "6277", " - ", "EMPLOYEE APPRECIATION")</f>
        <v xml:space="preserve">          6277 - EMPLOYEE APPRECIATION</v>
      </c>
      <c r="C37" s="11"/>
      <c r="D37" s="6"/>
      <c r="E37" s="2"/>
      <c r="F37" s="7">
        <f t="shared" si="31"/>
        <v>0</v>
      </c>
      <c r="G37" s="2"/>
      <c r="H37" s="6"/>
      <c r="I37" s="2"/>
      <c r="J37" s="7">
        <f t="shared" si="32"/>
        <v>0</v>
      </c>
      <c r="K37" s="2"/>
      <c r="L37" s="6">
        <f t="shared" si="33"/>
        <v>0</v>
      </c>
      <c r="M37" s="2"/>
      <c r="N37" s="7">
        <f t="shared" si="34"/>
        <v>0</v>
      </c>
      <c r="O37" s="11"/>
      <c r="P37" s="6"/>
      <c r="Q37" s="2"/>
      <c r="R37" s="7">
        <f t="shared" si="35"/>
        <v>0</v>
      </c>
      <c r="S37" s="2"/>
      <c r="T37" s="6">
        <v>40.799999999999997</v>
      </c>
      <c r="U37" s="2"/>
      <c r="V37" s="7">
        <f t="shared" si="36"/>
        <v>7.877938297206807E-3</v>
      </c>
      <c r="W37" s="2"/>
      <c r="X37" s="6">
        <f t="shared" si="37"/>
        <v>-40.799999999999997</v>
      </c>
      <c r="Y37" s="2"/>
      <c r="Z37" s="7">
        <f t="shared" si="38"/>
        <v>-1</v>
      </c>
    </row>
    <row r="38" spans="1:26" s="25" customFormat="1" outlineLevel="1" collapsed="1" x14ac:dyDescent="0.25">
      <c r="A38" s="27"/>
      <c r="B38" s="13" t="str">
        <f>CONCATENATE("     ","General                                           ")</f>
        <v xml:space="preserve">     General                                           </v>
      </c>
      <c r="C38" s="13"/>
      <c r="D38" s="1">
        <f>SUM(OSRRefD22_5x_0)</f>
        <v>0</v>
      </c>
      <c r="E38" s="1"/>
      <c r="F38" s="5">
        <f t="shared" si="31"/>
        <v>0</v>
      </c>
      <c r="G38" s="1"/>
      <c r="H38" s="1">
        <f>SUM(OSRRefH22_5x_0)</f>
        <v>0</v>
      </c>
      <c r="I38" s="1"/>
      <c r="J38" s="5">
        <f t="shared" si="32"/>
        <v>0</v>
      </c>
      <c r="K38" s="1"/>
      <c r="L38" s="1">
        <f t="shared" si="33"/>
        <v>0</v>
      </c>
      <c r="M38" s="1"/>
      <c r="N38" s="5">
        <f t="shared" si="34"/>
        <v>0</v>
      </c>
      <c r="O38" s="13"/>
      <c r="P38" s="1">
        <f>SUM(OSRRefP22_5x_0)</f>
        <v>0</v>
      </c>
      <c r="Q38" s="1"/>
      <c r="R38" s="5">
        <f t="shared" si="35"/>
        <v>0</v>
      </c>
      <c r="S38" s="1"/>
      <c r="T38" s="1">
        <f>SUM(OSRRefT22_5x_0)</f>
        <v>1154.05</v>
      </c>
      <c r="U38" s="1"/>
      <c r="V38" s="5">
        <f t="shared" si="36"/>
        <v>0.22283173264439987</v>
      </c>
      <c r="W38" s="1"/>
      <c r="X38" s="1">
        <f t="shared" si="37"/>
        <v>-1154.05</v>
      </c>
      <c r="Y38" s="1"/>
      <c r="Z38" s="5">
        <f t="shared" si="38"/>
        <v>-1</v>
      </c>
    </row>
    <row r="39" spans="1:26" s="24" customFormat="1" hidden="1" outlineLevel="2" x14ac:dyDescent="0.25">
      <c r="A39" s="26"/>
      <c r="B39" s="11" t="str">
        <f>CONCATENATE("          ", "6279", " - ", "GENERAL EXPENSE")</f>
        <v xml:space="preserve">          6279 - GENERAL EXPENSE</v>
      </c>
      <c r="C39" s="11"/>
      <c r="D39" s="6"/>
      <c r="E39" s="2"/>
      <c r="F39" s="7">
        <f t="shared" si="31"/>
        <v>0</v>
      </c>
      <c r="G39" s="2"/>
      <c r="H39" s="6"/>
      <c r="I39" s="2"/>
      <c r="J39" s="7">
        <f t="shared" si="32"/>
        <v>0</v>
      </c>
      <c r="K39" s="2"/>
      <c r="L39" s="6">
        <f t="shared" si="33"/>
        <v>0</v>
      </c>
      <c r="M39" s="2"/>
      <c r="N39" s="7">
        <f t="shared" si="34"/>
        <v>0</v>
      </c>
      <c r="O39" s="11"/>
      <c r="P39" s="6"/>
      <c r="Q39" s="2"/>
      <c r="R39" s="7">
        <f t="shared" si="35"/>
        <v>0</v>
      </c>
      <c r="S39" s="2"/>
      <c r="T39" s="6">
        <v>1154.05</v>
      </c>
      <c r="U39" s="2"/>
      <c r="V39" s="7">
        <f t="shared" si="36"/>
        <v>0.22283173264439987</v>
      </c>
      <c r="W39" s="2"/>
      <c r="X39" s="6">
        <f t="shared" si="37"/>
        <v>-1154.05</v>
      </c>
      <c r="Y39" s="2"/>
      <c r="Z39" s="7">
        <f t="shared" si="38"/>
        <v>-1</v>
      </c>
    </row>
    <row r="40" spans="1:26" s="25" customFormat="1" outlineLevel="1" collapsed="1" x14ac:dyDescent="0.25">
      <c r="A40" s="27"/>
      <c r="B40" s="13" t="str">
        <f>CONCATENATE("     ","R/H Commissions                                   ")</f>
        <v xml:space="preserve">     R/H Commissions                                   </v>
      </c>
      <c r="C40" s="13"/>
      <c r="D40" s="1">
        <f>SUM(OSRRefD22_6x_0)</f>
        <v>0</v>
      </c>
      <c r="E40" s="1"/>
      <c r="F40" s="5">
        <f t="shared" si="31"/>
        <v>0</v>
      </c>
      <c r="G40" s="1"/>
      <c r="H40" s="1">
        <f>SUM(OSRRefH22_6x_0)</f>
        <v>0</v>
      </c>
      <c r="I40" s="1"/>
      <c r="J40" s="5">
        <f t="shared" si="32"/>
        <v>0</v>
      </c>
      <c r="K40" s="1"/>
      <c r="L40" s="1">
        <f t="shared" si="33"/>
        <v>0</v>
      </c>
      <c r="M40" s="1"/>
      <c r="N40" s="5">
        <f t="shared" si="34"/>
        <v>0</v>
      </c>
      <c r="O40" s="13"/>
      <c r="P40" s="1">
        <f>SUM(OSRRefP22_6x_0)</f>
        <v>0</v>
      </c>
      <c r="Q40" s="1"/>
      <c r="R40" s="5">
        <f t="shared" si="35"/>
        <v>0</v>
      </c>
      <c r="S40" s="1"/>
      <c r="T40" s="1">
        <f>SUM(OSRRefT22_6x_0)</f>
        <v>414.32</v>
      </c>
      <c r="U40" s="1"/>
      <c r="V40" s="5">
        <f t="shared" si="36"/>
        <v>7.9999691061243244E-2</v>
      </c>
      <c r="W40" s="1"/>
      <c r="X40" s="1">
        <f t="shared" si="37"/>
        <v>-414.32</v>
      </c>
      <c r="Y40" s="1"/>
      <c r="Z40" s="5">
        <f t="shared" si="38"/>
        <v>-1</v>
      </c>
    </row>
    <row r="41" spans="1:26" s="24" customFormat="1" hidden="1" outlineLevel="2" x14ac:dyDescent="0.25">
      <c r="A41" s="26"/>
      <c r="B41" s="11" t="str">
        <f>CONCATENATE("          ", "6387", " - ", "COMMISSION DUE HOUSING")</f>
        <v xml:space="preserve">          6387 - COMMISSION DUE HOUSING</v>
      </c>
      <c r="C41" s="11"/>
      <c r="D41" s="6"/>
      <c r="E41" s="2"/>
      <c r="F41" s="7">
        <f t="shared" si="31"/>
        <v>0</v>
      </c>
      <c r="G41" s="2"/>
      <c r="H41" s="6"/>
      <c r="I41" s="2"/>
      <c r="J41" s="7">
        <f t="shared" si="32"/>
        <v>0</v>
      </c>
      <c r="K41" s="2"/>
      <c r="L41" s="6">
        <f t="shared" si="33"/>
        <v>0</v>
      </c>
      <c r="M41" s="2"/>
      <c r="N41" s="7">
        <f t="shared" si="34"/>
        <v>0</v>
      </c>
      <c r="O41" s="11"/>
      <c r="P41" s="6"/>
      <c r="Q41" s="2"/>
      <c r="R41" s="7">
        <f t="shared" si="35"/>
        <v>0</v>
      </c>
      <c r="S41" s="2"/>
      <c r="T41" s="6">
        <v>414.32</v>
      </c>
      <c r="U41" s="2"/>
      <c r="V41" s="7">
        <f t="shared" si="36"/>
        <v>7.9999691061243244E-2</v>
      </c>
      <c r="W41" s="2"/>
      <c r="X41" s="6">
        <f t="shared" si="37"/>
        <v>-414.32</v>
      </c>
      <c r="Y41" s="2"/>
      <c r="Z41" s="7">
        <f t="shared" si="38"/>
        <v>-1</v>
      </c>
    </row>
    <row r="42" spans="1:26" s="25" customFormat="1" outlineLevel="1" collapsed="1" x14ac:dyDescent="0.25">
      <c r="A42" s="27"/>
      <c r="B42" s="13" t="str">
        <f>CONCATENATE("     ","Supplies                                          ")</f>
        <v xml:space="preserve">     Supplies                                          </v>
      </c>
      <c r="C42" s="13"/>
      <c r="D42" s="1">
        <f>SUM(OSRRefD22_7x_0)</f>
        <v>0</v>
      </c>
      <c r="E42" s="1"/>
      <c r="F42" s="5">
        <f t="shared" si="31"/>
        <v>0</v>
      </c>
      <c r="G42" s="1"/>
      <c r="H42" s="1">
        <f>SUM(OSRRefH22_7x_0)</f>
        <v>0</v>
      </c>
      <c r="I42" s="1"/>
      <c r="J42" s="5">
        <f t="shared" si="32"/>
        <v>0</v>
      </c>
      <c r="K42" s="1"/>
      <c r="L42" s="1">
        <f t="shared" si="33"/>
        <v>0</v>
      </c>
      <c r="M42" s="1"/>
      <c r="N42" s="5">
        <f t="shared" si="34"/>
        <v>0</v>
      </c>
      <c r="O42" s="13"/>
      <c r="P42" s="1">
        <f>SUM(OSRRefP22_7x_0)</f>
        <v>0</v>
      </c>
      <c r="Q42" s="1"/>
      <c r="R42" s="5">
        <f t="shared" si="35"/>
        <v>0</v>
      </c>
      <c r="S42" s="1"/>
      <c r="T42" s="1">
        <f>SUM(OSRRefT22_7x_0)</f>
        <v>1592.1399999999999</v>
      </c>
      <c r="U42" s="1"/>
      <c r="V42" s="5">
        <f t="shared" si="36"/>
        <v>0.30742109511065796</v>
      </c>
      <c r="W42" s="1"/>
      <c r="X42" s="1">
        <f t="shared" si="37"/>
        <v>-1592.1399999999999</v>
      </c>
      <c r="Y42" s="1"/>
      <c r="Z42" s="5">
        <f t="shared" si="38"/>
        <v>-1</v>
      </c>
    </row>
    <row r="43" spans="1:26" s="24" customFormat="1" hidden="1" outlineLevel="2" x14ac:dyDescent="0.25">
      <c r="A43" s="26"/>
      <c r="B43" s="11" t="str">
        <f>CONCATENATE("          ", "6237", " - ", "JANITORIAL SUPPLIES")</f>
        <v xml:space="preserve">          6237 - JANITORIAL SUPPLIES</v>
      </c>
      <c r="C43" s="11"/>
      <c r="D43" s="6"/>
      <c r="E43" s="2"/>
      <c r="F43" s="7">
        <f t="shared" si="31"/>
        <v>0</v>
      </c>
      <c r="G43" s="2"/>
      <c r="H43" s="6"/>
      <c r="I43" s="2"/>
      <c r="J43" s="7">
        <f t="shared" si="32"/>
        <v>0</v>
      </c>
      <c r="K43" s="2"/>
      <c r="L43" s="6">
        <f t="shared" si="33"/>
        <v>0</v>
      </c>
      <c r="M43" s="2"/>
      <c r="N43" s="7">
        <f t="shared" si="34"/>
        <v>0</v>
      </c>
      <c r="O43" s="11"/>
      <c r="P43" s="6"/>
      <c r="Q43" s="2"/>
      <c r="R43" s="7">
        <f t="shared" si="35"/>
        <v>0</v>
      </c>
      <c r="S43" s="2"/>
      <c r="T43" s="6">
        <v>47.13</v>
      </c>
      <c r="U43" s="2"/>
      <c r="V43" s="7">
        <f t="shared" si="36"/>
        <v>9.1001772536116864E-3</v>
      </c>
      <c r="W43" s="2"/>
      <c r="X43" s="6">
        <f t="shared" si="37"/>
        <v>-47.13</v>
      </c>
      <c r="Y43" s="2"/>
      <c r="Z43" s="7">
        <f t="shared" si="38"/>
        <v>-1</v>
      </c>
    </row>
    <row r="44" spans="1:26" s="24" customFormat="1" hidden="1" outlineLevel="2" x14ac:dyDescent="0.25">
      <c r="A44" s="26"/>
      <c r="B44" s="11" t="str">
        <f>CONCATENATE("          ", "6247", " - ", "STORE SUPPLIES")</f>
        <v xml:space="preserve">          6247 - STORE SUPPLIES</v>
      </c>
      <c r="C44" s="11"/>
      <c r="D44" s="6"/>
      <c r="E44" s="2"/>
      <c r="F44" s="7">
        <f t="shared" si="31"/>
        <v>0</v>
      </c>
      <c r="G44" s="2"/>
      <c r="H44" s="6"/>
      <c r="I44" s="2"/>
      <c r="J44" s="7">
        <f t="shared" si="32"/>
        <v>0</v>
      </c>
      <c r="K44" s="2"/>
      <c r="L44" s="6">
        <f t="shared" si="33"/>
        <v>0</v>
      </c>
      <c r="M44" s="2"/>
      <c r="N44" s="7">
        <f t="shared" si="34"/>
        <v>0</v>
      </c>
      <c r="O44" s="11"/>
      <c r="P44" s="6"/>
      <c r="Q44" s="2"/>
      <c r="R44" s="7">
        <f t="shared" si="35"/>
        <v>0</v>
      </c>
      <c r="S44" s="2"/>
      <c r="T44" s="6">
        <v>431.41</v>
      </c>
      <c r="U44" s="2"/>
      <c r="V44" s="7">
        <f t="shared" si="36"/>
        <v>8.3299543156813455E-2</v>
      </c>
      <c r="W44" s="2"/>
      <c r="X44" s="6">
        <f t="shared" si="37"/>
        <v>-431.41</v>
      </c>
      <c r="Y44" s="2"/>
      <c r="Z44" s="7">
        <f t="shared" si="38"/>
        <v>-1</v>
      </c>
    </row>
    <row r="45" spans="1:26" s="24" customFormat="1" hidden="1" outlineLevel="2" x14ac:dyDescent="0.25">
      <c r="A45" s="26"/>
      <c r="B45" s="11" t="str">
        <f>CONCATENATE("          ", "6248", " - ", "UNIFORMS")</f>
        <v xml:space="preserve">          6248 - UNIFORMS</v>
      </c>
      <c r="C45" s="11"/>
      <c r="D45" s="6"/>
      <c r="E45" s="2"/>
      <c r="F45" s="7">
        <f t="shared" si="31"/>
        <v>0</v>
      </c>
      <c r="G45" s="2"/>
      <c r="H45" s="6"/>
      <c r="I45" s="2"/>
      <c r="J45" s="7">
        <f t="shared" si="32"/>
        <v>0</v>
      </c>
      <c r="K45" s="2"/>
      <c r="L45" s="6">
        <f t="shared" si="33"/>
        <v>0</v>
      </c>
      <c r="M45" s="2"/>
      <c r="N45" s="7">
        <f t="shared" si="34"/>
        <v>0</v>
      </c>
      <c r="O45" s="11"/>
      <c r="P45" s="6"/>
      <c r="Q45" s="2"/>
      <c r="R45" s="7">
        <f t="shared" si="35"/>
        <v>0</v>
      </c>
      <c r="S45" s="2"/>
      <c r="T45" s="6">
        <v>1113.5999999999999</v>
      </c>
      <c r="U45" s="2"/>
      <c r="V45" s="7">
        <f t="shared" si="36"/>
        <v>0.21502137470023283</v>
      </c>
      <c r="W45" s="2"/>
      <c r="X45" s="6">
        <f t="shared" si="37"/>
        <v>-1113.5999999999999</v>
      </c>
      <c r="Y45" s="2"/>
      <c r="Z45" s="7">
        <f t="shared" si="38"/>
        <v>-1</v>
      </c>
    </row>
    <row r="46" spans="1:26" s="25" customFormat="1" outlineLevel="1" collapsed="1" x14ac:dyDescent="0.25">
      <c r="A46" s="27"/>
      <c r="B46" s="13" t="str">
        <f>CONCATENATE("     ","Telephone/Data Lines                              ")</f>
        <v xml:space="preserve">     Telephone/Data Lines                              </v>
      </c>
      <c r="C46" s="13"/>
      <c r="D46" s="1">
        <f>SUM(OSRRefD22_8x_0)</f>
        <v>0</v>
      </c>
      <c r="E46" s="1"/>
      <c r="F46" s="5">
        <f t="shared" ref="F46:F47" si="39">IF(D$12=0,0,D46/D$12)</f>
        <v>0</v>
      </c>
      <c r="G46" s="1"/>
      <c r="H46" s="1">
        <f>SUM(OSRRefH22_8x_0)</f>
        <v>75.5</v>
      </c>
      <c r="I46" s="1"/>
      <c r="J46" s="5">
        <f t="shared" ref="J46:J47" si="40">IF(H$12=0,0,H46/H$12)</f>
        <v>0</v>
      </c>
      <c r="K46" s="1"/>
      <c r="L46" s="1">
        <f t="shared" ref="L46:L47" si="41">+D46-H46</f>
        <v>-75.5</v>
      </c>
      <c r="M46" s="1"/>
      <c r="N46" s="5">
        <f t="shared" ref="N46:N47" si="42">IF(H46=0,0,L46/H46)</f>
        <v>-1</v>
      </c>
      <c r="O46" s="13"/>
      <c r="P46" s="1">
        <f>SUM(OSRRefP22_8x_0)</f>
        <v>178.69</v>
      </c>
      <c r="Q46" s="1"/>
      <c r="R46" s="5">
        <f t="shared" ref="R46:R47" si="43">IF(P$12=0,0,P46/P$12)</f>
        <v>0</v>
      </c>
      <c r="S46" s="1"/>
      <c r="T46" s="1">
        <f>SUM(OSRRefT22_8x_0)</f>
        <v>564</v>
      </c>
      <c r="U46" s="1"/>
      <c r="V46" s="5">
        <f t="shared" ref="V46:V47" si="44">IF(T$12=0,0,T46/T$12)</f>
        <v>0.10890091175550586</v>
      </c>
      <c r="W46" s="1"/>
      <c r="X46" s="1">
        <f t="shared" ref="X46:X47" si="45">+P46-T46</f>
        <v>-385.31</v>
      </c>
      <c r="Y46" s="1"/>
      <c r="Z46" s="5">
        <f t="shared" ref="Z46:Z47" si="46">IF(T46=0,0,X46/T46)</f>
        <v>-0.68317375886524823</v>
      </c>
    </row>
    <row r="47" spans="1:26" s="24" customFormat="1" hidden="1" outlineLevel="2" x14ac:dyDescent="0.25">
      <c r="A47" s="26"/>
      <c r="B47" s="11" t="str">
        <f>CONCATENATE("          ", "6309", " - ", "TELEPHONE")</f>
        <v xml:space="preserve">          6309 - TELEPHONE</v>
      </c>
      <c r="C47" s="11"/>
      <c r="D47" s="6"/>
      <c r="E47" s="2"/>
      <c r="F47" s="7">
        <f t="shared" si="39"/>
        <v>0</v>
      </c>
      <c r="G47" s="2"/>
      <c r="H47" s="6">
        <v>75.5</v>
      </c>
      <c r="I47" s="2"/>
      <c r="J47" s="7">
        <f t="shared" si="40"/>
        <v>0</v>
      </c>
      <c r="K47" s="2"/>
      <c r="L47" s="6">
        <f t="shared" si="41"/>
        <v>-75.5</v>
      </c>
      <c r="M47" s="2"/>
      <c r="N47" s="7">
        <f t="shared" si="42"/>
        <v>-1</v>
      </c>
      <c r="O47" s="11"/>
      <c r="P47" s="6">
        <v>178.69</v>
      </c>
      <c r="Q47" s="2"/>
      <c r="R47" s="7">
        <f t="shared" si="43"/>
        <v>0</v>
      </c>
      <c r="S47" s="2"/>
      <c r="T47" s="6">
        <v>564</v>
      </c>
      <c r="U47" s="2"/>
      <c r="V47" s="7">
        <f t="shared" si="44"/>
        <v>0.10890091175550586</v>
      </c>
      <c r="W47" s="2"/>
      <c r="X47" s="6">
        <f t="shared" si="45"/>
        <v>-385.31</v>
      </c>
      <c r="Y47" s="2"/>
      <c r="Z47" s="7">
        <f t="shared" si="46"/>
        <v>-0.68317375886524823</v>
      </c>
    </row>
    <row r="48" spans="1:26" s="52" customFormat="1" x14ac:dyDescent="0.25">
      <c r="A48" s="37"/>
      <c r="B48" s="37"/>
      <c r="C48" s="37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7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3" customFormat="1" x14ac:dyDescent="0.25">
      <c r="A49" s="10"/>
      <c r="B49" s="28" t="s">
        <v>0</v>
      </c>
      <c r="C49" s="10"/>
      <c r="D49" s="4">
        <f>SUM(0)</f>
        <v>0</v>
      </c>
      <c r="E49" s="4"/>
      <c r="F49" s="12">
        <f>IF(D$12=0,0,D49/D$12)</f>
        <v>0</v>
      </c>
      <c r="G49" s="4"/>
      <c r="H49" s="4">
        <f>SUM(0)</f>
        <v>0</v>
      </c>
      <c r="I49" s="4"/>
      <c r="J49" s="12">
        <f>IF(H$12=0,0,H49/H$12)</f>
        <v>0</v>
      </c>
      <c r="K49" s="4"/>
      <c r="L49" s="4">
        <f>+D49-H49</f>
        <v>0</v>
      </c>
      <c r="M49" s="4"/>
      <c r="N49" s="12">
        <f>IF(H49=0,0,L49/H49)</f>
        <v>0</v>
      </c>
      <c r="O49" s="10"/>
      <c r="P49" s="4">
        <f>SUM(0)</f>
        <v>0</v>
      </c>
      <c r="Q49" s="4"/>
      <c r="R49" s="12">
        <f>IF(P$12=0,0,P49/P$12)</f>
        <v>0</v>
      </c>
      <c r="S49" s="4"/>
      <c r="T49" s="4">
        <f>SUM(0)</f>
        <v>0</v>
      </c>
      <c r="U49" s="4"/>
      <c r="V49" s="12">
        <f>IF(T$12=0,0,T49/T$12)</f>
        <v>0</v>
      </c>
      <c r="W49" s="4"/>
      <c r="X49" s="4">
        <f>+P49-T49</f>
        <v>0</v>
      </c>
      <c r="Y49" s="4"/>
      <c r="Z49" s="12">
        <f>IF(T49=0,0,X49/T49)</f>
        <v>0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9" t="s">
        <v>3</v>
      </c>
      <c r="C51" s="29"/>
      <c r="D51" s="22">
        <f>+D21-D23+D49</f>
        <v>0</v>
      </c>
      <c r="E51" s="14"/>
      <c r="F51" s="20">
        <f>IF(D$12=0,0,D51/D$12)</f>
        <v>0</v>
      </c>
      <c r="G51" s="14"/>
      <c r="H51" s="22">
        <f>+H21-H23+H49</f>
        <v>-75.5</v>
      </c>
      <c r="I51" s="14"/>
      <c r="J51" s="20">
        <f>IF(H$12=0,0,H51/H$12)</f>
        <v>0</v>
      </c>
      <c r="K51" s="16"/>
      <c r="L51" s="22">
        <f>+D51-H51</f>
        <v>75.5</v>
      </c>
      <c r="M51" s="16"/>
      <c r="N51" s="20">
        <f>IF(H51=0,0,L51/H51)</f>
        <v>-1</v>
      </c>
      <c r="O51" s="28"/>
      <c r="P51" s="22">
        <f>+P21-P23+P49</f>
        <v>-178.69</v>
      </c>
      <c r="Q51" s="14"/>
      <c r="R51" s="20">
        <f>IF(P$12=0,0,P51/P$12)</f>
        <v>0</v>
      </c>
      <c r="S51" s="14"/>
      <c r="T51" s="22">
        <f>+T21-T23+T49</f>
        <v>-12438.169999999998</v>
      </c>
      <c r="U51" s="14"/>
      <c r="V51" s="20">
        <f>IF(T$12=0,0,T51/T$12)</f>
        <v>-2.4016454850531561</v>
      </c>
      <c r="W51" s="16"/>
      <c r="X51" s="22">
        <f>+P51-T51</f>
        <v>12259.479999999998</v>
      </c>
      <c r="Y51" s="16"/>
      <c r="Z51" s="20">
        <f>IF(T51=0,0,X51/T51)</f>
        <v>-0.98563373872523041</v>
      </c>
    </row>
    <row r="52" spans="1:26" x14ac:dyDescent="0.25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51"/>
      <c r="B53" s="10" t="s">
        <v>13</v>
      </c>
      <c r="C53" s="10"/>
      <c r="D53" s="4"/>
      <c r="E53" s="4"/>
      <c r="F53" s="12">
        <f>IF(D$12=0,0,D53/D$12)</f>
        <v>0</v>
      </c>
      <c r="G53" s="4"/>
      <c r="H53" s="4">
        <v>-12.26</v>
      </c>
      <c r="I53" s="4"/>
      <c r="J53" s="12">
        <f>IF(H$12=0,0,H53/H$12)</f>
        <v>0</v>
      </c>
      <c r="K53" s="4"/>
      <c r="L53" s="4">
        <f>+D53-H53</f>
        <v>12.26</v>
      </c>
      <c r="M53" s="4"/>
      <c r="N53" s="12">
        <f>IF(H53=0,0,L53/H53)</f>
        <v>-1</v>
      </c>
      <c r="O53" s="10"/>
      <c r="P53" s="4"/>
      <c r="Q53" s="4"/>
      <c r="R53" s="12">
        <f>IF(P$12=0,0,P53/P$12)</f>
        <v>0</v>
      </c>
      <c r="S53" s="4"/>
      <c r="T53" s="4">
        <v>527.84</v>
      </c>
      <c r="U53" s="4"/>
      <c r="V53" s="12">
        <f>IF(T$12=0,0,T53/T$12)</f>
        <v>0.10191889585288336</v>
      </c>
      <c r="W53" s="4"/>
      <c r="X53" s="4">
        <f>+P53-T53</f>
        <v>-527.84</v>
      </c>
      <c r="Y53" s="4"/>
      <c r="Z53" s="12">
        <f>IF(T53=0,0,X53/T53)</f>
        <v>-1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.75" thickBot="1" x14ac:dyDescent="0.3">
      <c r="A55" s="10"/>
      <c r="B55" s="29" t="s">
        <v>4</v>
      </c>
      <c r="C55" s="29"/>
      <c r="D55" s="35">
        <f>+D51-D53</f>
        <v>0</v>
      </c>
      <c r="E55" s="14"/>
      <c r="F55" s="36">
        <f>IF(D$12=0,0,D55/D$12)</f>
        <v>0</v>
      </c>
      <c r="G55" s="14"/>
      <c r="H55" s="35">
        <f>+H51-H53</f>
        <v>-63.24</v>
      </c>
      <c r="I55" s="14"/>
      <c r="J55" s="36">
        <f>IF(H$12=0,0,H55/H$12)</f>
        <v>0</v>
      </c>
      <c r="K55" s="16"/>
      <c r="L55" s="35">
        <f>D55-H55</f>
        <v>63.24</v>
      </c>
      <c r="M55" s="16"/>
      <c r="N55" s="36">
        <f>IF(H55=0,0,L55/H55)</f>
        <v>-1</v>
      </c>
      <c r="O55" s="28"/>
      <c r="P55" s="35">
        <f>+P51-P53</f>
        <v>-178.69</v>
      </c>
      <c r="Q55" s="14"/>
      <c r="R55" s="36">
        <f>IF(P$12=0,0,P55/P$12)</f>
        <v>0</v>
      </c>
      <c r="S55" s="14"/>
      <c r="T55" s="35">
        <f>+T51-T53</f>
        <v>-12966.009999999998</v>
      </c>
      <c r="U55" s="14"/>
      <c r="V55" s="36">
        <f>IF(T$12=0,0,T55/T$12)</f>
        <v>-2.5035643809060395</v>
      </c>
      <c r="W55" s="16"/>
      <c r="X55" s="35">
        <f>P55-T55</f>
        <v>12787.319999999998</v>
      </c>
      <c r="Y55" s="16"/>
      <c r="Z55" s="36">
        <f>IF(T55=0,0,X55/T55)</f>
        <v>-0.98621858227781711</v>
      </c>
    </row>
    <row r="56" spans="1:26" ht="15.75" thickTop="1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x14ac:dyDescent="0.2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ht="15.75" thickBot="1" x14ac:dyDescent="0.3">
      <c r="A58" s="10"/>
      <c r="B58" s="29" t="s">
        <v>5</v>
      </c>
      <c r="C58" s="29"/>
      <c r="D58" s="31">
        <f>SUM(D55:D57)</f>
        <v>0</v>
      </c>
      <c r="E58" s="14"/>
      <c r="F58" s="33">
        <f>IF(D$12=0,0,D58/D$12)</f>
        <v>0</v>
      </c>
      <c r="G58" s="14"/>
      <c r="H58" s="31">
        <f>SUM(H55:H57)</f>
        <v>-63.24</v>
      </c>
      <c r="I58" s="14"/>
      <c r="J58" s="33">
        <f>IF(H$12=0,0,H58/H$12)</f>
        <v>0</v>
      </c>
      <c r="K58" s="16"/>
      <c r="L58" s="31">
        <f>+D58-H58</f>
        <v>63.24</v>
      </c>
      <c r="M58" s="16"/>
      <c r="N58" s="33">
        <f>IF(H58=0,0,L58/H58)</f>
        <v>-1</v>
      </c>
      <c r="O58" s="28"/>
      <c r="P58" s="31">
        <f>SUM(P55:P57)</f>
        <v>-178.69</v>
      </c>
      <c r="Q58" s="14"/>
      <c r="R58" s="33">
        <f>IF(P$12=0,0,P58/P$12)</f>
        <v>0</v>
      </c>
      <c r="S58" s="14"/>
      <c r="T58" s="31">
        <f>SUM(T55:T57)</f>
        <v>-12966.009999999998</v>
      </c>
      <c r="U58" s="14"/>
      <c r="V58" s="33">
        <f>IF(T$12=0,0,T58/T$12)</f>
        <v>-2.5035643809060395</v>
      </c>
      <c r="W58" s="16"/>
      <c r="X58" s="31">
        <f>+P58-T58</f>
        <v>12787.319999999998</v>
      </c>
      <c r="Y58" s="16"/>
      <c r="Z58" s="33">
        <f>IF(T58=0,0,X58/T58)</f>
        <v>-0.98621858227781711</v>
      </c>
    </row>
    <row r="59" spans="1:26" ht="15.75" thickTop="1" x14ac:dyDescent="0.25">
      <c r="A59" s="9"/>
      <c r="C59" s="9"/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A60" s="9"/>
      <c r="B60" s="56">
        <v>44267.668720023146</v>
      </c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25">
      <c r="A61" s="9"/>
      <c r="B61" s="54" t="s">
        <v>313</v>
      </c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25">
      <c r="A62" s="9"/>
      <c r="B62" s="58"/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25"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","444", " - ", "Parkside Dining Hall")</f>
        <v>Department 444 - Parkside Dining Hall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84642.36</v>
      </c>
      <c r="E12" s="4"/>
      <c r="F12" s="12"/>
      <c r="G12" s="4"/>
      <c r="H12" s="4">
        <f>SUM(OSRRefH13x_0)</f>
        <v>491340.07</v>
      </c>
      <c r="I12" s="4"/>
      <c r="J12" s="12"/>
      <c r="K12" s="4"/>
      <c r="L12" s="4">
        <f t="shared" ref="L12:L15" si="0">+D12-H12</f>
        <v>-406697.71</v>
      </c>
      <c r="M12" s="4"/>
      <c r="N12" s="12">
        <f t="shared" ref="N12:N15" si="1">IF(H12=0,0,L12/H12)</f>
        <v>-0.8277316157015242</v>
      </c>
      <c r="O12" s="10"/>
      <c r="P12" s="4">
        <f>SUM(OSRRefP13x_0)</f>
        <v>735751.45000000007</v>
      </c>
      <c r="Q12" s="4"/>
      <c r="R12" s="12"/>
      <c r="S12" s="4"/>
      <c r="T12" s="4">
        <f>SUM(OSRRefT13x_0)</f>
        <v>3014534.5700000003</v>
      </c>
      <c r="U12" s="4"/>
      <c r="V12" s="12"/>
      <c r="W12" s="4"/>
      <c r="X12" s="4">
        <f t="shared" ref="X12:X15" si="2">+P12-T12</f>
        <v>-2278783.12</v>
      </c>
      <c r="Y12" s="4"/>
      <c r="Z12" s="12">
        <f t="shared" ref="Z12:Z15" si="3">IF(T12=0,0,X12/T12)</f>
        <v>-0.75593199118628784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--180.69</f>
        <v>180.69</v>
      </c>
      <c r="E13" s="2"/>
      <c r="F13" s="19"/>
      <c r="G13" s="2"/>
      <c r="H13" s="2">
        <f>--869.36</f>
        <v>869.36</v>
      </c>
      <c r="I13" s="2"/>
      <c r="J13" s="19"/>
      <c r="K13" s="2"/>
      <c r="L13" s="2">
        <f t="shared" si="0"/>
        <v>-688.67000000000007</v>
      </c>
      <c r="M13" s="2"/>
      <c r="N13" s="19">
        <f t="shared" si="1"/>
        <v>-0.79215744915800135</v>
      </c>
      <c r="O13" s="11"/>
      <c r="P13" s="2">
        <f>--542.56</f>
        <v>542.55999999999995</v>
      </c>
      <c r="Q13" s="2"/>
      <c r="R13" s="19"/>
      <c r="S13" s="2"/>
      <c r="T13" s="2">
        <f>--3140.33</f>
        <v>3140.33</v>
      </c>
      <c r="U13" s="2"/>
      <c r="V13" s="19"/>
      <c r="W13" s="2"/>
      <c r="X13" s="2">
        <f t="shared" si="2"/>
        <v>-2597.77</v>
      </c>
      <c r="Y13" s="2"/>
      <c r="Z13" s="19">
        <f t="shared" si="3"/>
        <v>-0.82722834861304384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--78596.26</f>
        <v>78596.259999999995</v>
      </c>
      <c r="E14" s="2"/>
      <c r="F14" s="19"/>
      <c r="G14" s="2"/>
      <c r="H14" s="2">
        <f>--487004.76</f>
        <v>487004.76</v>
      </c>
      <c r="I14" s="2"/>
      <c r="J14" s="19"/>
      <c r="K14" s="2"/>
      <c r="L14" s="2">
        <f t="shared" si="0"/>
        <v>-408408.5</v>
      </c>
      <c r="M14" s="2"/>
      <c r="N14" s="19">
        <f t="shared" si="1"/>
        <v>-0.83861295318756224</v>
      </c>
      <c r="O14" s="11"/>
      <c r="P14" s="2">
        <f>--704702.59</f>
        <v>704702.59</v>
      </c>
      <c r="Q14" s="2"/>
      <c r="R14" s="19"/>
      <c r="S14" s="2"/>
      <c r="T14" s="2">
        <f>--2968827.31</f>
        <v>2968827.31</v>
      </c>
      <c r="U14" s="2"/>
      <c r="V14" s="19"/>
      <c r="W14" s="2"/>
      <c r="X14" s="2">
        <f t="shared" si="2"/>
        <v>-2264124.7200000002</v>
      </c>
      <c r="Y14" s="2"/>
      <c r="Z14" s="19">
        <f t="shared" si="3"/>
        <v>-0.76263267734491436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--5865.41</f>
        <v>5865.41</v>
      </c>
      <c r="E15" s="2"/>
      <c r="F15" s="19"/>
      <c r="G15" s="2"/>
      <c r="H15" s="2">
        <f>--3465.95</f>
        <v>3465.95</v>
      </c>
      <c r="I15" s="2"/>
      <c r="J15" s="19"/>
      <c r="K15" s="2"/>
      <c r="L15" s="2">
        <f t="shared" si="0"/>
        <v>2399.46</v>
      </c>
      <c r="M15" s="2"/>
      <c r="N15" s="19">
        <f t="shared" si="1"/>
        <v>0.69229504176344148</v>
      </c>
      <c r="O15" s="11"/>
      <c r="P15" s="2">
        <f>--30506.3</f>
        <v>30506.3</v>
      </c>
      <c r="Q15" s="2"/>
      <c r="R15" s="19"/>
      <c r="S15" s="2"/>
      <c r="T15" s="2">
        <f>--42566.93</f>
        <v>42566.93</v>
      </c>
      <c r="U15" s="2"/>
      <c r="V15" s="19"/>
      <c r="W15" s="2"/>
      <c r="X15" s="2">
        <f t="shared" si="2"/>
        <v>-12060.630000000001</v>
      </c>
      <c r="Y15" s="2"/>
      <c r="Z15" s="19">
        <f t="shared" si="3"/>
        <v>-0.28333332941793077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42241.950000000004</v>
      </c>
      <c r="E17" s="4"/>
      <c r="F17" s="12">
        <f t="shared" ref="F17:F19" si="4">IF(D$12=0,0,D17/D$12)</f>
        <v>0.49906394386923997</v>
      </c>
      <c r="G17" s="4"/>
      <c r="H17" s="4">
        <f>SUM(OSRRefH16x_0)</f>
        <v>123860.70999999999</v>
      </c>
      <c r="I17" s="4"/>
      <c r="J17" s="12">
        <f t="shared" ref="J17:J19" si="5">IF(H$12=0,0,H17/H$12)</f>
        <v>0.25208754091641661</v>
      </c>
      <c r="K17" s="4"/>
      <c r="L17" s="4">
        <f t="shared" ref="L17:L19" si="6">+D17-H17</f>
        <v>-81618.75999999998</v>
      </c>
      <c r="M17" s="4"/>
      <c r="N17" s="12">
        <f t="shared" ref="N17:N19" si="7">IF(H17=0,0,L17/H17)</f>
        <v>-0.65895601599570985</v>
      </c>
      <c r="O17" s="10"/>
      <c r="P17" s="4">
        <f>SUM(OSRRefP16x_0)</f>
        <v>299766.41000000003</v>
      </c>
      <c r="Q17" s="4"/>
      <c r="R17" s="12">
        <f t="shared" ref="R17:R19" si="8">IF(P$12=0,0,P17/P$12)</f>
        <v>0.40742890822709216</v>
      </c>
      <c r="S17" s="4"/>
      <c r="T17" s="4">
        <f>SUM(OSRRefT16x_0)</f>
        <v>756309.58000000007</v>
      </c>
      <c r="U17" s="4"/>
      <c r="V17" s="12">
        <f t="shared" ref="V17:V19" si="9">IF(T$12=0,0,T17/T$12)</f>
        <v>0.25088767849160876</v>
      </c>
      <c r="W17" s="4"/>
      <c r="X17" s="4">
        <f t="shared" ref="X17:X19" si="10">+P17-T17</f>
        <v>-456543.17000000004</v>
      </c>
      <c r="Y17" s="4"/>
      <c r="Z17" s="12">
        <f t="shared" ref="Z17:Z19" si="11">IF(T17=0,0,X17/T17)</f>
        <v>-0.60364589061532181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49319.950000000004</v>
      </c>
      <c r="E18" s="2"/>
      <c r="F18" s="19">
        <f t="shared" si="4"/>
        <v>0.58268637594698447</v>
      </c>
      <c r="G18" s="2"/>
      <c r="H18" s="2">
        <v>125313.70999999999</v>
      </c>
      <c r="I18" s="2"/>
      <c r="J18" s="19">
        <f t="shared" si="5"/>
        <v>0.25504475952877198</v>
      </c>
      <c r="K18" s="2"/>
      <c r="L18" s="2">
        <f t="shared" si="6"/>
        <v>-75993.75999999998</v>
      </c>
      <c r="M18" s="2"/>
      <c r="N18" s="19">
        <f t="shared" si="7"/>
        <v>-0.60642813942704266</v>
      </c>
      <c r="O18" s="11"/>
      <c r="P18" s="2">
        <v>320588.11000000004</v>
      </c>
      <c r="Q18" s="2"/>
      <c r="R18" s="19">
        <f t="shared" si="8"/>
        <v>0.4357288184753153</v>
      </c>
      <c r="S18" s="2"/>
      <c r="T18" s="2">
        <v>767478.83000000007</v>
      </c>
      <c r="U18" s="2"/>
      <c r="V18" s="19">
        <f t="shared" si="9"/>
        <v>0.25459281098906089</v>
      </c>
      <c r="W18" s="2"/>
      <c r="X18" s="2">
        <f t="shared" si="10"/>
        <v>-446890.72000000003</v>
      </c>
      <c r="Y18" s="2"/>
      <c r="Z18" s="19">
        <f t="shared" si="11"/>
        <v>-0.5822841002663226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-7078</v>
      </c>
      <c r="E19" s="2"/>
      <c r="F19" s="19">
        <f t="shared" si="4"/>
        <v>-8.362243207774453E-2</v>
      </c>
      <c r="G19" s="2"/>
      <c r="H19" s="2">
        <v>-1453</v>
      </c>
      <c r="I19" s="2"/>
      <c r="J19" s="19">
        <f t="shared" si="5"/>
        <v>-2.9572186123553897E-3</v>
      </c>
      <c r="K19" s="2"/>
      <c r="L19" s="2">
        <f t="shared" si="6"/>
        <v>-5625</v>
      </c>
      <c r="M19" s="2"/>
      <c r="N19" s="19">
        <f t="shared" si="7"/>
        <v>3.8713007570543705</v>
      </c>
      <c r="O19" s="11"/>
      <c r="P19" s="2">
        <v>-20821.7</v>
      </c>
      <c r="Q19" s="2"/>
      <c r="R19" s="19">
        <f t="shared" si="8"/>
        <v>-2.8299910248223089E-2</v>
      </c>
      <c r="S19" s="2"/>
      <c r="T19" s="2">
        <v>-11169.25</v>
      </c>
      <c r="U19" s="2"/>
      <c r="V19" s="19">
        <f t="shared" si="9"/>
        <v>-3.7051324974521683E-3</v>
      </c>
      <c r="W19" s="2"/>
      <c r="X19" s="2">
        <f t="shared" si="10"/>
        <v>-9652.4500000000007</v>
      </c>
      <c r="Y19" s="2"/>
      <c r="Z19" s="19">
        <f t="shared" si="11"/>
        <v>0.86419858092530843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9" t="s">
        <v>6</v>
      </c>
      <c r="C21" s="29"/>
      <c r="D21" s="22">
        <f>D12-D17</f>
        <v>42400.409999999996</v>
      </c>
      <c r="E21" s="14"/>
      <c r="F21" s="20">
        <f>IF(D$12=0,0,D21/D$12)</f>
        <v>0.50093605613075998</v>
      </c>
      <c r="G21" s="14"/>
      <c r="H21" s="22">
        <f>H12-H17</f>
        <v>367479.36</v>
      </c>
      <c r="I21" s="14"/>
      <c r="J21" s="20">
        <f>IF(H$12=0,0,H21/H$12)</f>
        <v>0.74791245908358339</v>
      </c>
      <c r="K21" s="16"/>
      <c r="L21" s="22">
        <f>+D21-H21</f>
        <v>-325078.95</v>
      </c>
      <c r="M21" s="16"/>
      <c r="N21" s="20">
        <f>IF(H21=0,0,L21/H21)</f>
        <v>-0.88461825447829234</v>
      </c>
      <c r="O21" s="28"/>
      <c r="P21" s="22">
        <f>P12-P17</f>
        <v>435985.04000000004</v>
      </c>
      <c r="Q21" s="14"/>
      <c r="R21" s="20">
        <f>IF(P$12=0,0,P21/P$12)</f>
        <v>0.59257109177290779</v>
      </c>
      <c r="S21" s="14"/>
      <c r="T21" s="22">
        <f>T12-T17</f>
        <v>2258224.9900000002</v>
      </c>
      <c r="U21" s="14"/>
      <c r="V21" s="20">
        <f>IF(T$12=0,0,T21/T$12)</f>
        <v>0.74911232150839124</v>
      </c>
      <c r="W21" s="16"/>
      <c r="X21" s="22">
        <f>+P21-T21</f>
        <v>-1822239.9500000002</v>
      </c>
      <c r="Y21" s="16"/>
      <c r="Z21" s="20">
        <f>IF(T21=0,0,X21/T21)</f>
        <v>-0.80693463143369071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8" t="s">
        <v>9</v>
      </c>
      <c r="C23" s="10"/>
      <c r="D23" s="21">
        <f>SUM(OSRRefD22x_0)</f>
        <v>110408.29000000002</v>
      </c>
      <c r="E23" s="21"/>
      <c r="F23" s="32">
        <f t="shared" ref="F23:F33" si="12">IF(D$12=0,0,D23/D$12)</f>
        <v>1.3044093997379094</v>
      </c>
      <c r="G23" s="21"/>
      <c r="H23" s="21">
        <f>SUM(OSRRefH22x_0)</f>
        <v>199456.36000000002</v>
      </c>
      <c r="I23" s="21"/>
      <c r="J23" s="32">
        <f t="shared" ref="J23:J33" si="13">IF(H$12=0,0,H23/H$12)</f>
        <v>0.40594360643128496</v>
      </c>
      <c r="K23" s="4"/>
      <c r="L23" s="21">
        <f t="shared" ref="L23:L33" si="14">+D23-H23</f>
        <v>-89048.069999999992</v>
      </c>
      <c r="M23" s="4"/>
      <c r="N23" s="32">
        <f t="shared" ref="N23:N33" si="15">IF(H23=0,0,L23/H23)</f>
        <v>-0.44645390099368093</v>
      </c>
      <c r="O23" s="10"/>
      <c r="P23" s="21">
        <f>SUM(OSRRefP22x_0)</f>
        <v>919331.35000000033</v>
      </c>
      <c r="Q23" s="21"/>
      <c r="R23" s="32">
        <f t="shared" ref="R23:R33" si="16">IF(P$12=0,0,P23/P$12)</f>
        <v>1.2495134736057947</v>
      </c>
      <c r="S23" s="21"/>
      <c r="T23" s="21">
        <f>SUM(OSRRefT22x_0)</f>
        <v>1415287.2999999996</v>
      </c>
      <c r="U23" s="21"/>
      <c r="V23" s="32">
        <f t="shared" ref="V23:V33" si="17">IF(T$12=0,0,T23/T$12)</f>
        <v>0.46948783208016071</v>
      </c>
      <c r="W23" s="4"/>
      <c r="X23" s="21">
        <f t="shared" ref="X23:X33" si="18">+P23-T23</f>
        <v>-495955.94999999925</v>
      </c>
      <c r="Y23" s="4"/>
      <c r="Z23" s="32">
        <f t="shared" ref="Z23:Z33" si="19">IF(T23=0,0,X23/T23)</f>
        <v>-0.35042775413868221</v>
      </c>
    </row>
    <row r="24" spans="1:26" s="25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30715.700000000004</v>
      </c>
      <c r="E24" s="1"/>
      <c r="F24" s="5">
        <f t="shared" si="12"/>
        <v>0.36288803856603247</v>
      </c>
      <c r="G24" s="1"/>
      <c r="H24" s="1">
        <f>SUM(OSRRefH22_0x_0)</f>
        <v>35577.18</v>
      </c>
      <c r="I24" s="1"/>
      <c r="J24" s="5">
        <f t="shared" si="13"/>
        <v>7.2408464467390174E-2</v>
      </c>
      <c r="K24" s="1"/>
      <c r="L24" s="1">
        <f t="shared" si="14"/>
        <v>-4861.4799999999959</v>
      </c>
      <c r="M24" s="1"/>
      <c r="N24" s="5">
        <f t="shared" si="15"/>
        <v>-0.13664601859956285</v>
      </c>
      <c r="O24" s="13"/>
      <c r="P24" s="1">
        <f>SUM(OSRRefP22_0x_0)</f>
        <v>245957.43000000002</v>
      </c>
      <c r="Q24" s="1"/>
      <c r="R24" s="5">
        <f t="shared" si="16"/>
        <v>0.33429418317830023</v>
      </c>
      <c r="S24" s="1"/>
      <c r="T24" s="1">
        <f>SUM(OSRRefT22_0x_0)</f>
        <v>273091.10000000003</v>
      </c>
      <c r="U24" s="1"/>
      <c r="V24" s="5">
        <f t="shared" si="17"/>
        <v>9.0591464008322853E-2</v>
      </c>
      <c r="W24" s="1"/>
      <c r="X24" s="1">
        <f t="shared" si="18"/>
        <v>-27133.670000000013</v>
      </c>
      <c r="Y24" s="1"/>
      <c r="Z24" s="5">
        <f t="shared" si="19"/>
        <v>-9.9357577013677881E-2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6">
        <v>3316.77</v>
      </c>
      <c r="E25" s="2"/>
      <c r="F25" s="7">
        <f t="shared" si="12"/>
        <v>3.9185698508406426E-2</v>
      </c>
      <c r="G25" s="2"/>
      <c r="H25" s="6">
        <v>4214.38</v>
      </c>
      <c r="I25" s="2"/>
      <c r="J25" s="7">
        <f t="shared" si="13"/>
        <v>8.5773179460002114E-3</v>
      </c>
      <c r="K25" s="2"/>
      <c r="L25" s="6">
        <f t="shared" si="14"/>
        <v>-897.61000000000013</v>
      </c>
      <c r="M25" s="2"/>
      <c r="N25" s="7">
        <f t="shared" si="15"/>
        <v>-0.21298743824714433</v>
      </c>
      <c r="O25" s="11"/>
      <c r="P25" s="6">
        <v>28121.53</v>
      </c>
      <c r="Q25" s="2"/>
      <c r="R25" s="7">
        <f t="shared" si="16"/>
        <v>3.8221508092168892E-2</v>
      </c>
      <c r="S25" s="2"/>
      <c r="T25" s="6">
        <v>37400.53</v>
      </c>
      <c r="U25" s="2"/>
      <c r="V25" s="7">
        <f t="shared" si="17"/>
        <v>1.2406734483061508E-2</v>
      </c>
      <c r="W25" s="2"/>
      <c r="X25" s="6">
        <f t="shared" si="18"/>
        <v>-9279</v>
      </c>
      <c r="Y25" s="2"/>
      <c r="Z25" s="7">
        <f t="shared" si="19"/>
        <v>-0.24809808844954873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6">
        <v>2419.13</v>
      </c>
      <c r="E26" s="2"/>
      <c r="F26" s="7">
        <f t="shared" si="12"/>
        <v>2.8580606684407196E-2</v>
      </c>
      <c r="G26" s="2"/>
      <c r="H26" s="6">
        <v>4265.18</v>
      </c>
      <c r="I26" s="2"/>
      <c r="J26" s="7">
        <f t="shared" si="13"/>
        <v>8.6807086586689342E-3</v>
      </c>
      <c r="K26" s="2"/>
      <c r="L26" s="6">
        <f t="shared" si="14"/>
        <v>-1846.0500000000002</v>
      </c>
      <c r="M26" s="2"/>
      <c r="N26" s="7">
        <f t="shared" si="15"/>
        <v>-0.43281877904332294</v>
      </c>
      <c r="O26" s="11"/>
      <c r="P26" s="6">
        <v>19685.22</v>
      </c>
      <c r="Q26" s="2"/>
      <c r="R26" s="7">
        <f t="shared" si="16"/>
        <v>2.6755258178560164E-2</v>
      </c>
      <c r="S26" s="2"/>
      <c r="T26" s="6">
        <v>23957.42</v>
      </c>
      <c r="U26" s="2"/>
      <c r="V26" s="7">
        <f t="shared" si="17"/>
        <v>7.9473031221532799E-3</v>
      </c>
      <c r="W26" s="2"/>
      <c r="X26" s="6">
        <f t="shared" si="18"/>
        <v>-4272.1999999999971</v>
      </c>
      <c r="Y26" s="2"/>
      <c r="Z26" s="7">
        <f t="shared" si="19"/>
        <v>-0.1783247110915949</v>
      </c>
    </row>
    <row r="27" spans="1:26" s="24" customFormat="1" hidden="1" outlineLevel="2" x14ac:dyDescent="0.25">
      <c r="A27" s="26"/>
      <c r="B27" s="11" t="str">
        <f>CONCATENATE("          ", "6113", " - ", "GROUP INSURANCE")</f>
        <v xml:space="preserve">          6113 - GROUP INSURANCE</v>
      </c>
      <c r="C27" s="11"/>
      <c r="D27" s="6">
        <v>17691.580000000002</v>
      </c>
      <c r="E27" s="2"/>
      <c r="F27" s="7">
        <f t="shared" si="12"/>
        <v>0.20901567489375297</v>
      </c>
      <c r="G27" s="2"/>
      <c r="H27" s="6">
        <v>19108.37</v>
      </c>
      <c r="I27" s="2"/>
      <c r="J27" s="7">
        <f t="shared" si="13"/>
        <v>3.8890314807827495E-2</v>
      </c>
      <c r="K27" s="2"/>
      <c r="L27" s="6">
        <f t="shared" si="14"/>
        <v>-1416.7899999999972</v>
      </c>
      <c r="M27" s="2"/>
      <c r="N27" s="7">
        <f t="shared" si="15"/>
        <v>-7.4144995099006211E-2</v>
      </c>
      <c r="O27" s="11"/>
      <c r="P27" s="6">
        <v>138386.96</v>
      </c>
      <c r="Q27" s="2"/>
      <c r="R27" s="7">
        <f t="shared" si="16"/>
        <v>0.18808927933475358</v>
      </c>
      <c r="S27" s="2"/>
      <c r="T27" s="6">
        <v>141497.38</v>
      </c>
      <c r="U27" s="2"/>
      <c r="V27" s="7">
        <f t="shared" si="17"/>
        <v>4.6938383592661864E-2</v>
      </c>
      <c r="W27" s="2"/>
      <c r="X27" s="6">
        <f t="shared" si="18"/>
        <v>-3110.4200000000128</v>
      </c>
      <c r="Y27" s="2"/>
      <c r="Z27" s="7">
        <f t="shared" si="19"/>
        <v>-2.1982173804207632E-2</v>
      </c>
    </row>
    <row r="28" spans="1:26" s="24" customFormat="1" hidden="1" outlineLevel="2" x14ac:dyDescent="0.25">
      <c r="A28" s="26"/>
      <c r="B28" s="11" t="str">
        <f>CONCATENATE("          ", "6114", " - ", "STATE UNEMPLOYMENT INSURANCE")</f>
        <v xml:space="preserve">          6114 - STATE UNEMPLOYMENT INSURANCE</v>
      </c>
      <c r="C28" s="11"/>
      <c r="D28" s="6">
        <v>149.69999999999999</v>
      </c>
      <c r="E28" s="2"/>
      <c r="F28" s="7">
        <f t="shared" si="12"/>
        <v>1.7686179827689113E-3</v>
      </c>
      <c r="G28" s="2"/>
      <c r="H28" s="6">
        <v>285.81</v>
      </c>
      <c r="I28" s="2"/>
      <c r="J28" s="7">
        <f t="shared" si="13"/>
        <v>5.8169487377652716E-4</v>
      </c>
      <c r="K28" s="2"/>
      <c r="L28" s="6">
        <f t="shared" si="14"/>
        <v>-136.11000000000001</v>
      </c>
      <c r="M28" s="2"/>
      <c r="N28" s="7">
        <f t="shared" si="15"/>
        <v>-0.47622546446940278</v>
      </c>
      <c r="O28" s="11"/>
      <c r="P28" s="6">
        <v>1268.25</v>
      </c>
      <c r="Q28" s="2"/>
      <c r="R28" s="7">
        <f t="shared" si="16"/>
        <v>1.7237478770853933E-3</v>
      </c>
      <c r="S28" s="2"/>
      <c r="T28" s="6">
        <v>1983.68</v>
      </c>
      <c r="U28" s="2"/>
      <c r="V28" s="7">
        <f t="shared" si="17"/>
        <v>6.5803856414225819E-4</v>
      </c>
      <c r="W28" s="2"/>
      <c r="X28" s="6">
        <f t="shared" si="18"/>
        <v>-715.43000000000006</v>
      </c>
      <c r="Y28" s="2"/>
      <c r="Z28" s="7">
        <f t="shared" si="19"/>
        <v>-0.36065796902726249</v>
      </c>
    </row>
    <row r="29" spans="1:26" s="24" customFormat="1" hidden="1" outlineLevel="2" x14ac:dyDescent="0.25">
      <c r="A29" s="26"/>
      <c r="B29" s="11" t="str">
        <f>CONCATENATE("          ", "6115", " - ", "P.E.R.S.")</f>
        <v xml:space="preserve">          6115 - P.E.R.S.</v>
      </c>
      <c r="C29" s="11"/>
      <c r="D29" s="6">
        <v>1457.5</v>
      </c>
      <c r="E29" s="2"/>
      <c r="F29" s="7">
        <f t="shared" si="12"/>
        <v>1.721951042007808E-2</v>
      </c>
      <c r="G29" s="2"/>
      <c r="H29" s="6">
        <v>1300.75</v>
      </c>
      <c r="I29" s="2"/>
      <c r="J29" s="7">
        <f t="shared" si="13"/>
        <v>2.6473517618866298E-3</v>
      </c>
      <c r="K29" s="2"/>
      <c r="L29" s="6">
        <f t="shared" si="14"/>
        <v>156.75</v>
      </c>
      <c r="M29" s="2"/>
      <c r="N29" s="7">
        <f t="shared" si="15"/>
        <v>0.12050739957716702</v>
      </c>
      <c r="O29" s="11"/>
      <c r="P29" s="6">
        <v>13184.06</v>
      </c>
      <c r="Q29" s="2"/>
      <c r="R29" s="7">
        <f t="shared" si="16"/>
        <v>1.791917637403229E-2</v>
      </c>
      <c r="S29" s="2"/>
      <c r="T29" s="6">
        <v>11132.45</v>
      </c>
      <c r="U29" s="2"/>
      <c r="V29" s="7">
        <f t="shared" si="17"/>
        <v>3.6929249744845354E-3</v>
      </c>
      <c r="W29" s="2"/>
      <c r="X29" s="6">
        <f t="shared" si="18"/>
        <v>2051.6099999999988</v>
      </c>
      <c r="Y29" s="2"/>
      <c r="Z29" s="7">
        <f t="shared" si="19"/>
        <v>0.18429096919366345</v>
      </c>
    </row>
    <row r="30" spans="1:26" s="24" customFormat="1" hidden="1" outlineLevel="2" x14ac:dyDescent="0.25">
      <c r="A30" s="26"/>
      <c r="B30" s="11" t="str">
        <f>CONCATENATE("          ", "6117", " - ", "RETIREMENT STAFF HOURLY")</f>
        <v xml:space="preserve">          6117 - RETIREMENT STAFF HOURLY</v>
      </c>
      <c r="C30" s="11"/>
      <c r="D30" s="6">
        <v>490.44</v>
      </c>
      <c r="E30" s="2"/>
      <c r="F30" s="7">
        <f t="shared" si="12"/>
        <v>5.7942618802216761E-3</v>
      </c>
      <c r="G30" s="2"/>
      <c r="H30" s="6">
        <v>301.87</v>
      </c>
      <c r="I30" s="2"/>
      <c r="J30" s="7">
        <f t="shared" si="13"/>
        <v>6.14380992781639E-4</v>
      </c>
      <c r="K30" s="2"/>
      <c r="L30" s="6">
        <f t="shared" si="14"/>
        <v>188.57</v>
      </c>
      <c r="M30" s="2"/>
      <c r="N30" s="7">
        <f t="shared" si="15"/>
        <v>0.62467287242852876</v>
      </c>
      <c r="O30" s="11"/>
      <c r="P30" s="6">
        <v>4217.5</v>
      </c>
      <c r="Q30" s="2"/>
      <c r="R30" s="7">
        <f t="shared" si="16"/>
        <v>5.7322347105126324E-3</v>
      </c>
      <c r="S30" s="2"/>
      <c r="T30" s="6">
        <v>5812.2</v>
      </c>
      <c r="U30" s="2"/>
      <c r="V30" s="7">
        <f t="shared" si="17"/>
        <v>1.9280588313173664E-3</v>
      </c>
      <c r="W30" s="2"/>
      <c r="X30" s="6">
        <f t="shared" si="18"/>
        <v>-1594.6999999999998</v>
      </c>
      <c r="Y30" s="2"/>
      <c r="Z30" s="7">
        <f t="shared" si="19"/>
        <v>-0.27437115033894222</v>
      </c>
    </row>
    <row r="31" spans="1:26" s="24" customFormat="1" hidden="1" outlineLevel="2" x14ac:dyDescent="0.25">
      <c r="A31" s="26"/>
      <c r="B31" s="11" t="str">
        <f>CONCATENATE("          ", "6118", " - ", "VACATION")</f>
        <v xml:space="preserve">          6118 - VACATION</v>
      </c>
      <c r="C31" s="11"/>
      <c r="D31" s="6">
        <v>2606.96</v>
      </c>
      <c r="E31" s="2"/>
      <c r="F31" s="7">
        <f t="shared" si="12"/>
        <v>3.0799708325713035E-2</v>
      </c>
      <c r="G31" s="2"/>
      <c r="H31" s="6">
        <v>2658.94</v>
      </c>
      <c r="I31" s="2"/>
      <c r="J31" s="7">
        <f t="shared" si="13"/>
        <v>5.4116082980978936E-3</v>
      </c>
      <c r="K31" s="2"/>
      <c r="L31" s="6">
        <f t="shared" si="14"/>
        <v>-51.980000000000018</v>
      </c>
      <c r="M31" s="2"/>
      <c r="N31" s="7">
        <f t="shared" si="15"/>
        <v>-1.9549143643707648E-2</v>
      </c>
      <c r="O31" s="11"/>
      <c r="P31" s="6">
        <v>21246.86</v>
      </c>
      <c r="Q31" s="2"/>
      <c r="R31" s="7">
        <f t="shared" si="16"/>
        <v>2.8877768436609944E-2</v>
      </c>
      <c r="S31" s="2"/>
      <c r="T31" s="6">
        <v>23622.070000000003</v>
      </c>
      <c r="U31" s="2"/>
      <c r="V31" s="7">
        <f t="shared" si="17"/>
        <v>7.8360587518490465E-3</v>
      </c>
      <c r="W31" s="2"/>
      <c r="X31" s="6">
        <f t="shared" si="18"/>
        <v>-2375.2100000000028</v>
      </c>
      <c r="Y31" s="2"/>
      <c r="Z31" s="7">
        <f t="shared" si="19"/>
        <v>-0.10055045980305716</v>
      </c>
    </row>
    <row r="32" spans="1:26" s="24" customFormat="1" hidden="1" outlineLevel="2" x14ac:dyDescent="0.25">
      <c r="A32" s="26"/>
      <c r="B32" s="11" t="str">
        <f>CONCATENATE("          ", "6119", " - ", "SICK LEAVE")</f>
        <v xml:space="preserve">          6119 - SICK LEAVE</v>
      </c>
      <c r="C32" s="11"/>
      <c r="D32" s="6">
        <v>1633.22</v>
      </c>
      <c r="E32" s="2"/>
      <c r="F32" s="7">
        <f t="shared" si="12"/>
        <v>1.9295539491101146E-2</v>
      </c>
      <c r="G32" s="2"/>
      <c r="H32" s="6">
        <v>1743.76</v>
      </c>
      <c r="I32" s="2"/>
      <c r="J32" s="7">
        <f t="shared" si="13"/>
        <v>3.548987974866369E-3</v>
      </c>
      <c r="K32" s="2"/>
      <c r="L32" s="6">
        <f t="shared" si="14"/>
        <v>-110.53999999999996</v>
      </c>
      <c r="M32" s="2"/>
      <c r="N32" s="7">
        <f t="shared" si="15"/>
        <v>-6.3391751158416276E-2</v>
      </c>
      <c r="O32" s="11"/>
      <c r="P32" s="6">
        <v>13332.2</v>
      </c>
      <c r="Q32" s="2"/>
      <c r="R32" s="7">
        <f t="shared" si="16"/>
        <v>1.812052154297487E-2</v>
      </c>
      <c r="S32" s="2"/>
      <c r="T32" s="6">
        <v>16482.439999999999</v>
      </c>
      <c r="U32" s="2"/>
      <c r="V32" s="7">
        <f t="shared" si="17"/>
        <v>5.46765665387609E-3</v>
      </c>
      <c r="W32" s="2"/>
      <c r="X32" s="6">
        <f t="shared" si="18"/>
        <v>-3150.239999999998</v>
      </c>
      <c r="Y32" s="2"/>
      <c r="Z32" s="7">
        <f t="shared" si="19"/>
        <v>-0.19112704187001428</v>
      </c>
    </row>
    <row r="33" spans="1:26" s="24" customFormat="1" hidden="1" outlineLevel="2" x14ac:dyDescent="0.25">
      <c r="A33" s="26"/>
      <c r="B33" s="11" t="str">
        <f>CONCATENATE("          ", "6156", " - ", "EMPLOYEE MEALS")</f>
        <v xml:space="preserve">          6156 - EMPLOYEE MEALS</v>
      </c>
      <c r="C33" s="11"/>
      <c r="D33" s="6">
        <v>950.4</v>
      </c>
      <c r="E33" s="2"/>
      <c r="F33" s="7">
        <f t="shared" si="12"/>
        <v>1.1228420379582989E-2</v>
      </c>
      <c r="G33" s="2"/>
      <c r="H33" s="6">
        <v>1698.12</v>
      </c>
      <c r="I33" s="2"/>
      <c r="J33" s="7">
        <f t="shared" si="13"/>
        <v>3.4560991534844693E-3</v>
      </c>
      <c r="K33" s="2"/>
      <c r="L33" s="6">
        <f t="shared" si="14"/>
        <v>-747.71999999999991</v>
      </c>
      <c r="M33" s="2"/>
      <c r="N33" s="7">
        <f t="shared" si="15"/>
        <v>-0.44032223871104514</v>
      </c>
      <c r="O33" s="11"/>
      <c r="P33" s="6">
        <v>6514.85</v>
      </c>
      <c r="Q33" s="2"/>
      <c r="R33" s="7">
        <f t="shared" si="16"/>
        <v>8.8546886316024243E-3</v>
      </c>
      <c r="S33" s="2"/>
      <c r="T33" s="6">
        <v>11202.93</v>
      </c>
      <c r="U33" s="2"/>
      <c r="V33" s="7">
        <f t="shared" si="17"/>
        <v>3.7163050347768941E-3</v>
      </c>
      <c r="W33" s="2"/>
      <c r="X33" s="6">
        <f t="shared" si="18"/>
        <v>-4688.08</v>
      </c>
      <c r="Y33" s="2"/>
      <c r="Z33" s="7">
        <f t="shared" si="19"/>
        <v>-0.41846909692375117</v>
      </c>
    </row>
    <row r="34" spans="1:26" s="25" customFormat="1" outlineLevel="1" collapsed="1" x14ac:dyDescent="0.25">
      <c r="A34" s="27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49455.91</v>
      </c>
      <c r="E34" s="1"/>
      <c r="F34" s="5">
        <f t="shared" ref="F34:F40" si="20">IF(D$12=0,0,D34/D$12)</f>
        <v>0.58429266386239709</v>
      </c>
      <c r="G34" s="1"/>
      <c r="H34" s="1">
        <f>SUM(OSRRefH22_1x_0)</f>
        <v>104772.67000000001</v>
      </c>
      <c r="I34" s="1"/>
      <c r="J34" s="5">
        <f t="shared" ref="J34:J40" si="21">IF(H$12=0,0,H34/H$12)</f>
        <v>0.21323860274615911</v>
      </c>
      <c r="K34" s="1"/>
      <c r="L34" s="1">
        <f t="shared" ref="L34:L40" si="22">+D34-H34</f>
        <v>-55316.760000000009</v>
      </c>
      <c r="M34" s="1"/>
      <c r="N34" s="5">
        <f t="shared" ref="N34:N40" si="23">IF(H34=0,0,L34/H34)</f>
        <v>-0.52796936452989129</v>
      </c>
      <c r="O34" s="13"/>
      <c r="P34" s="1">
        <f>SUM(OSRRefP22_1x_0)</f>
        <v>429400.78</v>
      </c>
      <c r="Q34" s="1"/>
      <c r="R34" s="5">
        <f t="shared" ref="R34:R40" si="24">IF(P$12=0,0,P34/P$12)</f>
        <v>0.58362206421747453</v>
      </c>
      <c r="S34" s="1"/>
      <c r="T34" s="1">
        <f>SUM(OSRRefT22_1x_0)</f>
        <v>738300.3600000001</v>
      </c>
      <c r="U34" s="1"/>
      <c r="V34" s="5">
        <f t="shared" ref="V34:V40" si="25">IF(T$12=0,0,T34/T$12)</f>
        <v>0.24491354895956627</v>
      </c>
      <c r="W34" s="1"/>
      <c r="X34" s="1">
        <f t="shared" ref="X34:X40" si="26">+P34-T34</f>
        <v>-308899.58000000007</v>
      </c>
      <c r="Y34" s="1"/>
      <c r="Z34" s="5">
        <f t="shared" ref="Z34:Z40" si="27">IF(T34=0,0,X34/T34)</f>
        <v>-0.41839283404927508</v>
      </c>
    </row>
    <row r="35" spans="1:26" s="24" customFormat="1" hidden="1" outlineLevel="2" x14ac:dyDescent="0.25">
      <c r="A35" s="26"/>
      <c r="B35" s="11" t="str">
        <f>CONCATENATE("          ", "6002", " - ", "STAFF SALARIES")</f>
        <v xml:space="preserve">          6002 - STAFF SALARIES</v>
      </c>
      <c r="C35" s="11"/>
      <c r="D35" s="6">
        <v>15265.92</v>
      </c>
      <c r="E35" s="2"/>
      <c r="F35" s="7">
        <f t="shared" si="20"/>
        <v>0.18035792007689766</v>
      </c>
      <c r="G35" s="2"/>
      <c r="H35" s="6">
        <v>14231.33</v>
      </c>
      <c r="I35" s="2"/>
      <c r="J35" s="7">
        <f t="shared" si="21"/>
        <v>2.8964317931570286E-2</v>
      </c>
      <c r="K35" s="2"/>
      <c r="L35" s="6">
        <f t="shared" si="22"/>
        <v>1034.5900000000001</v>
      </c>
      <c r="M35" s="2"/>
      <c r="N35" s="7">
        <f t="shared" si="23"/>
        <v>7.2698054222620101E-2</v>
      </c>
      <c r="O35" s="11"/>
      <c r="P35" s="6">
        <v>122732.62000000001</v>
      </c>
      <c r="Q35" s="2"/>
      <c r="R35" s="7">
        <f t="shared" si="24"/>
        <v>0.16681261042706746</v>
      </c>
      <c r="S35" s="2"/>
      <c r="T35" s="6">
        <v>121658.84000000001</v>
      </c>
      <c r="U35" s="2"/>
      <c r="V35" s="7">
        <f t="shared" si="25"/>
        <v>4.0357420747707665E-2</v>
      </c>
      <c r="W35" s="2"/>
      <c r="X35" s="6">
        <f t="shared" si="26"/>
        <v>1073.7799999999988</v>
      </c>
      <c r="Y35" s="2"/>
      <c r="Z35" s="7">
        <f t="shared" si="27"/>
        <v>8.8261568168823464E-3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6">
        <v>12619.44</v>
      </c>
      <c r="E36" s="2"/>
      <c r="F36" s="7">
        <f t="shared" si="20"/>
        <v>0.14909130605526594</v>
      </c>
      <c r="G36" s="2"/>
      <c r="H36" s="6">
        <v>22821.18</v>
      </c>
      <c r="I36" s="2"/>
      <c r="J36" s="7">
        <f t="shared" si="21"/>
        <v>4.6446812286244026E-2</v>
      </c>
      <c r="K36" s="2"/>
      <c r="L36" s="6">
        <f t="shared" si="22"/>
        <v>-10201.74</v>
      </c>
      <c r="M36" s="2"/>
      <c r="N36" s="7">
        <f t="shared" si="23"/>
        <v>-0.44702946999234922</v>
      </c>
      <c r="O36" s="11"/>
      <c r="P36" s="6">
        <v>122556.04</v>
      </c>
      <c r="Q36" s="2"/>
      <c r="R36" s="7">
        <f t="shared" si="24"/>
        <v>0.16657261090005324</v>
      </c>
      <c r="S36" s="2"/>
      <c r="T36" s="6">
        <v>160667.81</v>
      </c>
      <c r="U36" s="2"/>
      <c r="V36" s="7">
        <f t="shared" si="25"/>
        <v>5.3297716867781675E-2</v>
      </c>
      <c r="W36" s="2"/>
      <c r="X36" s="6">
        <f t="shared" si="26"/>
        <v>-38111.770000000004</v>
      </c>
      <c r="Y36" s="2"/>
      <c r="Z36" s="7">
        <f t="shared" si="27"/>
        <v>-0.23720849870300717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6">
        <v>9662.36</v>
      </c>
      <c r="E37" s="2"/>
      <c r="F37" s="7">
        <f t="shared" si="20"/>
        <v>0.11415513461581175</v>
      </c>
      <c r="G37" s="2"/>
      <c r="H37" s="6">
        <v>14686.54</v>
      </c>
      <c r="I37" s="2"/>
      <c r="J37" s="7">
        <f t="shared" si="21"/>
        <v>2.9890784197592515E-2</v>
      </c>
      <c r="K37" s="2"/>
      <c r="L37" s="6">
        <f t="shared" si="22"/>
        <v>-5024.18</v>
      </c>
      <c r="M37" s="2"/>
      <c r="N37" s="7">
        <f t="shared" si="23"/>
        <v>-0.34209418964575727</v>
      </c>
      <c r="O37" s="11"/>
      <c r="P37" s="6">
        <v>80406.040000000008</v>
      </c>
      <c r="Q37" s="2"/>
      <c r="R37" s="7">
        <f t="shared" si="24"/>
        <v>0.10928424266102364</v>
      </c>
      <c r="S37" s="2"/>
      <c r="T37" s="6">
        <v>128591.56</v>
      </c>
      <c r="U37" s="2"/>
      <c r="V37" s="7">
        <f t="shared" si="25"/>
        <v>4.2657185384342759E-2</v>
      </c>
      <c r="W37" s="2"/>
      <c r="X37" s="6">
        <f t="shared" si="26"/>
        <v>-48185.51999999999</v>
      </c>
      <c r="Y37" s="2"/>
      <c r="Z37" s="7">
        <f t="shared" si="27"/>
        <v>-0.37471759421846962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6">
        <v>609</v>
      </c>
      <c r="E38" s="2"/>
      <c r="F38" s="7">
        <f t="shared" si="20"/>
        <v>7.1949789679777356E-3</v>
      </c>
      <c r="G38" s="2"/>
      <c r="H38" s="6">
        <v>2130.31</v>
      </c>
      <c r="I38" s="2"/>
      <c r="J38" s="7">
        <f t="shared" si="21"/>
        <v>4.3357139587658702E-3</v>
      </c>
      <c r="K38" s="2"/>
      <c r="L38" s="6">
        <f t="shared" si="22"/>
        <v>-1521.31</v>
      </c>
      <c r="M38" s="2"/>
      <c r="N38" s="7">
        <f t="shared" si="23"/>
        <v>-0.71412611310091023</v>
      </c>
      <c r="O38" s="11"/>
      <c r="P38" s="6">
        <v>609</v>
      </c>
      <c r="Q38" s="2"/>
      <c r="R38" s="7">
        <f t="shared" si="24"/>
        <v>8.2772517811551709E-4</v>
      </c>
      <c r="S38" s="2"/>
      <c r="T38" s="6">
        <v>11416.31</v>
      </c>
      <c r="U38" s="2"/>
      <c r="V38" s="7">
        <f t="shared" si="25"/>
        <v>3.7870887644191119E-3</v>
      </c>
      <c r="W38" s="2"/>
      <c r="X38" s="6">
        <f t="shared" si="26"/>
        <v>-10807.31</v>
      </c>
      <c r="Y38" s="2"/>
      <c r="Z38" s="7">
        <f t="shared" si="27"/>
        <v>-0.9466552677704092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6">
        <v>11299.19</v>
      </c>
      <c r="E39" s="2"/>
      <c r="F39" s="7">
        <f t="shared" si="20"/>
        <v>0.13349332414644394</v>
      </c>
      <c r="G39" s="2"/>
      <c r="H39" s="6">
        <v>40728.239999999998</v>
      </c>
      <c r="I39" s="2"/>
      <c r="J39" s="7">
        <f t="shared" si="21"/>
        <v>8.2892160616983665E-2</v>
      </c>
      <c r="K39" s="2"/>
      <c r="L39" s="6">
        <f t="shared" si="22"/>
        <v>-29429.049999999996</v>
      </c>
      <c r="M39" s="2"/>
      <c r="N39" s="7">
        <f t="shared" si="23"/>
        <v>-0.72257112018589553</v>
      </c>
      <c r="O39" s="11"/>
      <c r="P39" s="6">
        <v>92466.200000000012</v>
      </c>
      <c r="Q39" s="2"/>
      <c r="R39" s="7">
        <f t="shared" si="24"/>
        <v>0.12567586513081286</v>
      </c>
      <c r="S39" s="2"/>
      <c r="T39" s="6">
        <v>246230.27</v>
      </c>
      <c r="U39" s="2"/>
      <c r="V39" s="7">
        <f t="shared" si="25"/>
        <v>8.1681023813901715E-2</v>
      </c>
      <c r="W39" s="2"/>
      <c r="X39" s="6">
        <f t="shared" si="26"/>
        <v>-153764.06999999998</v>
      </c>
      <c r="Y39" s="2"/>
      <c r="Z39" s="7">
        <f t="shared" si="27"/>
        <v>-0.62447265317948109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0"/>
        <v>0</v>
      </c>
      <c r="G40" s="2"/>
      <c r="H40" s="6">
        <v>10175.07</v>
      </c>
      <c r="I40" s="2"/>
      <c r="J40" s="7">
        <f t="shared" si="21"/>
        <v>2.070881375500272E-2</v>
      </c>
      <c r="K40" s="2"/>
      <c r="L40" s="6">
        <f t="shared" si="22"/>
        <v>-10175.07</v>
      </c>
      <c r="M40" s="2"/>
      <c r="N40" s="7">
        <f t="shared" si="23"/>
        <v>-1</v>
      </c>
      <c r="O40" s="11"/>
      <c r="P40" s="6">
        <v>10630.88</v>
      </c>
      <c r="Q40" s="2"/>
      <c r="R40" s="7">
        <f t="shared" si="24"/>
        <v>1.4449009920401785E-2</v>
      </c>
      <c r="S40" s="2"/>
      <c r="T40" s="6">
        <v>69735.570000000007</v>
      </c>
      <c r="U40" s="2"/>
      <c r="V40" s="7">
        <f t="shared" si="25"/>
        <v>2.3133113381413304E-2</v>
      </c>
      <c r="W40" s="2"/>
      <c r="X40" s="6">
        <f t="shared" si="26"/>
        <v>-59104.69000000001</v>
      </c>
      <c r="Y40" s="2"/>
      <c r="Z40" s="7">
        <f t="shared" si="27"/>
        <v>-0.84755441161519152</v>
      </c>
    </row>
    <row r="41" spans="1:26" s="25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62" si="28">IF(D$12=0,0,D41/D$12)</f>
        <v>0</v>
      </c>
      <c r="G41" s="1"/>
      <c r="H41" s="1">
        <f>SUM(OSRRefH22_2x_0)</f>
        <v>52.78</v>
      </c>
      <c r="I41" s="1"/>
      <c r="J41" s="5">
        <f t="shared" ref="J41:J62" si="29">IF(H$12=0,0,H41/H$12)</f>
        <v>1.0742050816250342E-4</v>
      </c>
      <c r="K41" s="1"/>
      <c r="L41" s="1">
        <f t="shared" ref="L41:L62" si="30">+D41-H41</f>
        <v>-52.78</v>
      </c>
      <c r="M41" s="1"/>
      <c r="N41" s="5">
        <f t="shared" ref="N41:N62" si="31">IF(H41=0,0,L41/H41)</f>
        <v>-1</v>
      </c>
      <c r="O41" s="13"/>
      <c r="P41" s="1">
        <f>SUM(OSRRefP22_2x_0)</f>
        <v>1240.42</v>
      </c>
      <c r="Q41" s="1"/>
      <c r="R41" s="5">
        <f t="shared" ref="R41:R62" si="32">IF(P$12=0,0,P41/P$12)</f>
        <v>1.6859226033465512E-3</v>
      </c>
      <c r="S41" s="1"/>
      <c r="T41" s="1">
        <f>SUM(OSRRefT22_2x_0)</f>
        <v>2584.23</v>
      </c>
      <c r="U41" s="1"/>
      <c r="V41" s="5">
        <f t="shared" ref="V41:V62" si="33">IF(T$12=0,0,T41/T$12)</f>
        <v>8.5725671409367843E-4</v>
      </c>
      <c r="W41" s="1"/>
      <c r="X41" s="1">
        <f t="shared" ref="X41:X62" si="34">+P41-T41</f>
        <v>-1343.81</v>
      </c>
      <c r="Y41" s="1"/>
      <c r="Z41" s="5">
        <f t="shared" ref="Z41:Z62" si="35">IF(T41=0,0,X41/T41)</f>
        <v>-0.52000402440959204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8"/>
        <v>0</v>
      </c>
      <c r="G42" s="2"/>
      <c r="H42" s="6">
        <v>52.78</v>
      </c>
      <c r="I42" s="2"/>
      <c r="J42" s="7">
        <f t="shared" si="29"/>
        <v>1.0742050816250342E-4</v>
      </c>
      <c r="K42" s="2"/>
      <c r="L42" s="6">
        <f t="shared" si="30"/>
        <v>-52.78</v>
      </c>
      <c r="M42" s="2"/>
      <c r="N42" s="7">
        <f t="shared" si="31"/>
        <v>-1</v>
      </c>
      <c r="O42" s="11"/>
      <c r="P42" s="6">
        <v>1240.42</v>
      </c>
      <c r="Q42" s="2"/>
      <c r="R42" s="7">
        <f t="shared" si="32"/>
        <v>1.6859226033465512E-3</v>
      </c>
      <c r="S42" s="2"/>
      <c r="T42" s="6">
        <v>2584.23</v>
      </c>
      <c r="U42" s="2"/>
      <c r="V42" s="7">
        <f t="shared" si="33"/>
        <v>8.5725671409367843E-4</v>
      </c>
      <c r="W42" s="2"/>
      <c r="X42" s="6">
        <f t="shared" si="34"/>
        <v>-1343.81</v>
      </c>
      <c r="Y42" s="2"/>
      <c r="Z42" s="7">
        <f t="shared" si="35"/>
        <v>-0.52000402440959204</v>
      </c>
    </row>
    <row r="43" spans="1:26" s="25" customFormat="1" outlineLevel="1" collapsed="1" x14ac:dyDescent="0.25">
      <c r="A43" s="27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-16.2</v>
      </c>
      <c r="E43" s="1"/>
      <c r="F43" s="5">
        <f t="shared" si="28"/>
        <v>-1.913935291974373E-4</v>
      </c>
      <c r="G43" s="1"/>
      <c r="H43" s="1">
        <f>SUM(OSRRefH22_3x_0)</f>
        <v>0.1</v>
      </c>
      <c r="I43" s="1"/>
      <c r="J43" s="5">
        <f t="shared" si="29"/>
        <v>2.0352502493843013E-7</v>
      </c>
      <c r="K43" s="1"/>
      <c r="L43" s="1">
        <f t="shared" si="30"/>
        <v>-16.3</v>
      </c>
      <c r="M43" s="1"/>
      <c r="N43" s="5">
        <f t="shared" si="31"/>
        <v>-163</v>
      </c>
      <c r="O43" s="13"/>
      <c r="P43" s="1">
        <f>SUM(OSRRefP22_3x_0)</f>
        <v>23.8</v>
      </c>
      <c r="Q43" s="1"/>
      <c r="R43" s="5">
        <f t="shared" si="32"/>
        <v>3.2347880524054691E-5</v>
      </c>
      <c r="S43" s="1"/>
      <c r="T43" s="1">
        <f>SUM(OSRRefT22_3x_0)</f>
        <v>16.34</v>
      </c>
      <c r="U43" s="1"/>
      <c r="V43" s="5">
        <f t="shared" si="33"/>
        <v>5.4204055785633264E-6</v>
      </c>
      <c r="W43" s="1"/>
      <c r="X43" s="1">
        <f t="shared" si="34"/>
        <v>7.4600000000000009</v>
      </c>
      <c r="Y43" s="1"/>
      <c r="Z43" s="5">
        <f t="shared" si="35"/>
        <v>0.45654834761321916</v>
      </c>
    </row>
    <row r="44" spans="1:26" s="24" customFormat="1" hidden="1" outlineLevel="2" x14ac:dyDescent="0.25">
      <c r="A44" s="26"/>
      <c r="B44" s="11" t="str">
        <f>CONCATENATE("          ", "6272", " - ", "CASH (OVER/SHORT)")</f>
        <v xml:space="preserve">          6272 - CASH (OVER/SHORT)</v>
      </c>
      <c r="C44" s="11"/>
      <c r="D44" s="6">
        <v>-16.2</v>
      </c>
      <c r="E44" s="2"/>
      <c r="F44" s="7">
        <f t="shared" si="28"/>
        <v>-1.913935291974373E-4</v>
      </c>
      <c r="G44" s="2"/>
      <c r="H44" s="6">
        <v>0.1</v>
      </c>
      <c r="I44" s="2"/>
      <c r="J44" s="7">
        <f t="shared" si="29"/>
        <v>2.0352502493843013E-7</v>
      </c>
      <c r="K44" s="2"/>
      <c r="L44" s="6">
        <f t="shared" si="30"/>
        <v>-16.3</v>
      </c>
      <c r="M44" s="2"/>
      <c r="N44" s="7">
        <f t="shared" si="31"/>
        <v>-163</v>
      </c>
      <c r="O44" s="11"/>
      <c r="P44" s="6">
        <v>23.8</v>
      </c>
      <c r="Q44" s="2"/>
      <c r="R44" s="7">
        <f t="shared" si="32"/>
        <v>3.2347880524054691E-5</v>
      </c>
      <c r="S44" s="2"/>
      <c r="T44" s="6">
        <v>16.34</v>
      </c>
      <c r="U44" s="2"/>
      <c r="V44" s="7">
        <f t="shared" si="33"/>
        <v>5.4204055785633264E-6</v>
      </c>
      <c r="W44" s="2"/>
      <c r="X44" s="6">
        <f t="shared" si="34"/>
        <v>7.4600000000000009</v>
      </c>
      <c r="Y44" s="2"/>
      <c r="Z44" s="7">
        <f t="shared" si="35"/>
        <v>0.45654834761321916</v>
      </c>
    </row>
    <row r="45" spans="1:26" s="25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77.599999999999994</v>
      </c>
      <c r="E45" s="1"/>
      <c r="F45" s="5">
        <f t="shared" si="28"/>
        <v>9.1679863368648981E-4</v>
      </c>
      <c r="G45" s="1"/>
      <c r="H45" s="1">
        <f>SUM(OSRRefH22_4x_0)</f>
        <v>121.15</v>
      </c>
      <c r="I45" s="1"/>
      <c r="J45" s="5">
        <f t="shared" si="29"/>
        <v>2.4657056771290809E-4</v>
      </c>
      <c r="K45" s="1"/>
      <c r="L45" s="1">
        <f t="shared" si="30"/>
        <v>-43.550000000000011</v>
      </c>
      <c r="M45" s="1"/>
      <c r="N45" s="5">
        <f t="shared" si="31"/>
        <v>-0.35947172926124649</v>
      </c>
      <c r="O45" s="13"/>
      <c r="P45" s="1">
        <f>SUM(OSRRefP22_4x_0)</f>
        <v>188.92</v>
      </c>
      <c r="Q45" s="1"/>
      <c r="R45" s="5">
        <f t="shared" si="32"/>
        <v>2.5677149531951309E-4</v>
      </c>
      <c r="S45" s="1"/>
      <c r="T45" s="1">
        <f>SUM(OSRRefT22_4x_0)</f>
        <v>1077.95</v>
      </c>
      <c r="U45" s="1"/>
      <c r="V45" s="5">
        <f t="shared" si="33"/>
        <v>3.5758422236305617E-4</v>
      </c>
      <c r="W45" s="1"/>
      <c r="X45" s="1">
        <f t="shared" si="34"/>
        <v>-889.03000000000009</v>
      </c>
      <c r="Y45" s="1"/>
      <c r="Z45" s="5">
        <f t="shared" si="35"/>
        <v>-0.82474140730089529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6">
        <v>77.599999999999994</v>
      </c>
      <c r="E46" s="2"/>
      <c r="F46" s="7">
        <f t="shared" si="28"/>
        <v>9.1679863368648981E-4</v>
      </c>
      <c r="G46" s="2"/>
      <c r="H46" s="6">
        <v>121.15</v>
      </c>
      <c r="I46" s="2"/>
      <c r="J46" s="7">
        <f t="shared" si="29"/>
        <v>2.4657056771290809E-4</v>
      </c>
      <c r="K46" s="2"/>
      <c r="L46" s="6">
        <f t="shared" si="30"/>
        <v>-43.550000000000011</v>
      </c>
      <c r="M46" s="2"/>
      <c r="N46" s="7">
        <f t="shared" si="31"/>
        <v>-0.35947172926124649</v>
      </c>
      <c r="O46" s="11"/>
      <c r="P46" s="6">
        <v>188.92</v>
      </c>
      <c r="Q46" s="2"/>
      <c r="R46" s="7">
        <f t="shared" si="32"/>
        <v>2.5677149531951309E-4</v>
      </c>
      <c r="S46" s="2"/>
      <c r="T46" s="6">
        <v>1077.95</v>
      </c>
      <c r="U46" s="2"/>
      <c r="V46" s="7">
        <f t="shared" si="33"/>
        <v>3.5758422236305617E-4</v>
      </c>
      <c r="W46" s="2"/>
      <c r="X46" s="6">
        <f t="shared" si="34"/>
        <v>-889.03000000000009</v>
      </c>
      <c r="Y46" s="2"/>
      <c r="Z46" s="7">
        <f t="shared" si="35"/>
        <v>-0.82474140730089529</v>
      </c>
    </row>
    <row r="47" spans="1:26" s="25" customFormat="1" outlineLevel="1" collapsed="1" x14ac:dyDescent="0.25">
      <c r="A47" s="27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SUM(OSRRefD22_5x_0)</f>
        <v>272.74</v>
      </c>
      <c r="E47" s="1"/>
      <c r="F47" s="5">
        <f t="shared" si="28"/>
        <v>3.2222636514388303E-3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272.74</v>
      </c>
      <c r="M47" s="1"/>
      <c r="N47" s="5">
        <f t="shared" si="31"/>
        <v>0</v>
      </c>
      <c r="O47" s="13"/>
      <c r="P47" s="1">
        <f>SUM(OSRRefP22_5x_0)</f>
        <v>1917.7</v>
      </c>
      <c r="Q47" s="1"/>
      <c r="R47" s="5">
        <f t="shared" si="32"/>
        <v>2.6064508605453647E-3</v>
      </c>
      <c r="S47" s="1"/>
      <c r="T47" s="1">
        <f>SUM(OSRRefT22_5x_0)</f>
        <v>0</v>
      </c>
      <c r="U47" s="1"/>
      <c r="V47" s="5">
        <f t="shared" si="33"/>
        <v>0</v>
      </c>
      <c r="W47" s="1"/>
      <c r="X47" s="1">
        <f t="shared" si="34"/>
        <v>1917.7</v>
      </c>
      <c r="Y47" s="1"/>
      <c r="Z47" s="5">
        <f t="shared" si="35"/>
        <v>0</v>
      </c>
    </row>
    <row r="48" spans="1:26" s="24" customFormat="1" hidden="1" outlineLevel="2" x14ac:dyDescent="0.25">
      <c r="A48" s="26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272.74</v>
      </c>
      <c r="E48" s="2"/>
      <c r="F48" s="7">
        <f t="shared" si="28"/>
        <v>3.2222636514388303E-3</v>
      </c>
      <c r="G48" s="2"/>
      <c r="H48" s="6"/>
      <c r="I48" s="2"/>
      <c r="J48" s="7">
        <f t="shared" si="29"/>
        <v>0</v>
      </c>
      <c r="K48" s="2"/>
      <c r="L48" s="6">
        <f t="shared" si="30"/>
        <v>272.74</v>
      </c>
      <c r="M48" s="2"/>
      <c r="N48" s="7">
        <f t="shared" si="31"/>
        <v>0</v>
      </c>
      <c r="O48" s="11"/>
      <c r="P48" s="6">
        <v>1917.7</v>
      </c>
      <c r="Q48" s="2"/>
      <c r="R48" s="7">
        <f t="shared" si="32"/>
        <v>2.6064508605453647E-3</v>
      </c>
      <c r="S48" s="2"/>
      <c r="T48" s="6"/>
      <c r="U48" s="2"/>
      <c r="V48" s="7">
        <f t="shared" si="33"/>
        <v>0</v>
      </c>
      <c r="W48" s="2"/>
      <c r="X48" s="6">
        <f t="shared" si="34"/>
        <v>1917.7</v>
      </c>
      <c r="Y48" s="2"/>
      <c r="Z48" s="7">
        <f t="shared" si="35"/>
        <v>0</v>
      </c>
    </row>
    <row r="49" spans="1:26" s="25" customFormat="1" outlineLevel="1" collapsed="1" x14ac:dyDescent="0.25">
      <c r="A49" s="27"/>
      <c r="B49" s="13" t="str">
        <f>CONCATENATE("     ","Donations                                         ")</f>
        <v xml:space="preserve">     Donations                                         </v>
      </c>
      <c r="C49" s="13"/>
      <c r="D49" s="1">
        <f>SUM(OSRRefD22_6x_0)</f>
        <v>5361.28</v>
      </c>
      <c r="E49" s="1"/>
      <c r="F49" s="5">
        <f t="shared" si="28"/>
        <v>6.3340388902199798E-2</v>
      </c>
      <c r="G49" s="1"/>
      <c r="H49" s="1">
        <f>SUM(OSRRefH22_6x_0)</f>
        <v>4165.8900000000003</v>
      </c>
      <c r="I49" s="1"/>
      <c r="J49" s="5">
        <f t="shared" si="29"/>
        <v>8.4786286614075678E-3</v>
      </c>
      <c r="K49" s="1"/>
      <c r="L49" s="1">
        <f t="shared" si="30"/>
        <v>1195.3899999999994</v>
      </c>
      <c r="M49" s="1"/>
      <c r="N49" s="5">
        <f t="shared" si="31"/>
        <v>0.28694708693700488</v>
      </c>
      <c r="O49" s="13"/>
      <c r="P49" s="1">
        <f>SUM(OSRRefP22_6x_0)</f>
        <v>43642.43</v>
      </c>
      <c r="Q49" s="1"/>
      <c r="R49" s="5">
        <f t="shared" si="32"/>
        <v>5.9316811404177314E-2</v>
      </c>
      <c r="S49" s="1"/>
      <c r="T49" s="1">
        <f>SUM(OSRRefT22_6x_0)</f>
        <v>23734.94</v>
      </c>
      <c r="U49" s="1"/>
      <c r="V49" s="5">
        <f t="shared" si="33"/>
        <v>7.8735006843859145E-3</v>
      </c>
      <c r="W49" s="1"/>
      <c r="X49" s="1">
        <f t="shared" si="34"/>
        <v>19907.490000000002</v>
      </c>
      <c r="Y49" s="1"/>
      <c r="Z49" s="5">
        <f t="shared" si="35"/>
        <v>0.83874195595185841</v>
      </c>
    </row>
    <row r="50" spans="1:26" s="24" customFormat="1" hidden="1" outlineLevel="2" x14ac:dyDescent="0.25">
      <c r="A50" s="26"/>
      <c r="B50" s="11" t="str">
        <f>CONCATENATE("          ", "6399", " - ", "DONATION-ON CAMPUS")</f>
        <v xml:space="preserve">          6399 - DONATION-ON CAMPUS</v>
      </c>
      <c r="C50" s="11"/>
      <c r="D50" s="6">
        <v>5361.28</v>
      </c>
      <c r="E50" s="2"/>
      <c r="F50" s="7">
        <f t="shared" si="28"/>
        <v>6.3340388902199798E-2</v>
      </c>
      <c r="G50" s="2"/>
      <c r="H50" s="6">
        <v>4165.8900000000003</v>
      </c>
      <c r="I50" s="2"/>
      <c r="J50" s="7">
        <f t="shared" si="29"/>
        <v>8.4786286614075678E-3</v>
      </c>
      <c r="K50" s="2"/>
      <c r="L50" s="6">
        <f t="shared" si="30"/>
        <v>1195.3899999999994</v>
      </c>
      <c r="M50" s="2"/>
      <c r="N50" s="7">
        <f t="shared" si="31"/>
        <v>0.28694708693700488</v>
      </c>
      <c r="O50" s="11"/>
      <c r="P50" s="6">
        <v>43642.43</v>
      </c>
      <c r="Q50" s="2"/>
      <c r="R50" s="7">
        <f t="shared" si="32"/>
        <v>5.9316811404177314E-2</v>
      </c>
      <c r="S50" s="2"/>
      <c r="T50" s="6">
        <v>23734.94</v>
      </c>
      <c r="U50" s="2"/>
      <c r="V50" s="7">
        <f t="shared" si="33"/>
        <v>7.8735006843859145E-3</v>
      </c>
      <c r="W50" s="2"/>
      <c r="X50" s="6">
        <f t="shared" si="34"/>
        <v>19907.490000000002</v>
      </c>
      <c r="Y50" s="2"/>
      <c r="Z50" s="7">
        <f t="shared" si="35"/>
        <v>0.83874195595185841</v>
      </c>
    </row>
    <row r="51" spans="1:26" s="25" customFormat="1" outlineLevel="1" collapsed="1" x14ac:dyDescent="0.25">
      <c r="A51" s="27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SUM(OSRRefD22_7x_0)</f>
        <v>0</v>
      </c>
      <c r="E51" s="1"/>
      <c r="F51" s="5">
        <f t="shared" si="28"/>
        <v>0</v>
      </c>
      <c r="G51" s="1"/>
      <c r="H51" s="1">
        <f>SUM(OSRRefH22_7x_0)</f>
        <v>0</v>
      </c>
      <c r="I51" s="1"/>
      <c r="J51" s="5">
        <f t="shared" si="29"/>
        <v>0</v>
      </c>
      <c r="K51" s="1"/>
      <c r="L51" s="1">
        <f t="shared" si="30"/>
        <v>0</v>
      </c>
      <c r="M51" s="1"/>
      <c r="N51" s="5">
        <f t="shared" si="31"/>
        <v>0</v>
      </c>
      <c r="O51" s="13"/>
      <c r="P51" s="1">
        <f>SUM(OSRRefP22_7x_0)</f>
        <v>0</v>
      </c>
      <c r="Q51" s="1"/>
      <c r="R51" s="5">
        <f t="shared" si="32"/>
        <v>0</v>
      </c>
      <c r="S51" s="1"/>
      <c r="T51" s="1">
        <f>SUM(OSRRefT22_7x_0)</f>
        <v>1564</v>
      </c>
      <c r="U51" s="1"/>
      <c r="V51" s="5">
        <f t="shared" si="33"/>
        <v>5.1881972612442123E-4</v>
      </c>
      <c r="W51" s="1"/>
      <c r="X51" s="1">
        <f t="shared" si="34"/>
        <v>-1564</v>
      </c>
      <c r="Y51" s="1"/>
      <c r="Z51" s="5">
        <f t="shared" si="35"/>
        <v>-1</v>
      </c>
    </row>
    <row r="52" spans="1:26" s="24" customFormat="1" hidden="1" outlineLevel="2" x14ac:dyDescent="0.25">
      <c r="A52" s="26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0</v>
      </c>
      <c r="M52" s="2"/>
      <c r="N52" s="7">
        <f t="shared" si="31"/>
        <v>0</v>
      </c>
      <c r="O52" s="11"/>
      <c r="P52" s="6"/>
      <c r="Q52" s="2"/>
      <c r="R52" s="7">
        <f t="shared" si="32"/>
        <v>0</v>
      </c>
      <c r="S52" s="2"/>
      <c r="T52" s="6">
        <v>1564</v>
      </c>
      <c r="U52" s="2"/>
      <c r="V52" s="7">
        <f t="shared" si="33"/>
        <v>5.1881972612442123E-4</v>
      </c>
      <c r="W52" s="2"/>
      <c r="X52" s="6">
        <f t="shared" si="34"/>
        <v>-1564</v>
      </c>
      <c r="Y52" s="2"/>
      <c r="Z52" s="7">
        <f t="shared" si="35"/>
        <v>-1</v>
      </c>
    </row>
    <row r="53" spans="1:26" s="25" customFormat="1" outlineLevel="1" collapsed="1" x14ac:dyDescent="0.25">
      <c r="A53" s="27"/>
      <c r="B53" s="13" t="str">
        <f>CONCATENATE("     ","Equipment Rental                                  ")</f>
        <v xml:space="preserve">     Equipment Rental                                  </v>
      </c>
      <c r="C53" s="13"/>
      <c r="D53" s="1">
        <f>SUM(OSRRefD22_8x_0)</f>
        <v>336.86</v>
      </c>
      <c r="E53" s="1"/>
      <c r="F53" s="5">
        <f t="shared" si="28"/>
        <v>3.9798039657684406E-3</v>
      </c>
      <c r="G53" s="1"/>
      <c r="H53" s="1">
        <f>SUM(OSRRefH22_8x_0)</f>
        <v>339.14</v>
      </c>
      <c r="I53" s="1"/>
      <c r="J53" s="5">
        <f t="shared" si="29"/>
        <v>6.9023476957619191E-4</v>
      </c>
      <c r="K53" s="1"/>
      <c r="L53" s="1">
        <f t="shared" si="30"/>
        <v>-2.2799999999999727</v>
      </c>
      <c r="M53" s="1"/>
      <c r="N53" s="5">
        <f t="shared" si="31"/>
        <v>-6.7228873031785485E-3</v>
      </c>
      <c r="O53" s="13"/>
      <c r="P53" s="1">
        <f>SUM(OSRRefP22_8x_0)</f>
        <v>2103.3200000000002</v>
      </c>
      <c r="Q53" s="1"/>
      <c r="R53" s="5">
        <f t="shared" si="32"/>
        <v>2.8587371455401139E-3</v>
      </c>
      <c r="S53" s="1"/>
      <c r="T53" s="1">
        <f>SUM(OSRRefT22_8x_0)</f>
        <v>2367.11</v>
      </c>
      <c r="U53" s="1"/>
      <c r="V53" s="5">
        <f t="shared" si="33"/>
        <v>7.8523232858464112E-4</v>
      </c>
      <c r="W53" s="1"/>
      <c r="X53" s="1">
        <f t="shared" si="34"/>
        <v>-263.78999999999996</v>
      </c>
      <c r="Y53" s="1"/>
      <c r="Z53" s="5">
        <f t="shared" si="35"/>
        <v>-0.1114396880584341</v>
      </c>
    </row>
    <row r="54" spans="1:26" s="24" customFormat="1" hidden="1" outlineLevel="2" x14ac:dyDescent="0.25">
      <c r="A54" s="26"/>
      <c r="B54" s="11" t="str">
        <f>CONCATENATE("          ", "6351", " - ", "EQUIPMENT RENTAL")</f>
        <v xml:space="preserve">          6351 - EQUIPMENT RENTAL</v>
      </c>
      <c r="C54" s="11"/>
      <c r="D54" s="6">
        <v>336.86</v>
      </c>
      <c r="E54" s="2"/>
      <c r="F54" s="7">
        <f t="shared" si="28"/>
        <v>3.9798039657684406E-3</v>
      </c>
      <c r="G54" s="2"/>
      <c r="H54" s="6">
        <v>339.14</v>
      </c>
      <c r="I54" s="2"/>
      <c r="J54" s="7">
        <f t="shared" si="29"/>
        <v>6.9023476957619191E-4</v>
      </c>
      <c r="K54" s="2"/>
      <c r="L54" s="6">
        <f t="shared" si="30"/>
        <v>-2.2799999999999727</v>
      </c>
      <c r="M54" s="2"/>
      <c r="N54" s="7">
        <f t="shared" si="31"/>
        <v>-6.7228873031785485E-3</v>
      </c>
      <c r="O54" s="11"/>
      <c r="P54" s="6">
        <v>2103.3200000000002</v>
      </c>
      <c r="Q54" s="2"/>
      <c r="R54" s="7">
        <f t="shared" si="32"/>
        <v>2.8587371455401139E-3</v>
      </c>
      <c r="S54" s="2"/>
      <c r="T54" s="6">
        <v>2367.11</v>
      </c>
      <c r="U54" s="2"/>
      <c r="V54" s="7">
        <f t="shared" si="33"/>
        <v>7.8523232858464112E-4</v>
      </c>
      <c r="W54" s="2"/>
      <c r="X54" s="6">
        <f t="shared" si="34"/>
        <v>-263.78999999999996</v>
      </c>
      <c r="Y54" s="2"/>
      <c r="Z54" s="7">
        <f t="shared" si="35"/>
        <v>-0.1114396880584341</v>
      </c>
    </row>
    <row r="55" spans="1:26" s="25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SUM(OSRRefD22_9x_0)</f>
        <v>0</v>
      </c>
      <c r="E55" s="1"/>
      <c r="F55" s="5">
        <f t="shared" si="28"/>
        <v>0</v>
      </c>
      <c r="G55" s="1"/>
      <c r="H55" s="1">
        <f>SUM(OSRRefH22_9x_0)</f>
        <v>250</v>
      </c>
      <c r="I55" s="1"/>
      <c r="J55" s="5">
        <f t="shared" si="29"/>
        <v>5.0881256234607528E-4</v>
      </c>
      <c r="K55" s="1"/>
      <c r="L55" s="1">
        <f t="shared" si="30"/>
        <v>-250</v>
      </c>
      <c r="M55" s="1"/>
      <c r="N55" s="5">
        <f t="shared" si="31"/>
        <v>-1</v>
      </c>
      <c r="O55" s="13"/>
      <c r="P55" s="1">
        <f>SUM(OSRRefP22_9x_0)</f>
        <v>1888.78</v>
      </c>
      <c r="Q55" s="1"/>
      <c r="R55" s="5">
        <f t="shared" si="32"/>
        <v>2.5671441082447065E-3</v>
      </c>
      <c r="S55" s="1"/>
      <c r="T55" s="1">
        <f>SUM(OSRRefT22_9x_0)</f>
        <v>3224.62</v>
      </c>
      <c r="U55" s="1"/>
      <c r="V55" s="5">
        <f t="shared" si="33"/>
        <v>1.0696908345622321E-3</v>
      </c>
      <c r="W55" s="1"/>
      <c r="X55" s="1">
        <f t="shared" si="34"/>
        <v>-1335.84</v>
      </c>
      <c r="Y55" s="1"/>
      <c r="Z55" s="5">
        <f t="shared" si="35"/>
        <v>-0.41426276584527788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28"/>
        <v>0</v>
      </c>
      <c r="G56" s="2"/>
      <c r="H56" s="6">
        <v>250</v>
      </c>
      <c r="I56" s="2"/>
      <c r="J56" s="7">
        <f t="shared" si="29"/>
        <v>5.0881256234607528E-4</v>
      </c>
      <c r="K56" s="2"/>
      <c r="L56" s="6">
        <f t="shared" si="30"/>
        <v>-250</v>
      </c>
      <c r="M56" s="2"/>
      <c r="N56" s="7">
        <f t="shared" si="31"/>
        <v>-1</v>
      </c>
      <c r="O56" s="11"/>
      <c r="P56" s="6">
        <v>1888.78</v>
      </c>
      <c r="Q56" s="2"/>
      <c r="R56" s="7">
        <f t="shared" si="32"/>
        <v>2.5671441082447065E-3</v>
      </c>
      <c r="S56" s="2"/>
      <c r="T56" s="6">
        <v>3224.62</v>
      </c>
      <c r="U56" s="2"/>
      <c r="V56" s="7">
        <f t="shared" si="33"/>
        <v>1.0696908345622321E-3</v>
      </c>
      <c r="W56" s="2"/>
      <c r="X56" s="6">
        <f t="shared" si="34"/>
        <v>-1335.84</v>
      </c>
      <c r="Y56" s="2"/>
      <c r="Z56" s="7">
        <f t="shared" si="35"/>
        <v>-0.41426276584527788</v>
      </c>
    </row>
    <row r="57" spans="1:26" s="25" customFormat="1" outlineLevel="1" collapsed="1" x14ac:dyDescent="0.25">
      <c r="A57" s="27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SUM(OSRRefD22_10x_0)</f>
        <v>6342.49</v>
      </c>
      <c r="E57" s="1"/>
      <c r="F57" s="5">
        <f t="shared" si="28"/>
        <v>7.4932811419719386E-2</v>
      </c>
      <c r="G57" s="1"/>
      <c r="H57" s="1">
        <f>SUM(OSRRefH22_10x_0)</f>
        <v>38627.11</v>
      </c>
      <c r="I57" s="1"/>
      <c r="J57" s="5">
        <f t="shared" si="29"/>
        <v>7.8615835260494829E-2</v>
      </c>
      <c r="K57" s="1"/>
      <c r="L57" s="1">
        <f t="shared" si="30"/>
        <v>-32284.620000000003</v>
      </c>
      <c r="M57" s="1"/>
      <c r="N57" s="5">
        <f t="shared" si="31"/>
        <v>-0.83580210893333728</v>
      </c>
      <c r="O57" s="13"/>
      <c r="P57" s="1">
        <f>SUM(OSRRefP22_10x_0)</f>
        <v>50356.5</v>
      </c>
      <c r="Q57" s="1"/>
      <c r="R57" s="5">
        <f t="shared" si="32"/>
        <v>6.844227082393109E-2</v>
      </c>
      <c r="S57" s="1"/>
      <c r="T57" s="1">
        <f>SUM(OSRRefT22_10x_0)</f>
        <v>235631.57</v>
      </c>
      <c r="U57" s="1"/>
      <c r="V57" s="5">
        <f t="shared" si="33"/>
        <v>7.8165157681373013E-2</v>
      </c>
      <c r="W57" s="1"/>
      <c r="X57" s="1">
        <f t="shared" si="34"/>
        <v>-185275.07</v>
      </c>
      <c r="Y57" s="1"/>
      <c r="Z57" s="5">
        <f t="shared" si="35"/>
        <v>-0.78629137004010119</v>
      </c>
    </row>
    <row r="58" spans="1:26" s="24" customFormat="1" hidden="1" outlineLevel="2" x14ac:dyDescent="0.25">
      <c r="A58" s="26"/>
      <c r="B58" s="11" t="str">
        <f>CONCATENATE("          ", "6387", " - ", "COMMISSION DUE HOUSING")</f>
        <v xml:space="preserve">          6387 - COMMISSION DUE HOUSING</v>
      </c>
      <c r="C58" s="11"/>
      <c r="D58" s="6">
        <v>6342.49</v>
      </c>
      <c r="E58" s="2"/>
      <c r="F58" s="7">
        <f t="shared" si="28"/>
        <v>7.4932811419719386E-2</v>
      </c>
      <c r="G58" s="2"/>
      <c r="H58" s="6">
        <v>38627.11</v>
      </c>
      <c r="I58" s="2"/>
      <c r="J58" s="7">
        <f t="shared" si="29"/>
        <v>7.8615835260494829E-2</v>
      </c>
      <c r="K58" s="2"/>
      <c r="L58" s="6">
        <f t="shared" si="30"/>
        <v>-32284.620000000003</v>
      </c>
      <c r="M58" s="2"/>
      <c r="N58" s="7">
        <f t="shared" si="31"/>
        <v>-0.83580210893333728</v>
      </c>
      <c r="O58" s="11"/>
      <c r="P58" s="6">
        <v>50356.5</v>
      </c>
      <c r="Q58" s="2"/>
      <c r="R58" s="7">
        <f t="shared" si="32"/>
        <v>6.844227082393109E-2</v>
      </c>
      <c r="S58" s="2"/>
      <c r="T58" s="6">
        <v>235631.57</v>
      </c>
      <c r="U58" s="2"/>
      <c r="V58" s="7">
        <f t="shared" si="33"/>
        <v>7.8165157681373013E-2</v>
      </c>
      <c r="W58" s="2"/>
      <c r="X58" s="6">
        <f t="shared" si="34"/>
        <v>-185275.07</v>
      </c>
      <c r="Y58" s="2"/>
      <c r="Z58" s="7">
        <f t="shared" si="35"/>
        <v>-0.78629137004010119</v>
      </c>
    </row>
    <row r="59" spans="1:26" s="25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87.740000000000009</v>
      </c>
      <c r="E59" s="1"/>
      <c r="F59" s="5">
        <f t="shared" si="28"/>
        <v>1.0365968056656265E-3</v>
      </c>
      <c r="G59" s="1"/>
      <c r="H59" s="1">
        <f>SUM(OSRRefH22_11x_0)</f>
        <v>517.83000000000004</v>
      </c>
      <c r="I59" s="1"/>
      <c r="J59" s="5">
        <f t="shared" si="29"/>
        <v>1.0539136366386728E-3</v>
      </c>
      <c r="K59" s="1"/>
      <c r="L59" s="1">
        <f t="shared" si="30"/>
        <v>-430.09000000000003</v>
      </c>
      <c r="M59" s="1"/>
      <c r="N59" s="5">
        <f t="shared" si="31"/>
        <v>-0.8305621536025336</v>
      </c>
      <c r="O59" s="13"/>
      <c r="P59" s="1">
        <f>SUM(OSRRefP22_11x_0)</f>
        <v>3353.95</v>
      </c>
      <c r="Q59" s="1"/>
      <c r="R59" s="5">
        <f t="shared" si="32"/>
        <v>4.5585367178005553E-3</v>
      </c>
      <c r="S59" s="1"/>
      <c r="T59" s="1">
        <f>SUM(OSRRefT22_11x_0)</f>
        <v>9316.14</v>
      </c>
      <c r="U59" s="1"/>
      <c r="V59" s="5">
        <f t="shared" si="33"/>
        <v>3.0904074190132771E-3</v>
      </c>
      <c r="W59" s="1"/>
      <c r="X59" s="1">
        <f t="shared" si="34"/>
        <v>-5962.19</v>
      </c>
      <c r="Y59" s="1"/>
      <c r="Z59" s="5">
        <f t="shared" si="35"/>
        <v>-0.63998501525309837</v>
      </c>
    </row>
    <row r="60" spans="1:26" s="24" customFormat="1" hidden="1" outlineLevel="2" x14ac:dyDescent="0.25">
      <c r="A60" s="26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/>
      <c r="Q60" s="2"/>
      <c r="R60" s="7">
        <f t="shared" si="32"/>
        <v>0</v>
      </c>
      <c r="S60" s="2"/>
      <c r="T60" s="6">
        <v>8238.75</v>
      </c>
      <c r="U60" s="2"/>
      <c r="V60" s="7">
        <f t="shared" si="33"/>
        <v>2.7330089633040761E-3</v>
      </c>
      <c r="W60" s="2"/>
      <c r="X60" s="6">
        <f t="shared" si="34"/>
        <v>-8238.75</v>
      </c>
      <c r="Y60" s="2"/>
      <c r="Z60" s="7">
        <f t="shared" si="35"/>
        <v>-1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6">
        <v>9.5399999999999991</v>
      </c>
      <c r="E61" s="2"/>
      <c r="F61" s="7">
        <f t="shared" si="28"/>
        <v>1.1270952274960195E-4</v>
      </c>
      <c r="G61" s="2"/>
      <c r="H61" s="6">
        <v>17.829999999999998</v>
      </c>
      <c r="I61" s="2"/>
      <c r="J61" s="7">
        <f t="shared" si="29"/>
        <v>3.6288511946522083E-5</v>
      </c>
      <c r="K61" s="2"/>
      <c r="L61" s="6">
        <f t="shared" si="30"/>
        <v>-8.2899999999999991</v>
      </c>
      <c r="M61" s="2"/>
      <c r="N61" s="7">
        <f t="shared" si="31"/>
        <v>-0.46494671901289958</v>
      </c>
      <c r="O61" s="11"/>
      <c r="P61" s="6">
        <v>1598.93</v>
      </c>
      <c r="Q61" s="2"/>
      <c r="R61" s="7">
        <f t="shared" si="32"/>
        <v>2.1731931347196121E-3</v>
      </c>
      <c r="S61" s="2"/>
      <c r="T61" s="6">
        <v>219.98</v>
      </c>
      <c r="U61" s="2"/>
      <c r="V61" s="7">
        <f t="shared" si="33"/>
        <v>7.297312234836967E-5</v>
      </c>
      <c r="W61" s="2"/>
      <c r="X61" s="6">
        <f t="shared" si="34"/>
        <v>1378.95</v>
      </c>
      <c r="Y61" s="2"/>
      <c r="Z61" s="7">
        <f t="shared" si="35"/>
        <v>6.2685244113101195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6">
        <v>78.2</v>
      </c>
      <c r="E62" s="2"/>
      <c r="F62" s="7">
        <f t="shared" si="28"/>
        <v>9.2388728291602456E-4</v>
      </c>
      <c r="G62" s="2"/>
      <c r="H62" s="6">
        <v>500</v>
      </c>
      <c r="I62" s="2"/>
      <c r="J62" s="7">
        <f t="shared" si="29"/>
        <v>1.0176251246921506E-3</v>
      </c>
      <c r="K62" s="2"/>
      <c r="L62" s="6">
        <f t="shared" si="30"/>
        <v>-421.8</v>
      </c>
      <c r="M62" s="2"/>
      <c r="N62" s="7">
        <f t="shared" si="31"/>
        <v>-0.84360000000000002</v>
      </c>
      <c r="O62" s="11"/>
      <c r="P62" s="6">
        <v>1755.02</v>
      </c>
      <c r="Q62" s="2"/>
      <c r="R62" s="7">
        <f t="shared" si="32"/>
        <v>2.3853435830809436E-3</v>
      </c>
      <c r="S62" s="2"/>
      <c r="T62" s="6">
        <v>857.41</v>
      </c>
      <c r="U62" s="2"/>
      <c r="V62" s="7">
        <f t="shared" si="33"/>
        <v>2.8442533336083117E-4</v>
      </c>
      <c r="W62" s="2"/>
      <c r="X62" s="6">
        <f t="shared" si="34"/>
        <v>897.61</v>
      </c>
      <c r="Y62" s="2"/>
      <c r="Z62" s="7">
        <f t="shared" si="35"/>
        <v>1.0468853873875976</v>
      </c>
    </row>
    <row r="63" spans="1:26" s="25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5542.82</v>
      </c>
      <c r="E63" s="1"/>
      <c r="F63" s="5">
        <f t="shared" ref="F63:F67" si="36">IF(D$12=0,0,D63/D$12)</f>
        <v>6.5485177870749353E-2</v>
      </c>
      <c r="G63" s="1"/>
      <c r="H63" s="1">
        <f>SUM(OSRRefH22_12x_0)</f>
        <v>6416.4000000000005</v>
      </c>
      <c r="I63" s="1"/>
      <c r="J63" s="5">
        <f t="shared" ref="J63:J67" si="37">IF(H$12=0,0,H63/H$12)</f>
        <v>1.3058979700149432E-2</v>
      </c>
      <c r="K63" s="1"/>
      <c r="L63" s="1">
        <f t="shared" ref="L63:L67" si="38">+D63-H63</f>
        <v>-873.58000000000084</v>
      </c>
      <c r="M63" s="1"/>
      <c r="N63" s="5">
        <f t="shared" ref="N63:N67" si="39">IF(H63=0,0,L63/H63)</f>
        <v>-0.13614799576086289</v>
      </c>
      <c r="O63" s="13"/>
      <c r="P63" s="1">
        <f>SUM(OSRRefP22_12x_0)</f>
        <v>38254.639999999999</v>
      </c>
      <c r="Q63" s="1"/>
      <c r="R63" s="5">
        <f t="shared" ref="R63:R67" si="40">IF(P$12=0,0,P63/P$12)</f>
        <v>5.199397160549258E-2</v>
      </c>
      <c r="S63" s="1"/>
      <c r="T63" s="1">
        <f>SUM(OSRRefT22_12x_0)</f>
        <v>48948.2</v>
      </c>
      <c r="U63" s="1"/>
      <c r="V63" s="5">
        <f t="shared" ref="V63:V67" si="41">IF(T$12=0,0,T63/T$12)</f>
        <v>1.623739879685639E-2</v>
      </c>
      <c r="W63" s="1"/>
      <c r="X63" s="1">
        <f t="shared" ref="X63:X67" si="42">+P63-T63</f>
        <v>-10693.559999999998</v>
      </c>
      <c r="Y63" s="1"/>
      <c r="Z63" s="5">
        <f t="shared" ref="Z63:Z67" si="43">IF(T63=0,0,X63/T63)</f>
        <v>-0.21846686905749341</v>
      </c>
    </row>
    <row r="64" spans="1:26" s="24" customFormat="1" hidden="1" outlineLevel="2" x14ac:dyDescent="0.25">
      <c r="A64" s="26"/>
      <c r="B64" s="11" t="str">
        <f>CONCATENATE("          ", "6282", " - ", "JANITORIAL/EXTERMINATOR EXPENS")</f>
        <v xml:space="preserve">          6282 - JANITORIAL/EXTERMINATOR EXPENS</v>
      </c>
      <c r="C64" s="11"/>
      <c r="D64" s="6">
        <v>421.34</v>
      </c>
      <c r="E64" s="2"/>
      <c r="F64" s="7">
        <f t="shared" si="36"/>
        <v>4.977885777286928E-3</v>
      </c>
      <c r="G64" s="2"/>
      <c r="H64" s="6">
        <v>842.68</v>
      </c>
      <c r="I64" s="2"/>
      <c r="J64" s="7">
        <f t="shared" si="37"/>
        <v>1.7150646801511627E-3</v>
      </c>
      <c r="K64" s="2"/>
      <c r="L64" s="6">
        <f t="shared" si="38"/>
        <v>-421.34</v>
      </c>
      <c r="M64" s="2"/>
      <c r="N64" s="7">
        <f t="shared" si="39"/>
        <v>-0.5</v>
      </c>
      <c r="O64" s="11"/>
      <c r="P64" s="6">
        <v>2817.42</v>
      </c>
      <c r="Q64" s="2"/>
      <c r="R64" s="7">
        <f t="shared" si="40"/>
        <v>3.8293094767261416E-3</v>
      </c>
      <c r="S64" s="2"/>
      <c r="T64" s="6">
        <v>3792.06</v>
      </c>
      <c r="U64" s="2"/>
      <c r="V64" s="7">
        <f t="shared" si="41"/>
        <v>1.2579255311044582E-3</v>
      </c>
      <c r="W64" s="2"/>
      <c r="X64" s="6">
        <f t="shared" si="42"/>
        <v>-974.63999999999987</v>
      </c>
      <c r="Y64" s="2"/>
      <c r="Z64" s="7">
        <f t="shared" si="43"/>
        <v>-0.2570212496637711</v>
      </c>
    </row>
    <row r="65" spans="1:26" s="24" customFormat="1" hidden="1" outlineLevel="2" x14ac:dyDescent="0.25">
      <c r="A65" s="26"/>
      <c r="B65" s="11" t="str">
        <f>CONCATENATE("          ", "6284", " - ", "TRASH REMOVAL EXPENSE")</f>
        <v xml:space="preserve">          6284 - TRASH REMOVAL EXPENSE</v>
      </c>
      <c r="C65" s="11"/>
      <c r="D65" s="6"/>
      <c r="E65" s="2"/>
      <c r="F65" s="7">
        <f t="shared" si="36"/>
        <v>0</v>
      </c>
      <c r="G65" s="2"/>
      <c r="H65" s="6"/>
      <c r="I65" s="2"/>
      <c r="J65" s="7">
        <f t="shared" si="37"/>
        <v>0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>
        <v>282.75</v>
      </c>
      <c r="Q65" s="2"/>
      <c r="R65" s="7">
        <f t="shared" si="40"/>
        <v>3.843009755536329E-4</v>
      </c>
      <c r="S65" s="2"/>
      <c r="T65" s="6"/>
      <c r="U65" s="2"/>
      <c r="V65" s="7">
        <f t="shared" si="41"/>
        <v>0</v>
      </c>
      <c r="W65" s="2"/>
      <c r="X65" s="6">
        <f t="shared" si="42"/>
        <v>282.75</v>
      </c>
      <c r="Y65" s="2"/>
      <c r="Z65" s="7">
        <f t="shared" si="43"/>
        <v>0</v>
      </c>
    </row>
    <row r="66" spans="1:26" s="24" customFormat="1" hidden="1" outlineLevel="2" x14ac:dyDescent="0.25">
      <c r="A66" s="26"/>
      <c r="B66" s="11" t="str">
        <f>CONCATENATE("          ", "6285", " - ", "JANITORIAL SERVICES")</f>
        <v xml:space="preserve">          6285 - JANITORIAL SERVICES</v>
      </c>
      <c r="C66" s="11"/>
      <c r="D66" s="6">
        <v>4468.33</v>
      </c>
      <c r="E66" s="2"/>
      <c r="F66" s="7">
        <f t="shared" si="36"/>
        <v>5.2790706686344759E-2</v>
      </c>
      <c r="G66" s="2"/>
      <c r="H66" s="6">
        <v>4194.1000000000004</v>
      </c>
      <c r="I66" s="2"/>
      <c r="J66" s="7">
        <f t="shared" si="37"/>
        <v>8.536043070942698E-3</v>
      </c>
      <c r="K66" s="2"/>
      <c r="L66" s="6">
        <f t="shared" si="38"/>
        <v>274.22999999999956</v>
      </c>
      <c r="M66" s="2"/>
      <c r="N66" s="7">
        <f t="shared" si="39"/>
        <v>6.5384707088529018E-2</v>
      </c>
      <c r="O66" s="11"/>
      <c r="P66" s="6">
        <v>29139.289999999997</v>
      </c>
      <c r="Q66" s="2"/>
      <c r="R66" s="7">
        <f t="shared" si="40"/>
        <v>3.9604801322511825E-2</v>
      </c>
      <c r="S66" s="2"/>
      <c r="T66" s="6">
        <v>34542.720000000001</v>
      </c>
      <c r="U66" s="2"/>
      <c r="V66" s="7">
        <f t="shared" si="41"/>
        <v>1.1458724124036168E-2</v>
      </c>
      <c r="W66" s="2"/>
      <c r="X66" s="6">
        <f t="shared" si="42"/>
        <v>-5403.4300000000039</v>
      </c>
      <c r="Y66" s="2"/>
      <c r="Z66" s="7">
        <f t="shared" si="43"/>
        <v>-0.15642746141589323</v>
      </c>
    </row>
    <row r="67" spans="1:26" s="24" customFormat="1" hidden="1" outlineLevel="2" x14ac:dyDescent="0.25">
      <c r="A67" s="26"/>
      <c r="B67" s="11" t="str">
        <f>CONCATENATE("          ", "6286", " - ", "LAUNDRY EXPENSE")</f>
        <v xml:space="preserve">          6286 - LAUNDRY EXPENSE</v>
      </c>
      <c r="C67" s="11"/>
      <c r="D67" s="6">
        <v>653.15</v>
      </c>
      <c r="E67" s="2"/>
      <c r="F67" s="7">
        <f t="shared" si="36"/>
        <v>7.7165854071176649E-3</v>
      </c>
      <c r="G67" s="2"/>
      <c r="H67" s="6">
        <v>1379.62</v>
      </c>
      <c r="I67" s="2"/>
      <c r="J67" s="7">
        <f t="shared" si="37"/>
        <v>2.8078719490555694E-3</v>
      </c>
      <c r="K67" s="2"/>
      <c r="L67" s="6">
        <f t="shared" si="38"/>
        <v>-726.46999999999991</v>
      </c>
      <c r="M67" s="2"/>
      <c r="N67" s="7">
        <f t="shared" si="39"/>
        <v>-0.52657253446601238</v>
      </c>
      <c r="O67" s="11"/>
      <c r="P67" s="6">
        <v>6015.18</v>
      </c>
      <c r="Q67" s="2"/>
      <c r="R67" s="7">
        <f t="shared" si="40"/>
        <v>8.1755598307009791E-3</v>
      </c>
      <c r="S67" s="2"/>
      <c r="T67" s="6">
        <v>10613.42</v>
      </c>
      <c r="U67" s="2"/>
      <c r="V67" s="7">
        <f t="shared" si="41"/>
        <v>3.5207491417157638E-3</v>
      </c>
      <c r="W67" s="2"/>
      <c r="X67" s="6">
        <f t="shared" si="42"/>
        <v>-4598.24</v>
      </c>
      <c r="Y67" s="2"/>
      <c r="Z67" s="7">
        <f t="shared" si="43"/>
        <v>-0.43324771845456034</v>
      </c>
    </row>
    <row r="68" spans="1:26" s="25" customFormat="1" outlineLevel="1" collapsed="1" x14ac:dyDescent="0.25">
      <c r="A68" s="27"/>
      <c r="B68" s="13" t="str">
        <f>CONCATENATE("     ","Subscriptions &amp; Dues                              ")</f>
        <v xml:space="preserve">     Subscriptions &amp; Dues                              </v>
      </c>
      <c r="C68" s="13"/>
      <c r="D68" s="1">
        <f>SUM(OSRRefD22_13x_0)</f>
        <v>0</v>
      </c>
      <c r="E68" s="1"/>
      <c r="F68" s="5">
        <f t="shared" ref="F68:F79" si="44">IF(D$12=0,0,D68/D$12)</f>
        <v>0</v>
      </c>
      <c r="G68" s="1"/>
      <c r="H68" s="1">
        <f>SUM(OSRRefH22_13x_0)</f>
        <v>0</v>
      </c>
      <c r="I68" s="1"/>
      <c r="J68" s="5">
        <f t="shared" ref="J68:J79" si="45">IF(H$12=0,0,H68/H$12)</f>
        <v>0</v>
      </c>
      <c r="K68" s="1"/>
      <c r="L68" s="1">
        <f t="shared" ref="L68:L79" si="46">+D68-H68</f>
        <v>0</v>
      </c>
      <c r="M68" s="1"/>
      <c r="N68" s="5">
        <f t="shared" ref="N68:N79" si="47">IF(H68=0,0,L68/H68)</f>
        <v>0</v>
      </c>
      <c r="O68" s="13"/>
      <c r="P68" s="1">
        <f>SUM(OSRRefP22_13x_0)</f>
        <v>795</v>
      </c>
      <c r="Q68" s="1"/>
      <c r="R68" s="5">
        <f t="shared" ref="R68:R79" si="48">IF(P$12=0,0,P68/P$12)</f>
        <v>1.0805279418749361E-3</v>
      </c>
      <c r="S68" s="1"/>
      <c r="T68" s="1">
        <f>SUM(OSRRefT22_13x_0)</f>
        <v>0</v>
      </c>
      <c r="U68" s="1"/>
      <c r="V68" s="5">
        <f t="shared" ref="V68:V79" si="49">IF(T$12=0,0,T68/T$12)</f>
        <v>0</v>
      </c>
      <c r="W68" s="1"/>
      <c r="X68" s="1">
        <f t="shared" ref="X68:X79" si="50">+P68-T68</f>
        <v>795</v>
      </c>
      <c r="Y68" s="1"/>
      <c r="Z68" s="5">
        <f t="shared" ref="Z68:Z79" si="51">IF(T68=0,0,X68/T68)</f>
        <v>0</v>
      </c>
    </row>
    <row r="69" spans="1:26" s="24" customFormat="1" hidden="1" outlineLevel="2" x14ac:dyDescent="0.25">
      <c r="A69" s="26"/>
      <c r="B69" s="11" t="str">
        <f>CONCATENATE("          ", "6258", " - ", "MEMBERSHIP DUES")</f>
        <v xml:space="preserve">          6258 - MEMBERSHIP DUES</v>
      </c>
      <c r="C69" s="11"/>
      <c r="D69" s="6"/>
      <c r="E69" s="2"/>
      <c r="F69" s="7">
        <f t="shared" si="44"/>
        <v>0</v>
      </c>
      <c r="G69" s="2"/>
      <c r="H69" s="6"/>
      <c r="I69" s="2"/>
      <c r="J69" s="7">
        <f t="shared" si="45"/>
        <v>0</v>
      </c>
      <c r="K69" s="2"/>
      <c r="L69" s="6">
        <f t="shared" si="46"/>
        <v>0</v>
      </c>
      <c r="M69" s="2"/>
      <c r="N69" s="7">
        <f t="shared" si="47"/>
        <v>0</v>
      </c>
      <c r="O69" s="11"/>
      <c r="P69" s="6">
        <v>795</v>
      </c>
      <c r="Q69" s="2"/>
      <c r="R69" s="7">
        <f t="shared" si="48"/>
        <v>1.0805279418749361E-3</v>
      </c>
      <c r="S69" s="2"/>
      <c r="T69" s="6"/>
      <c r="U69" s="2"/>
      <c r="V69" s="7">
        <f t="shared" si="49"/>
        <v>0</v>
      </c>
      <c r="W69" s="2"/>
      <c r="X69" s="6">
        <f t="shared" si="50"/>
        <v>795</v>
      </c>
      <c r="Y69" s="2"/>
      <c r="Z69" s="7">
        <f t="shared" si="51"/>
        <v>0</v>
      </c>
    </row>
    <row r="70" spans="1:26" s="25" customFormat="1" outlineLevel="1" collapsed="1" x14ac:dyDescent="0.25">
      <c r="A70" s="27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SUM(OSRRefD22_14x_0)</f>
        <v>12072.349999999999</v>
      </c>
      <c r="E70" s="1"/>
      <c r="F70" s="5">
        <f t="shared" si="44"/>
        <v>0.14262775754362234</v>
      </c>
      <c r="G70" s="1"/>
      <c r="H70" s="1">
        <f>SUM(OSRRefH22_14x_0)</f>
        <v>8154.1</v>
      </c>
      <c r="I70" s="1"/>
      <c r="J70" s="5">
        <f t="shared" si="45"/>
        <v>1.6595634058504529E-2</v>
      </c>
      <c r="K70" s="1"/>
      <c r="L70" s="1">
        <f t="shared" si="46"/>
        <v>3918.2499999999982</v>
      </c>
      <c r="M70" s="1"/>
      <c r="N70" s="5">
        <f t="shared" si="47"/>
        <v>0.48052513459486612</v>
      </c>
      <c r="O70" s="13"/>
      <c r="P70" s="1">
        <f>SUM(OSRRefP22_14x_0)</f>
        <v>97449.680000000008</v>
      </c>
      <c r="Q70" s="1"/>
      <c r="R70" s="5">
        <f t="shared" si="48"/>
        <v>0.13244918511543538</v>
      </c>
      <c r="S70" s="1"/>
      <c r="T70" s="1">
        <f>SUM(OSRRefT22_14x_0)</f>
        <v>71769.97</v>
      </c>
      <c r="U70" s="1"/>
      <c r="V70" s="5">
        <f t="shared" si="49"/>
        <v>2.3807977096776168E-2</v>
      </c>
      <c r="W70" s="1"/>
      <c r="X70" s="1">
        <f t="shared" si="50"/>
        <v>25679.710000000006</v>
      </c>
      <c r="Y70" s="1"/>
      <c r="Z70" s="5">
        <f t="shared" si="51"/>
        <v>0.3578057786564493</v>
      </c>
    </row>
    <row r="71" spans="1:26" s="24" customFormat="1" hidden="1" outlineLevel="2" x14ac:dyDescent="0.25">
      <c r="A71" s="26"/>
      <c r="B71" s="11" t="str">
        <f>CONCATENATE("          ", "6234", " - ", "EXPENDABLE SUPPLIES &amp; EQUIPMEN")</f>
        <v xml:space="preserve">          6234 - EXPENDABLE SUPPLIES &amp; EQUIPMEN</v>
      </c>
      <c r="C71" s="11"/>
      <c r="D71" s="6"/>
      <c r="E71" s="2"/>
      <c r="F71" s="7">
        <f t="shared" si="44"/>
        <v>0</v>
      </c>
      <c r="G71" s="2"/>
      <c r="H71" s="6">
        <v>18.34</v>
      </c>
      <c r="I71" s="2"/>
      <c r="J71" s="7">
        <f t="shared" si="45"/>
        <v>3.7326489573708086E-5</v>
      </c>
      <c r="K71" s="2"/>
      <c r="L71" s="6">
        <f t="shared" si="46"/>
        <v>-18.34</v>
      </c>
      <c r="M71" s="2"/>
      <c r="N71" s="7">
        <f t="shared" si="47"/>
        <v>-1</v>
      </c>
      <c r="O71" s="11"/>
      <c r="P71" s="6"/>
      <c r="Q71" s="2"/>
      <c r="R71" s="7">
        <f t="shared" si="48"/>
        <v>0</v>
      </c>
      <c r="S71" s="2"/>
      <c r="T71" s="6">
        <v>118.34</v>
      </c>
      <c r="U71" s="2"/>
      <c r="V71" s="7">
        <f t="shared" si="49"/>
        <v>3.9256474673634273E-5</v>
      </c>
      <c r="W71" s="2"/>
      <c r="X71" s="6">
        <f t="shared" si="50"/>
        <v>-118.34</v>
      </c>
      <c r="Y71" s="2"/>
      <c r="Z71" s="7">
        <f t="shared" si="51"/>
        <v>-1</v>
      </c>
    </row>
    <row r="72" spans="1:26" s="24" customFormat="1" hidden="1" outlineLevel="2" x14ac:dyDescent="0.25">
      <c r="A72" s="26"/>
      <c r="B72" s="11" t="str">
        <f>CONCATENATE("          ", "6235", " - ", "COVID-19 EXPENSES")</f>
        <v xml:space="preserve">          6235 - COVID-19 EXPENSES</v>
      </c>
      <c r="C72" s="11"/>
      <c r="D72" s="6">
        <v>2921.2</v>
      </c>
      <c r="E72" s="2"/>
      <c r="F72" s="7">
        <f t="shared" si="44"/>
        <v>3.4512270215528017E-2</v>
      </c>
      <c r="G72" s="2"/>
      <c r="H72" s="6"/>
      <c r="I72" s="2"/>
      <c r="J72" s="7">
        <f t="shared" si="45"/>
        <v>0</v>
      </c>
      <c r="K72" s="2"/>
      <c r="L72" s="6">
        <f t="shared" si="46"/>
        <v>2921.2</v>
      </c>
      <c r="M72" s="2"/>
      <c r="N72" s="7">
        <f t="shared" si="47"/>
        <v>0</v>
      </c>
      <c r="O72" s="11"/>
      <c r="P72" s="6">
        <v>47255.270000000004</v>
      </c>
      <c r="Q72" s="2"/>
      <c r="R72" s="7">
        <f t="shared" si="48"/>
        <v>6.4227219667728819E-2</v>
      </c>
      <c r="S72" s="2"/>
      <c r="T72" s="6"/>
      <c r="U72" s="2"/>
      <c r="V72" s="7">
        <f t="shared" si="49"/>
        <v>0</v>
      </c>
      <c r="W72" s="2"/>
      <c r="X72" s="6">
        <f t="shared" si="50"/>
        <v>47255.270000000004</v>
      </c>
      <c r="Y72" s="2"/>
      <c r="Z72" s="7">
        <f t="shared" si="51"/>
        <v>0</v>
      </c>
    </row>
    <row r="73" spans="1:26" s="24" customFormat="1" hidden="1" outlineLevel="2" x14ac:dyDescent="0.25">
      <c r="A73" s="26"/>
      <c r="B73" s="11" t="str">
        <f>CONCATENATE("          ", "6237", " - ", "JANITORIAL SUPPLIES")</f>
        <v xml:space="preserve">          6237 - JANITORIAL SUPPLIES</v>
      </c>
      <c r="C73" s="11"/>
      <c r="D73" s="6">
        <v>648.99</v>
      </c>
      <c r="E73" s="2"/>
      <c r="F73" s="7">
        <f t="shared" si="44"/>
        <v>7.667437439126225E-3</v>
      </c>
      <c r="G73" s="2"/>
      <c r="H73" s="6">
        <v>4261.6400000000003</v>
      </c>
      <c r="I73" s="2"/>
      <c r="J73" s="7">
        <f t="shared" si="45"/>
        <v>8.6735038727861133E-3</v>
      </c>
      <c r="K73" s="2"/>
      <c r="L73" s="6">
        <f t="shared" si="46"/>
        <v>-3612.6500000000005</v>
      </c>
      <c r="M73" s="2"/>
      <c r="N73" s="7">
        <f t="shared" si="47"/>
        <v>-0.84771355628349654</v>
      </c>
      <c r="O73" s="11"/>
      <c r="P73" s="6">
        <v>13194.87</v>
      </c>
      <c r="Q73" s="2"/>
      <c r="R73" s="7">
        <f t="shared" si="48"/>
        <v>1.7933868835732503E-2</v>
      </c>
      <c r="S73" s="2"/>
      <c r="T73" s="6">
        <v>30884.41</v>
      </c>
      <c r="U73" s="2"/>
      <c r="V73" s="7">
        <f t="shared" si="49"/>
        <v>1.0245166967848041E-2</v>
      </c>
      <c r="W73" s="2"/>
      <c r="X73" s="6">
        <f t="shared" si="50"/>
        <v>-17689.54</v>
      </c>
      <c r="Y73" s="2"/>
      <c r="Z73" s="7">
        <f t="shared" si="51"/>
        <v>-0.57276600071039085</v>
      </c>
    </row>
    <row r="74" spans="1:26" s="24" customFormat="1" hidden="1" outlineLevel="2" x14ac:dyDescent="0.25">
      <c r="A74" s="26"/>
      <c r="B74" s="11" t="str">
        <f>CONCATENATE("          ", "6239", " - ", "KITCHEN SUPPLIES")</f>
        <v xml:space="preserve">          6239 - KITCHEN SUPPLIES</v>
      </c>
      <c r="C74" s="11"/>
      <c r="D74" s="6">
        <v>253.3</v>
      </c>
      <c r="E74" s="2"/>
      <c r="F74" s="7">
        <f t="shared" si="44"/>
        <v>2.9925914164019058E-3</v>
      </c>
      <c r="G74" s="2"/>
      <c r="H74" s="6">
        <v>483.7</v>
      </c>
      <c r="I74" s="2"/>
      <c r="J74" s="7">
        <f t="shared" si="45"/>
        <v>9.8445054562718644E-4</v>
      </c>
      <c r="K74" s="2"/>
      <c r="L74" s="6">
        <f t="shared" si="46"/>
        <v>-230.39999999999998</v>
      </c>
      <c r="M74" s="2"/>
      <c r="N74" s="7">
        <f t="shared" si="47"/>
        <v>-0.47632830266694226</v>
      </c>
      <c r="O74" s="11"/>
      <c r="P74" s="6">
        <v>6016.26</v>
      </c>
      <c r="Q74" s="2"/>
      <c r="R74" s="7">
        <f t="shared" si="48"/>
        <v>8.1770277177163567E-3</v>
      </c>
      <c r="S74" s="2"/>
      <c r="T74" s="6">
        <v>16554.400000000001</v>
      </c>
      <c r="U74" s="2"/>
      <c r="V74" s="7">
        <f t="shared" si="49"/>
        <v>5.4915276688964959E-3</v>
      </c>
      <c r="W74" s="2"/>
      <c r="X74" s="6">
        <f t="shared" si="50"/>
        <v>-10538.140000000001</v>
      </c>
      <c r="Y74" s="2"/>
      <c r="Z74" s="7">
        <f t="shared" si="51"/>
        <v>-0.63657637848547821</v>
      </c>
    </row>
    <row r="75" spans="1:26" s="24" customFormat="1" hidden="1" outlineLevel="2" x14ac:dyDescent="0.25">
      <c r="A75" s="26"/>
      <c r="B75" s="11" t="str">
        <f>CONCATENATE("          ", "6241", " - ", "OFFICE EXPENSE")</f>
        <v xml:space="preserve">          6241 - OFFICE EXPENSE</v>
      </c>
      <c r="C75" s="11"/>
      <c r="D75" s="6">
        <v>1048.1199999999999</v>
      </c>
      <c r="E75" s="2"/>
      <c r="F75" s="7">
        <f t="shared" si="44"/>
        <v>1.2382925050766541E-2</v>
      </c>
      <c r="G75" s="2"/>
      <c r="H75" s="6">
        <v>262.63</v>
      </c>
      <c r="I75" s="2"/>
      <c r="J75" s="7">
        <f t="shared" si="45"/>
        <v>5.3451777299579897E-4</v>
      </c>
      <c r="K75" s="2"/>
      <c r="L75" s="6">
        <f t="shared" si="46"/>
        <v>785.4899999999999</v>
      </c>
      <c r="M75" s="2"/>
      <c r="N75" s="7">
        <f t="shared" si="47"/>
        <v>2.9908616685070246</v>
      </c>
      <c r="O75" s="11"/>
      <c r="P75" s="6">
        <v>5238.75</v>
      </c>
      <c r="Q75" s="2"/>
      <c r="R75" s="7">
        <f t="shared" si="48"/>
        <v>7.1202713905626682E-3</v>
      </c>
      <c r="S75" s="2"/>
      <c r="T75" s="6">
        <v>3084.48</v>
      </c>
      <c r="U75" s="2"/>
      <c r="V75" s="7">
        <f t="shared" si="49"/>
        <v>1.0232027294349456E-3</v>
      </c>
      <c r="W75" s="2"/>
      <c r="X75" s="6">
        <f t="shared" si="50"/>
        <v>2154.27</v>
      </c>
      <c r="Y75" s="2"/>
      <c r="Z75" s="7">
        <f t="shared" si="51"/>
        <v>0.69842242452536574</v>
      </c>
    </row>
    <row r="76" spans="1:26" s="24" customFormat="1" hidden="1" outlineLevel="2" x14ac:dyDescent="0.25">
      <c r="A76" s="26"/>
      <c r="B76" s="11" t="str">
        <f>CONCATENATE("          ", "6243", " - ", "PAPER SUPPLIES")</f>
        <v xml:space="preserve">          6243 - PAPER SUPPLIES</v>
      </c>
      <c r="C76" s="11"/>
      <c r="D76" s="6">
        <v>7200.74</v>
      </c>
      <c r="E76" s="2"/>
      <c r="F76" s="7">
        <f t="shared" si="44"/>
        <v>8.507253342179967E-2</v>
      </c>
      <c r="G76" s="2"/>
      <c r="H76" s="6">
        <v>3127.79</v>
      </c>
      <c r="I76" s="2"/>
      <c r="J76" s="7">
        <f t="shared" si="45"/>
        <v>6.3658353775217233E-3</v>
      </c>
      <c r="K76" s="2"/>
      <c r="L76" s="6">
        <f t="shared" si="46"/>
        <v>4072.95</v>
      </c>
      <c r="M76" s="2"/>
      <c r="N76" s="7">
        <f t="shared" si="47"/>
        <v>1.302181412434978</v>
      </c>
      <c r="O76" s="11"/>
      <c r="P76" s="6">
        <v>21243.94</v>
      </c>
      <c r="Q76" s="2"/>
      <c r="R76" s="7">
        <f t="shared" si="48"/>
        <v>2.8873799705049847E-2</v>
      </c>
      <c r="S76" s="2"/>
      <c r="T76" s="6">
        <v>17965.550000000003</v>
      </c>
      <c r="U76" s="2"/>
      <c r="V76" s="7">
        <f t="shared" si="49"/>
        <v>5.9596430503034504E-3</v>
      </c>
      <c r="W76" s="2"/>
      <c r="X76" s="6">
        <f t="shared" si="50"/>
        <v>3278.3899999999958</v>
      </c>
      <c r="Y76" s="2"/>
      <c r="Z76" s="7">
        <f t="shared" si="51"/>
        <v>0.18248202810378727</v>
      </c>
    </row>
    <row r="77" spans="1:26" s="24" customFormat="1" hidden="1" outlineLevel="2" x14ac:dyDescent="0.25">
      <c r="A77" s="26"/>
      <c r="B77" s="11" t="str">
        <f>CONCATENATE("          ", "6245", " - ", "PRINTING")</f>
        <v xml:space="preserve">          6245 - PRINTING</v>
      </c>
      <c r="C77" s="11"/>
      <c r="D77" s="6"/>
      <c r="E77" s="2"/>
      <c r="F77" s="7">
        <f t="shared" si="44"/>
        <v>0</v>
      </c>
      <c r="G77" s="2"/>
      <c r="H77" s="6"/>
      <c r="I77" s="2"/>
      <c r="J77" s="7">
        <f t="shared" si="45"/>
        <v>0</v>
      </c>
      <c r="K77" s="2"/>
      <c r="L77" s="6">
        <f t="shared" si="46"/>
        <v>0</v>
      </c>
      <c r="M77" s="2"/>
      <c r="N77" s="7">
        <f t="shared" si="47"/>
        <v>0</v>
      </c>
      <c r="O77" s="11"/>
      <c r="P77" s="6"/>
      <c r="Q77" s="2"/>
      <c r="R77" s="7">
        <f t="shared" si="48"/>
        <v>0</v>
      </c>
      <c r="S77" s="2"/>
      <c r="T77" s="6">
        <v>441</v>
      </c>
      <c r="U77" s="2"/>
      <c r="V77" s="7">
        <f t="shared" si="49"/>
        <v>1.4629123991104204E-4</v>
      </c>
      <c r="W77" s="2"/>
      <c r="X77" s="6">
        <f t="shared" si="50"/>
        <v>-441</v>
      </c>
      <c r="Y77" s="2"/>
      <c r="Z77" s="7">
        <f t="shared" si="51"/>
        <v>-1</v>
      </c>
    </row>
    <row r="78" spans="1:26" s="24" customFormat="1" hidden="1" outlineLevel="2" x14ac:dyDescent="0.25">
      <c r="A78" s="26"/>
      <c r="B78" s="11" t="str">
        <f>CONCATENATE("          ", "6247", " - ", "STORE SUPPLIES")</f>
        <v xml:space="preserve">          6247 - STORE SUPPLIES</v>
      </c>
      <c r="C78" s="11"/>
      <c r="D78" s="6"/>
      <c r="E78" s="2"/>
      <c r="F78" s="7">
        <f t="shared" si="44"/>
        <v>0</v>
      </c>
      <c r="G78" s="2"/>
      <c r="H78" s="6"/>
      <c r="I78" s="2"/>
      <c r="J78" s="7">
        <f t="shared" si="45"/>
        <v>0</v>
      </c>
      <c r="K78" s="2"/>
      <c r="L78" s="6">
        <f t="shared" si="46"/>
        <v>0</v>
      </c>
      <c r="M78" s="2"/>
      <c r="N78" s="7">
        <f t="shared" si="47"/>
        <v>0</v>
      </c>
      <c r="O78" s="11"/>
      <c r="P78" s="6"/>
      <c r="Q78" s="2"/>
      <c r="R78" s="7">
        <f t="shared" si="48"/>
        <v>0</v>
      </c>
      <c r="S78" s="2"/>
      <c r="T78" s="6">
        <v>153.87</v>
      </c>
      <c r="U78" s="2"/>
      <c r="V78" s="7">
        <f t="shared" si="49"/>
        <v>5.1042705408417324E-5</v>
      </c>
      <c r="W78" s="2"/>
      <c r="X78" s="6">
        <f t="shared" si="50"/>
        <v>-153.87</v>
      </c>
      <c r="Y78" s="2"/>
      <c r="Z78" s="7">
        <f t="shared" si="51"/>
        <v>-1</v>
      </c>
    </row>
    <row r="79" spans="1:26" s="24" customFormat="1" hidden="1" outlineLevel="2" x14ac:dyDescent="0.25">
      <c r="A79" s="26"/>
      <c r="B79" s="11" t="str">
        <f>CONCATENATE("          ", "6248", " - ", "UNIFORMS")</f>
        <v xml:space="preserve">          6248 - UNIFORMS</v>
      </c>
      <c r="C79" s="11"/>
      <c r="D79" s="6"/>
      <c r="E79" s="2"/>
      <c r="F79" s="7">
        <f t="shared" si="44"/>
        <v>0</v>
      </c>
      <c r="G79" s="2"/>
      <c r="H79" s="6"/>
      <c r="I79" s="2"/>
      <c r="J79" s="7">
        <f t="shared" si="45"/>
        <v>0</v>
      </c>
      <c r="K79" s="2"/>
      <c r="L79" s="6">
        <f t="shared" si="46"/>
        <v>0</v>
      </c>
      <c r="M79" s="2"/>
      <c r="N79" s="7">
        <f t="shared" si="47"/>
        <v>0</v>
      </c>
      <c r="O79" s="11"/>
      <c r="P79" s="6">
        <v>4500.59</v>
      </c>
      <c r="Q79" s="2"/>
      <c r="R79" s="7">
        <f t="shared" si="48"/>
        <v>6.1169977986451803E-3</v>
      </c>
      <c r="S79" s="2"/>
      <c r="T79" s="6">
        <v>2567.92</v>
      </c>
      <c r="U79" s="2"/>
      <c r="V79" s="7">
        <f t="shared" si="49"/>
        <v>8.5184626030014306E-4</v>
      </c>
      <c r="W79" s="2"/>
      <c r="X79" s="6">
        <f t="shared" si="50"/>
        <v>1932.67</v>
      </c>
      <c r="Y79" s="2"/>
      <c r="Z79" s="7">
        <f t="shared" si="51"/>
        <v>0.75262079815570582</v>
      </c>
    </row>
    <row r="80" spans="1:26" s="25" customFormat="1" outlineLevel="1" collapsed="1" x14ac:dyDescent="0.25">
      <c r="A80" s="27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SUM(OSRRefD22_15x_0)</f>
        <v>159</v>
      </c>
      <c r="E80" s="1"/>
      <c r="F80" s="5">
        <f t="shared" ref="F80:F85" si="52">IF(D$12=0,0,D80/D$12)</f>
        <v>1.8784920458266995E-3</v>
      </c>
      <c r="G80" s="1"/>
      <c r="H80" s="1">
        <f>SUM(OSRRefH22_15x_0)</f>
        <v>260.89999999999998</v>
      </c>
      <c r="I80" s="1"/>
      <c r="J80" s="5">
        <f t="shared" ref="J80:J85" si="53">IF(H$12=0,0,H80/H$12)</f>
        <v>5.3099679006436413E-4</v>
      </c>
      <c r="K80" s="1"/>
      <c r="L80" s="1">
        <f t="shared" ref="L80:L85" si="54">+D80-H80</f>
        <v>-101.89999999999998</v>
      </c>
      <c r="M80" s="1"/>
      <c r="N80" s="5">
        <f t="shared" ref="N80:N85" si="55">IF(H80=0,0,L80/H80)</f>
        <v>-0.39057110003832879</v>
      </c>
      <c r="O80" s="13"/>
      <c r="P80" s="1">
        <f>SUM(OSRRefP22_15x_0)</f>
        <v>2023</v>
      </c>
      <c r="Q80" s="1"/>
      <c r="R80" s="5">
        <f t="shared" ref="R80:R85" si="56">IF(P$12=0,0,P80/P$12)</f>
        <v>2.7495698445446485E-3</v>
      </c>
      <c r="S80" s="1"/>
      <c r="T80" s="1">
        <f>SUM(OSRRefT22_15x_0)</f>
        <v>2489.1999999999998</v>
      </c>
      <c r="U80" s="1"/>
      <c r="V80" s="5">
        <f t="shared" ref="V80:V85" si="57">IF(T$12=0,0,T80/T$12)</f>
        <v>8.2573277638677055E-4</v>
      </c>
      <c r="W80" s="1"/>
      <c r="X80" s="1">
        <f t="shared" ref="X80:X85" si="58">+P80-T80</f>
        <v>-466.19999999999982</v>
      </c>
      <c r="Y80" s="1"/>
      <c r="Z80" s="5">
        <f t="shared" ref="Z80:Z85" si="59">IF(T80=0,0,X80/T80)</f>
        <v>-0.18728908886389195</v>
      </c>
    </row>
    <row r="81" spans="1:26" s="24" customFormat="1" hidden="1" outlineLevel="2" x14ac:dyDescent="0.25">
      <c r="A81" s="26"/>
      <c r="B81" s="11" t="str">
        <f>CONCATENATE("          ", "6309", " - ", "TELEPHONE")</f>
        <v xml:space="preserve">          6309 - TELEPHONE</v>
      </c>
      <c r="C81" s="11"/>
      <c r="D81" s="6">
        <v>159</v>
      </c>
      <c r="E81" s="2"/>
      <c r="F81" s="7">
        <f t="shared" si="52"/>
        <v>1.8784920458266995E-3</v>
      </c>
      <c r="G81" s="2"/>
      <c r="H81" s="6">
        <v>260.89999999999998</v>
      </c>
      <c r="I81" s="2"/>
      <c r="J81" s="7">
        <f t="shared" si="53"/>
        <v>5.3099679006436413E-4</v>
      </c>
      <c r="K81" s="2"/>
      <c r="L81" s="6">
        <f t="shared" si="54"/>
        <v>-101.89999999999998</v>
      </c>
      <c r="M81" s="2"/>
      <c r="N81" s="7">
        <f t="shared" si="55"/>
        <v>-0.39057110003832879</v>
      </c>
      <c r="O81" s="11"/>
      <c r="P81" s="6">
        <v>2023</v>
      </c>
      <c r="Q81" s="2"/>
      <c r="R81" s="7">
        <f t="shared" si="56"/>
        <v>2.7495698445446485E-3</v>
      </c>
      <c r="S81" s="2"/>
      <c r="T81" s="6">
        <v>2489.1999999999998</v>
      </c>
      <c r="U81" s="2"/>
      <c r="V81" s="7">
        <f t="shared" si="57"/>
        <v>8.2573277638677055E-4</v>
      </c>
      <c r="W81" s="2"/>
      <c r="X81" s="6">
        <f t="shared" si="58"/>
        <v>-466.19999999999982</v>
      </c>
      <c r="Y81" s="2"/>
      <c r="Z81" s="7">
        <f t="shared" si="59"/>
        <v>-0.18728908886389195</v>
      </c>
    </row>
    <row r="82" spans="1:26" s="25" customFormat="1" outlineLevel="1" collapsed="1" x14ac:dyDescent="0.25">
      <c r="A82" s="27"/>
      <c r="B82" s="13" t="str">
        <f>CONCATENATE("     ","Training                                          ")</f>
        <v xml:space="preserve">     Training                                          </v>
      </c>
      <c r="C82" s="13"/>
      <c r="D82" s="1">
        <f>SUM(OSRRefD22_16x_0)</f>
        <v>0</v>
      </c>
      <c r="E82" s="1"/>
      <c r="F82" s="5">
        <f t="shared" si="52"/>
        <v>0</v>
      </c>
      <c r="G82" s="1"/>
      <c r="H82" s="1">
        <f>SUM(OSRRefH22_16x_0)</f>
        <v>201.11</v>
      </c>
      <c r="I82" s="1"/>
      <c r="J82" s="5">
        <f t="shared" si="53"/>
        <v>4.0930917765367682E-4</v>
      </c>
      <c r="K82" s="1"/>
      <c r="L82" s="1">
        <f t="shared" si="54"/>
        <v>-201.11</v>
      </c>
      <c r="M82" s="1"/>
      <c r="N82" s="5">
        <f t="shared" si="55"/>
        <v>-1</v>
      </c>
      <c r="O82" s="13"/>
      <c r="P82" s="1">
        <f>SUM(OSRRefP22_16x_0)</f>
        <v>735</v>
      </c>
      <c r="Q82" s="1"/>
      <c r="R82" s="5">
        <f t="shared" si="56"/>
        <v>9.9897866324286533E-4</v>
      </c>
      <c r="S82" s="1"/>
      <c r="T82" s="1">
        <f>SUM(OSRRefT22_16x_0)</f>
        <v>1112.43</v>
      </c>
      <c r="U82" s="1"/>
      <c r="V82" s="5">
        <f t="shared" si="57"/>
        <v>3.6902214062186056E-4</v>
      </c>
      <c r="W82" s="1"/>
      <c r="X82" s="1">
        <f t="shared" si="58"/>
        <v>-377.43000000000006</v>
      </c>
      <c r="Y82" s="1"/>
      <c r="Z82" s="5">
        <f t="shared" si="59"/>
        <v>-0.33928426957201807</v>
      </c>
    </row>
    <row r="83" spans="1:26" s="24" customFormat="1" hidden="1" outlineLevel="2" x14ac:dyDescent="0.25">
      <c r="A83" s="26"/>
      <c r="B83" s="11" t="str">
        <f>CONCATENATE("          ", "6376", " - ", "TRAINING")</f>
        <v xml:space="preserve">          6376 - TRAINING</v>
      </c>
      <c r="C83" s="11"/>
      <c r="D83" s="6"/>
      <c r="E83" s="2"/>
      <c r="F83" s="7">
        <f t="shared" si="52"/>
        <v>0</v>
      </c>
      <c r="G83" s="2"/>
      <c r="H83" s="6">
        <v>201.11</v>
      </c>
      <c r="I83" s="2"/>
      <c r="J83" s="7">
        <f t="shared" si="53"/>
        <v>4.0930917765367682E-4</v>
      </c>
      <c r="K83" s="2"/>
      <c r="L83" s="6">
        <f t="shared" si="54"/>
        <v>-201.11</v>
      </c>
      <c r="M83" s="2"/>
      <c r="N83" s="7">
        <f t="shared" si="55"/>
        <v>-1</v>
      </c>
      <c r="O83" s="11"/>
      <c r="P83" s="6">
        <v>735</v>
      </c>
      <c r="Q83" s="2"/>
      <c r="R83" s="7">
        <f t="shared" si="56"/>
        <v>9.9897866324286533E-4</v>
      </c>
      <c r="S83" s="2"/>
      <c r="T83" s="6">
        <v>1112.43</v>
      </c>
      <c r="U83" s="2"/>
      <c r="V83" s="7">
        <f t="shared" si="57"/>
        <v>3.6902214062186056E-4</v>
      </c>
      <c r="W83" s="2"/>
      <c r="X83" s="6">
        <f t="shared" si="58"/>
        <v>-377.43000000000006</v>
      </c>
      <c r="Y83" s="2"/>
      <c r="Z83" s="7">
        <f t="shared" si="59"/>
        <v>-0.33928426957201807</v>
      </c>
    </row>
    <row r="84" spans="1:26" s="25" customFormat="1" outlineLevel="1" collapsed="1" x14ac:dyDescent="0.25">
      <c r="A84" s="27"/>
      <c r="B84" s="13" t="str">
        <f>CONCATENATE("     ","Travel                                            ")</f>
        <v xml:space="preserve">     Travel                                            </v>
      </c>
      <c r="C84" s="13"/>
      <c r="D84" s="1">
        <f>SUM(OSRRefD22_17x_0)</f>
        <v>0</v>
      </c>
      <c r="E84" s="1"/>
      <c r="F84" s="5">
        <f t="shared" si="52"/>
        <v>0</v>
      </c>
      <c r="G84" s="1"/>
      <c r="H84" s="1">
        <f>SUM(OSRRefH22_17x_0)</f>
        <v>0</v>
      </c>
      <c r="I84" s="1"/>
      <c r="J84" s="5">
        <f t="shared" si="53"/>
        <v>0</v>
      </c>
      <c r="K84" s="1"/>
      <c r="L84" s="1">
        <f t="shared" si="54"/>
        <v>0</v>
      </c>
      <c r="M84" s="1"/>
      <c r="N84" s="5">
        <f t="shared" si="55"/>
        <v>0</v>
      </c>
      <c r="O84" s="13"/>
      <c r="P84" s="1">
        <f>SUM(OSRRefP22_17x_0)</f>
        <v>0</v>
      </c>
      <c r="Q84" s="1"/>
      <c r="R84" s="5">
        <f t="shared" si="56"/>
        <v>0</v>
      </c>
      <c r="S84" s="1"/>
      <c r="T84" s="1">
        <f>SUM(OSRRefT22_17x_0)</f>
        <v>59.14</v>
      </c>
      <c r="U84" s="1"/>
      <c r="V84" s="5">
        <f t="shared" si="57"/>
        <v>1.9618285551789175E-5</v>
      </c>
      <c r="W84" s="1"/>
      <c r="X84" s="1">
        <f t="shared" si="58"/>
        <v>-59.14</v>
      </c>
      <c r="Y84" s="1"/>
      <c r="Z84" s="5">
        <f t="shared" si="59"/>
        <v>-1</v>
      </c>
    </row>
    <row r="85" spans="1:26" s="24" customFormat="1" hidden="1" outlineLevel="2" x14ac:dyDescent="0.25">
      <c r="A85" s="26"/>
      <c r="B85" s="11" t="str">
        <f>CONCATENATE("          ", "6292", " - ", "TRAVEL/CONFERENCE")</f>
        <v xml:space="preserve">          6292 - TRAVEL/CONFERENCE</v>
      </c>
      <c r="C85" s="11"/>
      <c r="D85" s="6"/>
      <c r="E85" s="2"/>
      <c r="F85" s="7">
        <f t="shared" si="52"/>
        <v>0</v>
      </c>
      <c r="G85" s="2"/>
      <c r="H85" s="6"/>
      <c r="I85" s="2"/>
      <c r="J85" s="7">
        <f t="shared" si="53"/>
        <v>0</v>
      </c>
      <c r="K85" s="2"/>
      <c r="L85" s="6">
        <f t="shared" si="54"/>
        <v>0</v>
      </c>
      <c r="M85" s="2"/>
      <c r="N85" s="7">
        <f t="shared" si="55"/>
        <v>0</v>
      </c>
      <c r="O85" s="11"/>
      <c r="P85" s="6"/>
      <c r="Q85" s="2"/>
      <c r="R85" s="7">
        <f t="shared" si="56"/>
        <v>0</v>
      </c>
      <c r="S85" s="2"/>
      <c r="T85" s="6">
        <v>59.14</v>
      </c>
      <c r="U85" s="2"/>
      <c r="V85" s="7">
        <f t="shared" si="57"/>
        <v>1.9618285551789175E-5</v>
      </c>
      <c r="W85" s="2"/>
      <c r="X85" s="6">
        <f t="shared" si="58"/>
        <v>-59.14</v>
      </c>
      <c r="Y85" s="2"/>
      <c r="Z85" s="7">
        <f t="shared" si="59"/>
        <v>-1</v>
      </c>
    </row>
    <row r="86" spans="1:26" s="52" customFormat="1" x14ac:dyDescent="0.25">
      <c r="A86" s="37"/>
      <c r="B86" s="37"/>
      <c r="C86" s="37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7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x14ac:dyDescent="0.25">
      <c r="A87" s="10"/>
      <c r="B87" s="28" t="s">
        <v>0</v>
      </c>
      <c r="C87" s="10"/>
      <c r="D87" s="4">
        <f>SUM(0)</f>
        <v>0</v>
      </c>
      <c r="E87" s="4"/>
      <c r="F87" s="12">
        <f>IF(D$12=0,0,D87/D$12)</f>
        <v>0</v>
      </c>
      <c r="G87" s="4"/>
      <c r="H87" s="4">
        <f>SUM(0)</f>
        <v>0</v>
      </c>
      <c r="I87" s="4"/>
      <c r="J87" s="12">
        <f>IF(H$12=0,0,H87/H$12)</f>
        <v>0</v>
      </c>
      <c r="K87" s="4"/>
      <c r="L87" s="4">
        <f>+D87-H87</f>
        <v>0</v>
      </c>
      <c r="M87" s="4"/>
      <c r="N87" s="12">
        <f>IF(H87=0,0,L87/H87)</f>
        <v>0</v>
      </c>
      <c r="O87" s="10"/>
      <c r="P87" s="4">
        <f>SUM(0)</f>
        <v>0</v>
      </c>
      <c r="Q87" s="4"/>
      <c r="R87" s="12">
        <f>IF(P$12=0,0,P87/P$12)</f>
        <v>0</v>
      </c>
      <c r="S87" s="4"/>
      <c r="T87" s="4">
        <f>SUM(0)</f>
        <v>0</v>
      </c>
      <c r="U87" s="4"/>
      <c r="V87" s="12">
        <f>IF(T$12=0,0,T87/T$12)</f>
        <v>0</v>
      </c>
      <c r="W87" s="4"/>
      <c r="X87" s="4">
        <f>+P87-T87</f>
        <v>0</v>
      </c>
      <c r="Y87" s="4"/>
      <c r="Z87" s="12">
        <f>IF(T87=0,0,X87/T87)</f>
        <v>0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10"/>
      <c r="B89" s="29" t="s">
        <v>3</v>
      </c>
      <c r="C89" s="29"/>
      <c r="D89" s="22">
        <f>+D21-D23+D87</f>
        <v>-68007.880000000034</v>
      </c>
      <c r="E89" s="14"/>
      <c r="F89" s="20">
        <f>IF(D$12=0,0,D89/D$12)</f>
        <v>-0.80347334360714939</v>
      </c>
      <c r="G89" s="14"/>
      <c r="H89" s="22">
        <f>+H21-H23+H87</f>
        <v>168022.99999999997</v>
      </c>
      <c r="I89" s="14"/>
      <c r="J89" s="20">
        <f>IF(H$12=0,0,H89/H$12)</f>
        <v>0.34196885265229837</v>
      </c>
      <c r="K89" s="16"/>
      <c r="L89" s="22">
        <f>+D89-H89</f>
        <v>-236030.88</v>
      </c>
      <c r="M89" s="16"/>
      <c r="N89" s="20">
        <f>IF(H89=0,0,L89/H89)</f>
        <v>-1.404753396856383</v>
      </c>
      <c r="O89" s="28"/>
      <c r="P89" s="22">
        <f>+P21-P23+P87</f>
        <v>-483346.31000000029</v>
      </c>
      <c r="Q89" s="14"/>
      <c r="R89" s="20">
        <f>IF(P$12=0,0,P89/P$12)</f>
        <v>-0.656942381832887</v>
      </c>
      <c r="S89" s="14"/>
      <c r="T89" s="22">
        <f>+T21-T23+T87</f>
        <v>842937.69000000064</v>
      </c>
      <c r="U89" s="14"/>
      <c r="V89" s="20">
        <f>IF(T$12=0,0,T89/T$12)</f>
        <v>0.27962448942823054</v>
      </c>
      <c r="W89" s="16"/>
      <c r="X89" s="22">
        <f>+P89-T89</f>
        <v>-1326284.0000000009</v>
      </c>
      <c r="Y89" s="16"/>
      <c r="Z89" s="20">
        <f>IF(T89=0,0,X89/T89)</f>
        <v>-1.5734069264360453</v>
      </c>
    </row>
    <row r="90" spans="1:26" x14ac:dyDescent="0.25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51"/>
      <c r="B91" s="10" t="s">
        <v>13</v>
      </c>
      <c r="C91" s="10"/>
      <c r="D91" s="4">
        <v>27511.58</v>
      </c>
      <c r="E91" s="4"/>
      <c r="F91" s="12">
        <f>IF(D$12=0,0,D91/D$12)</f>
        <v>0.32503323395047118</v>
      </c>
      <c r="G91" s="4"/>
      <c r="H91" s="4">
        <v>44107.23</v>
      </c>
      <c r="I91" s="4"/>
      <c r="J91" s="12">
        <f>IF(H$12=0,0,H91/H$12)</f>
        <v>8.9769250857150734E-2</v>
      </c>
      <c r="K91" s="4"/>
      <c r="L91" s="4">
        <f>+D91-H91</f>
        <v>-16595.650000000001</v>
      </c>
      <c r="M91" s="4"/>
      <c r="N91" s="12">
        <f>IF(H91=0,0,L91/H91)</f>
        <v>-0.37625690844788939</v>
      </c>
      <c r="O91" s="10"/>
      <c r="P91" s="4">
        <v>145705.10999999999</v>
      </c>
      <c r="Q91" s="4"/>
      <c r="R91" s="12">
        <f>IF(P$12=0,0,P91/P$12)</f>
        <v>0.19803577689177504</v>
      </c>
      <c r="S91" s="4"/>
      <c r="T91" s="4">
        <v>307240.68</v>
      </c>
      <c r="U91" s="4"/>
      <c r="V91" s="12">
        <f>IF(T$12=0,0,T91/T$12)</f>
        <v>0.10191977330682923</v>
      </c>
      <c r="W91" s="4"/>
      <c r="X91" s="4">
        <f>+P91-T91</f>
        <v>-161535.57</v>
      </c>
      <c r="Y91" s="4"/>
      <c r="Z91" s="12">
        <f>IF(T91=0,0,X91/T91)</f>
        <v>-0.52576231116270156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9" t="s">
        <v>4</v>
      </c>
      <c r="C93" s="29"/>
      <c r="D93" s="35">
        <f>+D89-D91</f>
        <v>-95519.460000000036</v>
      </c>
      <c r="E93" s="14"/>
      <c r="F93" s="36">
        <f>IF(D$12=0,0,D93/D$12)</f>
        <v>-1.1285065775576204</v>
      </c>
      <c r="G93" s="14"/>
      <c r="H93" s="35">
        <f>+H89-H91</f>
        <v>123915.76999999996</v>
      </c>
      <c r="I93" s="14"/>
      <c r="J93" s="36">
        <f>IF(H$12=0,0,H93/H$12)</f>
        <v>0.25219960179514761</v>
      </c>
      <c r="K93" s="16"/>
      <c r="L93" s="35">
        <f>D93-H93</f>
        <v>-219435.22999999998</v>
      </c>
      <c r="M93" s="16"/>
      <c r="N93" s="36">
        <f>IF(H93=0,0,L93/H93)</f>
        <v>-1.7708418387748392</v>
      </c>
      <c r="O93" s="28"/>
      <c r="P93" s="35">
        <f>+P89-P91</f>
        <v>-629051.42000000027</v>
      </c>
      <c r="Q93" s="14"/>
      <c r="R93" s="36">
        <f>IF(P$12=0,0,P93/P$12)</f>
        <v>-0.85497815872466199</v>
      </c>
      <c r="S93" s="14"/>
      <c r="T93" s="35">
        <f>+T89-T91</f>
        <v>535697.01000000071</v>
      </c>
      <c r="U93" s="14"/>
      <c r="V93" s="36">
        <f>IF(T$12=0,0,T93/T$12)</f>
        <v>0.17770471612140135</v>
      </c>
      <c r="W93" s="16"/>
      <c r="X93" s="35">
        <f>P93-T93</f>
        <v>-1164748.4300000011</v>
      </c>
      <c r="Y93" s="16"/>
      <c r="Z93" s="36">
        <f>IF(T93=0,0,X93/T93)</f>
        <v>-2.1742671851015176</v>
      </c>
    </row>
    <row r="94" spans="1:26" ht="15.75" thickTop="1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9" t="s">
        <v>5</v>
      </c>
      <c r="C96" s="29"/>
      <c r="D96" s="31">
        <f>SUM(D93:D95)</f>
        <v>-95519.460000000036</v>
      </c>
      <c r="E96" s="14"/>
      <c r="F96" s="33">
        <f>IF(D$12=0,0,D96/D$12)</f>
        <v>-1.1285065775576204</v>
      </c>
      <c r="G96" s="14"/>
      <c r="H96" s="31">
        <f>SUM(H93:H95)</f>
        <v>123915.76999999996</v>
      </c>
      <c r="I96" s="14"/>
      <c r="J96" s="33">
        <f>IF(H$12=0,0,H96/H$12)</f>
        <v>0.25219960179514761</v>
      </c>
      <c r="K96" s="16"/>
      <c r="L96" s="31">
        <f>+D96-H96</f>
        <v>-219435.22999999998</v>
      </c>
      <c r="M96" s="16"/>
      <c r="N96" s="33">
        <f>IF(H96=0,0,L96/H96)</f>
        <v>-1.7708418387748392</v>
      </c>
      <c r="O96" s="28"/>
      <c r="P96" s="31">
        <f>SUM(P93:P95)</f>
        <v>-629051.42000000027</v>
      </c>
      <c r="Q96" s="14"/>
      <c r="R96" s="33">
        <f>IF(P$12=0,0,P96/P$12)</f>
        <v>-0.85497815872466199</v>
      </c>
      <c r="S96" s="14"/>
      <c r="T96" s="31">
        <f>SUM(T93:T95)</f>
        <v>535697.01000000071</v>
      </c>
      <c r="U96" s="14"/>
      <c r="V96" s="33">
        <f>IF(T$12=0,0,T96/T$12)</f>
        <v>0.17770471612140135</v>
      </c>
      <c r="W96" s="16"/>
      <c r="X96" s="31">
        <f>+P96-T96</f>
        <v>-1164748.4300000011</v>
      </c>
      <c r="Y96" s="16"/>
      <c r="Z96" s="33">
        <f>IF(T96=0,0,X96/T96)</f>
        <v>-2.1742671851015176</v>
      </c>
    </row>
    <row r="97" spans="1:24" ht="15.75" thickTop="1" x14ac:dyDescent="0.25">
      <c r="A97" s="9"/>
      <c r="C97" s="9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A98" s="9"/>
      <c r="B98" s="56">
        <v>44267.668730752317</v>
      </c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25">
      <c r="A99" s="9"/>
      <c r="B99" s="54" t="s">
        <v>313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4" x14ac:dyDescent="0.25">
      <c r="A100" s="9"/>
      <c r="B100" s="58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4" x14ac:dyDescent="0.25"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","445", " - ", "Central Park Coffee House")</f>
        <v>Department 445 - Central Park Coffee House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SUM(0)</f>
        <v>0</v>
      </c>
      <c r="E18" s="21"/>
      <c r="F18" s="32">
        <f>IF(D$12=0,0,D18/D$12)</f>
        <v>0</v>
      </c>
      <c r="G18" s="21"/>
      <c r="H18" s="21">
        <f>SUM(0)</f>
        <v>0</v>
      </c>
      <c r="I18" s="21"/>
      <c r="J18" s="32">
        <f>IF(H$12=0,0,H18/H$12)</f>
        <v>0</v>
      </c>
      <c r="K18" s="4"/>
      <c r="L18" s="21">
        <f>+D18-H18</f>
        <v>0</v>
      </c>
      <c r="M18" s="4"/>
      <c r="N18" s="32">
        <f>IF(H18=0,0,L18/H18)</f>
        <v>0</v>
      </c>
      <c r="O18" s="10"/>
      <c r="P18" s="21">
        <f>SUM(0)</f>
        <v>0</v>
      </c>
      <c r="Q18" s="21"/>
      <c r="R18" s="32">
        <f>IF(P$12=0,0,P18/P$12)</f>
        <v>0</v>
      </c>
      <c r="S18" s="21"/>
      <c r="T18" s="21">
        <f>SUM(0)</f>
        <v>0</v>
      </c>
      <c r="U18" s="21"/>
      <c r="V18" s="32">
        <f>IF(T$12=0,0,T18/T$12)</f>
        <v>0</v>
      </c>
      <c r="W18" s="4"/>
      <c r="X18" s="21">
        <f>+P18-T18</f>
        <v>0</v>
      </c>
      <c r="Y18" s="4"/>
      <c r="Z18" s="32">
        <f>IF(T18=0,0,X18/T18)</f>
        <v>0</v>
      </c>
    </row>
    <row r="19" spans="1:26" s="52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2">
        <f>+D16-D18+D20</f>
        <v>0</v>
      </c>
      <c r="E22" s="14"/>
      <c r="F22" s="20">
        <f>IF(D$12=0,0,D22/D$12)</f>
        <v>0</v>
      </c>
      <c r="G22" s="14"/>
      <c r="H22" s="22">
        <f>+H16-H18+H20</f>
        <v>0</v>
      </c>
      <c r="I22" s="14"/>
      <c r="J22" s="20">
        <f>IF(H$12=0,0,H22/H$12)</f>
        <v>0</v>
      </c>
      <c r="K22" s="16"/>
      <c r="L22" s="22">
        <f>+D22-H22</f>
        <v>0</v>
      </c>
      <c r="M22" s="16"/>
      <c r="N22" s="20">
        <f>IF(H22=0,0,L22/H22)</f>
        <v>0</v>
      </c>
      <c r="O22" s="28"/>
      <c r="P22" s="22">
        <f>+P16-P18+P20</f>
        <v>0</v>
      </c>
      <c r="Q22" s="14"/>
      <c r="R22" s="20">
        <f>IF(P$12=0,0,P22/P$12)</f>
        <v>0</v>
      </c>
      <c r="S22" s="14"/>
      <c r="T22" s="22">
        <f>+T16-T18+T20</f>
        <v>0</v>
      </c>
      <c r="U22" s="14"/>
      <c r="V22" s="20">
        <f>IF(T$12=0,0,T22/T$12)</f>
        <v>0</v>
      </c>
      <c r="W22" s="16"/>
      <c r="X22" s="22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5">
        <f>+D22-D24</f>
        <v>0</v>
      </c>
      <c r="E26" s="14"/>
      <c r="F26" s="36">
        <f>IF(D$12=0,0,D26/D$12)</f>
        <v>0</v>
      </c>
      <c r="G26" s="14"/>
      <c r="H26" s="35">
        <f>+H22-H24</f>
        <v>0</v>
      </c>
      <c r="I26" s="14"/>
      <c r="J26" s="36">
        <f>IF(H$12=0,0,H26/H$12)</f>
        <v>0</v>
      </c>
      <c r="K26" s="16"/>
      <c r="L26" s="35">
        <f>D26-H26</f>
        <v>0</v>
      </c>
      <c r="M26" s="16"/>
      <c r="N26" s="36">
        <f>IF(H26=0,0,L26/H26)</f>
        <v>0</v>
      </c>
      <c r="O26" s="28"/>
      <c r="P26" s="35">
        <f>+P22-P24</f>
        <v>0</v>
      </c>
      <c r="Q26" s="14"/>
      <c r="R26" s="36">
        <f>IF(P$12=0,0,P26/P$12)</f>
        <v>0</v>
      </c>
      <c r="S26" s="14"/>
      <c r="T26" s="35">
        <f>+T22-T24</f>
        <v>0</v>
      </c>
      <c r="U26" s="14"/>
      <c r="V26" s="36">
        <f>IF(T$12=0,0,T26/T$12)</f>
        <v>0</v>
      </c>
      <c r="W26" s="16"/>
      <c r="X26" s="35">
        <f>P26-T26</f>
        <v>0</v>
      </c>
      <c r="Y26" s="16"/>
      <c r="Z26" s="36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9" t="s">
        <v>5</v>
      </c>
      <c r="C29" s="29"/>
      <c r="D29" s="31">
        <f>SUM(D26:D28)</f>
        <v>0</v>
      </c>
      <c r="E29" s="14"/>
      <c r="F29" s="33">
        <f>IF(D$12=0,0,D29/D$12)</f>
        <v>0</v>
      </c>
      <c r="G29" s="14"/>
      <c r="H29" s="31">
        <f>SUM(H26:H28)</f>
        <v>0</v>
      </c>
      <c r="I29" s="14"/>
      <c r="J29" s="33">
        <f>IF(H$12=0,0,H29/H$12)</f>
        <v>0</v>
      </c>
      <c r="K29" s="16"/>
      <c r="L29" s="31">
        <f>+D29-H29</f>
        <v>0</v>
      </c>
      <c r="M29" s="16"/>
      <c r="N29" s="33">
        <f>IF(H29=0,0,L29/H29)</f>
        <v>0</v>
      </c>
      <c r="O29" s="28"/>
      <c r="P29" s="31">
        <f>SUM(P26:P28)</f>
        <v>0</v>
      </c>
      <c r="Q29" s="14"/>
      <c r="R29" s="33">
        <f>IF(P$12=0,0,P29/P$12)</f>
        <v>0</v>
      </c>
      <c r="S29" s="14"/>
      <c r="T29" s="31">
        <f>SUM(T26:T28)</f>
        <v>0</v>
      </c>
      <c r="U29" s="14"/>
      <c r="V29" s="33">
        <f>IF(T$12=0,0,T29/T$12)</f>
        <v>0</v>
      </c>
      <c r="W29" s="16"/>
      <c r="X29" s="31">
        <f>+P29-T29</f>
        <v>0</v>
      </c>
      <c r="Y29" s="16"/>
      <c r="Z29" s="33">
        <f>IF(T29=0,0,X29/T29)</f>
        <v>0</v>
      </c>
    </row>
    <row r="30" spans="1:26" ht="15.75" thickTop="1" x14ac:dyDescent="0.25">
      <c r="A30" s="9"/>
      <c r="C30" s="9"/>
      <c r="D30" s="18"/>
      <c r="E30" s="18"/>
      <c r="G30" s="18"/>
      <c r="H30" s="18"/>
      <c r="I30" s="18"/>
      <c r="J30" s="43"/>
      <c r="K30" s="18"/>
      <c r="L30" s="18"/>
      <c r="M30" s="18"/>
      <c r="P30" s="18"/>
      <c r="Q30" s="18"/>
      <c r="R30" s="43"/>
      <c r="S30" s="18"/>
      <c r="T30" s="18"/>
      <c r="U30" s="18"/>
      <c r="V30" s="43"/>
      <c r="W30" s="18"/>
      <c r="X30" s="18"/>
    </row>
    <row r="31" spans="1:26" x14ac:dyDescent="0.25">
      <c r="A31" s="9"/>
      <c r="B31" s="56">
        <v>44267.668746296295</v>
      </c>
      <c r="D31" s="18"/>
      <c r="E31" s="18"/>
      <c r="G31" s="18"/>
      <c r="H31" s="18"/>
      <c r="I31" s="18"/>
      <c r="J31" s="43"/>
      <c r="K31" s="18"/>
      <c r="L31" s="18"/>
      <c r="M31" s="18"/>
      <c r="P31" s="18"/>
      <c r="Q31" s="18"/>
      <c r="R31" s="43"/>
      <c r="S31" s="18"/>
      <c r="T31" s="18"/>
      <c r="U31" s="18"/>
      <c r="V31" s="43"/>
      <c r="W31" s="18"/>
      <c r="X31" s="18"/>
    </row>
    <row r="32" spans="1:26" x14ac:dyDescent="0.25">
      <c r="A32" s="9"/>
      <c r="B32" s="54" t="s">
        <v>313</v>
      </c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8"/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","450", " - ", "Beachside Dining Hall")</f>
        <v>Department 450 - Beachside Dining Hall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314551.61000000004</v>
      </c>
      <c r="I12" s="4"/>
      <c r="J12" s="12"/>
      <c r="K12" s="4"/>
      <c r="L12" s="4">
        <f t="shared" ref="L12:L15" si="0">+D12-H12</f>
        <v>-314551.61000000004</v>
      </c>
      <c r="M12" s="4"/>
      <c r="N12" s="12">
        <f t="shared" ref="N12:N15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1759896.8800000001</v>
      </c>
      <c r="U12" s="4"/>
      <c r="V12" s="12"/>
      <c r="W12" s="4"/>
      <c r="X12" s="4">
        <f t="shared" ref="X12:X15" si="2">+P12-T12</f>
        <v>-1759896.8800000001</v>
      </c>
      <c r="Y12" s="4"/>
      <c r="Z12" s="12">
        <f t="shared" ref="Z12:Z15" si="3">IF(T12=0,0,X12/T12)</f>
        <v>-1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5" si="4">0</f>
        <v>0</v>
      </c>
      <c r="E13" s="2"/>
      <c r="F13" s="19"/>
      <c r="G13" s="2"/>
      <c r="H13" s="2">
        <f>--71.9</f>
        <v>71.900000000000006</v>
      </c>
      <c r="I13" s="2"/>
      <c r="J13" s="19"/>
      <c r="K13" s="2"/>
      <c r="L13" s="2">
        <f t="shared" si="0"/>
        <v>-71.900000000000006</v>
      </c>
      <c r="M13" s="2"/>
      <c r="N13" s="19">
        <f t="shared" si="1"/>
        <v>-1</v>
      </c>
      <c r="O13" s="11"/>
      <c r="P13" s="2">
        <f t="shared" ref="P13:P15" si="5">0</f>
        <v>0</v>
      </c>
      <c r="Q13" s="2"/>
      <c r="R13" s="19"/>
      <c r="S13" s="2"/>
      <c r="T13" s="2">
        <f>--207.62</f>
        <v>207.62</v>
      </c>
      <c r="U13" s="2"/>
      <c r="V13" s="19"/>
      <c r="W13" s="2"/>
      <c r="X13" s="2">
        <f t="shared" si="2"/>
        <v>-207.62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--313068.51</f>
        <v>313068.51</v>
      </c>
      <c r="I14" s="2"/>
      <c r="J14" s="19"/>
      <c r="K14" s="2"/>
      <c r="L14" s="2">
        <f t="shared" si="0"/>
        <v>-313068.51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--1751487.56</f>
        <v>1751487.56</v>
      </c>
      <c r="U14" s="2"/>
      <c r="V14" s="19"/>
      <c r="W14" s="2"/>
      <c r="X14" s="2">
        <f t="shared" si="2"/>
        <v>-1751487.56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 t="shared" si="4"/>
        <v>0</v>
      </c>
      <c r="E15" s="2"/>
      <c r="F15" s="19"/>
      <c r="G15" s="2"/>
      <c r="H15" s="2">
        <f>--1411.2</f>
        <v>1411.2</v>
      </c>
      <c r="I15" s="2"/>
      <c r="J15" s="19"/>
      <c r="K15" s="2"/>
      <c r="L15" s="2">
        <f t="shared" si="0"/>
        <v>-1411.2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--8201.7</f>
        <v>8201.7000000000007</v>
      </c>
      <c r="U15" s="2"/>
      <c r="V15" s="19"/>
      <c r="W15" s="2"/>
      <c r="X15" s="2">
        <f t="shared" si="2"/>
        <v>-8201.7000000000007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0</v>
      </c>
      <c r="E17" s="4"/>
      <c r="F17" s="12">
        <f t="shared" ref="F17:F19" si="6">IF(D$12=0,0,D17/D$12)</f>
        <v>0</v>
      </c>
      <c r="G17" s="4"/>
      <c r="H17" s="4">
        <f>SUM(OSRRefH16x_0)</f>
        <v>69903.900000000009</v>
      </c>
      <c r="I17" s="4"/>
      <c r="J17" s="12">
        <f t="shared" ref="J17:J19" si="7">IF(H$12=0,0,H17/H$12)</f>
        <v>0.22223348340197654</v>
      </c>
      <c r="K17" s="4"/>
      <c r="L17" s="4">
        <f t="shared" ref="L17:L19" si="8">+D17-H17</f>
        <v>-69903.900000000009</v>
      </c>
      <c r="M17" s="4"/>
      <c r="N17" s="12">
        <f t="shared" ref="N17:N19" si="9">IF(H17=0,0,L17/H17)</f>
        <v>-1</v>
      </c>
      <c r="O17" s="10"/>
      <c r="P17" s="4">
        <f>SUM(OSRRefP16x_0)</f>
        <v>0</v>
      </c>
      <c r="Q17" s="4"/>
      <c r="R17" s="12">
        <f t="shared" ref="R17:R19" si="10">IF(P$12=0,0,P17/P$12)</f>
        <v>0</v>
      </c>
      <c r="S17" s="4"/>
      <c r="T17" s="4">
        <f>SUM(OSRRefT16x_0)</f>
        <v>399967.99000000005</v>
      </c>
      <c r="U17" s="4"/>
      <c r="V17" s="12">
        <f t="shared" ref="V17:V19" si="11">IF(T$12=0,0,T17/T$12)</f>
        <v>0.2272678556029942</v>
      </c>
      <c r="W17" s="4"/>
      <c r="X17" s="4">
        <f t="shared" ref="X17:X19" si="12">+P17-T17</f>
        <v>-399967.99000000005</v>
      </c>
      <c r="Y17" s="4"/>
      <c r="Z17" s="12">
        <f t="shared" ref="Z17:Z19" si="13">IF(T17=0,0,X17/T17)</f>
        <v>-1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6"/>
        <v>0</v>
      </c>
      <c r="G18" s="2"/>
      <c r="H18" s="2">
        <v>69149.900000000009</v>
      </c>
      <c r="I18" s="2"/>
      <c r="J18" s="19">
        <f t="shared" si="7"/>
        <v>0.21983642048438409</v>
      </c>
      <c r="K18" s="2"/>
      <c r="L18" s="2">
        <f t="shared" si="8"/>
        <v>-69149.900000000009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402110.99000000005</v>
      </c>
      <c r="U18" s="2"/>
      <c r="V18" s="19">
        <f t="shared" si="11"/>
        <v>0.22848554058462789</v>
      </c>
      <c r="W18" s="2"/>
      <c r="X18" s="2">
        <f t="shared" si="12"/>
        <v>-402110.99000000005</v>
      </c>
      <c r="Y18" s="2"/>
      <c r="Z18" s="19">
        <f t="shared" si="13"/>
        <v>-1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6"/>
        <v>0</v>
      </c>
      <c r="G19" s="2"/>
      <c r="H19" s="2">
        <v>754</v>
      </c>
      <c r="I19" s="2"/>
      <c r="J19" s="19">
        <f t="shared" si="7"/>
        <v>2.3970629175924419E-3</v>
      </c>
      <c r="K19" s="2"/>
      <c r="L19" s="2">
        <f t="shared" si="8"/>
        <v>-754</v>
      </c>
      <c r="M19" s="2"/>
      <c r="N19" s="19">
        <f t="shared" si="9"/>
        <v>-1</v>
      </c>
      <c r="O19" s="11"/>
      <c r="P19" s="2"/>
      <c r="Q19" s="2"/>
      <c r="R19" s="19">
        <f t="shared" si="10"/>
        <v>0</v>
      </c>
      <c r="S19" s="2"/>
      <c r="T19" s="2">
        <v>-2143</v>
      </c>
      <c r="U19" s="2"/>
      <c r="V19" s="19">
        <f t="shared" si="11"/>
        <v>-1.2176849816336965E-3</v>
      </c>
      <c r="W19" s="2"/>
      <c r="X19" s="2">
        <f t="shared" si="12"/>
        <v>2143</v>
      </c>
      <c r="Y19" s="2"/>
      <c r="Z19" s="19">
        <f t="shared" si="13"/>
        <v>-1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9" t="s">
        <v>6</v>
      </c>
      <c r="C21" s="29"/>
      <c r="D21" s="22">
        <f>D12-D17</f>
        <v>0</v>
      </c>
      <c r="E21" s="14"/>
      <c r="F21" s="20">
        <f>IF(D$12=0,0,D21/D$12)</f>
        <v>0</v>
      </c>
      <c r="G21" s="14"/>
      <c r="H21" s="22">
        <f>H12-H17</f>
        <v>244647.71000000002</v>
      </c>
      <c r="I21" s="14"/>
      <c r="J21" s="20">
        <f>IF(H$12=0,0,H21/H$12)</f>
        <v>0.77776651659802343</v>
      </c>
      <c r="K21" s="16"/>
      <c r="L21" s="22">
        <f>+D21-H21</f>
        <v>-244647.71000000002</v>
      </c>
      <c r="M21" s="16"/>
      <c r="N21" s="20">
        <f>IF(H21=0,0,L21/H21)</f>
        <v>-1</v>
      </c>
      <c r="O21" s="28"/>
      <c r="P21" s="22">
        <f>P12-P17</f>
        <v>0</v>
      </c>
      <c r="Q21" s="14"/>
      <c r="R21" s="20">
        <f>IF(P$12=0,0,P21/P$12)</f>
        <v>0</v>
      </c>
      <c r="S21" s="14"/>
      <c r="T21" s="22">
        <f>T12-T17</f>
        <v>1359928.8900000001</v>
      </c>
      <c r="U21" s="14"/>
      <c r="V21" s="20">
        <f>IF(T$12=0,0,T21/T$12)</f>
        <v>0.77273214439700588</v>
      </c>
      <c r="W21" s="16"/>
      <c r="X21" s="22">
        <f>+P21-T21</f>
        <v>-1359928.8900000001</v>
      </c>
      <c r="Y21" s="16"/>
      <c r="Z21" s="20">
        <f>IF(T21=0,0,X21/T21)</f>
        <v>-1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8" t="s">
        <v>9</v>
      </c>
      <c r="C23" s="10"/>
      <c r="D23" s="21">
        <f>SUM(OSRRefD22x_0)</f>
        <v>37497.520000000004</v>
      </c>
      <c r="E23" s="21"/>
      <c r="F23" s="32">
        <f t="shared" ref="F23:F33" si="14">IF(D$12=0,0,D23/D$12)</f>
        <v>0</v>
      </c>
      <c r="G23" s="21"/>
      <c r="H23" s="21">
        <f>SUM(OSRRefH22x_0)</f>
        <v>144050.29</v>
      </c>
      <c r="I23" s="21"/>
      <c r="J23" s="32">
        <f t="shared" ref="J23:J33" si="15">IF(H$12=0,0,H23/H$12)</f>
        <v>0.45795438783479758</v>
      </c>
      <c r="K23" s="4"/>
      <c r="L23" s="21">
        <f t="shared" ref="L23:L33" si="16">+D23-H23</f>
        <v>-106552.77</v>
      </c>
      <c r="M23" s="4"/>
      <c r="N23" s="32">
        <f t="shared" ref="N23:N33" si="17">IF(H23=0,0,L23/H23)</f>
        <v>-0.73969146469611413</v>
      </c>
      <c r="O23" s="10"/>
      <c r="P23" s="21">
        <f>SUM(OSRRefP22x_0)</f>
        <v>327584.5199999999</v>
      </c>
      <c r="Q23" s="21"/>
      <c r="R23" s="32">
        <f t="shared" ref="R23:R33" si="18">IF(P$12=0,0,P23/P$12)</f>
        <v>0</v>
      </c>
      <c r="S23" s="21"/>
      <c r="T23" s="21">
        <f>SUM(OSRRefT22x_0)</f>
        <v>998019.1599999998</v>
      </c>
      <c r="U23" s="21"/>
      <c r="V23" s="32">
        <f t="shared" ref="V23:V33" si="19">IF(T$12=0,0,T23/T$12)</f>
        <v>0.56708956720236914</v>
      </c>
      <c r="W23" s="4"/>
      <c r="X23" s="21">
        <f t="shared" ref="X23:X33" si="20">+P23-T23</f>
        <v>-670434.6399999999</v>
      </c>
      <c r="Y23" s="4"/>
      <c r="Z23" s="32">
        <f t="shared" ref="Z23:Z33" si="21">IF(T23=0,0,X23/T23)</f>
        <v>-0.67176529957601216</v>
      </c>
    </row>
    <row r="24" spans="1:26" s="25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19163.940000000002</v>
      </c>
      <c r="E24" s="1"/>
      <c r="F24" s="5">
        <f t="shared" si="14"/>
        <v>0</v>
      </c>
      <c r="G24" s="1"/>
      <c r="H24" s="1">
        <f>SUM(OSRRefH22_0x_0)</f>
        <v>29262.06</v>
      </c>
      <c r="I24" s="1"/>
      <c r="J24" s="5">
        <f t="shared" si="15"/>
        <v>9.3027850024356887E-2</v>
      </c>
      <c r="K24" s="1"/>
      <c r="L24" s="1">
        <f t="shared" si="16"/>
        <v>-10098.119999999999</v>
      </c>
      <c r="M24" s="1"/>
      <c r="N24" s="5">
        <f t="shared" si="17"/>
        <v>-0.34509258746650096</v>
      </c>
      <c r="O24" s="13"/>
      <c r="P24" s="1">
        <f>SUM(OSRRefP22_0x_0)</f>
        <v>155609.54999999996</v>
      </c>
      <c r="Q24" s="1"/>
      <c r="R24" s="5">
        <f t="shared" si="18"/>
        <v>0</v>
      </c>
      <c r="S24" s="1"/>
      <c r="T24" s="1">
        <f>SUM(OSRRefT22_0x_0)</f>
        <v>218092.58000000002</v>
      </c>
      <c r="U24" s="1"/>
      <c r="V24" s="5">
        <f t="shared" si="19"/>
        <v>0.12392349942685278</v>
      </c>
      <c r="W24" s="1"/>
      <c r="X24" s="1">
        <f t="shared" si="20"/>
        <v>-62483.030000000057</v>
      </c>
      <c r="Y24" s="1"/>
      <c r="Z24" s="5">
        <f t="shared" si="21"/>
        <v>-0.28649773412740615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6">
        <v>1547.59</v>
      </c>
      <c r="E25" s="2"/>
      <c r="F25" s="7">
        <f t="shared" si="14"/>
        <v>0</v>
      </c>
      <c r="G25" s="2"/>
      <c r="H25" s="6">
        <v>3668.34</v>
      </c>
      <c r="I25" s="2"/>
      <c r="J25" s="7">
        <f t="shared" si="15"/>
        <v>1.1662124380797159E-2</v>
      </c>
      <c r="K25" s="2"/>
      <c r="L25" s="6">
        <f t="shared" si="16"/>
        <v>-2120.75</v>
      </c>
      <c r="M25" s="2"/>
      <c r="N25" s="7">
        <f t="shared" si="17"/>
        <v>-0.57812252953652055</v>
      </c>
      <c r="O25" s="11"/>
      <c r="P25" s="6">
        <v>13412.49</v>
      </c>
      <c r="Q25" s="2"/>
      <c r="R25" s="7">
        <f t="shared" si="18"/>
        <v>0</v>
      </c>
      <c r="S25" s="2"/>
      <c r="T25" s="6">
        <v>29563.25</v>
      </c>
      <c r="U25" s="2"/>
      <c r="V25" s="7">
        <f t="shared" si="19"/>
        <v>1.6798285363174233E-2</v>
      </c>
      <c r="W25" s="2"/>
      <c r="X25" s="6">
        <f t="shared" si="20"/>
        <v>-16150.76</v>
      </c>
      <c r="Y25" s="2"/>
      <c r="Z25" s="7">
        <f t="shared" si="21"/>
        <v>-0.54631205973632802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6">
        <v>901.85</v>
      </c>
      <c r="E26" s="2"/>
      <c r="F26" s="7">
        <f t="shared" si="14"/>
        <v>0</v>
      </c>
      <c r="G26" s="2"/>
      <c r="H26" s="6">
        <v>3089.28</v>
      </c>
      <c r="I26" s="2"/>
      <c r="J26" s="7">
        <f t="shared" si="15"/>
        <v>9.8212182096286196E-3</v>
      </c>
      <c r="K26" s="2"/>
      <c r="L26" s="6">
        <f t="shared" si="16"/>
        <v>-2187.4300000000003</v>
      </c>
      <c r="M26" s="2"/>
      <c r="N26" s="7">
        <f t="shared" si="17"/>
        <v>-0.70807113631655272</v>
      </c>
      <c r="O26" s="11"/>
      <c r="P26" s="6">
        <v>7459.57</v>
      </c>
      <c r="Q26" s="2"/>
      <c r="R26" s="7">
        <f t="shared" si="18"/>
        <v>0</v>
      </c>
      <c r="S26" s="2"/>
      <c r="T26" s="6">
        <v>17628.14</v>
      </c>
      <c r="U26" s="2"/>
      <c r="V26" s="7">
        <f t="shared" si="19"/>
        <v>1.0016575516629132E-2</v>
      </c>
      <c r="W26" s="2"/>
      <c r="X26" s="6">
        <f t="shared" si="20"/>
        <v>-10168.57</v>
      </c>
      <c r="Y26" s="2"/>
      <c r="Z26" s="7">
        <f t="shared" si="21"/>
        <v>-0.57683737478826469</v>
      </c>
    </row>
    <row r="27" spans="1:26" s="24" customFormat="1" hidden="1" outlineLevel="2" x14ac:dyDescent="0.25">
      <c r="A27" s="26"/>
      <c r="B27" s="11" t="str">
        <f>CONCATENATE("          ", "6113", " - ", "GROUP INSURANCE")</f>
        <v xml:space="preserve">          6113 - GROUP INSURANCE</v>
      </c>
      <c r="C27" s="11"/>
      <c r="D27" s="6">
        <v>12477.88</v>
      </c>
      <c r="E27" s="2"/>
      <c r="F27" s="7">
        <f t="shared" si="14"/>
        <v>0</v>
      </c>
      <c r="G27" s="2"/>
      <c r="H27" s="6">
        <v>15945.350000000002</v>
      </c>
      <c r="I27" s="2"/>
      <c r="J27" s="7">
        <f t="shared" si="15"/>
        <v>5.0692317232138788E-2</v>
      </c>
      <c r="K27" s="2"/>
      <c r="L27" s="6">
        <f t="shared" si="16"/>
        <v>-3467.470000000003</v>
      </c>
      <c r="M27" s="2"/>
      <c r="N27" s="7">
        <f t="shared" si="17"/>
        <v>-0.2174596355677362</v>
      </c>
      <c r="O27" s="11"/>
      <c r="P27" s="6">
        <v>100657.37999999999</v>
      </c>
      <c r="Q27" s="2"/>
      <c r="R27" s="7">
        <f t="shared" si="18"/>
        <v>0</v>
      </c>
      <c r="S27" s="2"/>
      <c r="T27" s="6">
        <v>113869.79</v>
      </c>
      <c r="U27" s="2"/>
      <c r="V27" s="7">
        <f t="shared" si="19"/>
        <v>6.4702535298545444E-2</v>
      </c>
      <c r="W27" s="2"/>
      <c r="X27" s="6">
        <f t="shared" si="20"/>
        <v>-13212.410000000003</v>
      </c>
      <c r="Y27" s="2"/>
      <c r="Z27" s="7">
        <f t="shared" si="21"/>
        <v>-0.11603086297076691</v>
      </c>
    </row>
    <row r="28" spans="1:26" s="24" customFormat="1" hidden="1" outlineLevel="2" x14ac:dyDescent="0.25">
      <c r="A28" s="26"/>
      <c r="B28" s="11" t="str">
        <f>CONCATENATE("          ", "6114", " - ", "STATE UNEMPLOYMENT INSURANCE")</f>
        <v xml:space="preserve">          6114 - STATE UNEMPLOYMENT INSURANCE</v>
      </c>
      <c r="C28" s="11"/>
      <c r="D28" s="6">
        <v>54.66</v>
      </c>
      <c r="E28" s="2"/>
      <c r="F28" s="7">
        <f t="shared" si="14"/>
        <v>0</v>
      </c>
      <c r="G28" s="2"/>
      <c r="H28" s="6">
        <v>212.86</v>
      </c>
      <c r="I28" s="2"/>
      <c r="J28" s="7">
        <f t="shared" si="15"/>
        <v>6.7670930058186631E-4</v>
      </c>
      <c r="K28" s="2"/>
      <c r="L28" s="6">
        <f t="shared" si="16"/>
        <v>-158.20000000000002</v>
      </c>
      <c r="M28" s="2"/>
      <c r="N28" s="7">
        <f t="shared" si="17"/>
        <v>-0.74321150051677165</v>
      </c>
      <c r="O28" s="11"/>
      <c r="P28" s="6">
        <v>460.76</v>
      </c>
      <c r="Q28" s="2"/>
      <c r="R28" s="7">
        <f t="shared" si="18"/>
        <v>0</v>
      </c>
      <c r="S28" s="2"/>
      <c r="T28" s="6">
        <v>1434.64</v>
      </c>
      <c r="U28" s="2"/>
      <c r="V28" s="7">
        <f t="shared" si="19"/>
        <v>8.151841260153834E-4</v>
      </c>
      <c r="W28" s="2"/>
      <c r="X28" s="6">
        <f t="shared" si="20"/>
        <v>-973.88000000000011</v>
      </c>
      <c r="Y28" s="2"/>
      <c r="Z28" s="7">
        <f t="shared" si="21"/>
        <v>-0.67883232030335139</v>
      </c>
    </row>
    <row r="29" spans="1:26" s="24" customFormat="1" hidden="1" outlineLevel="2" x14ac:dyDescent="0.25">
      <c r="A29" s="26"/>
      <c r="B29" s="11" t="str">
        <f>CONCATENATE("          ", "6115", " - ", "P.E.R.S.")</f>
        <v xml:space="preserve">          6115 - P.E.R.S.</v>
      </c>
      <c r="C29" s="11"/>
      <c r="D29" s="6">
        <v>494.19</v>
      </c>
      <c r="E29" s="2"/>
      <c r="F29" s="7">
        <f t="shared" si="14"/>
        <v>0</v>
      </c>
      <c r="G29" s="2"/>
      <c r="H29" s="6">
        <v>959.64</v>
      </c>
      <c r="I29" s="2"/>
      <c r="J29" s="7">
        <f t="shared" si="15"/>
        <v>3.0508189101305185E-3</v>
      </c>
      <c r="K29" s="2"/>
      <c r="L29" s="6">
        <f t="shared" si="16"/>
        <v>-465.45</v>
      </c>
      <c r="M29" s="2"/>
      <c r="N29" s="7">
        <f t="shared" si="17"/>
        <v>-0.48502563461297987</v>
      </c>
      <c r="O29" s="11"/>
      <c r="P29" s="6">
        <v>4502.09</v>
      </c>
      <c r="Q29" s="2"/>
      <c r="R29" s="7">
        <f t="shared" si="18"/>
        <v>0</v>
      </c>
      <c r="S29" s="2"/>
      <c r="T29" s="6">
        <v>9282.9699999999993</v>
      </c>
      <c r="U29" s="2"/>
      <c r="V29" s="7">
        <f t="shared" si="19"/>
        <v>5.2747238235912996E-3</v>
      </c>
      <c r="W29" s="2"/>
      <c r="X29" s="6">
        <f t="shared" si="20"/>
        <v>-4780.8799999999992</v>
      </c>
      <c r="Y29" s="2"/>
      <c r="Z29" s="7">
        <f t="shared" si="21"/>
        <v>-0.51501620709751295</v>
      </c>
    </row>
    <row r="30" spans="1:26" s="24" customFormat="1" hidden="1" outlineLevel="2" x14ac:dyDescent="0.25">
      <c r="A30" s="26"/>
      <c r="B30" s="11" t="str">
        <f>CONCATENATE("          ", "6117", " - ", "RETIREMENT STAFF HOURLY")</f>
        <v xml:space="preserve">          6117 - RETIREMENT STAFF HOURLY</v>
      </c>
      <c r="C30" s="11"/>
      <c r="D30" s="6">
        <v>585.27</v>
      </c>
      <c r="E30" s="2"/>
      <c r="F30" s="7">
        <f t="shared" si="14"/>
        <v>0</v>
      </c>
      <c r="G30" s="2"/>
      <c r="H30" s="6">
        <v>273.35000000000002</v>
      </c>
      <c r="I30" s="2"/>
      <c r="J30" s="7">
        <f t="shared" si="15"/>
        <v>8.6901478584070825E-4</v>
      </c>
      <c r="K30" s="2"/>
      <c r="L30" s="6">
        <f t="shared" si="16"/>
        <v>311.91999999999996</v>
      </c>
      <c r="M30" s="2"/>
      <c r="N30" s="7">
        <f t="shared" si="17"/>
        <v>1.1411011523687578</v>
      </c>
      <c r="O30" s="11"/>
      <c r="P30" s="6">
        <v>4585.0600000000004</v>
      </c>
      <c r="Q30" s="2"/>
      <c r="R30" s="7">
        <f t="shared" si="18"/>
        <v>0</v>
      </c>
      <c r="S30" s="2"/>
      <c r="T30" s="6">
        <v>3983.83</v>
      </c>
      <c r="U30" s="2"/>
      <c r="V30" s="7">
        <f t="shared" si="19"/>
        <v>2.263672403351269E-3</v>
      </c>
      <c r="W30" s="2"/>
      <c r="X30" s="6">
        <f t="shared" si="20"/>
        <v>601.23000000000047</v>
      </c>
      <c r="Y30" s="2"/>
      <c r="Z30" s="7">
        <f t="shared" si="21"/>
        <v>0.15091758433467303</v>
      </c>
    </row>
    <row r="31" spans="1:26" s="24" customFormat="1" hidden="1" outlineLevel="2" x14ac:dyDescent="0.25">
      <c r="A31" s="26"/>
      <c r="B31" s="11" t="str">
        <f>CONCATENATE("          ", "6118", " - ", "VACATION")</f>
        <v xml:space="preserve">          6118 - VACATION</v>
      </c>
      <c r="C31" s="11"/>
      <c r="D31" s="6">
        <v>1248.1600000000001</v>
      </c>
      <c r="E31" s="2"/>
      <c r="F31" s="7">
        <f t="shared" si="14"/>
        <v>0</v>
      </c>
      <c r="G31" s="2"/>
      <c r="H31" s="6">
        <v>2045.43</v>
      </c>
      <c r="I31" s="2"/>
      <c r="J31" s="7">
        <f t="shared" si="15"/>
        <v>6.5026848853197722E-3</v>
      </c>
      <c r="K31" s="2"/>
      <c r="L31" s="6">
        <f t="shared" si="16"/>
        <v>-797.27</v>
      </c>
      <c r="M31" s="2"/>
      <c r="N31" s="7">
        <f t="shared" si="17"/>
        <v>-0.38978112181790625</v>
      </c>
      <c r="O31" s="11"/>
      <c r="P31" s="6">
        <v>10506.37</v>
      </c>
      <c r="Q31" s="2"/>
      <c r="R31" s="7">
        <f t="shared" si="18"/>
        <v>0</v>
      </c>
      <c r="S31" s="2"/>
      <c r="T31" s="6">
        <v>18406.390000000003</v>
      </c>
      <c r="U31" s="2"/>
      <c r="V31" s="7">
        <f t="shared" si="19"/>
        <v>1.045878892631482E-2</v>
      </c>
      <c r="W31" s="2"/>
      <c r="X31" s="6">
        <f t="shared" si="20"/>
        <v>-7900.0200000000023</v>
      </c>
      <c r="Y31" s="2"/>
      <c r="Z31" s="7">
        <f t="shared" si="21"/>
        <v>-0.42919985939665523</v>
      </c>
    </row>
    <row r="32" spans="1:26" s="24" customFormat="1" hidden="1" outlineLevel="2" x14ac:dyDescent="0.25">
      <c r="A32" s="26"/>
      <c r="B32" s="11" t="str">
        <f>CONCATENATE("          ", "6119", " - ", "SICK LEAVE")</f>
        <v xml:space="preserve">          6119 - SICK LEAVE</v>
      </c>
      <c r="C32" s="11"/>
      <c r="D32" s="6">
        <v>950.34</v>
      </c>
      <c r="E32" s="2"/>
      <c r="F32" s="7">
        <f t="shared" si="14"/>
        <v>0</v>
      </c>
      <c r="G32" s="2"/>
      <c r="H32" s="6">
        <v>1519.56</v>
      </c>
      <c r="I32" s="2"/>
      <c r="J32" s="7">
        <f t="shared" si="15"/>
        <v>4.8308765610832506E-3</v>
      </c>
      <c r="K32" s="2"/>
      <c r="L32" s="6">
        <f t="shared" si="16"/>
        <v>-569.21999999999991</v>
      </c>
      <c r="M32" s="2"/>
      <c r="N32" s="7">
        <f t="shared" si="17"/>
        <v>-0.37459527758035216</v>
      </c>
      <c r="O32" s="11"/>
      <c r="P32" s="6">
        <v>8053.05</v>
      </c>
      <c r="Q32" s="2"/>
      <c r="R32" s="7">
        <f t="shared" si="18"/>
        <v>0</v>
      </c>
      <c r="S32" s="2"/>
      <c r="T32" s="6">
        <v>14173.81</v>
      </c>
      <c r="U32" s="2"/>
      <c r="V32" s="7">
        <f t="shared" si="19"/>
        <v>8.0537730142461513E-3</v>
      </c>
      <c r="W32" s="2"/>
      <c r="X32" s="6">
        <f t="shared" si="20"/>
        <v>-6120.7599999999993</v>
      </c>
      <c r="Y32" s="2"/>
      <c r="Z32" s="7">
        <f t="shared" si="21"/>
        <v>-0.43183590015669743</v>
      </c>
    </row>
    <row r="33" spans="1:26" s="24" customFormat="1" hidden="1" outlineLevel="2" x14ac:dyDescent="0.25">
      <c r="A33" s="26"/>
      <c r="B33" s="11" t="str">
        <f>CONCATENATE("          ", "6156", " - ", "EMPLOYEE MEALS")</f>
        <v xml:space="preserve">          6156 - EMPLOYEE MEALS</v>
      </c>
      <c r="C33" s="11"/>
      <c r="D33" s="6">
        <v>904</v>
      </c>
      <c r="E33" s="2"/>
      <c r="F33" s="7">
        <f t="shared" si="14"/>
        <v>0</v>
      </c>
      <c r="G33" s="2"/>
      <c r="H33" s="6">
        <v>1548.25</v>
      </c>
      <c r="I33" s="2"/>
      <c r="J33" s="7">
        <f t="shared" si="15"/>
        <v>4.9220857588362045E-3</v>
      </c>
      <c r="K33" s="2"/>
      <c r="L33" s="6">
        <f t="shared" si="16"/>
        <v>-644.25</v>
      </c>
      <c r="M33" s="2"/>
      <c r="N33" s="7">
        <f t="shared" si="17"/>
        <v>-0.41611496851283708</v>
      </c>
      <c r="O33" s="11"/>
      <c r="P33" s="6">
        <v>5972.78</v>
      </c>
      <c r="Q33" s="2"/>
      <c r="R33" s="7">
        <f t="shared" si="18"/>
        <v>0</v>
      </c>
      <c r="S33" s="2"/>
      <c r="T33" s="6">
        <v>9749.76</v>
      </c>
      <c r="U33" s="2"/>
      <c r="V33" s="7">
        <f t="shared" si="19"/>
        <v>5.5399609549850442E-3</v>
      </c>
      <c r="W33" s="2"/>
      <c r="X33" s="6">
        <f t="shared" si="20"/>
        <v>-3776.9800000000005</v>
      </c>
      <c r="Y33" s="2"/>
      <c r="Z33" s="7">
        <f t="shared" si="21"/>
        <v>-0.38739209990810036</v>
      </c>
    </row>
    <row r="34" spans="1:26" s="25" customFormat="1" outlineLevel="1" collapsed="1" x14ac:dyDescent="0.25">
      <c r="A34" s="27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18114.66</v>
      </c>
      <c r="E34" s="1"/>
      <c r="F34" s="5">
        <f t="shared" ref="F34:F40" si="22">IF(D$12=0,0,D34/D$12)</f>
        <v>0</v>
      </c>
      <c r="G34" s="1"/>
      <c r="H34" s="1">
        <f>SUM(OSRRefH22_1x_0)</f>
        <v>77081.19</v>
      </c>
      <c r="I34" s="1"/>
      <c r="J34" s="5">
        <f t="shared" ref="J34:J40" si="23">IF(H$12=0,0,H34/H$12)</f>
        <v>0.24505101086591161</v>
      </c>
      <c r="K34" s="1"/>
      <c r="L34" s="1">
        <f t="shared" ref="L34:L40" si="24">+D34-H34</f>
        <v>-58966.53</v>
      </c>
      <c r="M34" s="1"/>
      <c r="N34" s="5">
        <f t="shared" ref="N34:N40" si="25">IF(H34=0,0,L34/H34)</f>
        <v>-0.76499247092578615</v>
      </c>
      <c r="O34" s="13"/>
      <c r="P34" s="1">
        <f>SUM(OSRRefP22_1x_0)</f>
        <v>163265.38</v>
      </c>
      <c r="Q34" s="1"/>
      <c r="R34" s="5">
        <f t="shared" ref="R34:R40" si="26">IF(P$12=0,0,P34/P$12)</f>
        <v>0</v>
      </c>
      <c r="S34" s="1"/>
      <c r="T34" s="1">
        <f>SUM(OSRRefT22_1x_0)</f>
        <v>529271.36</v>
      </c>
      <c r="U34" s="1"/>
      <c r="V34" s="5">
        <f t="shared" ref="V34:V40" si="27">IF(T$12=0,0,T34/T$12)</f>
        <v>0.30073998426544168</v>
      </c>
      <c r="W34" s="1"/>
      <c r="X34" s="1">
        <f t="shared" ref="X34:X40" si="28">+P34-T34</f>
        <v>-366005.98</v>
      </c>
      <c r="Y34" s="1"/>
      <c r="Z34" s="5">
        <f t="shared" ref="Z34:Z40" si="29">IF(T34=0,0,X34/T34)</f>
        <v>-0.69152802826890158</v>
      </c>
    </row>
    <row r="35" spans="1:26" s="24" customFormat="1" hidden="1" outlineLevel="2" x14ac:dyDescent="0.25">
      <c r="A35" s="26"/>
      <c r="B35" s="11" t="str">
        <f>CONCATENATE("          ", "6002", " - ", "STAFF SALARIES")</f>
        <v xml:space="preserve">          6002 - STAFF SALARIES</v>
      </c>
      <c r="C35" s="11"/>
      <c r="D35" s="6">
        <v>3883</v>
      </c>
      <c r="E35" s="2"/>
      <c r="F35" s="7">
        <f t="shared" si="22"/>
        <v>0</v>
      </c>
      <c r="G35" s="2"/>
      <c r="H35" s="6">
        <v>8420.26</v>
      </c>
      <c r="I35" s="2"/>
      <c r="J35" s="7">
        <f t="shared" si="23"/>
        <v>2.6769088862714768E-2</v>
      </c>
      <c r="K35" s="2"/>
      <c r="L35" s="6">
        <f t="shared" si="24"/>
        <v>-4537.26</v>
      </c>
      <c r="M35" s="2"/>
      <c r="N35" s="7">
        <f t="shared" si="25"/>
        <v>-0.53885034428865619</v>
      </c>
      <c r="O35" s="11"/>
      <c r="P35" s="6">
        <v>34477.990000000005</v>
      </c>
      <c r="Q35" s="2"/>
      <c r="R35" s="7">
        <f t="shared" si="26"/>
        <v>0</v>
      </c>
      <c r="S35" s="2"/>
      <c r="T35" s="6">
        <v>77808.17</v>
      </c>
      <c r="U35" s="2"/>
      <c r="V35" s="7">
        <f t="shared" si="27"/>
        <v>4.4211777908260169E-2</v>
      </c>
      <c r="W35" s="2"/>
      <c r="X35" s="6">
        <f t="shared" si="28"/>
        <v>-43330.179999999993</v>
      </c>
      <c r="Y35" s="2"/>
      <c r="Z35" s="7">
        <f t="shared" si="29"/>
        <v>-0.55688470760846831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6">
        <v>15083.66</v>
      </c>
      <c r="E36" s="2"/>
      <c r="F36" s="7">
        <f t="shared" si="22"/>
        <v>0</v>
      </c>
      <c r="G36" s="2"/>
      <c r="H36" s="6">
        <v>22911.41</v>
      </c>
      <c r="I36" s="2"/>
      <c r="J36" s="7">
        <f t="shared" si="23"/>
        <v>7.2838317375008815E-2</v>
      </c>
      <c r="K36" s="2"/>
      <c r="L36" s="6">
        <f t="shared" si="24"/>
        <v>-7827.75</v>
      </c>
      <c r="M36" s="2"/>
      <c r="N36" s="7">
        <f t="shared" si="25"/>
        <v>-0.34165291442124252</v>
      </c>
      <c r="O36" s="11"/>
      <c r="P36" s="6">
        <v>126171.39000000001</v>
      </c>
      <c r="Q36" s="2"/>
      <c r="R36" s="7">
        <f t="shared" si="26"/>
        <v>0</v>
      </c>
      <c r="S36" s="2"/>
      <c r="T36" s="6">
        <v>170894.54</v>
      </c>
      <c r="U36" s="2"/>
      <c r="V36" s="7">
        <f t="shared" si="27"/>
        <v>9.7104859916565103E-2</v>
      </c>
      <c r="W36" s="2"/>
      <c r="X36" s="6">
        <f t="shared" si="28"/>
        <v>-44723.149999999994</v>
      </c>
      <c r="Y36" s="2"/>
      <c r="Z36" s="7">
        <f t="shared" si="29"/>
        <v>-0.26170028603605472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6"/>
      <c r="E37" s="2"/>
      <c r="F37" s="7">
        <f t="shared" si="22"/>
        <v>0</v>
      </c>
      <c r="G37" s="2"/>
      <c r="H37" s="6">
        <v>14313.64</v>
      </c>
      <c r="I37" s="2"/>
      <c r="J37" s="7">
        <f t="shared" si="23"/>
        <v>4.5504901405527688E-2</v>
      </c>
      <c r="K37" s="2"/>
      <c r="L37" s="6">
        <f t="shared" si="24"/>
        <v>-14313.64</v>
      </c>
      <c r="M37" s="2"/>
      <c r="N37" s="7">
        <f t="shared" si="25"/>
        <v>-1</v>
      </c>
      <c r="O37" s="11"/>
      <c r="P37" s="6"/>
      <c r="Q37" s="2"/>
      <c r="R37" s="7">
        <f t="shared" si="26"/>
        <v>0</v>
      </c>
      <c r="S37" s="2"/>
      <c r="T37" s="6">
        <v>89274.099999999991</v>
      </c>
      <c r="U37" s="2"/>
      <c r="V37" s="7">
        <f t="shared" si="27"/>
        <v>5.0726892589297613E-2</v>
      </c>
      <c r="W37" s="2"/>
      <c r="X37" s="6">
        <f t="shared" si="28"/>
        <v>-89274.099999999991</v>
      </c>
      <c r="Y37" s="2"/>
      <c r="Z37" s="7">
        <f t="shared" si="29"/>
        <v>-1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2"/>
        <v>0</v>
      </c>
      <c r="G38" s="2"/>
      <c r="H38" s="6"/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/>
      <c r="Q38" s="2"/>
      <c r="R38" s="7">
        <f t="shared" si="26"/>
        <v>0</v>
      </c>
      <c r="S38" s="2"/>
      <c r="T38" s="6">
        <v>10378.219999999999</v>
      </c>
      <c r="U38" s="2"/>
      <c r="V38" s="7">
        <f t="shared" si="27"/>
        <v>5.8970614232806634E-3</v>
      </c>
      <c r="W38" s="2"/>
      <c r="X38" s="6">
        <f t="shared" si="28"/>
        <v>-10378.219999999999</v>
      </c>
      <c r="Y38" s="2"/>
      <c r="Z38" s="7">
        <f t="shared" si="29"/>
        <v>-1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6">
        <v>-852</v>
      </c>
      <c r="E39" s="2"/>
      <c r="F39" s="7">
        <f t="shared" si="22"/>
        <v>0</v>
      </c>
      <c r="G39" s="2"/>
      <c r="H39" s="6">
        <v>22002.1</v>
      </c>
      <c r="I39" s="2"/>
      <c r="J39" s="7">
        <f t="shared" si="23"/>
        <v>6.9947504004191863E-2</v>
      </c>
      <c r="K39" s="2"/>
      <c r="L39" s="6">
        <f t="shared" si="24"/>
        <v>-22854.1</v>
      </c>
      <c r="M39" s="2"/>
      <c r="N39" s="7">
        <f t="shared" si="25"/>
        <v>-1.0387235763858904</v>
      </c>
      <c r="O39" s="11"/>
      <c r="P39" s="6">
        <v>2616</v>
      </c>
      <c r="Q39" s="2"/>
      <c r="R39" s="7">
        <f t="shared" si="26"/>
        <v>0</v>
      </c>
      <c r="S39" s="2"/>
      <c r="T39" s="6">
        <v>130394.80000000002</v>
      </c>
      <c r="U39" s="2"/>
      <c r="V39" s="7">
        <f t="shared" si="27"/>
        <v>7.4092295680415102E-2</v>
      </c>
      <c r="W39" s="2"/>
      <c r="X39" s="6">
        <f t="shared" si="28"/>
        <v>-127778.80000000002</v>
      </c>
      <c r="Y39" s="2"/>
      <c r="Z39" s="7">
        <f t="shared" si="29"/>
        <v>-0.97993785028237324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2"/>
        <v>0</v>
      </c>
      <c r="G40" s="2"/>
      <c r="H40" s="6">
        <v>9433.7800000000007</v>
      </c>
      <c r="I40" s="2"/>
      <c r="J40" s="7">
        <f t="shared" si="23"/>
        <v>2.9991199218468472E-2</v>
      </c>
      <c r="K40" s="2"/>
      <c r="L40" s="6">
        <f t="shared" si="24"/>
        <v>-9433.7800000000007</v>
      </c>
      <c r="M40" s="2"/>
      <c r="N40" s="7">
        <f t="shared" si="25"/>
        <v>-1</v>
      </c>
      <c r="O40" s="11"/>
      <c r="P40" s="6"/>
      <c r="Q40" s="2"/>
      <c r="R40" s="7">
        <f t="shared" si="26"/>
        <v>0</v>
      </c>
      <c r="S40" s="2"/>
      <c r="T40" s="6">
        <v>50521.53</v>
      </c>
      <c r="U40" s="2"/>
      <c r="V40" s="7">
        <f t="shared" si="27"/>
        <v>2.8707096747623072E-2</v>
      </c>
      <c r="W40" s="2"/>
      <c r="X40" s="6">
        <f t="shared" si="28"/>
        <v>-50521.53</v>
      </c>
      <c r="Y40" s="2"/>
      <c r="Z40" s="7">
        <f t="shared" si="29"/>
        <v>-1</v>
      </c>
    </row>
    <row r="41" spans="1:26" s="25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63" si="30">IF(D$12=0,0,D41/D$12)</f>
        <v>0</v>
      </c>
      <c r="G41" s="1"/>
      <c r="H41" s="1">
        <f>SUM(OSRRefH22_2x_0)</f>
        <v>105.86</v>
      </c>
      <c r="I41" s="1"/>
      <c r="J41" s="5">
        <f t="shared" ref="J41:J63" si="31">IF(H$12=0,0,H41/H$12)</f>
        <v>3.3654254702431815E-4</v>
      </c>
      <c r="K41" s="1"/>
      <c r="L41" s="1">
        <f t="shared" ref="L41:L63" si="32">+D41-H41</f>
        <v>-105.86</v>
      </c>
      <c r="M41" s="1"/>
      <c r="N41" s="5">
        <f t="shared" ref="N41:N63" si="33">IF(H41=0,0,L41/H41)</f>
        <v>-1</v>
      </c>
      <c r="O41" s="13"/>
      <c r="P41" s="1">
        <f>SUM(OSRRefP22_2x_0)</f>
        <v>0</v>
      </c>
      <c r="Q41" s="1"/>
      <c r="R41" s="5">
        <f t="shared" ref="R41:R63" si="34">IF(P$12=0,0,P41/P$12)</f>
        <v>0</v>
      </c>
      <c r="S41" s="1"/>
      <c r="T41" s="1">
        <f>SUM(OSRRefT22_2x_0)</f>
        <v>3020.03</v>
      </c>
      <c r="U41" s="1"/>
      <c r="V41" s="5">
        <f t="shared" ref="V41:V63" si="35">IF(T$12=0,0,T41/T$12)</f>
        <v>1.7160266799268375E-3</v>
      </c>
      <c r="W41" s="1"/>
      <c r="X41" s="1">
        <f t="shared" ref="X41:X63" si="36">+P41-T41</f>
        <v>-3020.03</v>
      </c>
      <c r="Y41" s="1"/>
      <c r="Z41" s="5">
        <f t="shared" ref="Z41:Z63" si="37">IF(T41=0,0,X41/T41)</f>
        <v>-1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30"/>
        <v>0</v>
      </c>
      <c r="G42" s="2"/>
      <c r="H42" s="6">
        <v>105.86</v>
      </c>
      <c r="I42" s="2"/>
      <c r="J42" s="7">
        <f t="shared" si="31"/>
        <v>3.3654254702431815E-4</v>
      </c>
      <c r="K42" s="2"/>
      <c r="L42" s="6">
        <f t="shared" si="32"/>
        <v>-105.86</v>
      </c>
      <c r="M42" s="2"/>
      <c r="N42" s="7">
        <f t="shared" si="33"/>
        <v>-1</v>
      </c>
      <c r="O42" s="11"/>
      <c r="P42" s="6"/>
      <c r="Q42" s="2"/>
      <c r="R42" s="7">
        <f t="shared" si="34"/>
        <v>0</v>
      </c>
      <c r="S42" s="2"/>
      <c r="T42" s="6">
        <v>3020.03</v>
      </c>
      <c r="U42" s="2"/>
      <c r="V42" s="7">
        <f t="shared" si="35"/>
        <v>1.7160266799268375E-3</v>
      </c>
      <c r="W42" s="2"/>
      <c r="X42" s="6">
        <f t="shared" si="36"/>
        <v>-3020.03</v>
      </c>
      <c r="Y42" s="2"/>
      <c r="Z42" s="7">
        <f t="shared" si="37"/>
        <v>-1</v>
      </c>
    </row>
    <row r="43" spans="1:26" s="25" customFormat="1" outlineLevel="1" collapsed="1" x14ac:dyDescent="0.25">
      <c r="A43" s="27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0</v>
      </c>
      <c r="E43" s="1"/>
      <c r="F43" s="5">
        <f t="shared" si="30"/>
        <v>0</v>
      </c>
      <c r="G43" s="1"/>
      <c r="H43" s="1">
        <f>SUM(OSRRefH22_3x_0)</f>
        <v>0</v>
      </c>
      <c r="I43" s="1"/>
      <c r="J43" s="5">
        <f t="shared" si="31"/>
        <v>0</v>
      </c>
      <c r="K43" s="1"/>
      <c r="L43" s="1">
        <f t="shared" si="32"/>
        <v>0</v>
      </c>
      <c r="M43" s="1"/>
      <c r="N43" s="5">
        <f t="shared" si="33"/>
        <v>0</v>
      </c>
      <c r="O43" s="13"/>
      <c r="P43" s="1">
        <f>SUM(OSRRefP22_3x_0)</f>
        <v>29.74</v>
      </c>
      <c r="Q43" s="1"/>
      <c r="R43" s="5">
        <f t="shared" si="34"/>
        <v>0</v>
      </c>
      <c r="S43" s="1"/>
      <c r="T43" s="1">
        <f>SUM(OSRRefT22_3x_0)</f>
        <v>13.18</v>
      </c>
      <c r="U43" s="1"/>
      <c r="V43" s="5">
        <f t="shared" si="35"/>
        <v>7.4890751553579652E-6</v>
      </c>
      <c r="W43" s="1"/>
      <c r="X43" s="1">
        <f t="shared" si="36"/>
        <v>16.559999999999999</v>
      </c>
      <c r="Y43" s="1"/>
      <c r="Z43" s="5">
        <f t="shared" si="37"/>
        <v>1.2564491654021244</v>
      </c>
    </row>
    <row r="44" spans="1:26" s="24" customFormat="1" hidden="1" outlineLevel="2" x14ac:dyDescent="0.25">
      <c r="A44" s="26"/>
      <c r="B44" s="11" t="str">
        <f>CONCATENATE("          ", "6272", " - ", "CASH (OVER/SHORT)")</f>
        <v xml:space="preserve">          6272 - CASH (OVER/SHORT)</v>
      </c>
      <c r="C44" s="11"/>
      <c r="D44" s="6"/>
      <c r="E44" s="2"/>
      <c r="F44" s="7">
        <f t="shared" si="30"/>
        <v>0</v>
      </c>
      <c r="G44" s="2"/>
      <c r="H44" s="6"/>
      <c r="I44" s="2"/>
      <c r="J44" s="7">
        <f t="shared" si="31"/>
        <v>0</v>
      </c>
      <c r="K44" s="2"/>
      <c r="L44" s="6">
        <f t="shared" si="32"/>
        <v>0</v>
      </c>
      <c r="M44" s="2"/>
      <c r="N44" s="7">
        <f t="shared" si="33"/>
        <v>0</v>
      </c>
      <c r="O44" s="11"/>
      <c r="P44" s="6">
        <v>29.74</v>
      </c>
      <c r="Q44" s="2"/>
      <c r="R44" s="7">
        <f t="shared" si="34"/>
        <v>0</v>
      </c>
      <c r="S44" s="2"/>
      <c r="T44" s="6">
        <v>13.18</v>
      </c>
      <c r="U44" s="2"/>
      <c r="V44" s="7">
        <f t="shared" si="35"/>
        <v>7.4890751553579652E-6</v>
      </c>
      <c r="W44" s="2"/>
      <c r="X44" s="6">
        <f t="shared" si="36"/>
        <v>16.559999999999999</v>
      </c>
      <c r="Y44" s="2"/>
      <c r="Z44" s="7">
        <f t="shared" si="37"/>
        <v>1.2564491654021244</v>
      </c>
    </row>
    <row r="45" spans="1:26" s="25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0</v>
      </c>
      <c r="E45" s="1"/>
      <c r="F45" s="5">
        <f t="shared" si="30"/>
        <v>0</v>
      </c>
      <c r="G45" s="1"/>
      <c r="H45" s="1">
        <f>SUM(OSRRefH22_4x_0)</f>
        <v>12</v>
      </c>
      <c r="I45" s="1"/>
      <c r="J45" s="5">
        <f t="shared" si="31"/>
        <v>3.8149542455052126E-5</v>
      </c>
      <c r="K45" s="1"/>
      <c r="L45" s="1">
        <f t="shared" si="32"/>
        <v>-12</v>
      </c>
      <c r="M45" s="1"/>
      <c r="N45" s="5">
        <f t="shared" si="33"/>
        <v>-1</v>
      </c>
      <c r="O45" s="13"/>
      <c r="P45" s="1">
        <f>SUM(OSRRefP22_4x_0)</f>
        <v>0</v>
      </c>
      <c r="Q45" s="1"/>
      <c r="R45" s="5">
        <f t="shared" si="34"/>
        <v>0</v>
      </c>
      <c r="S45" s="1"/>
      <c r="T45" s="1">
        <f>SUM(OSRRefT22_4x_0)</f>
        <v>66.7</v>
      </c>
      <c r="U45" s="1"/>
      <c r="V45" s="5">
        <f t="shared" si="35"/>
        <v>3.7899947865127185E-5</v>
      </c>
      <c r="W45" s="1"/>
      <c r="X45" s="1">
        <f t="shared" si="36"/>
        <v>-66.7</v>
      </c>
      <c r="Y45" s="1"/>
      <c r="Z45" s="5">
        <f t="shared" si="37"/>
        <v>-1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6"/>
      <c r="E46" s="2"/>
      <c r="F46" s="7">
        <f t="shared" si="30"/>
        <v>0</v>
      </c>
      <c r="G46" s="2"/>
      <c r="H46" s="6">
        <v>12</v>
      </c>
      <c r="I46" s="2"/>
      <c r="J46" s="7">
        <f t="shared" si="31"/>
        <v>3.8149542455052126E-5</v>
      </c>
      <c r="K46" s="2"/>
      <c r="L46" s="6">
        <f t="shared" si="32"/>
        <v>-12</v>
      </c>
      <c r="M46" s="2"/>
      <c r="N46" s="7">
        <f t="shared" si="33"/>
        <v>-1</v>
      </c>
      <c r="O46" s="11"/>
      <c r="P46" s="6"/>
      <c r="Q46" s="2"/>
      <c r="R46" s="7">
        <f t="shared" si="34"/>
        <v>0</v>
      </c>
      <c r="S46" s="2"/>
      <c r="T46" s="6">
        <v>66.7</v>
      </c>
      <c r="U46" s="2"/>
      <c r="V46" s="7">
        <f t="shared" si="35"/>
        <v>3.7899947865127185E-5</v>
      </c>
      <c r="W46" s="2"/>
      <c r="X46" s="6">
        <f t="shared" si="36"/>
        <v>-66.7</v>
      </c>
      <c r="Y46" s="2"/>
      <c r="Z46" s="7">
        <f t="shared" si="37"/>
        <v>-1</v>
      </c>
    </row>
    <row r="47" spans="1:26" s="25" customFormat="1" outlineLevel="1" collapsed="1" x14ac:dyDescent="0.25">
      <c r="A47" s="27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SUM(OSRRefD22_5x_0)</f>
        <v>213.02</v>
      </c>
      <c r="E47" s="1"/>
      <c r="F47" s="5">
        <f t="shared" si="30"/>
        <v>0</v>
      </c>
      <c r="G47" s="1"/>
      <c r="H47" s="1">
        <f>SUM(OSRRefH22_5x_0)</f>
        <v>0</v>
      </c>
      <c r="I47" s="1"/>
      <c r="J47" s="5">
        <f t="shared" si="31"/>
        <v>0</v>
      </c>
      <c r="K47" s="1"/>
      <c r="L47" s="1">
        <f t="shared" si="32"/>
        <v>213.02</v>
      </c>
      <c r="M47" s="1"/>
      <c r="N47" s="5">
        <f t="shared" si="33"/>
        <v>0</v>
      </c>
      <c r="O47" s="13"/>
      <c r="P47" s="1">
        <f>SUM(OSRRefP22_5x_0)</f>
        <v>1704.16</v>
      </c>
      <c r="Q47" s="1"/>
      <c r="R47" s="5">
        <f t="shared" si="34"/>
        <v>0</v>
      </c>
      <c r="S47" s="1"/>
      <c r="T47" s="1">
        <f>SUM(OSRRefT22_5x_0)</f>
        <v>0</v>
      </c>
      <c r="U47" s="1"/>
      <c r="V47" s="5">
        <f t="shared" si="35"/>
        <v>0</v>
      </c>
      <c r="W47" s="1"/>
      <c r="X47" s="1">
        <f t="shared" si="36"/>
        <v>1704.16</v>
      </c>
      <c r="Y47" s="1"/>
      <c r="Z47" s="5">
        <f t="shared" si="37"/>
        <v>0</v>
      </c>
    </row>
    <row r="48" spans="1:26" s="24" customFormat="1" hidden="1" outlineLevel="2" x14ac:dyDescent="0.25">
      <c r="A48" s="26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213.02</v>
      </c>
      <c r="E48" s="2"/>
      <c r="F48" s="7">
        <f t="shared" si="30"/>
        <v>0</v>
      </c>
      <c r="G48" s="2"/>
      <c r="H48" s="6"/>
      <c r="I48" s="2"/>
      <c r="J48" s="7">
        <f t="shared" si="31"/>
        <v>0</v>
      </c>
      <c r="K48" s="2"/>
      <c r="L48" s="6">
        <f t="shared" si="32"/>
        <v>213.02</v>
      </c>
      <c r="M48" s="2"/>
      <c r="N48" s="7">
        <f t="shared" si="33"/>
        <v>0</v>
      </c>
      <c r="O48" s="11"/>
      <c r="P48" s="6">
        <v>1704.16</v>
      </c>
      <c r="Q48" s="2"/>
      <c r="R48" s="7">
        <f t="shared" si="34"/>
        <v>0</v>
      </c>
      <c r="S48" s="2"/>
      <c r="T48" s="6"/>
      <c r="U48" s="2"/>
      <c r="V48" s="7">
        <f t="shared" si="35"/>
        <v>0</v>
      </c>
      <c r="W48" s="2"/>
      <c r="X48" s="6">
        <f t="shared" si="36"/>
        <v>1704.16</v>
      </c>
      <c r="Y48" s="2"/>
      <c r="Z48" s="7">
        <f t="shared" si="37"/>
        <v>0</v>
      </c>
    </row>
    <row r="49" spans="1:26" s="25" customFormat="1" outlineLevel="1" collapsed="1" x14ac:dyDescent="0.25">
      <c r="A49" s="27"/>
      <c r="B49" s="13" t="str">
        <f>CONCATENATE("     ","Donations                                         ")</f>
        <v xml:space="preserve">     Donations                                         </v>
      </c>
      <c r="C49" s="13"/>
      <c r="D49" s="1">
        <f>SUM(OSRRefD22_6x_0)</f>
        <v>0</v>
      </c>
      <c r="E49" s="1"/>
      <c r="F49" s="5">
        <f t="shared" si="30"/>
        <v>0</v>
      </c>
      <c r="G49" s="1"/>
      <c r="H49" s="1">
        <f>SUM(OSRRefH22_6x_0)</f>
        <v>3235.02</v>
      </c>
      <c r="I49" s="1"/>
      <c r="J49" s="5">
        <f t="shared" si="31"/>
        <v>1.0284544402745227E-2</v>
      </c>
      <c r="K49" s="1"/>
      <c r="L49" s="1">
        <f t="shared" si="32"/>
        <v>-3235.02</v>
      </c>
      <c r="M49" s="1"/>
      <c r="N49" s="5">
        <f t="shared" si="33"/>
        <v>-1</v>
      </c>
      <c r="O49" s="13"/>
      <c r="P49" s="1">
        <f>SUM(OSRRefP22_6x_0)</f>
        <v>0</v>
      </c>
      <c r="Q49" s="1"/>
      <c r="R49" s="5">
        <f t="shared" si="34"/>
        <v>0</v>
      </c>
      <c r="S49" s="1"/>
      <c r="T49" s="1">
        <f>SUM(OSRRefT22_6x_0)</f>
        <v>18714.900000000001</v>
      </c>
      <c r="U49" s="1"/>
      <c r="V49" s="5">
        <f t="shared" si="35"/>
        <v>1.0634088970031017E-2</v>
      </c>
      <c r="W49" s="1"/>
      <c r="X49" s="1">
        <f t="shared" si="36"/>
        <v>-18714.900000000001</v>
      </c>
      <c r="Y49" s="1"/>
      <c r="Z49" s="5">
        <f t="shared" si="37"/>
        <v>-1</v>
      </c>
    </row>
    <row r="50" spans="1:26" s="24" customFormat="1" hidden="1" outlineLevel="2" x14ac:dyDescent="0.25">
      <c r="A50" s="26"/>
      <c r="B50" s="11" t="str">
        <f>CONCATENATE("          ", "6399", " - ", "DONATION-ON CAMPUS")</f>
        <v xml:space="preserve">          6399 - DONATION-ON CAMPUS</v>
      </c>
      <c r="C50" s="11"/>
      <c r="D50" s="6"/>
      <c r="E50" s="2"/>
      <c r="F50" s="7">
        <f t="shared" si="30"/>
        <v>0</v>
      </c>
      <c r="G50" s="2"/>
      <c r="H50" s="6">
        <v>3235.02</v>
      </c>
      <c r="I50" s="2"/>
      <c r="J50" s="7">
        <f t="shared" si="31"/>
        <v>1.0284544402745227E-2</v>
      </c>
      <c r="K50" s="2"/>
      <c r="L50" s="6">
        <f t="shared" si="32"/>
        <v>-3235.02</v>
      </c>
      <c r="M50" s="2"/>
      <c r="N50" s="7">
        <f t="shared" si="33"/>
        <v>-1</v>
      </c>
      <c r="O50" s="11"/>
      <c r="P50" s="6"/>
      <c r="Q50" s="2"/>
      <c r="R50" s="7">
        <f t="shared" si="34"/>
        <v>0</v>
      </c>
      <c r="S50" s="2"/>
      <c r="T50" s="6">
        <v>18714.900000000001</v>
      </c>
      <c r="U50" s="2"/>
      <c r="V50" s="7">
        <f t="shared" si="35"/>
        <v>1.0634088970031017E-2</v>
      </c>
      <c r="W50" s="2"/>
      <c r="X50" s="6">
        <f t="shared" si="36"/>
        <v>-18714.900000000001</v>
      </c>
      <c r="Y50" s="2"/>
      <c r="Z50" s="7">
        <f t="shared" si="37"/>
        <v>-1</v>
      </c>
    </row>
    <row r="51" spans="1:26" s="25" customFormat="1" outlineLevel="1" collapsed="1" x14ac:dyDescent="0.25">
      <c r="A51" s="27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SUM(OSRRefD22_7x_0)</f>
        <v>0</v>
      </c>
      <c r="E51" s="1"/>
      <c r="F51" s="5">
        <f t="shared" si="30"/>
        <v>0</v>
      </c>
      <c r="G51" s="1"/>
      <c r="H51" s="1">
        <f>SUM(OSRRefH22_7x_0)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3"/>
      <c r="P51" s="1">
        <f>SUM(OSRRefP22_7x_0)</f>
        <v>0</v>
      </c>
      <c r="Q51" s="1"/>
      <c r="R51" s="5">
        <f t="shared" si="34"/>
        <v>0</v>
      </c>
      <c r="S51" s="1"/>
      <c r="T51" s="1">
        <f>SUM(OSRRefT22_7x_0)</f>
        <v>21.34</v>
      </c>
      <c r="U51" s="1"/>
      <c r="V51" s="5">
        <f t="shared" si="35"/>
        <v>1.2125710456399013E-5</v>
      </c>
      <c r="W51" s="1"/>
      <c r="X51" s="1">
        <f t="shared" si="36"/>
        <v>-21.34</v>
      </c>
      <c r="Y51" s="1"/>
      <c r="Z51" s="5">
        <f t="shared" si="37"/>
        <v>-1</v>
      </c>
    </row>
    <row r="52" spans="1:26" s="24" customFormat="1" hidden="1" outlineLevel="2" x14ac:dyDescent="0.25">
      <c r="A52" s="26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30"/>
        <v>0</v>
      </c>
      <c r="G52" s="2"/>
      <c r="H52" s="6"/>
      <c r="I52" s="2"/>
      <c r="J52" s="7">
        <f t="shared" si="31"/>
        <v>0</v>
      </c>
      <c r="K52" s="2"/>
      <c r="L52" s="6">
        <f t="shared" si="32"/>
        <v>0</v>
      </c>
      <c r="M52" s="2"/>
      <c r="N52" s="7">
        <f t="shared" si="33"/>
        <v>0</v>
      </c>
      <c r="O52" s="11"/>
      <c r="P52" s="6"/>
      <c r="Q52" s="2"/>
      <c r="R52" s="7">
        <f t="shared" si="34"/>
        <v>0</v>
      </c>
      <c r="S52" s="2"/>
      <c r="T52" s="6">
        <v>21.34</v>
      </c>
      <c r="U52" s="2"/>
      <c r="V52" s="7">
        <f t="shared" si="35"/>
        <v>1.2125710456399013E-5</v>
      </c>
      <c r="W52" s="2"/>
      <c r="X52" s="6">
        <f t="shared" si="36"/>
        <v>-21.34</v>
      </c>
      <c r="Y52" s="2"/>
      <c r="Z52" s="7">
        <f t="shared" si="37"/>
        <v>-1</v>
      </c>
    </row>
    <row r="53" spans="1:26" s="25" customFormat="1" outlineLevel="1" collapsed="1" x14ac:dyDescent="0.25">
      <c r="A53" s="27"/>
      <c r="B53" s="13" t="str">
        <f>CONCATENATE("     ","Equipment Rental                                  ")</f>
        <v xml:space="preserve">     Equipment Rental                                  </v>
      </c>
      <c r="C53" s="13"/>
      <c r="D53" s="1">
        <f>SUM(OSRRefD22_8x_0)</f>
        <v>0</v>
      </c>
      <c r="E53" s="1"/>
      <c r="F53" s="5">
        <f t="shared" si="30"/>
        <v>0</v>
      </c>
      <c r="G53" s="1"/>
      <c r="H53" s="1">
        <f>SUM(OSRRefH22_8x_0)</f>
        <v>0</v>
      </c>
      <c r="I53" s="1"/>
      <c r="J53" s="5">
        <f t="shared" si="31"/>
        <v>0</v>
      </c>
      <c r="K53" s="1"/>
      <c r="L53" s="1">
        <f t="shared" si="32"/>
        <v>0</v>
      </c>
      <c r="M53" s="1"/>
      <c r="N53" s="5">
        <f t="shared" si="33"/>
        <v>0</v>
      </c>
      <c r="O53" s="13"/>
      <c r="P53" s="1">
        <f>SUM(OSRRefP22_8x_0)</f>
        <v>20</v>
      </c>
      <c r="Q53" s="1"/>
      <c r="R53" s="5">
        <f t="shared" si="34"/>
        <v>0</v>
      </c>
      <c r="S53" s="1"/>
      <c r="T53" s="1">
        <f>SUM(OSRRefT22_8x_0)</f>
        <v>0.01</v>
      </c>
      <c r="U53" s="1"/>
      <c r="V53" s="5">
        <f t="shared" si="35"/>
        <v>5.6821511042169695E-9</v>
      </c>
      <c r="W53" s="1"/>
      <c r="X53" s="1">
        <f t="shared" si="36"/>
        <v>19.989999999999998</v>
      </c>
      <c r="Y53" s="1"/>
      <c r="Z53" s="5">
        <f t="shared" si="37"/>
        <v>1998.9999999999998</v>
      </c>
    </row>
    <row r="54" spans="1:26" s="24" customFormat="1" hidden="1" outlineLevel="2" x14ac:dyDescent="0.25">
      <c r="A54" s="26"/>
      <c r="B54" s="11" t="str">
        <f>CONCATENATE("          ", "6351", " - ", "EQUIPMENT RENTAL")</f>
        <v xml:space="preserve">          6351 - EQUIPMENT RENTAL</v>
      </c>
      <c r="C54" s="11"/>
      <c r="D54" s="6"/>
      <c r="E54" s="2"/>
      <c r="F54" s="7">
        <f t="shared" si="30"/>
        <v>0</v>
      </c>
      <c r="G54" s="2"/>
      <c r="H54" s="6"/>
      <c r="I54" s="2"/>
      <c r="J54" s="7">
        <f t="shared" si="31"/>
        <v>0</v>
      </c>
      <c r="K54" s="2"/>
      <c r="L54" s="6">
        <f t="shared" si="32"/>
        <v>0</v>
      </c>
      <c r="M54" s="2"/>
      <c r="N54" s="7">
        <f t="shared" si="33"/>
        <v>0</v>
      </c>
      <c r="O54" s="11"/>
      <c r="P54" s="6">
        <v>20</v>
      </c>
      <c r="Q54" s="2"/>
      <c r="R54" s="7">
        <f t="shared" si="34"/>
        <v>0</v>
      </c>
      <c r="S54" s="2"/>
      <c r="T54" s="6">
        <v>0.01</v>
      </c>
      <c r="U54" s="2"/>
      <c r="V54" s="7">
        <f t="shared" si="35"/>
        <v>5.6821511042169695E-9</v>
      </c>
      <c r="W54" s="2"/>
      <c r="X54" s="6">
        <f t="shared" si="36"/>
        <v>19.989999999999998</v>
      </c>
      <c r="Y54" s="2"/>
      <c r="Z54" s="7">
        <f t="shared" si="37"/>
        <v>1998.9999999999998</v>
      </c>
    </row>
    <row r="55" spans="1:26" s="25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SUM(OSRRefD22_9x_0)</f>
        <v>0</v>
      </c>
      <c r="E55" s="1"/>
      <c r="F55" s="5">
        <f t="shared" si="30"/>
        <v>0</v>
      </c>
      <c r="G55" s="1"/>
      <c r="H55" s="1">
        <f>SUM(OSRRefH22_9x_0)</f>
        <v>0</v>
      </c>
      <c r="I55" s="1"/>
      <c r="J55" s="5">
        <f t="shared" si="31"/>
        <v>0</v>
      </c>
      <c r="K55" s="1"/>
      <c r="L55" s="1">
        <f t="shared" si="32"/>
        <v>0</v>
      </c>
      <c r="M55" s="1"/>
      <c r="N55" s="5">
        <f t="shared" si="33"/>
        <v>0</v>
      </c>
      <c r="O55" s="13"/>
      <c r="P55" s="1">
        <f>SUM(OSRRefP22_9x_0)</f>
        <v>1439.55</v>
      </c>
      <c r="Q55" s="1"/>
      <c r="R55" s="5">
        <f t="shared" si="34"/>
        <v>0</v>
      </c>
      <c r="S55" s="1"/>
      <c r="T55" s="1">
        <f>SUM(OSRRefT22_9x_0)</f>
        <v>1517.11</v>
      </c>
      <c r="U55" s="1"/>
      <c r="V55" s="5">
        <f t="shared" si="35"/>
        <v>8.6204482617186059E-4</v>
      </c>
      <c r="W55" s="1"/>
      <c r="X55" s="1">
        <f t="shared" si="36"/>
        <v>-77.559999999999945</v>
      </c>
      <c r="Y55" s="1"/>
      <c r="Z55" s="5">
        <f t="shared" si="37"/>
        <v>-5.1123517740967996E-2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30"/>
        <v>0</v>
      </c>
      <c r="G56" s="2"/>
      <c r="H56" s="6"/>
      <c r="I56" s="2"/>
      <c r="J56" s="7">
        <f t="shared" si="31"/>
        <v>0</v>
      </c>
      <c r="K56" s="2"/>
      <c r="L56" s="6">
        <f t="shared" si="32"/>
        <v>0</v>
      </c>
      <c r="M56" s="2"/>
      <c r="N56" s="7">
        <f t="shared" si="33"/>
        <v>0</v>
      </c>
      <c r="O56" s="11"/>
      <c r="P56" s="6">
        <v>1439.55</v>
      </c>
      <c r="Q56" s="2"/>
      <c r="R56" s="7">
        <f t="shared" si="34"/>
        <v>0</v>
      </c>
      <c r="S56" s="2"/>
      <c r="T56" s="6">
        <v>1517.11</v>
      </c>
      <c r="U56" s="2"/>
      <c r="V56" s="7">
        <f t="shared" si="35"/>
        <v>8.6204482617186059E-4</v>
      </c>
      <c r="W56" s="2"/>
      <c r="X56" s="6">
        <f t="shared" si="36"/>
        <v>-77.559999999999945</v>
      </c>
      <c r="Y56" s="2"/>
      <c r="Z56" s="7">
        <f t="shared" si="37"/>
        <v>-5.1123517740967996E-2</v>
      </c>
    </row>
    <row r="57" spans="1:26" s="25" customFormat="1" outlineLevel="1" collapsed="1" x14ac:dyDescent="0.25">
      <c r="A57" s="27"/>
      <c r="B57" s="13" t="str">
        <f>CONCATENATE("     ","Insurance                                         ")</f>
        <v xml:space="preserve">     Insurance                                         </v>
      </c>
      <c r="C57" s="13"/>
      <c r="D57" s="1">
        <f>SUM(OSRRefD22_10x_0)</f>
        <v>5.9</v>
      </c>
      <c r="E57" s="1"/>
      <c r="F57" s="5">
        <f t="shared" si="30"/>
        <v>0</v>
      </c>
      <c r="G57" s="1"/>
      <c r="H57" s="1">
        <f>SUM(OSRRefH22_10x_0)</f>
        <v>5.9</v>
      </c>
      <c r="I57" s="1"/>
      <c r="J57" s="5">
        <f t="shared" si="31"/>
        <v>1.8756858373733964E-5</v>
      </c>
      <c r="K57" s="1"/>
      <c r="L57" s="1">
        <f t="shared" si="32"/>
        <v>0</v>
      </c>
      <c r="M57" s="1"/>
      <c r="N57" s="5">
        <f t="shared" si="33"/>
        <v>0</v>
      </c>
      <c r="O57" s="13"/>
      <c r="P57" s="1">
        <f>SUM(OSRRefP22_10x_0)</f>
        <v>47.2</v>
      </c>
      <c r="Q57" s="1"/>
      <c r="R57" s="5">
        <f t="shared" si="34"/>
        <v>0</v>
      </c>
      <c r="S57" s="1"/>
      <c r="T57" s="1">
        <f>SUM(OSRRefT22_10x_0)</f>
        <v>47.2</v>
      </c>
      <c r="U57" s="1"/>
      <c r="V57" s="5">
        <f t="shared" si="35"/>
        <v>2.6819753211904098E-5</v>
      </c>
      <c r="W57" s="1"/>
      <c r="X57" s="1">
        <f t="shared" si="36"/>
        <v>0</v>
      </c>
      <c r="Y57" s="1"/>
      <c r="Z57" s="5">
        <f t="shared" si="37"/>
        <v>0</v>
      </c>
    </row>
    <row r="58" spans="1:26" s="24" customFormat="1" hidden="1" outlineLevel="2" x14ac:dyDescent="0.25">
      <c r="A58" s="26"/>
      <c r="B58" s="11" t="str">
        <f>CONCATENATE("          ", "6314", " - ", "LIABILITY INSURANCE")</f>
        <v xml:space="preserve">          6314 - LIABILITY INSURANCE</v>
      </c>
      <c r="C58" s="11"/>
      <c r="D58" s="6">
        <v>5.9</v>
      </c>
      <c r="E58" s="2"/>
      <c r="F58" s="7">
        <f t="shared" si="30"/>
        <v>0</v>
      </c>
      <c r="G58" s="2"/>
      <c r="H58" s="6">
        <v>5.9</v>
      </c>
      <c r="I58" s="2"/>
      <c r="J58" s="7">
        <f t="shared" si="31"/>
        <v>1.8756858373733964E-5</v>
      </c>
      <c r="K58" s="2"/>
      <c r="L58" s="6">
        <f t="shared" si="32"/>
        <v>0</v>
      </c>
      <c r="M58" s="2"/>
      <c r="N58" s="7">
        <f t="shared" si="33"/>
        <v>0</v>
      </c>
      <c r="O58" s="11"/>
      <c r="P58" s="6">
        <v>47.2</v>
      </c>
      <c r="Q58" s="2"/>
      <c r="R58" s="7">
        <f t="shared" si="34"/>
        <v>0</v>
      </c>
      <c r="S58" s="2"/>
      <c r="T58" s="6">
        <v>47.2</v>
      </c>
      <c r="U58" s="2"/>
      <c r="V58" s="7">
        <f t="shared" si="35"/>
        <v>2.6819753211904098E-5</v>
      </c>
      <c r="W58" s="2"/>
      <c r="X58" s="6">
        <f t="shared" si="36"/>
        <v>0</v>
      </c>
      <c r="Y58" s="2"/>
      <c r="Z58" s="7">
        <f t="shared" si="37"/>
        <v>0</v>
      </c>
    </row>
    <row r="59" spans="1:26" s="25" customFormat="1" outlineLevel="1" collapsed="1" x14ac:dyDescent="0.25">
      <c r="A59" s="27"/>
      <c r="B59" s="13" t="str">
        <f>CONCATENATE("     ","R/H Commissions                                   ")</f>
        <v xml:space="preserve">     R/H Commissions                                   </v>
      </c>
      <c r="C59" s="13"/>
      <c r="D59" s="1">
        <f>SUM(OSRRefD22_11x_0)</f>
        <v>0</v>
      </c>
      <c r="E59" s="1"/>
      <c r="F59" s="5">
        <f t="shared" si="30"/>
        <v>0</v>
      </c>
      <c r="G59" s="1"/>
      <c r="H59" s="1">
        <f>SUM(OSRRefH22_11x_0)</f>
        <v>24786.68</v>
      </c>
      <c r="I59" s="1"/>
      <c r="J59" s="5">
        <f t="shared" si="31"/>
        <v>7.8800041748315952E-2</v>
      </c>
      <c r="K59" s="1"/>
      <c r="L59" s="1">
        <f t="shared" si="32"/>
        <v>-24786.68</v>
      </c>
      <c r="M59" s="1"/>
      <c r="N59" s="5">
        <f t="shared" si="33"/>
        <v>-1</v>
      </c>
      <c r="O59" s="13"/>
      <c r="P59" s="1">
        <f>SUM(OSRRefP22_11x_0)</f>
        <v>0</v>
      </c>
      <c r="Q59" s="1"/>
      <c r="R59" s="5">
        <f t="shared" si="34"/>
        <v>0</v>
      </c>
      <c r="S59" s="1"/>
      <c r="T59" s="1">
        <f>SUM(OSRRefT22_11x_0)</f>
        <v>137583.88</v>
      </c>
      <c r="U59" s="1"/>
      <c r="V59" s="5">
        <f t="shared" si="35"/>
        <v>7.8177239566445497E-2</v>
      </c>
      <c r="W59" s="1"/>
      <c r="X59" s="1">
        <f t="shared" si="36"/>
        <v>-137583.88</v>
      </c>
      <c r="Y59" s="1"/>
      <c r="Z59" s="5">
        <f t="shared" si="37"/>
        <v>-1</v>
      </c>
    </row>
    <row r="60" spans="1:26" s="24" customFormat="1" hidden="1" outlineLevel="2" x14ac:dyDescent="0.25">
      <c r="A60" s="26"/>
      <c r="B60" s="11" t="str">
        <f>CONCATENATE("          ", "6387", " - ", "COMMISSION DUE HOUSING")</f>
        <v xml:space="preserve">          6387 - COMMISSION DUE HOUSING</v>
      </c>
      <c r="C60" s="11"/>
      <c r="D60" s="6"/>
      <c r="E60" s="2"/>
      <c r="F60" s="7">
        <f t="shared" si="30"/>
        <v>0</v>
      </c>
      <c r="G60" s="2"/>
      <c r="H60" s="6">
        <v>24786.68</v>
      </c>
      <c r="I60" s="2"/>
      <c r="J60" s="7">
        <f t="shared" si="31"/>
        <v>7.8800041748315952E-2</v>
      </c>
      <c r="K60" s="2"/>
      <c r="L60" s="6">
        <f t="shared" si="32"/>
        <v>-24786.68</v>
      </c>
      <c r="M60" s="2"/>
      <c r="N60" s="7">
        <f t="shared" si="33"/>
        <v>-1</v>
      </c>
      <c r="O60" s="11"/>
      <c r="P60" s="6"/>
      <c r="Q60" s="2"/>
      <c r="R60" s="7">
        <f t="shared" si="34"/>
        <v>0</v>
      </c>
      <c r="S60" s="2"/>
      <c r="T60" s="6">
        <v>137583.88</v>
      </c>
      <c r="U60" s="2"/>
      <c r="V60" s="7">
        <f t="shared" si="35"/>
        <v>7.8177239566445497E-2</v>
      </c>
      <c r="W60" s="2"/>
      <c r="X60" s="6">
        <f t="shared" si="36"/>
        <v>-137583.88</v>
      </c>
      <c r="Y60" s="2"/>
      <c r="Z60" s="7">
        <f t="shared" si="37"/>
        <v>-1</v>
      </c>
    </row>
    <row r="61" spans="1:26" s="25" customFormat="1" outlineLevel="1" collapsed="1" x14ac:dyDescent="0.25">
      <c r="A61" s="27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SUM(OSRRefD22_12x_0)</f>
        <v>0</v>
      </c>
      <c r="E61" s="1"/>
      <c r="F61" s="5">
        <f t="shared" si="30"/>
        <v>0</v>
      </c>
      <c r="G61" s="1"/>
      <c r="H61" s="1">
        <f>SUM(OSRRefH22_12x_0)</f>
        <v>-1554.56</v>
      </c>
      <c r="I61" s="1"/>
      <c r="J61" s="5">
        <f t="shared" si="31"/>
        <v>-4.942146059910486E-3</v>
      </c>
      <c r="K61" s="1"/>
      <c r="L61" s="1">
        <f t="shared" si="32"/>
        <v>1554.56</v>
      </c>
      <c r="M61" s="1"/>
      <c r="N61" s="5">
        <f t="shared" si="33"/>
        <v>-1</v>
      </c>
      <c r="O61" s="13"/>
      <c r="P61" s="1">
        <f>SUM(OSRRefP22_12x_0)</f>
        <v>144.66999999999999</v>
      </c>
      <c r="Q61" s="1"/>
      <c r="R61" s="5">
        <f t="shared" si="34"/>
        <v>0</v>
      </c>
      <c r="S61" s="1"/>
      <c r="T61" s="1">
        <f>SUM(OSRRefT22_12x_0)</f>
        <v>-1414.73</v>
      </c>
      <c r="U61" s="1"/>
      <c r="V61" s="5">
        <f t="shared" si="35"/>
        <v>-8.0387096316688732E-4</v>
      </c>
      <c r="W61" s="1"/>
      <c r="X61" s="1">
        <f t="shared" si="36"/>
        <v>1559.4</v>
      </c>
      <c r="Y61" s="1"/>
      <c r="Z61" s="5">
        <f t="shared" si="37"/>
        <v>-1.1022597951552593</v>
      </c>
    </row>
    <row r="62" spans="1:26" s="24" customFormat="1" hidden="1" outlineLevel="2" x14ac:dyDescent="0.25">
      <c r="A62" s="26"/>
      <c r="B62" s="11" t="str">
        <f>CONCATENATE("          ", "6373", " - ", "MAINTENANCE CONTRACTS")</f>
        <v xml:space="preserve">          6373 - MAINTENANCE CONTRACTS</v>
      </c>
      <c r="C62" s="11"/>
      <c r="D62" s="6"/>
      <c r="E62" s="2"/>
      <c r="F62" s="7">
        <f t="shared" si="30"/>
        <v>0</v>
      </c>
      <c r="G62" s="2"/>
      <c r="H62" s="6"/>
      <c r="I62" s="2"/>
      <c r="J62" s="7">
        <f t="shared" si="31"/>
        <v>0</v>
      </c>
      <c r="K62" s="2"/>
      <c r="L62" s="6">
        <f t="shared" si="32"/>
        <v>0</v>
      </c>
      <c r="M62" s="2"/>
      <c r="N62" s="7">
        <f t="shared" si="33"/>
        <v>0</v>
      </c>
      <c r="O62" s="11"/>
      <c r="P62" s="6">
        <v>144.66999999999999</v>
      </c>
      <c r="Q62" s="2"/>
      <c r="R62" s="7">
        <f t="shared" si="34"/>
        <v>0</v>
      </c>
      <c r="S62" s="2"/>
      <c r="T62" s="6">
        <v>139.83000000000001</v>
      </c>
      <c r="U62" s="2"/>
      <c r="V62" s="7">
        <f t="shared" si="35"/>
        <v>7.9453518890265892E-5</v>
      </c>
      <c r="W62" s="2"/>
      <c r="X62" s="6">
        <f t="shared" si="36"/>
        <v>4.839999999999975</v>
      </c>
      <c r="Y62" s="2"/>
      <c r="Z62" s="7">
        <f t="shared" si="37"/>
        <v>3.4613459200457518E-2</v>
      </c>
    </row>
    <row r="63" spans="1:26" s="24" customFormat="1" hidden="1" outlineLevel="2" x14ac:dyDescent="0.25">
      <c r="A63" s="26"/>
      <c r="B63" s="11" t="str">
        <f>CONCATENATE("          ", "6375", " - ", "OUTSIDE REPAIRS &amp; MAINTENANCE")</f>
        <v xml:space="preserve">          6375 - OUTSIDE REPAIRS &amp; MAINTENANCE</v>
      </c>
      <c r="C63" s="11"/>
      <c r="D63" s="6"/>
      <c r="E63" s="2"/>
      <c r="F63" s="7">
        <f t="shared" si="30"/>
        <v>0</v>
      </c>
      <c r="G63" s="2"/>
      <c r="H63" s="6">
        <v>-1554.56</v>
      </c>
      <c r="I63" s="2"/>
      <c r="J63" s="7">
        <f t="shared" si="31"/>
        <v>-4.942146059910486E-3</v>
      </c>
      <c r="K63" s="2"/>
      <c r="L63" s="6">
        <f t="shared" si="32"/>
        <v>1554.56</v>
      </c>
      <c r="M63" s="2"/>
      <c r="N63" s="7">
        <f t="shared" si="33"/>
        <v>-1</v>
      </c>
      <c r="O63" s="11"/>
      <c r="P63" s="6"/>
      <c r="Q63" s="2"/>
      <c r="R63" s="7">
        <f t="shared" si="34"/>
        <v>0</v>
      </c>
      <c r="S63" s="2"/>
      <c r="T63" s="6">
        <v>-1554.56</v>
      </c>
      <c r="U63" s="2"/>
      <c r="V63" s="7">
        <f t="shared" si="35"/>
        <v>-8.833244820571532E-4</v>
      </c>
      <c r="W63" s="2"/>
      <c r="X63" s="6">
        <f t="shared" si="36"/>
        <v>1554.56</v>
      </c>
      <c r="Y63" s="2"/>
      <c r="Z63" s="7">
        <f t="shared" si="37"/>
        <v>-1</v>
      </c>
    </row>
    <row r="64" spans="1:26" s="25" customFormat="1" outlineLevel="1" collapsed="1" x14ac:dyDescent="0.25">
      <c r="A64" s="27"/>
      <c r="B64" s="13" t="str">
        <f>CONCATENATE("     ","Services                                          ")</f>
        <v xml:space="preserve">     Services                                          </v>
      </c>
      <c r="C64" s="13"/>
      <c r="D64" s="1">
        <f>SUM(OSRRefD22_13x_0)</f>
        <v>0</v>
      </c>
      <c r="E64" s="1"/>
      <c r="F64" s="5">
        <f t="shared" ref="F64:F67" si="38">IF(D$12=0,0,D64/D$12)</f>
        <v>0</v>
      </c>
      <c r="G64" s="1"/>
      <c r="H64" s="1">
        <f>SUM(OSRRefH22_13x_0)</f>
        <v>6531.38</v>
      </c>
      <c r="I64" s="1"/>
      <c r="J64" s="5">
        <f t="shared" ref="J64:J67" si="39">IF(H$12=0,0,H64/H$12)</f>
        <v>2.0764096550006529E-2</v>
      </c>
      <c r="K64" s="1"/>
      <c r="L64" s="1">
        <f t="shared" ref="L64:L67" si="40">+D64-H64</f>
        <v>-6531.38</v>
      </c>
      <c r="M64" s="1"/>
      <c r="N64" s="5">
        <f t="shared" ref="N64:N67" si="41">IF(H64=0,0,L64/H64)</f>
        <v>-1</v>
      </c>
      <c r="O64" s="13"/>
      <c r="P64" s="1">
        <f>SUM(OSRRefP22_13x_0)</f>
        <v>4687.4800000000005</v>
      </c>
      <c r="Q64" s="1"/>
      <c r="R64" s="5">
        <f t="shared" ref="R64:R67" si="42">IF(P$12=0,0,P64/P$12)</f>
        <v>0</v>
      </c>
      <c r="S64" s="1"/>
      <c r="T64" s="1">
        <f>SUM(OSRRefT22_13x_0)</f>
        <v>49098.99</v>
      </c>
      <c r="U64" s="1"/>
      <c r="V64" s="5">
        <f t="shared" ref="V64:V67" si="43">IF(T$12=0,0,T64/T$12)</f>
        <v>2.7898788024443791E-2</v>
      </c>
      <c r="W64" s="1"/>
      <c r="X64" s="1">
        <f t="shared" ref="X64:X67" si="44">+P64-T64</f>
        <v>-44411.509999999995</v>
      </c>
      <c r="Y64" s="1"/>
      <c r="Z64" s="5">
        <f t="shared" ref="Z64:Z67" si="45">IF(T64=0,0,X64/T64)</f>
        <v>-0.9045300117171452</v>
      </c>
    </row>
    <row r="65" spans="1:26" s="24" customFormat="1" hidden="1" outlineLevel="2" x14ac:dyDescent="0.25">
      <c r="A65" s="26"/>
      <c r="B65" s="11" t="str">
        <f>CONCATENATE("          ", "6282", " - ", "JANITORIAL/EXTERMINATOR EXPENS")</f>
        <v xml:space="preserve">          6282 - JANITORIAL/EXTERMINATOR EXPENS</v>
      </c>
      <c r="C65" s="11"/>
      <c r="D65" s="6"/>
      <c r="E65" s="2"/>
      <c r="F65" s="7">
        <f t="shared" si="38"/>
        <v>0</v>
      </c>
      <c r="G65" s="2"/>
      <c r="H65" s="6">
        <v>1339.28</v>
      </c>
      <c r="I65" s="2"/>
      <c r="J65" s="7">
        <f t="shared" si="39"/>
        <v>4.257743268266851E-3</v>
      </c>
      <c r="K65" s="2"/>
      <c r="L65" s="6">
        <f t="shared" si="40"/>
        <v>-1339.28</v>
      </c>
      <c r="M65" s="2"/>
      <c r="N65" s="7">
        <f t="shared" si="41"/>
        <v>-1</v>
      </c>
      <c r="O65" s="11"/>
      <c r="P65" s="6">
        <v>4089.61</v>
      </c>
      <c r="Q65" s="2"/>
      <c r="R65" s="7">
        <f t="shared" si="42"/>
        <v>0</v>
      </c>
      <c r="S65" s="2"/>
      <c r="T65" s="6">
        <v>6176.76</v>
      </c>
      <c r="U65" s="2"/>
      <c r="V65" s="7">
        <f t="shared" si="43"/>
        <v>3.5097283654483211E-3</v>
      </c>
      <c r="W65" s="2"/>
      <c r="X65" s="6">
        <f t="shared" si="44"/>
        <v>-2087.15</v>
      </c>
      <c r="Y65" s="2"/>
      <c r="Z65" s="7">
        <f t="shared" si="45"/>
        <v>-0.33790369060802106</v>
      </c>
    </row>
    <row r="66" spans="1:26" s="24" customFormat="1" hidden="1" outlineLevel="2" x14ac:dyDescent="0.25">
      <c r="A66" s="26"/>
      <c r="B66" s="11" t="str">
        <f>CONCATENATE("          ", "6285", " - ", "JANITORIAL SERVICES")</f>
        <v xml:space="preserve">          6285 - JANITORIAL SERVICES</v>
      </c>
      <c r="C66" s="11"/>
      <c r="D66" s="6"/>
      <c r="E66" s="2"/>
      <c r="F66" s="7">
        <f t="shared" si="38"/>
        <v>0</v>
      </c>
      <c r="G66" s="2"/>
      <c r="H66" s="6">
        <v>3897.05</v>
      </c>
      <c r="I66" s="2"/>
      <c r="J66" s="7">
        <f t="shared" si="39"/>
        <v>1.2389222868705073E-2</v>
      </c>
      <c r="K66" s="2"/>
      <c r="L66" s="6">
        <f t="shared" si="40"/>
        <v>-3897.05</v>
      </c>
      <c r="M66" s="2"/>
      <c r="N66" s="7">
        <f t="shared" si="41"/>
        <v>-1</v>
      </c>
      <c r="O66" s="11"/>
      <c r="P66" s="6"/>
      <c r="Q66" s="2"/>
      <c r="R66" s="7">
        <f t="shared" si="42"/>
        <v>0</v>
      </c>
      <c r="S66" s="2"/>
      <c r="T66" s="6">
        <v>31175.219999999998</v>
      </c>
      <c r="U66" s="2"/>
      <c r="V66" s="7">
        <f t="shared" si="43"/>
        <v>1.7714231074720692E-2</v>
      </c>
      <c r="W66" s="2"/>
      <c r="X66" s="6">
        <f t="shared" si="44"/>
        <v>-31175.219999999998</v>
      </c>
      <c r="Y66" s="2"/>
      <c r="Z66" s="7">
        <f t="shared" si="45"/>
        <v>-1</v>
      </c>
    </row>
    <row r="67" spans="1:26" s="24" customFormat="1" hidden="1" outlineLevel="2" x14ac:dyDescent="0.25">
      <c r="A67" s="26"/>
      <c r="B67" s="11" t="str">
        <f>CONCATENATE("          ", "6286", " - ", "LAUNDRY EXPENSE")</f>
        <v xml:space="preserve">          6286 - LAUNDRY EXPENSE</v>
      </c>
      <c r="C67" s="11"/>
      <c r="D67" s="6"/>
      <c r="E67" s="2"/>
      <c r="F67" s="7">
        <f t="shared" si="38"/>
        <v>0</v>
      </c>
      <c r="G67" s="2"/>
      <c r="H67" s="6">
        <v>1295.05</v>
      </c>
      <c r="I67" s="2"/>
      <c r="J67" s="7">
        <f t="shared" si="39"/>
        <v>4.117130413034604E-3</v>
      </c>
      <c r="K67" s="2"/>
      <c r="L67" s="6">
        <f t="shared" si="40"/>
        <v>-1295.05</v>
      </c>
      <c r="M67" s="2"/>
      <c r="N67" s="7">
        <f t="shared" si="41"/>
        <v>-1</v>
      </c>
      <c r="O67" s="11"/>
      <c r="P67" s="6">
        <v>597.87</v>
      </c>
      <c r="Q67" s="2"/>
      <c r="R67" s="7">
        <f t="shared" si="42"/>
        <v>0</v>
      </c>
      <c r="S67" s="2"/>
      <c r="T67" s="6">
        <v>11747.01</v>
      </c>
      <c r="U67" s="2"/>
      <c r="V67" s="7">
        <f t="shared" si="43"/>
        <v>6.6748285842747786E-3</v>
      </c>
      <c r="W67" s="2"/>
      <c r="X67" s="6">
        <f t="shared" si="44"/>
        <v>-11149.14</v>
      </c>
      <c r="Y67" s="2"/>
      <c r="Z67" s="7">
        <f t="shared" si="45"/>
        <v>-0.94910449552694676</v>
      </c>
    </row>
    <row r="68" spans="1:26" s="25" customFormat="1" outlineLevel="1" collapsed="1" x14ac:dyDescent="0.25">
      <c r="A68" s="27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SUM(OSRRefD22_14x_0)</f>
        <v>0</v>
      </c>
      <c r="E68" s="1"/>
      <c r="F68" s="5">
        <f t="shared" ref="F68:F74" si="46">IF(D$12=0,0,D68/D$12)</f>
        <v>0</v>
      </c>
      <c r="G68" s="1"/>
      <c r="H68" s="1">
        <f>SUM(OSRRefH22_14x_0)</f>
        <v>4322.4399999999996</v>
      </c>
      <c r="I68" s="1"/>
      <c r="J68" s="5">
        <f t="shared" ref="J68:J74" si="47">IF(H$12=0,0,H68/H$12)</f>
        <v>1.3741592357451291E-2</v>
      </c>
      <c r="K68" s="1"/>
      <c r="L68" s="1">
        <f t="shared" ref="L68:L74" si="48">+D68-H68</f>
        <v>-4322.4399999999996</v>
      </c>
      <c r="M68" s="1"/>
      <c r="N68" s="5">
        <f t="shared" ref="N68:N74" si="49">IF(H68=0,0,L68/H68)</f>
        <v>-1</v>
      </c>
      <c r="O68" s="13"/>
      <c r="P68" s="1">
        <f>SUM(OSRRefP22_14x_0)</f>
        <v>57.16</v>
      </c>
      <c r="Q68" s="1"/>
      <c r="R68" s="5">
        <f t="shared" ref="R68:R74" si="50">IF(P$12=0,0,P68/P$12)</f>
        <v>0</v>
      </c>
      <c r="S68" s="1"/>
      <c r="T68" s="1">
        <f>SUM(OSRRefT22_14x_0)</f>
        <v>39140</v>
      </c>
      <c r="U68" s="1"/>
      <c r="V68" s="5">
        <f t="shared" ref="V68:V74" si="51">IF(T$12=0,0,T68/T$12)</f>
        <v>2.2239939421905219E-2</v>
      </c>
      <c r="W68" s="1"/>
      <c r="X68" s="1">
        <f t="shared" ref="X68:X74" si="52">+P68-T68</f>
        <v>-39082.839999999997</v>
      </c>
      <c r="Y68" s="1"/>
      <c r="Z68" s="5">
        <f t="shared" ref="Z68:Z74" si="53">IF(T68=0,0,X68/T68)</f>
        <v>-0.99853960143076126</v>
      </c>
    </row>
    <row r="69" spans="1:26" s="24" customFormat="1" hidden="1" outlineLevel="2" x14ac:dyDescent="0.25">
      <c r="A69" s="26"/>
      <c r="B69" s="11" t="str">
        <f>CONCATENATE("          ", "6237", " - ", "JANITORIAL SUPPLIES")</f>
        <v xml:space="preserve">          6237 - JANITORIAL SUPPLIES</v>
      </c>
      <c r="C69" s="11"/>
      <c r="D69" s="6"/>
      <c r="E69" s="2"/>
      <c r="F69" s="7">
        <f t="shared" si="46"/>
        <v>0</v>
      </c>
      <c r="G69" s="2"/>
      <c r="H69" s="6">
        <v>1280.57</v>
      </c>
      <c r="I69" s="2"/>
      <c r="J69" s="7">
        <f t="shared" si="47"/>
        <v>4.0710966318055078E-3</v>
      </c>
      <c r="K69" s="2"/>
      <c r="L69" s="6">
        <f t="shared" si="48"/>
        <v>-1280.57</v>
      </c>
      <c r="M69" s="2"/>
      <c r="N69" s="7">
        <f t="shared" si="49"/>
        <v>-1</v>
      </c>
      <c r="O69" s="11"/>
      <c r="P69" s="6"/>
      <c r="Q69" s="2"/>
      <c r="R69" s="7">
        <f t="shared" si="50"/>
        <v>0</v>
      </c>
      <c r="S69" s="2"/>
      <c r="T69" s="6">
        <v>10673.21</v>
      </c>
      <c r="U69" s="2"/>
      <c r="V69" s="7">
        <f t="shared" si="51"/>
        <v>6.0646791987039594E-3</v>
      </c>
      <c r="W69" s="2"/>
      <c r="X69" s="6">
        <f t="shared" si="52"/>
        <v>-10673.21</v>
      </c>
      <c r="Y69" s="2"/>
      <c r="Z69" s="7">
        <f t="shared" si="53"/>
        <v>-1</v>
      </c>
    </row>
    <row r="70" spans="1:26" s="24" customFormat="1" hidden="1" outlineLevel="2" x14ac:dyDescent="0.25">
      <c r="A70" s="26"/>
      <c r="B70" s="11" t="str">
        <f>CONCATENATE("          ", "6239", " - ", "KITCHEN SUPPLIES")</f>
        <v xml:space="preserve">          6239 - KITCHEN SUPPLIES</v>
      </c>
      <c r="C70" s="11"/>
      <c r="D70" s="6"/>
      <c r="E70" s="2"/>
      <c r="F70" s="7">
        <f t="shared" si="46"/>
        <v>0</v>
      </c>
      <c r="G70" s="2"/>
      <c r="H70" s="6">
        <v>428.79</v>
      </c>
      <c r="I70" s="2"/>
      <c r="J70" s="7">
        <f t="shared" si="47"/>
        <v>1.36317852577515E-3</v>
      </c>
      <c r="K70" s="2"/>
      <c r="L70" s="6">
        <f t="shared" si="48"/>
        <v>-428.79</v>
      </c>
      <c r="M70" s="2"/>
      <c r="N70" s="7">
        <f t="shared" si="49"/>
        <v>-1</v>
      </c>
      <c r="O70" s="11"/>
      <c r="P70" s="6"/>
      <c r="Q70" s="2"/>
      <c r="R70" s="7">
        <f t="shared" si="50"/>
        <v>0</v>
      </c>
      <c r="S70" s="2"/>
      <c r="T70" s="6">
        <v>4463.4799999999996</v>
      </c>
      <c r="U70" s="2"/>
      <c r="V70" s="7">
        <f t="shared" si="51"/>
        <v>2.5362167810650356E-3</v>
      </c>
      <c r="W70" s="2"/>
      <c r="X70" s="6">
        <f t="shared" si="52"/>
        <v>-4463.4799999999996</v>
      </c>
      <c r="Y70" s="2"/>
      <c r="Z70" s="7">
        <f t="shared" si="53"/>
        <v>-1</v>
      </c>
    </row>
    <row r="71" spans="1:26" s="24" customFormat="1" hidden="1" outlineLevel="2" x14ac:dyDescent="0.25">
      <c r="A71" s="26"/>
      <c r="B71" s="11" t="str">
        <f>CONCATENATE("          ", "6241", " - ", "OFFICE EXPENSE")</f>
        <v xml:space="preserve">          6241 - OFFICE EXPENSE</v>
      </c>
      <c r="C71" s="11"/>
      <c r="D71" s="6"/>
      <c r="E71" s="2"/>
      <c r="F71" s="7">
        <f t="shared" si="46"/>
        <v>0</v>
      </c>
      <c r="G71" s="2"/>
      <c r="H71" s="6">
        <v>364.63</v>
      </c>
      <c r="I71" s="2"/>
      <c r="J71" s="7">
        <f t="shared" si="47"/>
        <v>1.159205638782138E-3</v>
      </c>
      <c r="K71" s="2"/>
      <c r="L71" s="6">
        <f t="shared" si="48"/>
        <v>-364.63</v>
      </c>
      <c r="M71" s="2"/>
      <c r="N71" s="7">
        <f t="shared" si="49"/>
        <v>-1</v>
      </c>
      <c r="O71" s="11"/>
      <c r="P71" s="6">
        <v>57.16</v>
      </c>
      <c r="Q71" s="2"/>
      <c r="R71" s="7">
        <f t="shared" si="50"/>
        <v>0</v>
      </c>
      <c r="S71" s="2"/>
      <c r="T71" s="6">
        <v>18489.099999999999</v>
      </c>
      <c r="U71" s="2"/>
      <c r="V71" s="7">
        <f t="shared" si="51"/>
        <v>1.0505785998097796E-2</v>
      </c>
      <c r="W71" s="2"/>
      <c r="X71" s="6">
        <f t="shared" si="52"/>
        <v>-18431.939999999999</v>
      </c>
      <c r="Y71" s="2"/>
      <c r="Z71" s="7">
        <f t="shared" si="53"/>
        <v>-0.99690844876170281</v>
      </c>
    </row>
    <row r="72" spans="1:26" s="24" customFormat="1" hidden="1" outlineLevel="2" x14ac:dyDescent="0.25">
      <c r="A72" s="26"/>
      <c r="B72" s="11" t="str">
        <f>CONCATENATE("          ", "6243", " - ", "PAPER SUPPLIES")</f>
        <v xml:space="preserve">          6243 - PAPER SUPPLIES</v>
      </c>
      <c r="C72" s="11"/>
      <c r="D72" s="6"/>
      <c r="E72" s="2"/>
      <c r="F72" s="7">
        <f t="shared" si="46"/>
        <v>0</v>
      </c>
      <c r="G72" s="2"/>
      <c r="H72" s="6">
        <v>2248.4499999999998</v>
      </c>
      <c r="I72" s="2"/>
      <c r="J72" s="7">
        <f t="shared" si="47"/>
        <v>7.1481115610884955E-3</v>
      </c>
      <c r="K72" s="2"/>
      <c r="L72" s="6">
        <f t="shared" si="48"/>
        <v>-2248.4499999999998</v>
      </c>
      <c r="M72" s="2"/>
      <c r="N72" s="7">
        <f t="shared" si="49"/>
        <v>-1</v>
      </c>
      <c r="O72" s="11"/>
      <c r="P72" s="6"/>
      <c r="Q72" s="2"/>
      <c r="R72" s="7">
        <f t="shared" si="50"/>
        <v>0</v>
      </c>
      <c r="S72" s="2"/>
      <c r="T72" s="6">
        <v>12374.72</v>
      </c>
      <c r="U72" s="2"/>
      <c r="V72" s="7">
        <f t="shared" si="51"/>
        <v>7.0315028912375814E-3</v>
      </c>
      <c r="W72" s="2"/>
      <c r="X72" s="6">
        <f t="shared" si="52"/>
        <v>-12374.72</v>
      </c>
      <c r="Y72" s="2"/>
      <c r="Z72" s="7">
        <f t="shared" si="53"/>
        <v>-1</v>
      </c>
    </row>
    <row r="73" spans="1:26" s="24" customFormat="1" hidden="1" outlineLevel="2" x14ac:dyDescent="0.25">
      <c r="A73" s="26"/>
      <c r="B73" s="11" t="str">
        <f>CONCATENATE("          ", "6245", " - ", "PRINTING")</f>
        <v xml:space="preserve">          6245 - PRINTING</v>
      </c>
      <c r="C73" s="11"/>
      <c r="D73" s="6"/>
      <c r="E73" s="2"/>
      <c r="F73" s="7">
        <f t="shared" si="46"/>
        <v>0</v>
      </c>
      <c r="G73" s="2"/>
      <c r="H73" s="6"/>
      <c r="I73" s="2"/>
      <c r="J73" s="7">
        <f t="shared" si="47"/>
        <v>0</v>
      </c>
      <c r="K73" s="2"/>
      <c r="L73" s="6">
        <f t="shared" si="48"/>
        <v>0</v>
      </c>
      <c r="M73" s="2"/>
      <c r="N73" s="7">
        <f t="shared" si="49"/>
        <v>0</v>
      </c>
      <c r="O73" s="11"/>
      <c r="P73" s="6"/>
      <c r="Q73" s="2"/>
      <c r="R73" s="7">
        <f t="shared" si="50"/>
        <v>0</v>
      </c>
      <c r="S73" s="2"/>
      <c r="T73" s="6">
        <v>469.44</v>
      </c>
      <c r="U73" s="2"/>
      <c r="V73" s="7">
        <f t="shared" si="51"/>
        <v>2.6674290143636142E-4</v>
      </c>
      <c r="W73" s="2"/>
      <c r="X73" s="6">
        <f t="shared" si="52"/>
        <v>-469.44</v>
      </c>
      <c r="Y73" s="2"/>
      <c r="Z73" s="7">
        <f t="shared" si="53"/>
        <v>-1</v>
      </c>
    </row>
    <row r="74" spans="1:26" s="24" customFormat="1" hidden="1" outlineLevel="2" x14ac:dyDescent="0.25">
      <c r="A74" s="26"/>
      <c r="B74" s="11" t="str">
        <f>CONCATENATE("          ", "6248", " - ", "UNIFORMS")</f>
        <v xml:space="preserve">          6248 - UNIFORMS</v>
      </c>
      <c r="C74" s="11"/>
      <c r="D74" s="6"/>
      <c r="E74" s="2"/>
      <c r="F74" s="7">
        <f t="shared" si="46"/>
        <v>0</v>
      </c>
      <c r="G74" s="2"/>
      <c r="H74" s="6"/>
      <c r="I74" s="2"/>
      <c r="J74" s="7">
        <f t="shared" si="47"/>
        <v>0</v>
      </c>
      <c r="K74" s="2"/>
      <c r="L74" s="6">
        <f t="shared" si="48"/>
        <v>0</v>
      </c>
      <c r="M74" s="2"/>
      <c r="N74" s="7">
        <f t="shared" si="49"/>
        <v>0</v>
      </c>
      <c r="O74" s="11"/>
      <c r="P74" s="6"/>
      <c r="Q74" s="2"/>
      <c r="R74" s="7">
        <f t="shared" si="50"/>
        <v>0</v>
      </c>
      <c r="S74" s="2"/>
      <c r="T74" s="6">
        <v>-7329.95</v>
      </c>
      <c r="U74" s="2"/>
      <c r="V74" s="7">
        <f t="shared" si="51"/>
        <v>-4.1649883486355177E-3</v>
      </c>
      <c r="W74" s="2"/>
      <c r="X74" s="6">
        <f t="shared" si="52"/>
        <v>7329.95</v>
      </c>
      <c r="Y74" s="2"/>
      <c r="Z74" s="7">
        <f t="shared" si="53"/>
        <v>-1</v>
      </c>
    </row>
    <row r="75" spans="1:26" s="25" customFormat="1" outlineLevel="1" collapsed="1" x14ac:dyDescent="0.25">
      <c r="A75" s="27"/>
      <c r="B75" s="13" t="str">
        <f>CONCATENATE("     ","Telephone/Data Lines                              ")</f>
        <v xml:space="preserve">     Telephone/Data Lines                              </v>
      </c>
      <c r="C75" s="13"/>
      <c r="D75" s="1">
        <f>SUM(OSRRefD22_15x_0)</f>
        <v>0</v>
      </c>
      <c r="E75" s="1"/>
      <c r="F75" s="5">
        <f t="shared" ref="F75:F80" si="54">IF(D$12=0,0,D75/D$12)</f>
        <v>0</v>
      </c>
      <c r="G75" s="1"/>
      <c r="H75" s="1">
        <f>SUM(OSRRefH22_15x_0)</f>
        <v>161</v>
      </c>
      <c r="I75" s="1"/>
      <c r="J75" s="5">
        <f t="shared" ref="J75:J80" si="55">IF(H$12=0,0,H75/H$12)</f>
        <v>5.1183969460528262E-4</v>
      </c>
      <c r="K75" s="1"/>
      <c r="L75" s="1">
        <f t="shared" ref="L75:L80" si="56">+D75-H75</f>
        <v>-161</v>
      </c>
      <c r="M75" s="1"/>
      <c r="N75" s="5">
        <f t="shared" ref="N75:N80" si="57">IF(H75=0,0,L75/H75)</f>
        <v>-1</v>
      </c>
      <c r="O75" s="13"/>
      <c r="P75" s="1">
        <f>SUM(OSRRefP22_15x_0)</f>
        <v>579.63</v>
      </c>
      <c r="Q75" s="1"/>
      <c r="R75" s="5">
        <f t="shared" ref="R75:R80" si="58">IF(P$12=0,0,P75/P$12)</f>
        <v>0</v>
      </c>
      <c r="S75" s="1"/>
      <c r="T75" s="1">
        <f>SUM(OSRRefT22_15x_0)</f>
        <v>1110</v>
      </c>
      <c r="U75" s="1"/>
      <c r="V75" s="5">
        <f t="shared" ref="V75:V80" si="59">IF(T$12=0,0,T75/T$12)</f>
        <v>6.3071877256808356E-4</v>
      </c>
      <c r="W75" s="1"/>
      <c r="X75" s="1">
        <f t="shared" ref="X75:X80" si="60">+P75-T75</f>
        <v>-530.37</v>
      </c>
      <c r="Y75" s="1"/>
      <c r="Z75" s="5">
        <f t="shared" ref="Z75:Z80" si="61">IF(T75=0,0,X75/T75)</f>
        <v>-0.47781081081081084</v>
      </c>
    </row>
    <row r="76" spans="1:26" s="24" customFormat="1" hidden="1" outlineLevel="2" x14ac:dyDescent="0.25">
      <c r="A76" s="26"/>
      <c r="B76" s="11" t="str">
        <f>CONCATENATE("          ", "6309", " - ", "TELEPHONE")</f>
        <v xml:space="preserve">          6309 - TELEPHONE</v>
      </c>
      <c r="C76" s="11"/>
      <c r="D76" s="6"/>
      <c r="E76" s="2"/>
      <c r="F76" s="7">
        <f t="shared" si="54"/>
        <v>0</v>
      </c>
      <c r="G76" s="2"/>
      <c r="H76" s="6">
        <v>161</v>
      </c>
      <c r="I76" s="2"/>
      <c r="J76" s="7">
        <f t="shared" si="55"/>
        <v>5.1183969460528262E-4</v>
      </c>
      <c r="K76" s="2"/>
      <c r="L76" s="6">
        <f t="shared" si="56"/>
        <v>-161</v>
      </c>
      <c r="M76" s="2"/>
      <c r="N76" s="7">
        <f t="shared" si="57"/>
        <v>-1</v>
      </c>
      <c r="O76" s="11"/>
      <c r="P76" s="6">
        <v>579.63</v>
      </c>
      <c r="Q76" s="2"/>
      <c r="R76" s="7">
        <f t="shared" si="58"/>
        <v>0</v>
      </c>
      <c r="S76" s="2"/>
      <c r="T76" s="6">
        <v>1110</v>
      </c>
      <c r="U76" s="2"/>
      <c r="V76" s="7">
        <f t="shared" si="59"/>
        <v>6.3071877256808356E-4</v>
      </c>
      <c r="W76" s="2"/>
      <c r="X76" s="6">
        <f t="shared" si="60"/>
        <v>-530.37</v>
      </c>
      <c r="Y76" s="2"/>
      <c r="Z76" s="7">
        <f t="shared" si="61"/>
        <v>-0.47781081081081084</v>
      </c>
    </row>
    <row r="77" spans="1:26" s="25" customFormat="1" outlineLevel="1" collapsed="1" x14ac:dyDescent="0.25">
      <c r="A77" s="27"/>
      <c r="B77" s="13" t="str">
        <f>CONCATENATE("     ","Training                                          ")</f>
        <v xml:space="preserve">     Training                                          </v>
      </c>
      <c r="C77" s="13"/>
      <c r="D77" s="1">
        <f>SUM(OSRRefD22_16x_0)</f>
        <v>0</v>
      </c>
      <c r="E77" s="1"/>
      <c r="F77" s="5">
        <f t="shared" si="54"/>
        <v>0</v>
      </c>
      <c r="G77" s="1"/>
      <c r="H77" s="1">
        <f>SUM(OSRRefH22_16x_0)</f>
        <v>101.32</v>
      </c>
      <c r="I77" s="1"/>
      <c r="J77" s="5">
        <f t="shared" si="55"/>
        <v>3.2210930346215677E-4</v>
      </c>
      <c r="K77" s="1"/>
      <c r="L77" s="1">
        <f t="shared" si="56"/>
        <v>-101.32</v>
      </c>
      <c r="M77" s="1"/>
      <c r="N77" s="5">
        <f t="shared" si="57"/>
        <v>-1</v>
      </c>
      <c r="O77" s="13"/>
      <c r="P77" s="1">
        <f>SUM(OSRRefP22_16x_0)</f>
        <v>0</v>
      </c>
      <c r="Q77" s="1"/>
      <c r="R77" s="5">
        <f t="shared" si="58"/>
        <v>0</v>
      </c>
      <c r="S77" s="1"/>
      <c r="T77" s="1">
        <f>SUM(OSRRefT22_16x_0)</f>
        <v>1657.1</v>
      </c>
      <c r="U77" s="1"/>
      <c r="V77" s="5">
        <f t="shared" si="59"/>
        <v>9.4158925947979393E-4</v>
      </c>
      <c r="W77" s="1"/>
      <c r="X77" s="1">
        <f t="shared" si="60"/>
        <v>-1657.1</v>
      </c>
      <c r="Y77" s="1"/>
      <c r="Z77" s="5">
        <f t="shared" si="61"/>
        <v>-1</v>
      </c>
    </row>
    <row r="78" spans="1:26" s="24" customFormat="1" hidden="1" outlineLevel="2" x14ac:dyDescent="0.25">
      <c r="A78" s="26"/>
      <c r="B78" s="11" t="str">
        <f>CONCATENATE("          ", "6376", " - ", "TRAINING")</f>
        <v xml:space="preserve">          6376 - TRAINING</v>
      </c>
      <c r="C78" s="11"/>
      <c r="D78" s="6"/>
      <c r="E78" s="2"/>
      <c r="F78" s="7">
        <f t="shared" si="54"/>
        <v>0</v>
      </c>
      <c r="G78" s="2"/>
      <c r="H78" s="6">
        <v>101.32</v>
      </c>
      <c r="I78" s="2"/>
      <c r="J78" s="7">
        <f t="shared" si="55"/>
        <v>3.2210930346215677E-4</v>
      </c>
      <c r="K78" s="2"/>
      <c r="L78" s="6">
        <f t="shared" si="56"/>
        <v>-101.32</v>
      </c>
      <c r="M78" s="2"/>
      <c r="N78" s="7">
        <f t="shared" si="57"/>
        <v>-1</v>
      </c>
      <c r="O78" s="11"/>
      <c r="P78" s="6"/>
      <c r="Q78" s="2"/>
      <c r="R78" s="7">
        <f t="shared" si="58"/>
        <v>0</v>
      </c>
      <c r="S78" s="2"/>
      <c r="T78" s="6">
        <v>1657.1</v>
      </c>
      <c r="U78" s="2"/>
      <c r="V78" s="7">
        <f t="shared" si="59"/>
        <v>9.4158925947979393E-4</v>
      </c>
      <c r="W78" s="2"/>
      <c r="X78" s="6">
        <f t="shared" si="60"/>
        <v>-1657.1</v>
      </c>
      <c r="Y78" s="2"/>
      <c r="Z78" s="7">
        <f t="shared" si="61"/>
        <v>-1</v>
      </c>
    </row>
    <row r="79" spans="1:26" s="25" customFormat="1" outlineLevel="1" collapsed="1" x14ac:dyDescent="0.25">
      <c r="A79" s="27"/>
      <c r="B79" s="13" t="str">
        <f>CONCATENATE("     ","Travel                                            ")</f>
        <v xml:space="preserve">     Travel                                            </v>
      </c>
      <c r="C79" s="13"/>
      <c r="D79" s="1">
        <f>SUM(OSRRefD22_17x_0)</f>
        <v>0</v>
      </c>
      <c r="E79" s="1"/>
      <c r="F79" s="5">
        <f t="shared" si="54"/>
        <v>0</v>
      </c>
      <c r="G79" s="1"/>
      <c r="H79" s="1">
        <f>SUM(OSRRefH22_17x_0)</f>
        <v>0</v>
      </c>
      <c r="I79" s="1"/>
      <c r="J79" s="5">
        <f t="shared" si="55"/>
        <v>0</v>
      </c>
      <c r="K79" s="1"/>
      <c r="L79" s="1">
        <f t="shared" si="56"/>
        <v>0</v>
      </c>
      <c r="M79" s="1"/>
      <c r="N79" s="5">
        <f t="shared" si="57"/>
        <v>0</v>
      </c>
      <c r="O79" s="13"/>
      <c r="P79" s="1">
        <f>SUM(OSRRefP22_17x_0)</f>
        <v>0</v>
      </c>
      <c r="Q79" s="1"/>
      <c r="R79" s="5">
        <f t="shared" si="58"/>
        <v>0</v>
      </c>
      <c r="S79" s="1"/>
      <c r="T79" s="1">
        <f>SUM(OSRRefT22_17x_0)</f>
        <v>79.510000000000005</v>
      </c>
      <c r="U79" s="1"/>
      <c r="V79" s="5">
        <f t="shared" si="59"/>
        <v>4.5178783429629126E-5</v>
      </c>
      <c r="W79" s="1"/>
      <c r="X79" s="1">
        <f t="shared" si="60"/>
        <v>-79.510000000000005</v>
      </c>
      <c r="Y79" s="1"/>
      <c r="Z79" s="5">
        <f t="shared" si="61"/>
        <v>-1</v>
      </c>
    </row>
    <row r="80" spans="1:26" s="24" customFormat="1" hidden="1" outlineLevel="2" x14ac:dyDescent="0.25">
      <c r="A80" s="26"/>
      <c r="B80" s="11" t="str">
        <f>CONCATENATE("          ", "6292", " - ", "TRAVEL/CONFERENCE")</f>
        <v xml:space="preserve">          6292 - TRAVEL/CONFERENCE</v>
      </c>
      <c r="C80" s="11"/>
      <c r="D80" s="6"/>
      <c r="E80" s="2"/>
      <c r="F80" s="7">
        <f t="shared" si="54"/>
        <v>0</v>
      </c>
      <c r="G80" s="2"/>
      <c r="H80" s="6"/>
      <c r="I80" s="2"/>
      <c r="J80" s="7">
        <f t="shared" si="55"/>
        <v>0</v>
      </c>
      <c r="K80" s="2"/>
      <c r="L80" s="6">
        <f t="shared" si="56"/>
        <v>0</v>
      </c>
      <c r="M80" s="2"/>
      <c r="N80" s="7">
        <f t="shared" si="57"/>
        <v>0</v>
      </c>
      <c r="O80" s="11"/>
      <c r="P80" s="6"/>
      <c r="Q80" s="2"/>
      <c r="R80" s="7">
        <f t="shared" si="58"/>
        <v>0</v>
      </c>
      <c r="S80" s="2"/>
      <c r="T80" s="6">
        <v>79.510000000000005</v>
      </c>
      <c r="U80" s="2"/>
      <c r="V80" s="7">
        <f t="shared" si="59"/>
        <v>4.5178783429629126E-5</v>
      </c>
      <c r="W80" s="2"/>
      <c r="X80" s="6">
        <f t="shared" si="60"/>
        <v>-79.510000000000005</v>
      </c>
      <c r="Y80" s="2"/>
      <c r="Z80" s="7">
        <f t="shared" si="61"/>
        <v>-1</v>
      </c>
    </row>
    <row r="81" spans="1:26" s="52" customFormat="1" x14ac:dyDescent="0.25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8" t="s">
        <v>0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9" t="s">
        <v>3</v>
      </c>
      <c r="C84" s="29"/>
      <c r="D84" s="22">
        <f>+D21-D23+D82</f>
        <v>-37497.520000000004</v>
      </c>
      <c r="E84" s="14"/>
      <c r="F84" s="20">
        <f>IF(D$12=0,0,D84/D$12)</f>
        <v>0</v>
      </c>
      <c r="G84" s="14"/>
      <c r="H84" s="22">
        <f>+H21-H23+H82</f>
        <v>100597.42000000001</v>
      </c>
      <c r="I84" s="14"/>
      <c r="J84" s="20">
        <f>IF(H$12=0,0,H84/H$12)</f>
        <v>0.31981212876322584</v>
      </c>
      <c r="K84" s="16"/>
      <c r="L84" s="22">
        <f>+D84-H84</f>
        <v>-138094.94</v>
      </c>
      <c r="M84" s="16"/>
      <c r="N84" s="20">
        <f>IF(H84=0,0,L84/H84)</f>
        <v>-1.3727483269451641</v>
      </c>
      <c r="O84" s="28"/>
      <c r="P84" s="22">
        <f>+P21-P23+P82</f>
        <v>-327584.5199999999</v>
      </c>
      <c r="Q84" s="14"/>
      <c r="R84" s="20">
        <f>IF(P$12=0,0,P84/P$12)</f>
        <v>0</v>
      </c>
      <c r="S84" s="14"/>
      <c r="T84" s="22">
        <f>+T21-T23+T82</f>
        <v>361909.73000000033</v>
      </c>
      <c r="U84" s="14"/>
      <c r="V84" s="20">
        <f>IF(T$12=0,0,T84/T$12)</f>
        <v>0.20564257719463672</v>
      </c>
      <c r="W84" s="16"/>
      <c r="X84" s="22">
        <f>+P84-T84</f>
        <v>-689494.25000000023</v>
      </c>
      <c r="Y84" s="16"/>
      <c r="Z84" s="20">
        <f>IF(T84=0,0,X84/T84)</f>
        <v>-1.9051553269927273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1"/>
      <c r="B86" s="10" t="s">
        <v>13</v>
      </c>
      <c r="C86" s="10"/>
      <c r="D86" s="4"/>
      <c r="E86" s="4"/>
      <c r="F86" s="12">
        <f>IF(D$12=0,0,D86/D$12)</f>
        <v>0</v>
      </c>
      <c r="G86" s="4"/>
      <c r="H86" s="4">
        <v>28639.230000000003</v>
      </c>
      <c r="I86" s="4"/>
      <c r="J86" s="12">
        <f>IF(H$12=0,0,H86/H$12)</f>
        <v>9.1047793397083548E-2</v>
      </c>
      <c r="K86" s="4"/>
      <c r="L86" s="4">
        <f>+D86-H86</f>
        <v>-28639.230000000003</v>
      </c>
      <c r="M86" s="4"/>
      <c r="N86" s="12">
        <f>IF(H86=0,0,L86/H86)</f>
        <v>-1</v>
      </c>
      <c r="O86" s="10"/>
      <c r="P86" s="4">
        <v>0</v>
      </c>
      <c r="Q86" s="4"/>
      <c r="R86" s="12">
        <f>IF(P$12=0,0,P86/P$12)</f>
        <v>0</v>
      </c>
      <c r="S86" s="4"/>
      <c r="T86" s="4">
        <v>179368.27</v>
      </c>
      <c r="U86" s="4"/>
      <c r="V86" s="12">
        <f>IF(T$12=0,0,T86/T$12)</f>
        <v>0.10191976134419875</v>
      </c>
      <c r="W86" s="4"/>
      <c r="X86" s="4">
        <f>+P86-T86</f>
        <v>-179368.27</v>
      </c>
      <c r="Y86" s="4"/>
      <c r="Z86" s="12">
        <f>IF(T86=0,0,X86/T86)</f>
        <v>-1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9" t="s">
        <v>4</v>
      </c>
      <c r="C88" s="29"/>
      <c r="D88" s="35">
        <f>+D84-D86</f>
        <v>-37497.520000000004</v>
      </c>
      <c r="E88" s="14"/>
      <c r="F88" s="36">
        <f>IF(D$12=0,0,D88/D$12)</f>
        <v>0</v>
      </c>
      <c r="G88" s="14"/>
      <c r="H88" s="35">
        <f>+H84-H86</f>
        <v>71958.19</v>
      </c>
      <c r="I88" s="14"/>
      <c r="J88" s="36">
        <f>IF(H$12=0,0,H88/H$12)</f>
        <v>0.22876433536614227</v>
      </c>
      <c r="K88" s="16"/>
      <c r="L88" s="35">
        <f>D88-H88</f>
        <v>-109455.71</v>
      </c>
      <c r="M88" s="16"/>
      <c r="N88" s="36">
        <f>IF(H88=0,0,L88/H88)</f>
        <v>-1.5211014896289081</v>
      </c>
      <c r="O88" s="28"/>
      <c r="P88" s="35">
        <f>+P84-P86</f>
        <v>-327584.5199999999</v>
      </c>
      <c r="Q88" s="14"/>
      <c r="R88" s="36">
        <f>IF(P$12=0,0,P88/P$12)</f>
        <v>0</v>
      </c>
      <c r="S88" s="14"/>
      <c r="T88" s="35">
        <f>+T84-T86</f>
        <v>182541.46000000034</v>
      </c>
      <c r="U88" s="14"/>
      <c r="V88" s="36">
        <f>IF(T$12=0,0,T88/T$12)</f>
        <v>0.10372281585043797</v>
      </c>
      <c r="W88" s="16"/>
      <c r="X88" s="35">
        <f>P88-T88</f>
        <v>-510125.98000000021</v>
      </c>
      <c r="Y88" s="16"/>
      <c r="Z88" s="36">
        <f>IF(T88=0,0,X88/T88)</f>
        <v>-2.7945759829027295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9" t="s">
        <v>5</v>
      </c>
      <c r="C91" s="29"/>
      <c r="D91" s="31">
        <f>SUM(D88:D90)</f>
        <v>-37497.520000000004</v>
      </c>
      <c r="E91" s="14"/>
      <c r="F91" s="33">
        <f>IF(D$12=0,0,D91/D$12)</f>
        <v>0</v>
      </c>
      <c r="G91" s="14"/>
      <c r="H91" s="31">
        <f>SUM(H88:H90)</f>
        <v>71958.19</v>
      </c>
      <c r="I91" s="14"/>
      <c r="J91" s="33">
        <f>IF(H$12=0,0,H91/H$12)</f>
        <v>0.22876433536614227</v>
      </c>
      <c r="K91" s="16"/>
      <c r="L91" s="31">
        <f>+D91-H91</f>
        <v>-109455.71</v>
      </c>
      <c r="M91" s="16"/>
      <c r="N91" s="33">
        <f>IF(H91=0,0,L91/H91)</f>
        <v>-1.5211014896289081</v>
      </c>
      <c r="O91" s="28"/>
      <c r="P91" s="31">
        <f>SUM(P88:P90)</f>
        <v>-327584.5199999999</v>
      </c>
      <c r="Q91" s="14"/>
      <c r="R91" s="33">
        <f>IF(P$12=0,0,P91/P$12)</f>
        <v>0</v>
      </c>
      <c r="S91" s="14"/>
      <c r="T91" s="31">
        <f>SUM(T88:T90)</f>
        <v>182541.46000000034</v>
      </c>
      <c r="U91" s="14"/>
      <c r="V91" s="33">
        <f>IF(T$12=0,0,T91/T$12)</f>
        <v>0.10372281585043797</v>
      </c>
      <c r="W91" s="16"/>
      <c r="X91" s="31">
        <f>+P91-T91</f>
        <v>-510125.98000000021</v>
      </c>
      <c r="Y91" s="16"/>
      <c r="Z91" s="33">
        <f>IF(T91=0,0,X91/T91)</f>
        <v>-2.7945759829027295</v>
      </c>
    </row>
    <row r="92" spans="1:26" ht="15.75" thickTop="1" x14ac:dyDescent="0.25">
      <c r="A92" s="9"/>
      <c r="C92" s="9"/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6">
        <v>44267.668759571759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54" t="s">
        <v>313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58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79"/>
  <sheetViews>
    <sheetView zoomScale="80" workbookViewId="0">
      <pane xSplit="3" ySplit="10" topLeftCell="D55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296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22598</v>
      </c>
      <c r="E12" s="4"/>
      <c r="F12" s="12"/>
      <c r="G12" s="4"/>
      <c r="H12" s="4">
        <f>SUM(OSRRefH13x_0)</f>
        <v>144535</v>
      </c>
      <c r="I12" s="4"/>
      <c r="J12" s="12"/>
      <c r="K12" s="4"/>
      <c r="L12" s="4">
        <f t="shared" ref="L12:L13" si="0">+D12-H12</f>
        <v>-121937</v>
      </c>
      <c r="M12" s="4"/>
      <c r="N12" s="12">
        <f t="shared" ref="N12:N13" si="1">IF(H12=0,0,L12/H12)</f>
        <v>-0.84365032691043695</v>
      </c>
      <c r="O12" s="10"/>
      <c r="P12" s="4">
        <f>SUM(OSRRefP13x_0)</f>
        <v>392254</v>
      </c>
      <c r="Q12" s="4"/>
      <c r="R12" s="12"/>
      <c r="S12" s="4"/>
      <c r="T12" s="4">
        <f>SUM(OSRRefT13x_0)</f>
        <v>336180</v>
      </c>
      <c r="U12" s="4"/>
      <c r="V12" s="12"/>
      <c r="W12" s="4"/>
      <c r="X12" s="4">
        <f t="shared" ref="X12:X13" si="2">+P12-T12</f>
        <v>56074</v>
      </c>
      <c r="Y12" s="4"/>
      <c r="Z12" s="12">
        <f t="shared" ref="Z12:Z13" si="3">IF(T12=0,0,X12/T12)</f>
        <v>0.1667975489321197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--22598</f>
        <v>22598</v>
      </c>
      <c r="E13" s="2"/>
      <c r="F13" s="19"/>
      <c r="G13" s="2"/>
      <c r="H13" s="2">
        <f>--144535</f>
        <v>144535</v>
      </c>
      <c r="I13" s="2"/>
      <c r="J13" s="19"/>
      <c r="K13" s="2"/>
      <c r="L13" s="2">
        <f t="shared" si="0"/>
        <v>-121937</v>
      </c>
      <c r="M13" s="2"/>
      <c r="N13" s="19">
        <f t="shared" si="1"/>
        <v>-0.84365032691043695</v>
      </c>
      <c r="O13" s="11"/>
      <c r="P13" s="2">
        <f>--392254</f>
        <v>392254</v>
      </c>
      <c r="Q13" s="2"/>
      <c r="R13" s="19"/>
      <c r="S13" s="2"/>
      <c r="T13" s="2">
        <f>--336180</f>
        <v>336180</v>
      </c>
      <c r="U13" s="2"/>
      <c r="V13" s="19"/>
      <c r="W13" s="2"/>
      <c r="X13" s="2">
        <f t="shared" si="2"/>
        <v>56074</v>
      </c>
      <c r="Y13" s="2"/>
      <c r="Z13" s="19">
        <f t="shared" si="3"/>
        <v>0.1667975489321197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2">
        <f>D12-D15</f>
        <v>22598</v>
      </c>
      <c r="E17" s="14"/>
      <c r="F17" s="20">
        <f>IF(D$12=0,0,D17/D$12)</f>
        <v>1</v>
      </c>
      <c r="G17" s="14"/>
      <c r="H17" s="22">
        <f>H12-H15</f>
        <v>144535</v>
      </c>
      <c r="I17" s="14"/>
      <c r="J17" s="20">
        <f>IF(H$12=0,0,H17/H$12)</f>
        <v>1</v>
      </c>
      <c r="K17" s="16"/>
      <c r="L17" s="22">
        <f>+D17-H17</f>
        <v>-121937</v>
      </c>
      <c r="M17" s="16"/>
      <c r="N17" s="20">
        <f>IF(H17=0,0,L17/H17)</f>
        <v>-0.84365032691043695</v>
      </c>
      <c r="O17" s="28"/>
      <c r="P17" s="22">
        <f>P12-P15</f>
        <v>392254</v>
      </c>
      <c r="Q17" s="14"/>
      <c r="R17" s="20">
        <f>IF(P$12=0,0,P17/P$12)</f>
        <v>1</v>
      </c>
      <c r="S17" s="14"/>
      <c r="T17" s="22">
        <f>T12-T15</f>
        <v>336180</v>
      </c>
      <c r="U17" s="14"/>
      <c r="V17" s="20">
        <f>IF(T$12=0,0,T17/T$12)</f>
        <v>1</v>
      </c>
      <c r="W17" s="16"/>
      <c r="X17" s="22">
        <f>+P17-T17</f>
        <v>56074</v>
      </c>
      <c r="Y17" s="16"/>
      <c r="Z17" s="20">
        <f>IF(T17=0,0,X17/T17)</f>
        <v>0.1667975489321197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1">
        <f>SUM(OSRRefD22x_0)</f>
        <v>17834.47</v>
      </c>
      <c r="E19" s="21"/>
      <c r="F19" s="32">
        <f t="shared" ref="F19:F29" si="4">IF(D$12=0,0,D19/D$12)</f>
        <v>0.78920568191875395</v>
      </c>
      <c r="G19" s="21"/>
      <c r="H19" s="21">
        <f>SUM(OSRRefH22x_0)</f>
        <v>144614.88</v>
      </c>
      <c r="I19" s="21"/>
      <c r="J19" s="32">
        <f t="shared" ref="J19:J29" si="5">IF(H$12=0,0,H19/H$12)</f>
        <v>1.0005526689037259</v>
      </c>
      <c r="K19" s="4"/>
      <c r="L19" s="21">
        <f t="shared" ref="L19:L29" si="6">+D19-H19</f>
        <v>-126780.41</v>
      </c>
      <c r="M19" s="4"/>
      <c r="N19" s="32">
        <f t="shared" ref="N19:N29" si="7">IF(H19=0,0,L19/H19)</f>
        <v>-0.87667610691237308</v>
      </c>
      <c r="O19" s="10"/>
      <c r="P19" s="21">
        <f>SUM(OSRRefP22x_0)</f>
        <v>326880.76</v>
      </c>
      <c r="Q19" s="21"/>
      <c r="R19" s="32">
        <f t="shared" ref="R19:R29" si="8">IF(P$12=0,0,P19/P$12)</f>
        <v>0.83333951980094534</v>
      </c>
      <c r="S19" s="21"/>
      <c r="T19" s="21">
        <f>SUM(OSRRefT22x_0)</f>
        <v>335538.99</v>
      </c>
      <c r="U19" s="21"/>
      <c r="V19" s="32">
        <f t="shared" ref="V19:V29" si="9">IF(T$12=0,0,T19/T$12)</f>
        <v>0.99809325361413526</v>
      </c>
      <c r="W19" s="4"/>
      <c r="X19" s="21">
        <f t="shared" ref="X19:X29" si="10">+P19-T19</f>
        <v>-8658.2299999999814</v>
      </c>
      <c r="Y19" s="4"/>
      <c r="Z19" s="32">
        <f t="shared" ref="Z19:Z29" si="11">IF(T19=0,0,X19/T19)</f>
        <v>-2.5803946063019327E-2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3867.33</v>
      </c>
      <c r="E20" s="1"/>
      <c r="F20" s="5">
        <f t="shared" si="4"/>
        <v>0.17113594123373749</v>
      </c>
      <c r="G20" s="1"/>
      <c r="H20" s="1">
        <f>SUM(OSRRefH22_0x_0)</f>
        <v>4077.6500000000005</v>
      </c>
      <c r="I20" s="1"/>
      <c r="J20" s="5">
        <f t="shared" si="5"/>
        <v>2.8212197737572216E-2</v>
      </c>
      <c r="K20" s="1"/>
      <c r="L20" s="1">
        <f t="shared" si="6"/>
        <v>-210.32000000000062</v>
      </c>
      <c r="M20" s="1"/>
      <c r="N20" s="5">
        <f t="shared" si="7"/>
        <v>-5.15787279437913E-2</v>
      </c>
      <c r="O20" s="13"/>
      <c r="P20" s="1">
        <f>SUM(OSRRefP22_0x_0)</f>
        <v>33760.22</v>
      </c>
      <c r="Q20" s="1"/>
      <c r="R20" s="5">
        <f t="shared" si="8"/>
        <v>8.6067242144120898E-2</v>
      </c>
      <c r="S20" s="1"/>
      <c r="T20" s="1">
        <f>SUM(OSRRefT22_0x_0)</f>
        <v>35463.56</v>
      </c>
      <c r="U20" s="1"/>
      <c r="V20" s="5">
        <f t="shared" si="9"/>
        <v>0.10548979713248854</v>
      </c>
      <c r="W20" s="1"/>
      <c r="X20" s="1">
        <f t="shared" si="10"/>
        <v>-1703.3399999999965</v>
      </c>
      <c r="Y20" s="1"/>
      <c r="Z20" s="5">
        <f t="shared" si="11"/>
        <v>-4.8030710960772036E-2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6">
        <v>996.29</v>
      </c>
      <c r="E21" s="2"/>
      <c r="F21" s="7">
        <f t="shared" si="4"/>
        <v>4.4087529869899993E-2</v>
      </c>
      <c r="G21" s="2"/>
      <c r="H21" s="6">
        <v>1001.81</v>
      </c>
      <c r="I21" s="2"/>
      <c r="J21" s="7">
        <f t="shared" si="5"/>
        <v>6.9312623240045659E-3</v>
      </c>
      <c r="K21" s="2"/>
      <c r="L21" s="6">
        <f t="shared" si="6"/>
        <v>-5.5199999999999818</v>
      </c>
      <c r="M21" s="2"/>
      <c r="N21" s="7">
        <f t="shared" si="7"/>
        <v>-5.5100268513989499E-3</v>
      </c>
      <c r="O21" s="11"/>
      <c r="P21" s="6">
        <v>8117.07</v>
      </c>
      <c r="Q21" s="2"/>
      <c r="R21" s="7">
        <f t="shared" si="8"/>
        <v>2.0693402744140277E-2</v>
      </c>
      <c r="S21" s="2"/>
      <c r="T21" s="6">
        <v>8719.5300000000007</v>
      </c>
      <c r="U21" s="2"/>
      <c r="V21" s="7">
        <f t="shared" si="9"/>
        <v>2.5937087274674284E-2</v>
      </c>
      <c r="W21" s="2"/>
      <c r="X21" s="6">
        <f t="shared" si="10"/>
        <v>-602.46000000000095</v>
      </c>
      <c r="Y21" s="2"/>
      <c r="Z21" s="7">
        <f t="shared" si="11"/>
        <v>-6.9093173599953317E-2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6">
        <v>80.06</v>
      </c>
      <c r="E22" s="2"/>
      <c r="F22" s="7">
        <f t="shared" si="4"/>
        <v>3.5427913974688027E-3</v>
      </c>
      <c r="G22" s="2"/>
      <c r="H22" s="6">
        <v>56.69</v>
      </c>
      <c r="I22" s="2"/>
      <c r="J22" s="7">
        <f t="shared" si="5"/>
        <v>3.9222333690801535E-4</v>
      </c>
      <c r="K22" s="2"/>
      <c r="L22" s="6">
        <f t="shared" si="6"/>
        <v>23.370000000000005</v>
      </c>
      <c r="M22" s="2"/>
      <c r="N22" s="7">
        <f t="shared" si="7"/>
        <v>0.41224201799259136</v>
      </c>
      <c r="O22" s="11"/>
      <c r="P22" s="6">
        <v>733.88</v>
      </c>
      <c r="Q22" s="2"/>
      <c r="R22" s="7">
        <f t="shared" si="8"/>
        <v>1.8709305704976878E-3</v>
      </c>
      <c r="S22" s="2"/>
      <c r="T22" s="6">
        <v>394.95</v>
      </c>
      <c r="U22" s="2"/>
      <c r="V22" s="7">
        <f t="shared" si="9"/>
        <v>1.17481706228806E-3</v>
      </c>
      <c r="W22" s="2"/>
      <c r="X22" s="6">
        <f t="shared" si="10"/>
        <v>338.93</v>
      </c>
      <c r="Y22" s="2"/>
      <c r="Z22" s="7">
        <f t="shared" si="11"/>
        <v>0.85815926066590709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6">
        <v>1207.95</v>
      </c>
      <c r="E23" s="2"/>
      <c r="F23" s="7">
        <f t="shared" si="4"/>
        <v>5.3453845473050716E-2</v>
      </c>
      <c r="G23" s="2"/>
      <c r="H23" s="6">
        <v>1298.72</v>
      </c>
      <c r="I23" s="2"/>
      <c r="J23" s="7">
        <f t="shared" si="5"/>
        <v>8.9855052409451002E-3</v>
      </c>
      <c r="K23" s="2"/>
      <c r="L23" s="6">
        <f t="shared" si="6"/>
        <v>-90.769999999999982</v>
      </c>
      <c r="M23" s="2"/>
      <c r="N23" s="7">
        <f t="shared" si="7"/>
        <v>-6.9891893556732768E-2</v>
      </c>
      <c r="O23" s="11"/>
      <c r="P23" s="6">
        <v>9818.9</v>
      </c>
      <c r="Q23" s="2"/>
      <c r="R23" s="7">
        <f t="shared" si="8"/>
        <v>2.5031994574943785E-2</v>
      </c>
      <c r="S23" s="2"/>
      <c r="T23" s="6">
        <v>10057.299999999999</v>
      </c>
      <c r="U23" s="2"/>
      <c r="V23" s="7">
        <f t="shared" si="9"/>
        <v>2.9916413825926583E-2</v>
      </c>
      <c r="W23" s="2"/>
      <c r="X23" s="6">
        <f t="shared" si="10"/>
        <v>-238.39999999999964</v>
      </c>
      <c r="Y23" s="2"/>
      <c r="Z23" s="7">
        <f t="shared" si="11"/>
        <v>-2.3704175076809844E-2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6">
        <v>35.479999999999997</v>
      </c>
      <c r="E24" s="2"/>
      <c r="F24" s="7">
        <f t="shared" si="4"/>
        <v>1.5700504469422071E-3</v>
      </c>
      <c r="G24" s="2"/>
      <c r="H24" s="6">
        <v>43.38</v>
      </c>
      <c r="I24" s="2"/>
      <c r="J24" s="7">
        <f t="shared" si="5"/>
        <v>3.001349154184108E-4</v>
      </c>
      <c r="K24" s="2"/>
      <c r="L24" s="6">
        <f t="shared" si="6"/>
        <v>-7.9000000000000057</v>
      </c>
      <c r="M24" s="2"/>
      <c r="N24" s="7">
        <f t="shared" si="7"/>
        <v>-0.18211157215306606</v>
      </c>
      <c r="O24" s="11"/>
      <c r="P24" s="6">
        <v>320.04000000000002</v>
      </c>
      <c r="Q24" s="2"/>
      <c r="R24" s="7">
        <f t="shared" si="8"/>
        <v>8.1589990159437514E-4</v>
      </c>
      <c r="S24" s="2"/>
      <c r="T24" s="6">
        <v>371.34</v>
      </c>
      <c r="U24" s="2"/>
      <c r="V24" s="7">
        <f t="shared" si="9"/>
        <v>1.1045868284847403E-3</v>
      </c>
      <c r="W24" s="2"/>
      <c r="X24" s="6">
        <f t="shared" si="10"/>
        <v>-51.299999999999955</v>
      </c>
      <c r="Y24" s="2"/>
      <c r="Z24" s="7">
        <f t="shared" si="11"/>
        <v>-0.13814832767813853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6">
        <v>640.35</v>
      </c>
      <c r="E25" s="2"/>
      <c r="F25" s="7">
        <f t="shared" si="4"/>
        <v>2.8336578458270645E-2</v>
      </c>
      <c r="G25" s="2"/>
      <c r="H25" s="6">
        <v>639.47</v>
      </c>
      <c r="I25" s="2"/>
      <c r="J25" s="7">
        <f t="shared" si="5"/>
        <v>4.4243262877503723E-3</v>
      </c>
      <c r="K25" s="2"/>
      <c r="L25" s="6">
        <f t="shared" si="6"/>
        <v>0.87999999999999545</v>
      </c>
      <c r="M25" s="2"/>
      <c r="N25" s="7">
        <f t="shared" si="7"/>
        <v>1.3761396156191776E-3</v>
      </c>
      <c r="O25" s="11"/>
      <c r="P25" s="6">
        <v>6420.58</v>
      </c>
      <c r="Q25" s="2"/>
      <c r="R25" s="7">
        <f t="shared" si="8"/>
        <v>1.6368424541241135E-2</v>
      </c>
      <c r="S25" s="2"/>
      <c r="T25" s="6">
        <v>6205.92</v>
      </c>
      <c r="U25" s="2"/>
      <c r="V25" s="7">
        <f t="shared" si="9"/>
        <v>1.8460110655006245E-2</v>
      </c>
      <c r="W25" s="2"/>
      <c r="X25" s="6">
        <f t="shared" si="10"/>
        <v>214.65999999999985</v>
      </c>
      <c r="Y25" s="2"/>
      <c r="Z25" s="7">
        <f t="shared" si="11"/>
        <v>3.4589553200814679E-2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6">
        <v>87.92</v>
      </c>
      <c r="E26" s="2"/>
      <c r="F26" s="7">
        <f t="shared" si="4"/>
        <v>3.8906097884768565E-3</v>
      </c>
      <c r="G26" s="2"/>
      <c r="H26" s="6"/>
      <c r="I26" s="2"/>
      <c r="J26" s="7">
        <f t="shared" si="5"/>
        <v>0</v>
      </c>
      <c r="K26" s="2"/>
      <c r="L26" s="6">
        <f t="shared" si="6"/>
        <v>87.92</v>
      </c>
      <c r="M26" s="2"/>
      <c r="N26" s="7">
        <f t="shared" si="7"/>
        <v>0</v>
      </c>
      <c r="O26" s="11"/>
      <c r="P26" s="6">
        <v>697.86</v>
      </c>
      <c r="Q26" s="2"/>
      <c r="R26" s="7">
        <f t="shared" si="8"/>
        <v>1.7791023163562386E-3</v>
      </c>
      <c r="S26" s="2"/>
      <c r="T26" s="6"/>
      <c r="U26" s="2"/>
      <c r="V26" s="7">
        <f t="shared" si="9"/>
        <v>0</v>
      </c>
      <c r="W26" s="2"/>
      <c r="X26" s="6">
        <f t="shared" si="10"/>
        <v>697.86</v>
      </c>
      <c r="Y26" s="2"/>
      <c r="Z26" s="7">
        <f t="shared" si="11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6">
        <v>520.02</v>
      </c>
      <c r="E27" s="2"/>
      <c r="F27" s="7">
        <f t="shared" si="4"/>
        <v>2.3011770953181698E-2</v>
      </c>
      <c r="G27" s="2"/>
      <c r="H27" s="6">
        <v>577.95000000000005</v>
      </c>
      <c r="I27" s="2"/>
      <c r="J27" s="7">
        <f t="shared" si="5"/>
        <v>3.9986854395129209E-3</v>
      </c>
      <c r="K27" s="2"/>
      <c r="L27" s="6">
        <f t="shared" si="6"/>
        <v>-57.930000000000064</v>
      </c>
      <c r="M27" s="2"/>
      <c r="N27" s="7">
        <f t="shared" si="7"/>
        <v>-0.10023358422008835</v>
      </c>
      <c r="O27" s="11"/>
      <c r="P27" s="6">
        <v>4420.17</v>
      </c>
      <c r="Q27" s="2"/>
      <c r="R27" s="7">
        <f t="shared" si="8"/>
        <v>1.1268642257312864E-2</v>
      </c>
      <c r="S27" s="2"/>
      <c r="T27" s="6">
        <v>5648.78</v>
      </c>
      <c r="U27" s="2"/>
      <c r="V27" s="7">
        <f t="shared" si="9"/>
        <v>1.6802843714676659E-2</v>
      </c>
      <c r="W27" s="2"/>
      <c r="X27" s="6">
        <f t="shared" si="10"/>
        <v>-1228.6099999999997</v>
      </c>
      <c r="Y27" s="2"/>
      <c r="Z27" s="7">
        <f t="shared" si="11"/>
        <v>-0.21750006196028165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6">
        <v>299.26</v>
      </c>
      <c r="E28" s="2"/>
      <c r="F28" s="7">
        <f t="shared" si="4"/>
        <v>1.3242764846446587E-2</v>
      </c>
      <c r="G28" s="2"/>
      <c r="H28" s="6">
        <v>288.58</v>
      </c>
      <c r="I28" s="2"/>
      <c r="J28" s="7">
        <f t="shared" si="5"/>
        <v>1.9966098176912167E-3</v>
      </c>
      <c r="K28" s="2"/>
      <c r="L28" s="6">
        <f t="shared" si="6"/>
        <v>10.680000000000007</v>
      </c>
      <c r="M28" s="2"/>
      <c r="N28" s="7">
        <f t="shared" si="7"/>
        <v>3.7008801718760857E-2</v>
      </c>
      <c r="O28" s="11"/>
      <c r="P28" s="6">
        <v>2543.7199999999998</v>
      </c>
      <c r="Q28" s="2"/>
      <c r="R28" s="7">
        <f t="shared" si="8"/>
        <v>6.4848796952994741E-3</v>
      </c>
      <c r="S28" s="2"/>
      <c r="T28" s="6">
        <v>2842.86</v>
      </c>
      <c r="U28" s="2"/>
      <c r="V28" s="7">
        <f t="shared" si="9"/>
        <v>8.4563626628591827E-3</v>
      </c>
      <c r="W28" s="2"/>
      <c r="X28" s="6">
        <f t="shared" si="10"/>
        <v>-299.14000000000033</v>
      </c>
      <c r="Y28" s="2"/>
      <c r="Z28" s="7">
        <f t="shared" si="11"/>
        <v>-0.105225019874352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6"/>
      <c r="E29" s="2"/>
      <c r="F29" s="7">
        <f t="shared" si="4"/>
        <v>0</v>
      </c>
      <c r="G29" s="2"/>
      <c r="H29" s="6">
        <v>171.05</v>
      </c>
      <c r="I29" s="2"/>
      <c r="J29" s="7">
        <f t="shared" si="5"/>
        <v>1.1834503753416128E-3</v>
      </c>
      <c r="K29" s="2"/>
      <c r="L29" s="6">
        <f t="shared" si="6"/>
        <v>-171.05</v>
      </c>
      <c r="M29" s="2"/>
      <c r="N29" s="7">
        <f t="shared" si="7"/>
        <v>-1</v>
      </c>
      <c r="O29" s="11"/>
      <c r="P29" s="6">
        <v>688</v>
      </c>
      <c r="Q29" s="2"/>
      <c r="R29" s="7">
        <f t="shared" si="8"/>
        <v>1.7539655427350645E-3</v>
      </c>
      <c r="S29" s="2"/>
      <c r="T29" s="6">
        <v>1222.8800000000001</v>
      </c>
      <c r="U29" s="2"/>
      <c r="V29" s="7">
        <f t="shared" si="9"/>
        <v>3.6375751085727889E-3</v>
      </c>
      <c r="W29" s="2"/>
      <c r="X29" s="6">
        <f t="shared" si="10"/>
        <v>-534.88000000000011</v>
      </c>
      <c r="Y29" s="2"/>
      <c r="Z29" s="7">
        <f t="shared" si="11"/>
        <v>-0.43739369357582109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13003.130000000001</v>
      </c>
      <c r="E30" s="1"/>
      <c r="F30" s="5">
        <f t="shared" ref="F30:F35" si="12">IF(D$12=0,0,D30/D$12)</f>
        <v>0.57541065581024875</v>
      </c>
      <c r="G30" s="1"/>
      <c r="H30" s="1">
        <f>SUM(OSRRefH22_1x_0)</f>
        <v>15402.619999999999</v>
      </c>
      <c r="I30" s="1"/>
      <c r="J30" s="5">
        <f t="shared" ref="J30:J35" si="13">IF(H$12=0,0,H30/H$12)</f>
        <v>0.10656671394471927</v>
      </c>
      <c r="K30" s="1"/>
      <c r="L30" s="1">
        <f t="shared" ref="L30:L35" si="14">+D30-H30</f>
        <v>-2399.489999999998</v>
      </c>
      <c r="M30" s="1"/>
      <c r="N30" s="5">
        <f t="shared" ref="N30:N35" si="15">IF(H30=0,0,L30/H30)</f>
        <v>-0.15578453535827008</v>
      </c>
      <c r="O30" s="13"/>
      <c r="P30" s="1">
        <f>SUM(OSRRefP22_1x_0)</f>
        <v>115180.55</v>
      </c>
      <c r="Q30" s="1"/>
      <c r="R30" s="5">
        <f t="shared" ref="R30:R35" si="16">IF(P$12=0,0,P30/P$12)</f>
        <v>0.29363766844952505</v>
      </c>
      <c r="S30" s="1"/>
      <c r="T30" s="1">
        <f>SUM(OSRRefT22_1x_0)</f>
        <v>134696.46</v>
      </c>
      <c r="U30" s="1"/>
      <c r="V30" s="5">
        <f t="shared" ref="V30:V35" si="17">IF(T$12=0,0,T30/T$12)</f>
        <v>0.40066767802962694</v>
      </c>
      <c r="W30" s="1"/>
      <c r="X30" s="1">
        <f t="shared" ref="X30:X35" si="18">+P30-T30</f>
        <v>-19515.909999999989</v>
      </c>
      <c r="Y30" s="1"/>
      <c r="Z30" s="5">
        <f t="shared" ref="Z30:Z35" si="19">IF(T30=0,0,X30/T30)</f>
        <v>-0.14488806907026355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6">
        <v>4205.72</v>
      </c>
      <c r="E31" s="2"/>
      <c r="F31" s="7">
        <f t="shared" si="12"/>
        <v>0.18611027524559698</v>
      </c>
      <c r="G31" s="2"/>
      <c r="H31" s="6"/>
      <c r="I31" s="2"/>
      <c r="J31" s="7">
        <f t="shared" si="13"/>
        <v>0</v>
      </c>
      <c r="K31" s="2"/>
      <c r="L31" s="6">
        <f t="shared" si="14"/>
        <v>4205.72</v>
      </c>
      <c r="M31" s="2"/>
      <c r="N31" s="7">
        <f t="shared" si="15"/>
        <v>0</v>
      </c>
      <c r="O31" s="11"/>
      <c r="P31" s="6">
        <v>35118.33</v>
      </c>
      <c r="Q31" s="2"/>
      <c r="R31" s="7">
        <f t="shared" si="16"/>
        <v>8.9529565026742877E-2</v>
      </c>
      <c r="S31" s="2"/>
      <c r="T31" s="6"/>
      <c r="U31" s="2"/>
      <c r="V31" s="7">
        <f t="shared" si="17"/>
        <v>0</v>
      </c>
      <c r="W31" s="2"/>
      <c r="X31" s="6">
        <f t="shared" si="18"/>
        <v>35118.33</v>
      </c>
      <c r="Y31" s="2"/>
      <c r="Z31" s="7">
        <f t="shared" si="19"/>
        <v>0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6">
        <v>2282.3000000000002</v>
      </c>
      <c r="E32" s="2"/>
      <c r="F32" s="7">
        <f t="shared" si="12"/>
        <v>0.10099566333303833</v>
      </c>
      <c r="G32" s="2"/>
      <c r="H32" s="6">
        <v>5804.8</v>
      </c>
      <c r="I32" s="2"/>
      <c r="J32" s="7">
        <f t="shared" si="13"/>
        <v>4.0161898502092917E-2</v>
      </c>
      <c r="K32" s="2"/>
      <c r="L32" s="6">
        <f t="shared" si="14"/>
        <v>-3522.5</v>
      </c>
      <c r="M32" s="2"/>
      <c r="N32" s="7">
        <f t="shared" si="15"/>
        <v>-0.60682538588754131</v>
      </c>
      <c r="O32" s="11"/>
      <c r="P32" s="6">
        <v>18829.390000000003</v>
      </c>
      <c r="Q32" s="2"/>
      <c r="R32" s="7">
        <f t="shared" si="16"/>
        <v>4.8003054143488669E-2</v>
      </c>
      <c r="S32" s="2"/>
      <c r="T32" s="6">
        <v>47186.67</v>
      </c>
      <c r="U32" s="2"/>
      <c r="V32" s="7">
        <f t="shared" si="17"/>
        <v>0.14036132429055861</v>
      </c>
      <c r="W32" s="2"/>
      <c r="X32" s="6">
        <f t="shared" si="18"/>
        <v>-28357.279999999995</v>
      </c>
      <c r="Y32" s="2"/>
      <c r="Z32" s="7">
        <f t="shared" si="19"/>
        <v>-0.60095955065275841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6">
        <v>6611.59</v>
      </c>
      <c r="E33" s="2"/>
      <c r="F33" s="7">
        <f t="shared" si="12"/>
        <v>0.29257412160368174</v>
      </c>
      <c r="G33" s="2"/>
      <c r="H33" s="6">
        <v>7346.41</v>
      </c>
      <c r="I33" s="2"/>
      <c r="J33" s="7">
        <f t="shared" si="13"/>
        <v>5.08278963572837E-2</v>
      </c>
      <c r="K33" s="2"/>
      <c r="L33" s="6">
        <f t="shared" si="14"/>
        <v>-734.81999999999971</v>
      </c>
      <c r="M33" s="2"/>
      <c r="N33" s="7">
        <f t="shared" si="15"/>
        <v>-0.10002436564253829</v>
      </c>
      <c r="O33" s="11"/>
      <c r="P33" s="6">
        <v>51774.17</v>
      </c>
      <c r="Q33" s="2"/>
      <c r="R33" s="7">
        <f t="shared" si="16"/>
        <v>0.13199143922050507</v>
      </c>
      <c r="S33" s="2"/>
      <c r="T33" s="6">
        <v>58441.049999999996</v>
      </c>
      <c r="U33" s="2"/>
      <c r="V33" s="7">
        <f t="shared" si="17"/>
        <v>0.17383856862395144</v>
      </c>
      <c r="W33" s="2"/>
      <c r="X33" s="6">
        <f t="shared" si="18"/>
        <v>-6666.8799999999974</v>
      </c>
      <c r="Y33" s="2"/>
      <c r="Z33" s="7">
        <f t="shared" si="19"/>
        <v>-0.11407871692928169</v>
      </c>
    </row>
    <row r="34" spans="1:26" s="24" customFormat="1" hidden="1" outlineLevel="2" x14ac:dyDescent="0.25">
      <c r="A34" s="26"/>
      <c r="B34" s="11" t="str">
        <f>CONCATENATE("          ", "6007", " - ", "STUDENT HOURLY")</f>
        <v xml:space="preserve">          6007 - STUDENT HOURLY</v>
      </c>
      <c r="C34" s="11"/>
      <c r="D34" s="6">
        <v>-645</v>
      </c>
      <c r="E34" s="2"/>
      <c r="F34" s="7">
        <f t="shared" si="12"/>
        <v>-2.8542348880431896E-2</v>
      </c>
      <c r="G34" s="2"/>
      <c r="H34" s="6">
        <v>1575</v>
      </c>
      <c r="I34" s="2"/>
      <c r="J34" s="7">
        <f t="shared" si="13"/>
        <v>1.0897014563946449E-2</v>
      </c>
      <c r="K34" s="2"/>
      <c r="L34" s="6">
        <f t="shared" si="14"/>
        <v>-2220</v>
      </c>
      <c r="M34" s="2"/>
      <c r="N34" s="7">
        <f t="shared" si="15"/>
        <v>-1.4095238095238096</v>
      </c>
      <c r="O34" s="11"/>
      <c r="P34" s="6">
        <v>5546.78</v>
      </c>
      <c r="Q34" s="2"/>
      <c r="R34" s="7">
        <f t="shared" si="16"/>
        <v>1.4140786327226745E-2</v>
      </c>
      <c r="S34" s="2"/>
      <c r="T34" s="6">
        <v>24194.5</v>
      </c>
      <c r="U34" s="2"/>
      <c r="V34" s="7">
        <f t="shared" si="17"/>
        <v>7.1968885715985489E-2</v>
      </c>
      <c r="W34" s="2"/>
      <c r="X34" s="6">
        <f t="shared" si="18"/>
        <v>-18647.72</v>
      </c>
      <c r="Y34" s="2"/>
      <c r="Z34" s="7">
        <f t="shared" si="19"/>
        <v>-0.77074211081030819</v>
      </c>
    </row>
    <row r="35" spans="1:26" s="24" customFormat="1" hidden="1" outlineLevel="2" x14ac:dyDescent="0.25">
      <c r="A35" s="26"/>
      <c r="B35" s="11" t="str">
        <f>CONCATENATE("          ", "6008", " - ", "STUDENT HOURLY-FICA EXEMPT")</f>
        <v xml:space="preserve">          6008 - STUDENT HOURLY-FICA EXEMPT</v>
      </c>
      <c r="C35" s="11"/>
      <c r="D35" s="6">
        <v>548.52</v>
      </c>
      <c r="E35" s="2"/>
      <c r="F35" s="7">
        <f t="shared" si="12"/>
        <v>2.4272944508363571E-2</v>
      </c>
      <c r="G35" s="2"/>
      <c r="H35" s="6">
        <v>676.41</v>
      </c>
      <c r="I35" s="2"/>
      <c r="J35" s="7">
        <f t="shared" si="13"/>
        <v>4.6799045213962017E-3</v>
      </c>
      <c r="K35" s="2"/>
      <c r="L35" s="6">
        <f t="shared" si="14"/>
        <v>-127.88999999999999</v>
      </c>
      <c r="M35" s="2"/>
      <c r="N35" s="7">
        <f t="shared" si="15"/>
        <v>-0.18907171685811858</v>
      </c>
      <c r="O35" s="11"/>
      <c r="P35" s="6">
        <v>3911.88</v>
      </c>
      <c r="Q35" s="2"/>
      <c r="R35" s="7">
        <f t="shared" si="16"/>
        <v>9.9728237315616919E-3</v>
      </c>
      <c r="S35" s="2"/>
      <c r="T35" s="6">
        <v>4874.24</v>
      </c>
      <c r="U35" s="2"/>
      <c r="V35" s="7">
        <f t="shared" si="17"/>
        <v>1.4498899399131416E-2</v>
      </c>
      <c r="W35" s="2"/>
      <c r="X35" s="6">
        <f t="shared" si="18"/>
        <v>-962.35999999999967</v>
      </c>
      <c r="Y35" s="2"/>
      <c r="Z35" s="7">
        <f t="shared" si="19"/>
        <v>-0.19743795955882348</v>
      </c>
    </row>
    <row r="36" spans="1:26" s="25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48.34</v>
      </c>
      <c r="I36" s="1"/>
      <c r="J36" s="5">
        <f t="shared" ref="J36:J44" si="21">IF(H$12=0,0,H36/H$12)</f>
        <v>3.3445186287058503E-4</v>
      </c>
      <c r="K36" s="1"/>
      <c r="L36" s="1">
        <f t="shared" ref="L36:L44" si="22">+D36-H36</f>
        <v>-48.34</v>
      </c>
      <c r="M36" s="1"/>
      <c r="N36" s="5">
        <f t="shared" ref="N36:N44" si="23">IF(H36=0,0,L36/H36)</f>
        <v>-1</v>
      </c>
      <c r="O36" s="13"/>
      <c r="P36" s="1">
        <f>SUM(OSRRefP22_2x_0)</f>
        <v>0</v>
      </c>
      <c r="Q36" s="1"/>
      <c r="R36" s="5">
        <f t="shared" ref="R36:R44" si="24">IF(P$12=0,0,P36/P$12)</f>
        <v>0</v>
      </c>
      <c r="S36" s="1"/>
      <c r="T36" s="1">
        <f>SUM(OSRRefT22_2x_0)</f>
        <v>155.11000000000001</v>
      </c>
      <c r="U36" s="1"/>
      <c r="V36" s="5">
        <f t="shared" ref="V36:V44" si="25">IF(T$12=0,0,T36/T$12)</f>
        <v>4.6138973169135587E-4</v>
      </c>
      <c r="W36" s="1"/>
      <c r="X36" s="1">
        <f t="shared" ref="X36:X44" si="26">+P36-T36</f>
        <v>-155.11000000000001</v>
      </c>
      <c r="Y36" s="1"/>
      <c r="Z36" s="5">
        <f t="shared" ref="Z36:Z44" si="27">IF(T36=0,0,X36/T36)</f>
        <v>-1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20"/>
        <v>0</v>
      </c>
      <c r="G37" s="2"/>
      <c r="H37" s="6">
        <v>48.34</v>
      </c>
      <c r="I37" s="2"/>
      <c r="J37" s="7">
        <f t="shared" si="21"/>
        <v>3.3445186287058503E-4</v>
      </c>
      <c r="K37" s="2"/>
      <c r="L37" s="6">
        <f t="shared" si="22"/>
        <v>-48.34</v>
      </c>
      <c r="M37" s="2"/>
      <c r="N37" s="7">
        <f t="shared" si="23"/>
        <v>-1</v>
      </c>
      <c r="O37" s="11"/>
      <c r="P37" s="6"/>
      <c r="Q37" s="2"/>
      <c r="R37" s="7">
        <f t="shared" si="24"/>
        <v>0</v>
      </c>
      <c r="S37" s="2"/>
      <c r="T37" s="6">
        <v>155.11000000000001</v>
      </c>
      <c r="U37" s="2"/>
      <c r="V37" s="7">
        <f t="shared" si="25"/>
        <v>4.6138973169135587E-4</v>
      </c>
      <c r="W37" s="2"/>
      <c r="X37" s="6">
        <f t="shared" si="26"/>
        <v>-155.11000000000001</v>
      </c>
      <c r="Y37" s="2"/>
      <c r="Z37" s="7">
        <f t="shared" si="27"/>
        <v>-1</v>
      </c>
    </row>
    <row r="38" spans="1:26" s="25" customFormat="1" outlineLevel="1" collapsed="1" x14ac:dyDescent="0.25">
      <c r="A38" s="27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37</v>
      </c>
      <c r="E38" s="1"/>
      <c r="F38" s="5">
        <f t="shared" si="20"/>
        <v>1.6373130365519072E-3</v>
      </c>
      <c r="G38" s="1"/>
      <c r="H38" s="1">
        <f>SUM(OSRRefH22_3x_0)</f>
        <v>2337.6999999999998</v>
      </c>
      <c r="I38" s="1"/>
      <c r="J38" s="5">
        <f t="shared" si="21"/>
        <v>1.61739371086588E-2</v>
      </c>
      <c r="K38" s="1"/>
      <c r="L38" s="1">
        <f t="shared" si="22"/>
        <v>-2300.6999999999998</v>
      </c>
      <c r="M38" s="1"/>
      <c r="N38" s="5">
        <f t="shared" si="23"/>
        <v>-0.98417247722120027</v>
      </c>
      <c r="O38" s="13"/>
      <c r="P38" s="1">
        <f>SUM(OSRRefP22_3x_0)</f>
        <v>707.89</v>
      </c>
      <c r="Q38" s="1"/>
      <c r="R38" s="5">
        <f t="shared" si="24"/>
        <v>1.8046724826260535E-3</v>
      </c>
      <c r="S38" s="1"/>
      <c r="T38" s="1">
        <f>SUM(OSRRefT22_3x_0)</f>
        <v>16617.329999999998</v>
      </c>
      <c r="U38" s="1"/>
      <c r="V38" s="5">
        <f t="shared" si="25"/>
        <v>4.9429859004104938E-2</v>
      </c>
      <c r="W38" s="1"/>
      <c r="X38" s="1">
        <f t="shared" si="26"/>
        <v>-15909.439999999999</v>
      </c>
      <c r="Y38" s="1"/>
      <c r="Z38" s="5">
        <f t="shared" si="27"/>
        <v>-0.95740049695107465</v>
      </c>
    </row>
    <row r="39" spans="1:26" s="24" customFormat="1" hidden="1" outlineLevel="2" x14ac:dyDescent="0.25">
      <c r="A39" s="26"/>
      <c r="B39" s="11" t="str">
        <f>CONCATENATE("          ", "6381", " - ", "BANK/CREDIT CARD FEES")</f>
        <v xml:space="preserve">          6381 - BANK/CREDIT CARD FEES</v>
      </c>
      <c r="C39" s="11"/>
      <c r="D39" s="6">
        <v>37</v>
      </c>
      <c r="E39" s="2"/>
      <c r="F39" s="7">
        <f t="shared" si="20"/>
        <v>1.6373130365519072E-3</v>
      </c>
      <c r="G39" s="2"/>
      <c r="H39" s="6">
        <v>2337.6999999999998</v>
      </c>
      <c r="I39" s="2"/>
      <c r="J39" s="7">
        <f t="shared" si="21"/>
        <v>1.61739371086588E-2</v>
      </c>
      <c r="K39" s="2"/>
      <c r="L39" s="6">
        <f t="shared" si="22"/>
        <v>-2300.6999999999998</v>
      </c>
      <c r="M39" s="2"/>
      <c r="N39" s="7">
        <f t="shared" si="23"/>
        <v>-0.98417247722120027</v>
      </c>
      <c r="O39" s="11"/>
      <c r="P39" s="6">
        <v>707.89</v>
      </c>
      <c r="Q39" s="2"/>
      <c r="R39" s="7">
        <f t="shared" si="24"/>
        <v>1.8046724826260535E-3</v>
      </c>
      <c r="S39" s="2"/>
      <c r="T39" s="6">
        <v>16617.329999999998</v>
      </c>
      <c r="U39" s="2"/>
      <c r="V39" s="7">
        <f t="shared" si="25"/>
        <v>4.9429859004104938E-2</v>
      </c>
      <c r="W39" s="2"/>
      <c r="X39" s="6">
        <f t="shared" si="26"/>
        <v>-15909.439999999999</v>
      </c>
      <c r="Y39" s="2"/>
      <c r="Z39" s="7">
        <f t="shared" si="27"/>
        <v>-0.95740049695107465</v>
      </c>
    </row>
    <row r="40" spans="1:26" s="25" customFormat="1" outlineLevel="1" collapsed="1" x14ac:dyDescent="0.25">
      <c r="A40" s="27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3"/>
      <c r="P40" s="1">
        <f>SUM(OSRRefP22_4x_0)</f>
        <v>0</v>
      </c>
      <c r="Q40" s="1"/>
      <c r="R40" s="5">
        <f t="shared" si="24"/>
        <v>0</v>
      </c>
      <c r="S40" s="1"/>
      <c r="T40" s="1">
        <f>SUM(OSRRefT22_4x_0)</f>
        <v>64.239999999999995</v>
      </c>
      <c r="U40" s="1"/>
      <c r="V40" s="5">
        <f t="shared" si="25"/>
        <v>1.9108810756142541E-4</v>
      </c>
      <c r="W40" s="1"/>
      <c r="X40" s="1">
        <f t="shared" si="26"/>
        <v>-64.239999999999995</v>
      </c>
      <c r="Y40" s="1"/>
      <c r="Z40" s="5">
        <f t="shared" si="27"/>
        <v>-1</v>
      </c>
    </row>
    <row r="41" spans="1:26" s="24" customFormat="1" hidden="1" outlineLevel="2" x14ac:dyDescent="0.25">
      <c r="A41" s="26"/>
      <c r="B41" s="11" t="str">
        <f>CONCATENATE("          ", "6277", " - ", "EMPLOYEE APPRECIATION")</f>
        <v xml:space="preserve">          6277 - EMPLOYEE APPRECIATION</v>
      </c>
      <c r="C41" s="11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64.239999999999995</v>
      </c>
      <c r="U41" s="2"/>
      <c r="V41" s="7">
        <f t="shared" si="25"/>
        <v>1.9108810756142541E-4</v>
      </c>
      <c r="W41" s="2"/>
      <c r="X41" s="6">
        <f t="shared" si="26"/>
        <v>-64.239999999999995</v>
      </c>
      <c r="Y41" s="2"/>
      <c r="Z41" s="7">
        <f t="shared" si="27"/>
        <v>-1</v>
      </c>
    </row>
    <row r="42" spans="1:26" s="25" customFormat="1" outlineLevel="1" collapsed="1" x14ac:dyDescent="0.25">
      <c r="A42" s="27"/>
      <c r="B42" s="13" t="str">
        <f>CONCATENATE("     ","Freight out/Postage                               ")</f>
        <v xml:space="preserve">     Freight out/Postage                               </v>
      </c>
      <c r="C42" s="13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3"/>
      <c r="P42" s="1">
        <f>SUM(OSRRefP22_5x_0)</f>
        <v>2.12</v>
      </c>
      <c r="Q42" s="1"/>
      <c r="R42" s="5">
        <f t="shared" si="24"/>
        <v>5.4046612654045596E-6</v>
      </c>
      <c r="S42" s="1"/>
      <c r="T42" s="1">
        <f>SUM(OSRRefT22_5x_0)</f>
        <v>0</v>
      </c>
      <c r="U42" s="1"/>
      <c r="V42" s="5">
        <f t="shared" si="25"/>
        <v>0</v>
      </c>
      <c r="W42" s="1"/>
      <c r="X42" s="1">
        <f t="shared" si="26"/>
        <v>2.12</v>
      </c>
      <c r="Y42" s="1"/>
      <c r="Z42" s="5">
        <f t="shared" si="27"/>
        <v>0</v>
      </c>
    </row>
    <row r="43" spans="1:26" s="24" customFormat="1" hidden="1" outlineLevel="2" x14ac:dyDescent="0.25">
      <c r="A43" s="26"/>
      <c r="B43" s="11" t="str">
        <f>CONCATENATE("          ", "6305", " - ", "FREIGHT OUT")</f>
        <v xml:space="preserve">          6305 - FREIGHT OUT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>
        <v>1.62</v>
      </c>
      <c r="Q43" s="2"/>
      <c r="R43" s="7">
        <f t="shared" si="24"/>
        <v>4.129977004695937E-6</v>
      </c>
      <c r="S43" s="2"/>
      <c r="T43" s="6"/>
      <c r="U43" s="2"/>
      <c r="V43" s="7">
        <f t="shared" si="25"/>
        <v>0</v>
      </c>
      <c r="W43" s="2"/>
      <c r="X43" s="6">
        <f t="shared" si="26"/>
        <v>1.62</v>
      </c>
      <c r="Y43" s="2"/>
      <c r="Z43" s="7">
        <f t="shared" si="27"/>
        <v>0</v>
      </c>
    </row>
    <row r="44" spans="1:26" s="24" customFormat="1" hidden="1" outlineLevel="2" x14ac:dyDescent="0.25">
      <c r="A44" s="26"/>
      <c r="B44" s="11" t="str">
        <f>CONCATENATE("          ", "6307", " - ", "POSTAGE")</f>
        <v xml:space="preserve">          6307 - POSTAGE</v>
      </c>
      <c r="C44" s="11"/>
      <c r="D44" s="6"/>
      <c r="E44" s="2"/>
      <c r="F44" s="7">
        <f t="shared" si="20"/>
        <v>0</v>
      </c>
      <c r="G44" s="2"/>
      <c r="H44" s="6"/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>
        <v>0.5</v>
      </c>
      <c r="Q44" s="2"/>
      <c r="R44" s="7">
        <f t="shared" si="24"/>
        <v>1.2746842607086224E-6</v>
      </c>
      <c r="S44" s="2"/>
      <c r="T44" s="6"/>
      <c r="U44" s="2"/>
      <c r="V44" s="7">
        <f t="shared" si="25"/>
        <v>0</v>
      </c>
      <c r="W44" s="2"/>
      <c r="X44" s="6">
        <f t="shared" si="26"/>
        <v>0.5</v>
      </c>
      <c r="Y44" s="2"/>
      <c r="Z44" s="7">
        <f t="shared" si="27"/>
        <v>0</v>
      </c>
    </row>
    <row r="45" spans="1:26" s="25" customFormat="1" outlineLevel="1" collapsed="1" x14ac:dyDescent="0.25">
      <c r="A45" s="27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SUM(OSRRefD22_6x_0)</f>
        <v>0</v>
      </c>
      <c r="E45" s="1"/>
      <c r="F45" s="5">
        <f t="shared" ref="F45:F54" si="28">IF(D$12=0,0,D45/D$12)</f>
        <v>0</v>
      </c>
      <c r="G45" s="1"/>
      <c r="H45" s="1">
        <f>SUM(OSRRefH22_6x_0)</f>
        <v>0</v>
      </c>
      <c r="I45" s="1"/>
      <c r="J45" s="5">
        <f t="shared" ref="J45:J54" si="29">IF(H$12=0,0,H45/H$12)</f>
        <v>0</v>
      </c>
      <c r="K45" s="1"/>
      <c r="L45" s="1">
        <f t="shared" ref="L45:L54" si="30">+D45-H45</f>
        <v>0</v>
      </c>
      <c r="M45" s="1"/>
      <c r="N45" s="5">
        <f t="shared" ref="N45:N54" si="31">IF(H45=0,0,L45/H45)</f>
        <v>0</v>
      </c>
      <c r="O45" s="13"/>
      <c r="P45" s="1">
        <f>SUM(OSRRefP22_6x_0)</f>
        <v>0</v>
      </c>
      <c r="Q45" s="1"/>
      <c r="R45" s="5">
        <f t="shared" ref="R45:R54" si="32">IF(P$12=0,0,P45/P$12)</f>
        <v>0</v>
      </c>
      <c r="S45" s="1"/>
      <c r="T45" s="1">
        <f>SUM(OSRRefT22_6x_0)</f>
        <v>47.34</v>
      </c>
      <c r="U45" s="1"/>
      <c r="V45" s="5">
        <f t="shared" ref="V45:V54" si="33">IF(T$12=0,0,T45/T$12)</f>
        <v>1.4081741923969304E-4</v>
      </c>
      <c r="W45" s="1"/>
      <c r="X45" s="1">
        <f t="shared" ref="X45:X54" si="34">+P45-T45</f>
        <v>-47.34</v>
      </c>
      <c r="Y45" s="1"/>
      <c r="Z45" s="5">
        <f t="shared" ref="Z45:Z54" si="35">IF(T45=0,0,X45/T45)</f>
        <v>-1</v>
      </c>
    </row>
    <row r="46" spans="1:26" s="24" customFormat="1" hidden="1" outlineLevel="2" x14ac:dyDescent="0.25">
      <c r="A46" s="26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28"/>
        <v>0</v>
      </c>
      <c r="G46" s="2"/>
      <c r="H46" s="6"/>
      <c r="I46" s="2"/>
      <c r="J46" s="7">
        <f t="shared" si="29"/>
        <v>0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/>
      <c r="Q46" s="2"/>
      <c r="R46" s="7">
        <f t="shared" si="32"/>
        <v>0</v>
      </c>
      <c r="S46" s="2"/>
      <c r="T46" s="6">
        <v>47.34</v>
      </c>
      <c r="U46" s="2"/>
      <c r="V46" s="7">
        <f t="shared" si="33"/>
        <v>1.4081741923969304E-4</v>
      </c>
      <c r="W46" s="2"/>
      <c r="X46" s="6">
        <f t="shared" si="34"/>
        <v>-47.34</v>
      </c>
      <c r="Y46" s="2"/>
      <c r="Z46" s="7">
        <f t="shared" si="35"/>
        <v>-1</v>
      </c>
    </row>
    <row r="47" spans="1:26" s="25" customFormat="1" outlineLevel="1" collapsed="1" x14ac:dyDescent="0.25">
      <c r="A47" s="27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SUM(OSRRefD22_7x_0)</f>
        <v>29.01</v>
      </c>
      <c r="E47" s="1"/>
      <c r="F47" s="5">
        <f t="shared" si="28"/>
        <v>1.2837419240640765E-3</v>
      </c>
      <c r="G47" s="1"/>
      <c r="H47" s="1">
        <f>SUM(OSRRefH22_7x_0)</f>
        <v>29.01</v>
      </c>
      <c r="I47" s="1"/>
      <c r="J47" s="5">
        <f t="shared" si="29"/>
        <v>2.0071263015878507E-4</v>
      </c>
      <c r="K47" s="1"/>
      <c r="L47" s="1">
        <f t="shared" si="30"/>
        <v>0</v>
      </c>
      <c r="M47" s="1"/>
      <c r="N47" s="5">
        <f t="shared" si="31"/>
        <v>0</v>
      </c>
      <c r="O47" s="13"/>
      <c r="P47" s="1">
        <f>SUM(OSRRefP22_7x_0)</f>
        <v>232.08</v>
      </c>
      <c r="Q47" s="1"/>
      <c r="R47" s="5">
        <f t="shared" si="32"/>
        <v>5.9165744645051424E-4</v>
      </c>
      <c r="S47" s="1"/>
      <c r="T47" s="1">
        <f>SUM(OSRRefT22_7x_0)</f>
        <v>232.08</v>
      </c>
      <c r="U47" s="1"/>
      <c r="V47" s="5">
        <f t="shared" si="33"/>
        <v>6.9034445832589684E-4</v>
      </c>
      <c r="W47" s="1"/>
      <c r="X47" s="1">
        <f t="shared" si="34"/>
        <v>0</v>
      </c>
      <c r="Y47" s="1"/>
      <c r="Z47" s="5">
        <f t="shared" si="35"/>
        <v>0</v>
      </c>
    </row>
    <row r="48" spans="1:26" s="24" customFormat="1" hidden="1" outlineLevel="2" x14ac:dyDescent="0.25">
      <c r="A48" s="26"/>
      <c r="B48" s="11" t="str">
        <f>CONCATENATE("          ", "6314", " - ", "LIABILITY INSURANCE")</f>
        <v xml:space="preserve">          6314 - LIABILITY INSURANCE</v>
      </c>
      <c r="C48" s="11"/>
      <c r="D48" s="6">
        <v>29.01</v>
      </c>
      <c r="E48" s="2"/>
      <c r="F48" s="7">
        <f t="shared" si="28"/>
        <v>1.2837419240640765E-3</v>
      </c>
      <c r="G48" s="2"/>
      <c r="H48" s="6">
        <v>29.01</v>
      </c>
      <c r="I48" s="2"/>
      <c r="J48" s="7">
        <f t="shared" si="29"/>
        <v>2.0071263015878507E-4</v>
      </c>
      <c r="K48" s="2"/>
      <c r="L48" s="6">
        <f t="shared" si="30"/>
        <v>0</v>
      </c>
      <c r="M48" s="2"/>
      <c r="N48" s="7">
        <f t="shared" si="31"/>
        <v>0</v>
      </c>
      <c r="O48" s="11"/>
      <c r="P48" s="6">
        <v>232.08</v>
      </c>
      <c r="Q48" s="2"/>
      <c r="R48" s="7">
        <f t="shared" si="32"/>
        <v>5.9165744645051424E-4</v>
      </c>
      <c r="S48" s="2"/>
      <c r="T48" s="6">
        <v>232.08</v>
      </c>
      <c r="U48" s="2"/>
      <c r="V48" s="7">
        <f t="shared" si="33"/>
        <v>6.9034445832589684E-4</v>
      </c>
      <c r="W48" s="2"/>
      <c r="X48" s="6">
        <f t="shared" si="34"/>
        <v>0</v>
      </c>
      <c r="Y48" s="2"/>
      <c r="Z48" s="7">
        <f t="shared" si="35"/>
        <v>0</v>
      </c>
    </row>
    <row r="49" spans="1:26" s="25" customFormat="1" outlineLevel="1" collapsed="1" x14ac:dyDescent="0.25">
      <c r="A49" s="27"/>
      <c r="B49" s="13" t="str">
        <f>CONCATENATE("     ","Rent                                              ")</f>
        <v xml:space="preserve">     Rent                                              </v>
      </c>
      <c r="C49" s="13"/>
      <c r="D49" s="1">
        <f>SUM(OSRRefD22_8x_0)</f>
        <v>800</v>
      </c>
      <c r="E49" s="1"/>
      <c r="F49" s="5">
        <f t="shared" si="28"/>
        <v>3.5401362952473668E-2</v>
      </c>
      <c r="G49" s="1"/>
      <c r="H49" s="1">
        <f>SUM(OSRRefH22_8x_0)</f>
        <v>800</v>
      </c>
      <c r="I49" s="1"/>
      <c r="J49" s="5">
        <f t="shared" si="29"/>
        <v>5.5349915245442279E-3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SUM(OSRRefP22_8x_0)</f>
        <v>6400</v>
      </c>
      <c r="Q49" s="1"/>
      <c r="R49" s="5">
        <f t="shared" si="32"/>
        <v>1.6315958537070369E-2</v>
      </c>
      <c r="S49" s="1"/>
      <c r="T49" s="1">
        <f>SUM(OSRRefT22_8x_0)</f>
        <v>4800</v>
      </c>
      <c r="U49" s="1"/>
      <c r="V49" s="5">
        <f t="shared" si="33"/>
        <v>1.4278065322148849E-2</v>
      </c>
      <c r="W49" s="1"/>
      <c r="X49" s="1">
        <f t="shared" si="34"/>
        <v>1600</v>
      </c>
      <c r="Y49" s="1"/>
      <c r="Z49" s="5">
        <f t="shared" si="35"/>
        <v>0.33333333333333331</v>
      </c>
    </row>
    <row r="50" spans="1:26" s="24" customFormat="1" hidden="1" outlineLevel="2" x14ac:dyDescent="0.25">
      <c r="A50" s="26"/>
      <c r="B50" s="11" t="str">
        <f>CONCATENATE("          ", "6273", " - ", "RENT")</f>
        <v xml:space="preserve">          6273 - RENT</v>
      </c>
      <c r="C50" s="11"/>
      <c r="D50" s="6">
        <v>800</v>
      </c>
      <c r="E50" s="2"/>
      <c r="F50" s="7">
        <f t="shared" si="28"/>
        <v>3.5401362952473668E-2</v>
      </c>
      <c r="G50" s="2"/>
      <c r="H50" s="6">
        <v>800</v>
      </c>
      <c r="I50" s="2"/>
      <c r="J50" s="7">
        <f t="shared" si="29"/>
        <v>5.5349915245442279E-3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>
        <v>6400</v>
      </c>
      <c r="Q50" s="2"/>
      <c r="R50" s="7">
        <f t="shared" si="32"/>
        <v>1.6315958537070369E-2</v>
      </c>
      <c r="S50" s="2"/>
      <c r="T50" s="6">
        <v>4800</v>
      </c>
      <c r="U50" s="2"/>
      <c r="V50" s="7">
        <f t="shared" si="33"/>
        <v>1.4278065322148849E-2</v>
      </c>
      <c r="W50" s="2"/>
      <c r="X50" s="6">
        <f t="shared" si="34"/>
        <v>1600</v>
      </c>
      <c r="Y50" s="2"/>
      <c r="Z50" s="7">
        <f t="shared" si="35"/>
        <v>0.33333333333333331</v>
      </c>
    </row>
    <row r="51" spans="1:26" s="25" customFormat="1" outlineLevel="1" collapsed="1" x14ac:dyDescent="0.25">
      <c r="A51" s="27"/>
      <c r="B51" s="13" t="str">
        <f>CONCATENATE("     ","Repair and Maintenance                            ")</f>
        <v xml:space="preserve">     Repair and Maintenance                            </v>
      </c>
      <c r="C51" s="13"/>
      <c r="D51" s="1">
        <f>SUM(OSRRefD22_9x_0)</f>
        <v>0</v>
      </c>
      <c r="E51" s="1"/>
      <c r="F51" s="5">
        <f t="shared" si="28"/>
        <v>0</v>
      </c>
      <c r="G51" s="1"/>
      <c r="H51" s="1">
        <f>SUM(OSRRefH22_9x_0)</f>
        <v>117094</v>
      </c>
      <c r="I51" s="1"/>
      <c r="J51" s="5">
        <f t="shared" si="29"/>
        <v>0.81014287196872725</v>
      </c>
      <c r="K51" s="1"/>
      <c r="L51" s="1">
        <f t="shared" si="30"/>
        <v>-117094</v>
      </c>
      <c r="M51" s="1"/>
      <c r="N51" s="5">
        <f t="shared" si="31"/>
        <v>-1</v>
      </c>
      <c r="O51" s="13"/>
      <c r="P51" s="1">
        <f>SUM(OSRRefP22_9x_0)</f>
        <v>126914.90000000001</v>
      </c>
      <c r="Q51" s="1"/>
      <c r="R51" s="5">
        <f t="shared" si="32"/>
        <v>0.32355285095881753</v>
      </c>
      <c r="S51" s="1"/>
      <c r="T51" s="1">
        <f>SUM(OSRRefT22_9x_0)</f>
        <v>117843.95999999999</v>
      </c>
      <c r="U51" s="1"/>
      <c r="V51" s="5">
        <f t="shared" si="33"/>
        <v>0.35053828306264501</v>
      </c>
      <c r="W51" s="1"/>
      <c r="X51" s="1">
        <f t="shared" si="34"/>
        <v>9070.9400000000169</v>
      </c>
      <c r="Y51" s="1"/>
      <c r="Z51" s="5">
        <f t="shared" si="35"/>
        <v>7.6974161424989598E-2</v>
      </c>
    </row>
    <row r="52" spans="1:26" s="24" customFormat="1" hidden="1" outlineLevel="2" x14ac:dyDescent="0.25">
      <c r="A52" s="26"/>
      <c r="B52" s="11" t="str">
        <f>CONCATENATE("          ", "6371", " - ", "COMPUTER SOFTWARE MAINTENANCE")</f>
        <v xml:space="preserve">          6371 - COMPUTER SOFTWARE MAINTENANCE</v>
      </c>
      <c r="C52" s="11"/>
      <c r="D52" s="6"/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0</v>
      </c>
      <c r="M52" s="2"/>
      <c r="N52" s="7">
        <f t="shared" si="31"/>
        <v>0</v>
      </c>
      <c r="O52" s="11"/>
      <c r="P52" s="6"/>
      <c r="Q52" s="2"/>
      <c r="R52" s="7">
        <f t="shared" si="32"/>
        <v>0</v>
      </c>
      <c r="S52" s="2"/>
      <c r="T52" s="6">
        <v>437.31</v>
      </c>
      <c r="U52" s="2"/>
      <c r="V52" s="7">
        <f t="shared" si="33"/>
        <v>1.3008209887560235E-3</v>
      </c>
      <c r="W52" s="2"/>
      <c r="X52" s="6">
        <f t="shared" si="34"/>
        <v>-437.31</v>
      </c>
      <c r="Y52" s="2"/>
      <c r="Z52" s="7">
        <f t="shared" si="35"/>
        <v>-1</v>
      </c>
    </row>
    <row r="53" spans="1:26" s="24" customFormat="1" hidden="1" outlineLevel="2" x14ac:dyDescent="0.25">
      <c r="A53" s="26"/>
      <c r="B53" s="11" t="str">
        <f>CONCATENATE("          ", "6373", " - ", "MAINTENANCE CONTRACTS")</f>
        <v xml:space="preserve">          6373 - MAINTENANCE CONTRACTS</v>
      </c>
      <c r="C53" s="11"/>
      <c r="D53" s="6"/>
      <c r="E53" s="2"/>
      <c r="F53" s="7">
        <f t="shared" si="28"/>
        <v>0</v>
      </c>
      <c r="G53" s="2"/>
      <c r="H53" s="6">
        <v>117094</v>
      </c>
      <c r="I53" s="2"/>
      <c r="J53" s="7">
        <f t="shared" si="29"/>
        <v>0.81014287196872725</v>
      </c>
      <c r="K53" s="2"/>
      <c r="L53" s="6">
        <f t="shared" si="30"/>
        <v>-117094</v>
      </c>
      <c r="M53" s="2"/>
      <c r="N53" s="7">
        <f t="shared" si="31"/>
        <v>-1</v>
      </c>
      <c r="O53" s="11"/>
      <c r="P53" s="6">
        <v>120352.90000000001</v>
      </c>
      <c r="Q53" s="2"/>
      <c r="R53" s="7">
        <f t="shared" si="32"/>
        <v>0.30682389472127758</v>
      </c>
      <c r="S53" s="2"/>
      <c r="T53" s="6">
        <v>117094</v>
      </c>
      <c r="U53" s="2"/>
      <c r="V53" s="7">
        <f t="shared" si="33"/>
        <v>0.34830745433993693</v>
      </c>
      <c r="W53" s="2"/>
      <c r="X53" s="6">
        <f t="shared" si="34"/>
        <v>3258.9000000000087</v>
      </c>
      <c r="Y53" s="2"/>
      <c r="Z53" s="7">
        <f t="shared" si="35"/>
        <v>2.7831485814815524E-2</v>
      </c>
    </row>
    <row r="54" spans="1:26" s="24" customFormat="1" hidden="1" outlineLevel="2" x14ac:dyDescent="0.25">
      <c r="A54" s="26"/>
      <c r="B54" s="11" t="str">
        <f>CONCATENATE("          ", "6375", " - ", "OUTSIDE REPAIRS &amp; MAINTENANCE")</f>
        <v xml:space="preserve">          6375 - OUTSIDE REPAIRS &amp; MAINTENANCE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>
        <v>6562</v>
      </c>
      <c r="Q54" s="2"/>
      <c r="R54" s="7">
        <f t="shared" si="32"/>
        <v>1.6728956237539963E-2</v>
      </c>
      <c r="S54" s="2"/>
      <c r="T54" s="6">
        <v>312.64999999999998</v>
      </c>
      <c r="U54" s="2"/>
      <c r="V54" s="7">
        <f t="shared" si="33"/>
        <v>9.3000773395204947E-4</v>
      </c>
      <c r="W54" s="2"/>
      <c r="X54" s="6">
        <f t="shared" si="34"/>
        <v>6249.35</v>
      </c>
      <c r="Y54" s="2"/>
      <c r="Z54" s="7">
        <f t="shared" si="35"/>
        <v>19.988325603710223</v>
      </c>
    </row>
    <row r="55" spans="1:26" s="25" customFormat="1" outlineLevel="1" collapsed="1" x14ac:dyDescent="0.25">
      <c r="A55" s="27"/>
      <c r="B55" s="13" t="str">
        <f>CONCATENATE("     ","Subscriptions &amp; Dues                              ")</f>
        <v xml:space="preserve">     Subscriptions &amp; Dues                              </v>
      </c>
      <c r="C55" s="13"/>
      <c r="D55" s="1">
        <f>SUM(OSRRefD22_10x_0)</f>
        <v>0</v>
      </c>
      <c r="E55" s="1"/>
      <c r="F55" s="5">
        <f t="shared" ref="F55:F60" si="36">IF(D$12=0,0,D55/D$12)</f>
        <v>0</v>
      </c>
      <c r="G55" s="1"/>
      <c r="H55" s="1">
        <f>SUM(OSRRefH22_10x_0)</f>
        <v>0</v>
      </c>
      <c r="I55" s="1"/>
      <c r="J55" s="5">
        <f t="shared" ref="J55:J60" si="37">IF(H$12=0,0,H55/H$12)</f>
        <v>0</v>
      </c>
      <c r="K55" s="1"/>
      <c r="L55" s="1">
        <f t="shared" ref="L55:L60" si="38">+D55-H55</f>
        <v>0</v>
      </c>
      <c r="M55" s="1"/>
      <c r="N55" s="5">
        <f t="shared" ref="N55:N60" si="39">IF(H55=0,0,L55/H55)</f>
        <v>0</v>
      </c>
      <c r="O55" s="13"/>
      <c r="P55" s="1">
        <f>SUM(OSRRefP22_10x_0)</f>
        <v>0</v>
      </c>
      <c r="Q55" s="1"/>
      <c r="R55" s="5">
        <f t="shared" ref="R55:R60" si="40">IF(P$12=0,0,P55/P$12)</f>
        <v>0</v>
      </c>
      <c r="S55" s="1"/>
      <c r="T55" s="1">
        <f>SUM(OSRRefT22_10x_0)</f>
        <v>825</v>
      </c>
      <c r="U55" s="1"/>
      <c r="V55" s="5">
        <f t="shared" ref="V55:V60" si="41">IF(T$12=0,0,T55/T$12)</f>
        <v>2.4540424772443335E-3</v>
      </c>
      <c r="W55" s="1"/>
      <c r="X55" s="1">
        <f t="shared" ref="X55:X60" si="42">+P55-T55</f>
        <v>-825</v>
      </c>
      <c r="Y55" s="1"/>
      <c r="Z55" s="5">
        <f t="shared" ref="Z55:Z60" si="43">IF(T55=0,0,X55/T55)</f>
        <v>-1</v>
      </c>
    </row>
    <row r="56" spans="1:26" s="24" customFormat="1" hidden="1" outlineLevel="2" x14ac:dyDescent="0.25">
      <c r="A56" s="26"/>
      <c r="B56" s="11" t="str">
        <f>CONCATENATE("          ", "6258", " - ", "MEMBERSHIP DUES")</f>
        <v xml:space="preserve">          6258 - MEMBERSHIP DUES</v>
      </c>
      <c r="C56" s="11"/>
      <c r="D56" s="6"/>
      <c r="E56" s="2"/>
      <c r="F56" s="7">
        <f t="shared" si="36"/>
        <v>0</v>
      </c>
      <c r="G56" s="2"/>
      <c r="H56" s="6"/>
      <c r="I56" s="2"/>
      <c r="J56" s="7">
        <f t="shared" si="37"/>
        <v>0</v>
      </c>
      <c r="K56" s="2"/>
      <c r="L56" s="6">
        <f t="shared" si="38"/>
        <v>0</v>
      </c>
      <c r="M56" s="2"/>
      <c r="N56" s="7">
        <f t="shared" si="39"/>
        <v>0</v>
      </c>
      <c r="O56" s="11"/>
      <c r="P56" s="6"/>
      <c r="Q56" s="2"/>
      <c r="R56" s="7">
        <f t="shared" si="40"/>
        <v>0</v>
      </c>
      <c r="S56" s="2"/>
      <c r="T56" s="6">
        <v>825</v>
      </c>
      <c r="U56" s="2"/>
      <c r="V56" s="7">
        <f t="shared" si="41"/>
        <v>2.4540424772443335E-3</v>
      </c>
      <c r="W56" s="2"/>
      <c r="X56" s="6">
        <f t="shared" si="42"/>
        <v>-825</v>
      </c>
      <c r="Y56" s="2"/>
      <c r="Z56" s="7">
        <f t="shared" si="43"/>
        <v>-1</v>
      </c>
    </row>
    <row r="57" spans="1:26" s="25" customFormat="1" outlineLevel="1" collapsed="1" x14ac:dyDescent="0.25">
      <c r="A57" s="27"/>
      <c r="B57" s="13" t="str">
        <f>CONCATENATE("     ","Supplies                                          ")</f>
        <v xml:space="preserve">     Supplies                                          </v>
      </c>
      <c r="C57" s="13"/>
      <c r="D57" s="1">
        <f>SUM(OSRRefD22_11x_0)</f>
        <v>11.55</v>
      </c>
      <c r="E57" s="1"/>
      <c r="F57" s="5">
        <f t="shared" si="36"/>
        <v>5.1110717762633867E-4</v>
      </c>
      <c r="G57" s="1"/>
      <c r="H57" s="1">
        <f>SUM(OSRRefH22_11x_0)</f>
        <v>4628.3599999999997</v>
      </c>
      <c r="I57" s="1"/>
      <c r="J57" s="5">
        <f t="shared" si="37"/>
        <v>3.20224167156744E-2</v>
      </c>
      <c r="K57" s="1"/>
      <c r="L57" s="1">
        <f t="shared" si="38"/>
        <v>-4616.8099999999995</v>
      </c>
      <c r="M57" s="1"/>
      <c r="N57" s="5">
        <f t="shared" si="39"/>
        <v>-0.99750451563836862</v>
      </c>
      <c r="O57" s="13"/>
      <c r="P57" s="1">
        <f>SUM(OSRRefP22_11x_0)</f>
        <v>42058.17</v>
      </c>
      <c r="Q57" s="1"/>
      <c r="R57" s="5">
        <f t="shared" si="40"/>
        <v>0.10722177466641512</v>
      </c>
      <c r="S57" s="1"/>
      <c r="T57" s="1">
        <f>SUM(OSRRefT22_11x_0)</f>
        <v>23282.71</v>
      </c>
      <c r="U57" s="1"/>
      <c r="V57" s="5">
        <f t="shared" si="41"/>
        <v>6.9256677970135044E-2</v>
      </c>
      <c r="W57" s="1"/>
      <c r="X57" s="1">
        <f t="shared" si="42"/>
        <v>18775.46</v>
      </c>
      <c r="Y57" s="1"/>
      <c r="Z57" s="5">
        <f t="shared" si="43"/>
        <v>0.80641214016753204</v>
      </c>
    </row>
    <row r="58" spans="1:26" s="24" customFormat="1" hidden="1" outlineLevel="2" x14ac:dyDescent="0.25">
      <c r="A58" s="26"/>
      <c r="B58" s="11" t="str">
        <f>CONCATENATE("          ", "6234", " - ", "EXPENDABLE SUPPLIES &amp; EQUIPMEN")</f>
        <v xml:space="preserve">          6234 - EXPENDABLE SUPPLIES &amp; EQUIPMEN</v>
      </c>
      <c r="C58" s="11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1"/>
      <c r="P58" s="6"/>
      <c r="Q58" s="2"/>
      <c r="R58" s="7">
        <f t="shared" si="40"/>
        <v>0</v>
      </c>
      <c r="S58" s="2"/>
      <c r="T58" s="6">
        <v>413.27</v>
      </c>
      <c r="U58" s="2"/>
      <c r="V58" s="7">
        <f t="shared" si="41"/>
        <v>1.2293116782675947E-3</v>
      </c>
      <c r="W58" s="2"/>
      <c r="X58" s="6">
        <f t="shared" si="42"/>
        <v>-413.27</v>
      </c>
      <c r="Y58" s="2"/>
      <c r="Z58" s="7">
        <f t="shared" si="43"/>
        <v>-1</v>
      </c>
    </row>
    <row r="59" spans="1:26" s="24" customFormat="1" hidden="1" outlineLevel="2" x14ac:dyDescent="0.25">
      <c r="A59" s="26"/>
      <c r="B59" s="11" t="str">
        <f>CONCATENATE("          ", "6241", " - ", "OFFICE EXPENSE")</f>
        <v xml:space="preserve">          6241 - OFFICE EXPENSE</v>
      </c>
      <c r="C59" s="11"/>
      <c r="D59" s="6">
        <v>11.55</v>
      </c>
      <c r="E59" s="2"/>
      <c r="F59" s="7">
        <f t="shared" si="36"/>
        <v>5.1110717762633867E-4</v>
      </c>
      <c r="G59" s="2"/>
      <c r="H59" s="6">
        <v>4628.3599999999997</v>
      </c>
      <c r="I59" s="2"/>
      <c r="J59" s="7">
        <f t="shared" si="37"/>
        <v>3.20224167156744E-2</v>
      </c>
      <c r="K59" s="2"/>
      <c r="L59" s="6">
        <f t="shared" si="38"/>
        <v>-4616.8099999999995</v>
      </c>
      <c r="M59" s="2"/>
      <c r="N59" s="7">
        <f t="shared" si="39"/>
        <v>-0.99750451563836862</v>
      </c>
      <c r="O59" s="11"/>
      <c r="P59" s="6">
        <v>42058.17</v>
      </c>
      <c r="Q59" s="2"/>
      <c r="R59" s="7">
        <f t="shared" si="40"/>
        <v>0.10722177466641512</v>
      </c>
      <c r="S59" s="2"/>
      <c r="T59" s="6">
        <v>22665.919999999998</v>
      </c>
      <c r="U59" s="2"/>
      <c r="V59" s="7">
        <f t="shared" si="41"/>
        <v>6.7421976322208338E-2</v>
      </c>
      <c r="W59" s="2"/>
      <c r="X59" s="6">
        <f t="shared" si="42"/>
        <v>19392.25</v>
      </c>
      <c r="Y59" s="2"/>
      <c r="Z59" s="7">
        <f t="shared" si="43"/>
        <v>0.85556862461351679</v>
      </c>
    </row>
    <row r="60" spans="1:26" s="24" customFormat="1" hidden="1" outlineLevel="2" x14ac:dyDescent="0.25">
      <c r="A60" s="26"/>
      <c r="B60" s="11" t="str">
        <f>CONCATENATE("          ", "6245", " - ", "PRINTING")</f>
        <v xml:space="preserve">          6245 - PRINTING</v>
      </c>
      <c r="C60" s="11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/>
      <c r="Q60" s="2"/>
      <c r="R60" s="7">
        <f t="shared" si="40"/>
        <v>0</v>
      </c>
      <c r="S60" s="2"/>
      <c r="T60" s="6">
        <v>203.52</v>
      </c>
      <c r="U60" s="2"/>
      <c r="V60" s="7">
        <f t="shared" si="41"/>
        <v>6.0538996965911127E-4</v>
      </c>
      <c r="W60" s="2"/>
      <c r="X60" s="6">
        <f t="shared" si="42"/>
        <v>-203.52</v>
      </c>
      <c r="Y60" s="2"/>
      <c r="Z60" s="7">
        <f t="shared" si="43"/>
        <v>-1</v>
      </c>
    </row>
    <row r="61" spans="1:26" s="25" customFormat="1" outlineLevel="1" collapsed="1" x14ac:dyDescent="0.25">
      <c r="A61" s="27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SUM(OSRRefD22_12x_0)</f>
        <v>86.45</v>
      </c>
      <c r="E61" s="1"/>
      <c r="F61" s="5">
        <f t="shared" ref="F61:F62" si="44">IF(D$12=0,0,D61/D$12)</f>
        <v>3.8255597840516861E-3</v>
      </c>
      <c r="G61" s="1"/>
      <c r="H61" s="1">
        <f>SUM(OSRRefH22_12x_0)</f>
        <v>197.2</v>
      </c>
      <c r="I61" s="1"/>
      <c r="J61" s="5">
        <f t="shared" ref="J61:J62" si="45">IF(H$12=0,0,H61/H$12)</f>
        <v>1.3643754108001521E-3</v>
      </c>
      <c r="K61" s="1"/>
      <c r="L61" s="1">
        <f t="shared" ref="L61:L62" si="46">+D61-H61</f>
        <v>-110.74999999999999</v>
      </c>
      <c r="M61" s="1"/>
      <c r="N61" s="5">
        <f t="shared" ref="N61:N62" si="47">IF(H61=0,0,L61/H61)</f>
        <v>-0.56161257606490866</v>
      </c>
      <c r="O61" s="13"/>
      <c r="P61" s="1">
        <f>SUM(OSRRefP22_12x_0)</f>
        <v>1624.83</v>
      </c>
      <c r="Q61" s="1"/>
      <c r="R61" s="5">
        <f t="shared" ref="R61:R62" si="48">IF(P$12=0,0,P61/P$12)</f>
        <v>4.1422904546543817E-3</v>
      </c>
      <c r="S61" s="1"/>
      <c r="T61" s="1">
        <f>SUM(OSRRefT22_12x_0)</f>
        <v>1511.2</v>
      </c>
      <c r="U61" s="1"/>
      <c r="V61" s="5">
        <f t="shared" ref="V61:V62" si="49">IF(T$12=0,0,T61/T$12)</f>
        <v>4.4952108989231958E-3</v>
      </c>
      <c r="W61" s="1"/>
      <c r="X61" s="1">
        <f t="shared" ref="X61:X62" si="50">+P61-T61</f>
        <v>113.62999999999988</v>
      </c>
      <c r="Y61" s="1"/>
      <c r="Z61" s="5">
        <f t="shared" ref="Z61:Z62" si="51">IF(T61=0,0,X61/T61)</f>
        <v>7.5191900476442475E-2</v>
      </c>
    </row>
    <row r="62" spans="1:26" s="24" customFormat="1" hidden="1" outlineLevel="2" x14ac:dyDescent="0.25">
      <c r="A62" s="26"/>
      <c r="B62" s="11" t="str">
        <f>CONCATENATE("          ", "6309", " - ", "TELEPHONE")</f>
        <v xml:space="preserve">          6309 - TELEPHONE</v>
      </c>
      <c r="C62" s="11"/>
      <c r="D62" s="6">
        <v>86.45</v>
      </c>
      <c r="E62" s="2"/>
      <c r="F62" s="7">
        <f t="shared" si="44"/>
        <v>3.8255597840516861E-3</v>
      </c>
      <c r="G62" s="2"/>
      <c r="H62" s="6">
        <v>197.2</v>
      </c>
      <c r="I62" s="2"/>
      <c r="J62" s="7">
        <f t="shared" si="45"/>
        <v>1.3643754108001521E-3</v>
      </c>
      <c r="K62" s="2"/>
      <c r="L62" s="6">
        <f t="shared" si="46"/>
        <v>-110.74999999999999</v>
      </c>
      <c r="M62" s="2"/>
      <c r="N62" s="7">
        <f t="shared" si="47"/>
        <v>-0.56161257606490866</v>
      </c>
      <c r="O62" s="11"/>
      <c r="P62" s="6">
        <v>1624.83</v>
      </c>
      <c r="Q62" s="2"/>
      <c r="R62" s="7">
        <f t="shared" si="48"/>
        <v>4.1422904546543817E-3</v>
      </c>
      <c r="S62" s="2"/>
      <c r="T62" s="6">
        <v>1511.2</v>
      </c>
      <c r="U62" s="2"/>
      <c r="V62" s="7">
        <f t="shared" si="49"/>
        <v>4.4952108989231958E-3</v>
      </c>
      <c r="W62" s="2"/>
      <c r="X62" s="6">
        <f t="shared" si="50"/>
        <v>113.62999999999988</v>
      </c>
      <c r="Y62" s="2"/>
      <c r="Z62" s="7">
        <f t="shared" si="51"/>
        <v>7.5191900476442475E-2</v>
      </c>
    </row>
    <row r="63" spans="1:26" s="52" customFormat="1" x14ac:dyDescent="0.25">
      <c r="A63" s="37"/>
      <c r="B63" s="37"/>
      <c r="C63" s="37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7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collapsed="1" x14ac:dyDescent="0.25">
      <c r="A64" s="10"/>
      <c r="B64" s="28" t="s">
        <v>0</v>
      </c>
      <c r="C64" s="10"/>
      <c r="D64" s="4">
        <f>SUM(OSRRefD25x_0)</f>
        <v>231.48</v>
      </c>
      <c r="E64" s="4"/>
      <c r="F64" s="12">
        <f t="shared" ref="F64:F65" si="52">IF(D$12=0,0,D64/D$12)</f>
        <v>1.0243384370298257E-2</v>
      </c>
      <c r="G64" s="4"/>
      <c r="H64" s="4">
        <f>SUM(OSRRefH25x_0)</f>
        <v>2133.16</v>
      </c>
      <c r="I64" s="4"/>
      <c r="J64" s="12">
        <f t="shared" ref="J64:J65" si="53">IF(H$12=0,0,H64/H$12)</f>
        <v>1.4758778150620955E-2</v>
      </c>
      <c r="K64" s="4"/>
      <c r="L64" s="4">
        <f t="shared" ref="L64:L65" si="54">+D64-H64</f>
        <v>-1901.6799999999998</v>
      </c>
      <c r="M64" s="4"/>
      <c r="N64" s="12">
        <f t="shared" ref="N64:N65" si="55">IF(H64=0,0,L64/H64)</f>
        <v>-0.89148493315081845</v>
      </c>
      <c r="O64" s="10"/>
      <c r="P64" s="4">
        <f>SUM(OSRRefP25x_0)</f>
        <v>1728.68</v>
      </c>
      <c r="Q64" s="4"/>
      <c r="R64" s="12">
        <f t="shared" ref="R64:R65" si="56">IF(P$12=0,0,P64/P$12)</f>
        <v>4.4070423756035629E-3</v>
      </c>
      <c r="S64" s="4"/>
      <c r="T64" s="4">
        <f>SUM(OSRRefT25x_0)</f>
        <v>19344.91</v>
      </c>
      <c r="U64" s="4"/>
      <c r="V64" s="12">
        <f t="shared" ref="V64:V65" si="57">IF(T$12=0,0,T64/T$12)</f>
        <v>5.7543310131477184E-2</v>
      </c>
      <c r="W64" s="4"/>
      <c r="X64" s="4">
        <f t="shared" ref="X64:X65" si="58">+P64-T64</f>
        <v>-17616.23</v>
      </c>
      <c r="Y64" s="4"/>
      <c r="Z64" s="12">
        <f t="shared" ref="Z64:Z65" si="59">IF(T64=0,0,X64/T64)</f>
        <v>-0.91063902597634205</v>
      </c>
    </row>
    <row r="65" spans="1:26" s="24" customFormat="1" hidden="1" outlineLevel="1" x14ac:dyDescent="0.25">
      <c r="A65" s="44"/>
      <c r="B65" s="11" t="str">
        <f>CONCATENATE("          ", "9150", " - ", "MISC. INCOME")</f>
        <v xml:space="preserve">          9150 - MISC. INCOME</v>
      </c>
      <c r="C65" s="11"/>
      <c r="D65" s="2">
        <f>--231.48</f>
        <v>231.48</v>
      </c>
      <c r="E65" s="2"/>
      <c r="F65" s="19">
        <f t="shared" si="52"/>
        <v>1.0243384370298257E-2</v>
      </c>
      <c r="G65" s="2"/>
      <c r="H65" s="2">
        <f>--2133.16</f>
        <v>2133.16</v>
      </c>
      <c r="I65" s="2"/>
      <c r="J65" s="19">
        <f t="shared" si="53"/>
        <v>1.4758778150620955E-2</v>
      </c>
      <c r="K65" s="2"/>
      <c r="L65" s="2">
        <f t="shared" si="54"/>
        <v>-1901.6799999999998</v>
      </c>
      <c r="M65" s="2"/>
      <c r="N65" s="19">
        <f t="shared" si="55"/>
        <v>-0.89148493315081845</v>
      </c>
      <c r="O65" s="11"/>
      <c r="P65" s="2">
        <f>--1728.68</f>
        <v>1728.68</v>
      </c>
      <c r="Q65" s="2"/>
      <c r="R65" s="19">
        <f t="shared" si="56"/>
        <v>4.4070423756035629E-3</v>
      </c>
      <c r="S65" s="2"/>
      <c r="T65" s="2">
        <f>--19344.91</f>
        <v>19344.91</v>
      </c>
      <c r="U65" s="2"/>
      <c r="V65" s="19">
        <f t="shared" si="57"/>
        <v>5.7543310131477184E-2</v>
      </c>
      <c r="W65" s="2"/>
      <c r="X65" s="2">
        <f t="shared" si="58"/>
        <v>-17616.23</v>
      </c>
      <c r="Y65" s="2"/>
      <c r="Z65" s="19">
        <f t="shared" si="59"/>
        <v>-0.91063902597634205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10"/>
      <c r="B67" s="29" t="s">
        <v>3</v>
      </c>
      <c r="C67" s="29"/>
      <c r="D67" s="22">
        <f>+D17-D19+D64</f>
        <v>4995.0099999999984</v>
      </c>
      <c r="E67" s="14"/>
      <c r="F67" s="20">
        <f>IF(D$12=0,0,D67/D$12)</f>
        <v>0.2210377024515443</v>
      </c>
      <c r="G67" s="14"/>
      <c r="H67" s="22">
        <f>+H17-H19+H64</f>
        <v>2053.2799999999952</v>
      </c>
      <c r="I67" s="14"/>
      <c r="J67" s="20">
        <f>IF(H$12=0,0,H67/H$12)</f>
        <v>1.4206109246895183E-2</v>
      </c>
      <c r="K67" s="16"/>
      <c r="L67" s="22">
        <f>+D67-H67</f>
        <v>2941.7300000000032</v>
      </c>
      <c r="M67" s="16"/>
      <c r="N67" s="20">
        <f>IF(H67=0,0,L67/H67)</f>
        <v>1.4326979272188938</v>
      </c>
      <c r="O67" s="28"/>
      <c r="P67" s="22">
        <f>+P17-P19+P64</f>
        <v>67101.919999999984</v>
      </c>
      <c r="Q67" s="14"/>
      <c r="R67" s="20">
        <f>IF(P$12=0,0,P67/P$12)</f>
        <v>0.17106752257465821</v>
      </c>
      <c r="S67" s="14"/>
      <c r="T67" s="22">
        <f>+T17-T19+T64</f>
        <v>19985.920000000009</v>
      </c>
      <c r="U67" s="14"/>
      <c r="V67" s="20">
        <f>IF(T$12=0,0,T67/T$12)</f>
        <v>5.9450056517341927E-2</v>
      </c>
      <c r="W67" s="16"/>
      <c r="X67" s="22">
        <f>+P67-T67</f>
        <v>47115.999999999971</v>
      </c>
      <c r="Y67" s="16"/>
      <c r="Z67" s="20">
        <f>IF(T67=0,0,X67/T67)</f>
        <v>2.3574596515947199</v>
      </c>
    </row>
    <row r="68" spans="1:26" x14ac:dyDescent="0.25">
      <c r="A68" s="9"/>
      <c r="B68" s="10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51"/>
      <c r="B69" s="10" t="s">
        <v>13</v>
      </c>
      <c r="C69" s="10"/>
      <c r="D69" s="4">
        <v>10577.98</v>
      </c>
      <c r="E69" s="4"/>
      <c r="F69" s="12">
        <f>IF(D$12=0,0,D69/D$12)</f>
        <v>0.4680936366050093</v>
      </c>
      <c r="G69" s="4"/>
      <c r="H69" s="4">
        <v>14277.53</v>
      </c>
      <c r="I69" s="4"/>
      <c r="J69" s="12">
        <f>IF(H$12=0,0,H69/H$12)</f>
        <v>9.8782509426782447E-2</v>
      </c>
      <c r="K69" s="4"/>
      <c r="L69" s="4">
        <f>+D69-H69</f>
        <v>-3699.5500000000011</v>
      </c>
      <c r="M69" s="4"/>
      <c r="N69" s="12">
        <f>IF(H69=0,0,L69/H69)</f>
        <v>-0.25911694809956631</v>
      </c>
      <c r="O69" s="10"/>
      <c r="P69" s="4">
        <v>77680.320000000007</v>
      </c>
      <c r="Q69" s="4"/>
      <c r="R69" s="12">
        <f>IF(P$12=0,0,P69/P$12)</f>
        <v>0.19803576254161845</v>
      </c>
      <c r="S69" s="4"/>
      <c r="T69" s="4">
        <v>34263.39</v>
      </c>
      <c r="U69" s="4"/>
      <c r="V69" s="12">
        <f>IF(T$12=0,0,T69/T$12)</f>
        <v>0.10191977512047118</v>
      </c>
      <c r="W69" s="4"/>
      <c r="X69" s="4">
        <f>+P69-T69</f>
        <v>43416.930000000008</v>
      </c>
      <c r="Y69" s="4"/>
      <c r="Z69" s="12">
        <f>IF(T69=0,0,X69/T69)</f>
        <v>1.2671521994758839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9" t="s">
        <v>4</v>
      </c>
      <c r="C71" s="29"/>
      <c r="D71" s="35">
        <f>+D67-D69</f>
        <v>-5582.9700000000012</v>
      </c>
      <c r="E71" s="14"/>
      <c r="F71" s="36">
        <f>IF(D$12=0,0,D71/D$12)</f>
        <v>-0.24705593415346497</v>
      </c>
      <c r="G71" s="14"/>
      <c r="H71" s="35">
        <f>+H67-H69</f>
        <v>-12224.250000000005</v>
      </c>
      <c r="I71" s="14"/>
      <c r="J71" s="36">
        <f>IF(H$12=0,0,H71/H$12)</f>
        <v>-8.4576400179887268E-2</v>
      </c>
      <c r="K71" s="16"/>
      <c r="L71" s="35">
        <f>D71-H71</f>
        <v>6641.2800000000043</v>
      </c>
      <c r="M71" s="16"/>
      <c r="N71" s="36">
        <f>IF(H71=0,0,L71/H71)</f>
        <v>-0.5432873182403829</v>
      </c>
      <c r="O71" s="28"/>
      <c r="P71" s="35">
        <f>+P67-P69</f>
        <v>-10578.400000000023</v>
      </c>
      <c r="Q71" s="14"/>
      <c r="R71" s="36">
        <f>IF(P$12=0,0,P71/P$12)</f>
        <v>-2.6968239966960243E-2</v>
      </c>
      <c r="S71" s="14"/>
      <c r="T71" s="35">
        <f>+T67-T69</f>
        <v>-14277.46999999999</v>
      </c>
      <c r="U71" s="14"/>
      <c r="V71" s="36">
        <f>IF(T$12=0,0,T71/T$12)</f>
        <v>-4.2469718603129245E-2</v>
      </c>
      <c r="W71" s="16"/>
      <c r="X71" s="35">
        <f>P71-T71</f>
        <v>3699.069999999967</v>
      </c>
      <c r="Y71" s="16"/>
      <c r="Z71" s="36">
        <f>IF(T71=0,0,X71/T71)</f>
        <v>-0.25908441761740486</v>
      </c>
    </row>
    <row r="72" spans="1:26" ht="15.75" thickTop="1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9" t="s">
        <v>5</v>
      </c>
      <c r="C74" s="29"/>
      <c r="D74" s="31">
        <f>SUM(D71:D73)</f>
        <v>-5582.9700000000012</v>
      </c>
      <c r="E74" s="14"/>
      <c r="F74" s="33">
        <f>IF(D$12=0,0,D74/D$12)</f>
        <v>-0.24705593415346497</v>
      </c>
      <c r="G74" s="14"/>
      <c r="H74" s="31">
        <f>SUM(H71:H73)</f>
        <v>-12224.250000000005</v>
      </c>
      <c r="I74" s="14"/>
      <c r="J74" s="33">
        <f>IF(H$12=0,0,H74/H$12)</f>
        <v>-8.4576400179887268E-2</v>
      </c>
      <c r="K74" s="16"/>
      <c r="L74" s="31">
        <f>+D74-H74</f>
        <v>6641.2800000000043</v>
      </c>
      <c r="M74" s="16"/>
      <c r="N74" s="33">
        <f>IF(H74=0,0,L74/H74)</f>
        <v>-0.5432873182403829</v>
      </c>
      <c r="O74" s="28"/>
      <c r="P74" s="31">
        <f>SUM(P71:P73)</f>
        <v>-10578.400000000023</v>
      </c>
      <c r="Q74" s="14"/>
      <c r="R74" s="33">
        <f>IF(P$12=0,0,P74/P$12)</f>
        <v>-2.6968239966960243E-2</v>
      </c>
      <c r="S74" s="14"/>
      <c r="T74" s="31">
        <f>SUM(T71:T73)</f>
        <v>-14277.46999999999</v>
      </c>
      <c r="U74" s="14"/>
      <c r="V74" s="33">
        <f>IF(T$12=0,0,T74/T$12)</f>
        <v>-4.2469718603129245E-2</v>
      </c>
      <c r="W74" s="16"/>
      <c r="X74" s="31">
        <f>+P74-T74</f>
        <v>3699.069999999967</v>
      </c>
      <c r="Y74" s="16"/>
      <c r="Z74" s="33">
        <f>IF(T74=0,0,X74/T74)</f>
        <v>-0.25908441761740486</v>
      </c>
    </row>
    <row r="75" spans="1:26" ht="15.75" thickTop="1" x14ac:dyDescent="0.25">
      <c r="A75" s="9"/>
      <c r="C75" s="9"/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25">
      <c r="A76" s="9"/>
      <c r="B76" s="56">
        <v>44267.667986655091</v>
      </c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A77" s="9"/>
      <c r="B77" s="54" t="s">
        <v>313</v>
      </c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8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","501", " - ", "ID Card Services")</f>
        <v>Department 501 - ID Card Services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22598</v>
      </c>
      <c r="E12" s="4"/>
      <c r="F12" s="12"/>
      <c r="G12" s="4"/>
      <c r="H12" s="4">
        <f>SUM(OSRRefH13x_0)</f>
        <v>144535</v>
      </c>
      <c r="I12" s="4"/>
      <c r="J12" s="12"/>
      <c r="K12" s="4"/>
      <c r="L12" s="4">
        <f t="shared" ref="L12:L13" si="0">+D12-H12</f>
        <v>-121937</v>
      </c>
      <c r="M12" s="4"/>
      <c r="N12" s="12">
        <f t="shared" ref="N12:N13" si="1">IF(H12=0,0,L12/H12)</f>
        <v>-0.84365032691043695</v>
      </c>
      <c r="O12" s="10"/>
      <c r="P12" s="4">
        <f>SUM(OSRRefP13x_0)</f>
        <v>392254</v>
      </c>
      <c r="Q12" s="4"/>
      <c r="R12" s="12"/>
      <c r="S12" s="4"/>
      <c r="T12" s="4">
        <f>SUM(OSRRefT13x_0)</f>
        <v>336180</v>
      </c>
      <c r="U12" s="4"/>
      <c r="V12" s="12"/>
      <c r="W12" s="4"/>
      <c r="X12" s="4">
        <f t="shared" ref="X12:X13" si="2">+P12-T12</f>
        <v>56074</v>
      </c>
      <c r="Y12" s="4"/>
      <c r="Z12" s="12">
        <f t="shared" ref="Z12:Z13" si="3">IF(T12=0,0,X12/T12)</f>
        <v>0.1667975489321197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--22598</f>
        <v>22598</v>
      </c>
      <c r="E13" s="2"/>
      <c r="F13" s="19"/>
      <c r="G13" s="2"/>
      <c r="H13" s="2">
        <f>--144535</f>
        <v>144535</v>
      </c>
      <c r="I13" s="2"/>
      <c r="J13" s="19"/>
      <c r="K13" s="2"/>
      <c r="L13" s="2">
        <f t="shared" si="0"/>
        <v>-121937</v>
      </c>
      <c r="M13" s="2"/>
      <c r="N13" s="19">
        <f t="shared" si="1"/>
        <v>-0.84365032691043695</v>
      </c>
      <c r="O13" s="11"/>
      <c r="P13" s="2">
        <f>--392254</f>
        <v>392254</v>
      </c>
      <c r="Q13" s="2"/>
      <c r="R13" s="19"/>
      <c r="S13" s="2"/>
      <c r="T13" s="2">
        <f>--336180</f>
        <v>336180</v>
      </c>
      <c r="U13" s="2"/>
      <c r="V13" s="19"/>
      <c r="W13" s="2"/>
      <c r="X13" s="2">
        <f t="shared" si="2"/>
        <v>56074</v>
      </c>
      <c r="Y13" s="2"/>
      <c r="Z13" s="19">
        <f t="shared" si="3"/>
        <v>0.1667975489321197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2">
        <f>D12-D15</f>
        <v>22598</v>
      </c>
      <c r="E17" s="14"/>
      <c r="F17" s="20">
        <f>IF(D$12=0,0,D17/D$12)</f>
        <v>1</v>
      </c>
      <c r="G17" s="14"/>
      <c r="H17" s="22">
        <f>H12-H15</f>
        <v>144535</v>
      </c>
      <c r="I17" s="14"/>
      <c r="J17" s="20">
        <f>IF(H$12=0,0,H17/H$12)</f>
        <v>1</v>
      </c>
      <c r="K17" s="16"/>
      <c r="L17" s="22">
        <f>+D17-H17</f>
        <v>-121937</v>
      </c>
      <c r="M17" s="16"/>
      <c r="N17" s="20">
        <f>IF(H17=0,0,L17/H17)</f>
        <v>-0.84365032691043695</v>
      </c>
      <c r="O17" s="28"/>
      <c r="P17" s="22">
        <f>P12-P15</f>
        <v>392254</v>
      </c>
      <c r="Q17" s="14"/>
      <c r="R17" s="20">
        <f>IF(P$12=0,0,P17/P$12)</f>
        <v>1</v>
      </c>
      <c r="S17" s="14"/>
      <c r="T17" s="22">
        <f>T12-T15</f>
        <v>336180</v>
      </c>
      <c r="U17" s="14"/>
      <c r="V17" s="20">
        <f>IF(T$12=0,0,T17/T$12)</f>
        <v>1</v>
      </c>
      <c r="W17" s="16"/>
      <c r="X17" s="22">
        <f>+P17-T17</f>
        <v>56074</v>
      </c>
      <c r="Y17" s="16"/>
      <c r="Z17" s="20">
        <f>IF(T17=0,0,X17/T17)</f>
        <v>0.1667975489321197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1">
        <f>SUM(OSRRefD22x_0)</f>
        <v>17834.47</v>
      </c>
      <c r="E19" s="21"/>
      <c r="F19" s="32">
        <f t="shared" ref="F19:F29" si="4">IF(D$12=0,0,D19/D$12)</f>
        <v>0.78920568191875395</v>
      </c>
      <c r="G19" s="21"/>
      <c r="H19" s="21">
        <f>SUM(OSRRefH22x_0)</f>
        <v>144614.88</v>
      </c>
      <c r="I19" s="21"/>
      <c r="J19" s="32">
        <f t="shared" ref="J19:J29" si="5">IF(H$12=0,0,H19/H$12)</f>
        <v>1.0005526689037259</v>
      </c>
      <c r="K19" s="4"/>
      <c r="L19" s="21">
        <f t="shared" ref="L19:L29" si="6">+D19-H19</f>
        <v>-126780.41</v>
      </c>
      <c r="M19" s="4"/>
      <c r="N19" s="32">
        <f t="shared" ref="N19:N29" si="7">IF(H19=0,0,L19/H19)</f>
        <v>-0.87667610691237308</v>
      </c>
      <c r="O19" s="10"/>
      <c r="P19" s="21">
        <f>SUM(OSRRefP22x_0)</f>
        <v>326880.76</v>
      </c>
      <c r="Q19" s="21"/>
      <c r="R19" s="32">
        <f t="shared" ref="R19:R29" si="8">IF(P$12=0,0,P19/P$12)</f>
        <v>0.83333951980094534</v>
      </c>
      <c r="S19" s="21"/>
      <c r="T19" s="21">
        <f>SUM(OSRRefT22x_0)</f>
        <v>335538.99</v>
      </c>
      <c r="U19" s="21"/>
      <c r="V19" s="32">
        <f t="shared" ref="V19:V29" si="9">IF(T$12=0,0,T19/T$12)</f>
        <v>0.99809325361413526</v>
      </c>
      <c r="W19" s="4"/>
      <c r="X19" s="21">
        <f t="shared" ref="X19:X29" si="10">+P19-T19</f>
        <v>-8658.2299999999814</v>
      </c>
      <c r="Y19" s="4"/>
      <c r="Z19" s="32">
        <f t="shared" ref="Z19:Z29" si="11">IF(T19=0,0,X19/T19)</f>
        <v>-2.5803946063019327E-2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3867.33</v>
      </c>
      <c r="E20" s="1"/>
      <c r="F20" s="5">
        <f t="shared" si="4"/>
        <v>0.17113594123373749</v>
      </c>
      <c r="G20" s="1"/>
      <c r="H20" s="1">
        <f>SUM(OSRRefH22_0x_0)</f>
        <v>4077.6500000000005</v>
      </c>
      <c r="I20" s="1"/>
      <c r="J20" s="5">
        <f t="shared" si="5"/>
        <v>2.8212197737572216E-2</v>
      </c>
      <c r="K20" s="1"/>
      <c r="L20" s="1">
        <f t="shared" si="6"/>
        <v>-210.32000000000062</v>
      </c>
      <c r="M20" s="1"/>
      <c r="N20" s="5">
        <f t="shared" si="7"/>
        <v>-5.15787279437913E-2</v>
      </c>
      <c r="O20" s="13"/>
      <c r="P20" s="1">
        <f>SUM(OSRRefP22_0x_0)</f>
        <v>33760.22</v>
      </c>
      <c r="Q20" s="1"/>
      <c r="R20" s="5">
        <f t="shared" si="8"/>
        <v>8.6067242144120898E-2</v>
      </c>
      <c r="S20" s="1"/>
      <c r="T20" s="1">
        <f>SUM(OSRRefT22_0x_0)</f>
        <v>35463.56</v>
      </c>
      <c r="U20" s="1"/>
      <c r="V20" s="5">
        <f t="shared" si="9"/>
        <v>0.10548979713248854</v>
      </c>
      <c r="W20" s="1"/>
      <c r="X20" s="1">
        <f t="shared" si="10"/>
        <v>-1703.3399999999965</v>
      </c>
      <c r="Y20" s="1"/>
      <c r="Z20" s="5">
        <f t="shared" si="11"/>
        <v>-4.8030710960772036E-2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6">
        <v>996.29</v>
      </c>
      <c r="E21" s="2"/>
      <c r="F21" s="7">
        <f t="shared" si="4"/>
        <v>4.4087529869899993E-2</v>
      </c>
      <c r="G21" s="2"/>
      <c r="H21" s="6">
        <v>1001.81</v>
      </c>
      <c r="I21" s="2"/>
      <c r="J21" s="7">
        <f t="shared" si="5"/>
        <v>6.9312623240045659E-3</v>
      </c>
      <c r="K21" s="2"/>
      <c r="L21" s="6">
        <f t="shared" si="6"/>
        <v>-5.5199999999999818</v>
      </c>
      <c r="M21" s="2"/>
      <c r="N21" s="7">
        <f t="shared" si="7"/>
        <v>-5.5100268513989499E-3</v>
      </c>
      <c r="O21" s="11"/>
      <c r="P21" s="6">
        <v>8117.07</v>
      </c>
      <c r="Q21" s="2"/>
      <c r="R21" s="7">
        <f t="shared" si="8"/>
        <v>2.0693402744140277E-2</v>
      </c>
      <c r="S21" s="2"/>
      <c r="T21" s="6">
        <v>8719.5300000000007</v>
      </c>
      <c r="U21" s="2"/>
      <c r="V21" s="7">
        <f t="shared" si="9"/>
        <v>2.5937087274674284E-2</v>
      </c>
      <c r="W21" s="2"/>
      <c r="X21" s="6">
        <f t="shared" si="10"/>
        <v>-602.46000000000095</v>
      </c>
      <c r="Y21" s="2"/>
      <c r="Z21" s="7">
        <f t="shared" si="11"/>
        <v>-6.9093173599953317E-2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6">
        <v>80.06</v>
      </c>
      <c r="E22" s="2"/>
      <c r="F22" s="7">
        <f t="shared" si="4"/>
        <v>3.5427913974688027E-3</v>
      </c>
      <c r="G22" s="2"/>
      <c r="H22" s="6">
        <v>56.69</v>
      </c>
      <c r="I22" s="2"/>
      <c r="J22" s="7">
        <f t="shared" si="5"/>
        <v>3.9222333690801535E-4</v>
      </c>
      <c r="K22" s="2"/>
      <c r="L22" s="6">
        <f t="shared" si="6"/>
        <v>23.370000000000005</v>
      </c>
      <c r="M22" s="2"/>
      <c r="N22" s="7">
        <f t="shared" si="7"/>
        <v>0.41224201799259136</v>
      </c>
      <c r="O22" s="11"/>
      <c r="P22" s="6">
        <v>733.88</v>
      </c>
      <c r="Q22" s="2"/>
      <c r="R22" s="7">
        <f t="shared" si="8"/>
        <v>1.8709305704976878E-3</v>
      </c>
      <c r="S22" s="2"/>
      <c r="T22" s="6">
        <v>394.95</v>
      </c>
      <c r="U22" s="2"/>
      <c r="V22" s="7">
        <f t="shared" si="9"/>
        <v>1.17481706228806E-3</v>
      </c>
      <c r="W22" s="2"/>
      <c r="X22" s="6">
        <f t="shared" si="10"/>
        <v>338.93</v>
      </c>
      <c r="Y22" s="2"/>
      <c r="Z22" s="7">
        <f t="shared" si="11"/>
        <v>0.85815926066590709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6">
        <v>1207.95</v>
      </c>
      <c r="E23" s="2"/>
      <c r="F23" s="7">
        <f t="shared" si="4"/>
        <v>5.3453845473050716E-2</v>
      </c>
      <c r="G23" s="2"/>
      <c r="H23" s="6">
        <v>1298.72</v>
      </c>
      <c r="I23" s="2"/>
      <c r="J23" s="7">
        <f t="shared" si="5"/>
        <v>8.9855052409451002E-3</v>
      </c>
      <c r="K23" s="2"/>
      <c r="L23" s="6">
        <f t="shared" si="6"/>
        <v>-90.769999999999982</v>
      </c>
      <c r="M23" s="2"/>
      <c r="N23" s="7">
        <f t="shared" si="7"/>
        <v>-6.9891893556732768E-2</v>
      </c>
      <c r="O23" s="11"/>
      <c r="P23" s="6">
        <v>9818.9</v>
      </c>
      <c r="Q23" s="2"/>
      <c r="R23" s="7">
        <f t="shared" si="8"/>
        <v>2.5031994574943785E-2</v>
      </c>
      <c r="S23" s="2"/>
      <c r="T23" s="6">
        <v>10057.299999999999</v>
      </c>
      <c r="U23" s="2"/>
      <c r="V23" s="7">
        <f t="shared" si="9"/>
        <v>2.9916413825926583E-2</v>
      </c>
      <c r="W23" s="2"/>
      <c r="X23" s="6">
        <f t="shared" si="10"/>
        <v>-238.39999999999964</v>
      </c>
      <c r="Y23" s="2"/>
      <c r="Z23" s="7">
        <f t="shared" si="11"/>
        <v>-2.3704175076809844E-2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6">
        <v>35.479999999999997</v>
      </c>
      <c r="E24" s="2"/>
      <c r="F24" s="7">
        <f t="shared" si="4"/>
        <v>1.5700504469422071E-3</v>
      </c>
      <c r="G24" s="2"/>
      <c r="H24" s="6">
        <v>43.38</v>
      </c>
      <c r="I24" s="2"/>
      <c r="J24" s="7">
        <f t="shared" si="5"/>
        <v>3.001349154184108E-4</v>
      </c>
      <c r="K24" s="2"/>
      <c r="L24" s="6">
        <f t="shared" si="6"/>
        <v>-7.9000000000000057</v>
      </c>
      <c r="M24" s="2"/>
      <c r="N24" s="7">
        <f t="shared" si="7"/>
        <v>-0.18211157215306606</v>
      </c>
      <c r="O24" s="11"/>
      <c r="P24" s="6">
        <v>320.04000000000002</v>
      </c>
      <c r="Q24" s="2"/>
      <c r="R24" s="7">
        <f t="shared" si="8"/>
        <v>8.1589990159437514E-4</v>
      </c>
      <c r="S24" s="2"/>
      <c r="T24" s="6">
        <v>371.34</v>
      </c>
      <c r="U24" s="2"/>
      <c r="V24" s="7">
        <f t="shared" si="9"/>
        <v>1.1045868284847403E-3</v>
      </c>
      <c r="W24" s="2"/>
      <c r="X24" s="6">
        <f t="shared" si="10"/>
        <v>-51.299999999999955</v>
      </c>
      <c r="Y24" s="2"/>
      <c r="Z24" s="7">
        <f t="shared" si="11"/>
        <v>-0.13814832767813853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6">
        <v>640.35</v>
      </c>
      <c r="E25" s="2"/>
      <c r="F25" s="7">
        <f t="shared" si="4"/>
        <v>2.8336578458270645E-2</v>
      </c>
      <c r="G25" s="2"/>
      <c r="H25" s="6">
        <v>639.47</v>
      </c>
      <c r="I25" s="2"/>
      <c r="J25" s="7">
        <f t="shared" si="5"/>
        <v>4.4243262877503723E-3</v>
      </c>
      <c r="K25" s="2"/>
      <c r="L25" s="6">
        <f t="shared" si="6"/>
        <v>0.87999999999999545</v>
      </c>
      <c r="M25" s="2"/>
      <c r="N25" s="7">
        <f t="shared" si="7"/>
        <v>1.3761396156191776E-3</v>
      </c>
      <c r="O25" s="11"/>
      <c r="P25" s="6">
        <v>6420.58</v>
      </c>
      <c r="Q25" s="2"/>
      <c r="R25" s="7">
        <f t="shared" si="8"/>
        <v>1.6368424541241135E-2</v>
      </c>
      <c r="S25" s="2"/>
      <c r="T25" s="6">
        <v>6205.92</v>
      </c>
      <c r="U25" s="2"/>
      <c r="V25" s="7">
        <f t="shared" si="9"/>
        <v>1.8460110655006245E-2</v>
      </c>
      <c r="W25" s="2"/>
      <c r="X25" s="6">
        <f t="shared" si="10"/>
        <v>214.65999999999985</v>
      </c>
      <c r="Y25" s="2"/>
      <c r="Z25" s="7">
        <f t="shared" si="11"/>
        <v>3.4589553200814679E-2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6">
        <v>87.92</v>
      </c>
      <c r="E26" s="2"/>
      <c r="F26" s="7">
        <f t="shared" si="4"/>
        <v>3.8906097884768565E-3</v>
      </c>
      <c r="G26" s="2"/>
      <c r="H26" s="6"/>
      <c r="I26" s="2"/>
      <c r="J26" s="7">
        <f t="shared" si="5"/>
        <v>0</v>
      </c>
      <c r="K26" s="2"/>
      <c r="L26" s="6">
        <f t="shared" si="6"/>
        <v>87.92</v>
      </c>
      <c r="M26" s="2"/>
      <c r="N26" s="7">
        <f t="shared" si="7"/>
        <v>0</v>
      </c>
      <c r="O26" s="11"/>
      <c r="P26" s="6">
        <v>697.86</v>
      </c>
      <c r="Q26" s="2"/>
      <c r="R26" s="7">
        <f t="shared" si="8"/>
        <v>1.7791023163562386E-3</v>
      </c>
      <c r="S26" s="2"/>
      <c r="T26" s="6"/>
      <c r="U26" s="2"/>
      <c r="V26" s="7">
        <f t="shared" si="9"/>
        <v>0</v>
      </c>
      <c r="W26" s="2"/>
      <c r="X26" s="6">
        <f t="shared" si="10"/>
        <v>697.86</v>
      </c>
      <c r="Y26" s="2"/>
      <c r="Z26" s="7">
        <f t="shared" si="11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6">
        <v>520.02</v>
      </c>
      <c r="E27" s="2"/>
      <c r="F27" s="7">
        <f t="shared" si="4"/>
        <v>2.3011770953181698E-2</v>
      </c>
      <c r="G27" s="2"/>
      <c r="H27" s="6">
        <v>577.95000000000005</v>
      </c>
      <c r="I27" s="2"/>
      <c r="J27" s="7">
        <f t="shared" si="5"/>
        <v>3.9986854395129209E-3</v>
      </c>
      <c r="K27" s="2"/>
      <c r="L27" s="6">
        <f t="shared" si="6"/>
        <v>-57.930000000000064</v>
      </c>
      <c r="M27" s="2"/>
      <c r="N27" s="7">
        <f t="shared" si="7"/>
        <v>-0.10023358422008835</v>
      </c>
      <c r="O27" s="11"/>
      <c r="P27" s="6">
        <v>4420.17</v>
      </c>
      <c r="Q27" s="2"/>
      <c r="R27" s="7">
        <f t="shared" si="8"/>
        <v>1.1268642257312864E-2</v>
      </c>
      <c r="S27" s="2"/>
      <c r="T27" s="6">
        <v>5648.78</v>
      </c>
      <c r="U27" s="2"/>
      <c r="V27" s="7">
        <f t="shared" si="9"/>
        <v>1.6802843714676659E-2</v>
      </c>
      <c r="W27" s="2"/>
      <c r="X27" s="6">
        <f t="shared" si="10"/>
        <v>-1228.6099999999997</v>
      </c>
      <c r="Y27" s="2"/>
      <c r="Z27" s="7">
        <f t="shared" si="11"/>
        <v>-0.21750006196028165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6">
        <v>299.26</v>
      </c>
      <c r="E28" s="2"/>
      <c r="F28" s="7">
        <f t="shared" si="4"/>
        <v>1.3242764846446587E-2</v>
      </c>
      <c r="G28" s="2"/>
      <c r="H28" s="6">
        <v>288.58</v>
      </c>
      <c r="I28" s="2"/>
      <c r="J28" s="7">
        <f t="shared" si="5"/>
        <v>1.9966098176912167E-3</v>
      </c>
      <c r="K28" s="2"/>
      <c r="L28" s="6">
        <f t="shared" si="6"/>
        <v>10.680000000000007</v>
      </c>
      <c r="M28" s="2"/>
      <c r="N28" s="7">
        <f t="shared" si="7"/>
        <v>3.7008801718760857E-2</v>
      </c>
      <c r="O28" s="11"/>
      <c r="P28" s="6">
        <v>2543.7199999999998</v>
      </c>
      <c r="Q28" s="2"/>
      <c r="R28" s="7">
        <f t="shared" si="8"/>
        <v>6.4848796952994741E-3</v>
      </c>
      <c r="S28" s="2"/>
      <c r="T28" s="6">
        <v>2842.86</v>
      </c>
      <c r="U28" s="2"/>
      <c r="V28" s="7">
        <f t="shared" si="9"/>
        <v>8.4563626628591827E-3</v>
      </c>
      <c r="W28" s="2"/>
      <c r="X28" s="6">
        <f t="shared" si="10"/>
        <v>-299.14000000000033</v>
      </c>
      <c r="Y28" s="2"/>
      <c r="Z28" s="7">
        <f t="shared" si="11"/>
        <v>-0.105225019874352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6"/>
      <c r="E29" s="2"/>
      <c r="F29" s="7">
        <f t="shared" si="4"/>
        <v>0</v>
      </c>
      <c r="G29" s="2"/>
      <c r="H29" s="6">
        <v>171.05</v>
      </c>
      <c r="I29" s="2"/>
      <c r="J29" s="7">
        <f t="shared" si="5"/>
        <v>1.1834503753416128E-3</v>
      </c>
      <c r="K29" s="2"/>
      <c r="L29" s="6">
        <f t="shared" si="6"/>
        <v>-171.05</v>
      </c>
      <c r="M29" s="2"/>
      <c r="N29" s="7">
        <f t="shared" si="7"/>
        <v>-1</v>
      </c>
      <c r="O29" s="11"/>
      <c r="P29" s="6">
        <v>688</v>
      </c>
      <c r="Q29" s="2"/>
      <c r="R29" s="7">
        <f t="shared" si="8"/>
        <v>1.7539655427350645E-3</v>
      </c>
      <c r="S29" s="2"/>
      <c r="T29" s="6">
        <v>1222.8800000000001</v>
      </c>
      <c r="U29" s="2"/>
      <c r="V29" s="7">
        <f t="shared" si="9"/>
        <v>3.6375751085727889E-3</v>
      </c>
      <c r="W29" s="2"/>
      <c r="X29" s="6">
        <f t="shared" si="10"/>
        <v>-534.88000000000011</v>
      </c>
      <c r="Y29" s="2"/>
      <c r="Z29" s="7">
        <f t="shared" si="11"/>
        <v>-0.43739369357582109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13003.130000000001</v>
      </c>
      <c r="E30" s="1"/>
      <c r="F30" s="5">
        <f t="shared" ref="F30:F35" si="12">IF(D$12=0,0,D30/D$12)</f>
        <v>0.57541065581024875</v>
      </c>
      <c r="G30" s="1"/>
      <c r="H30" s="1">
        <f>SUM(OSRRefH22_1x_0)</f>
        <v>15402.619999999999</v>
      </c>
      <c r="I30" s="1"/>
      <c r="J30" s="5">
        <f t="shared" ref="J30:J35" si="13">IF(H$12=0,0,H30/H$12)</f>
        <v>0.10656671394471927</v>
      </c>
      <c r="K30" s="1"/>
      <c r="L30" s="1">
        <f t="shared" ref="L30:L35" si="14">+D30-H30</f>
        <v>-2399.489999999998</v>
      </c>
      <c r="M30" s="1"/>
      <c r="N30" s="5">
        <f t="shared" ref="N30:N35" si="15">IF(H30=0,0,L30/H30)</f>
        <v>-0.15578453535827008</v>
      </c>
      <c r="O30" s="13"/>
      <c r="P30" s="1">
        <f>SUM(OSRRefP22_1x_0)</f>
        <v>115180.55</v>
      </c>
      <c r="Q30" s="1"/>
      <c r="R30" s="5">
        <f t="shared" ref="R30:R35" si="16">IF(P$12=0,0,P30/P$12)</f>
        <v>0.29363766844952505</v>
      </c>
      <c r="S30" s="1"/>
      <c r="T30" s="1">
        <f>SUM(OSRRefT22_1x_0)</f>
        <v>134696.46</v>
      </c>
      <c r="U30" s="1"/>
      <c r="V30" s="5">
        <f t="shared" ref="V30:V35" si="17">IF(T$12=0,0,T30/T$12)</f>
        <v>0.40066767802962694</v>
      </c>
      <c r="W30" s="1"/>
      <c r="X30" s="1">
        <f t="shared" ref="X30:X35" si="18">+P30-T30</f>
        <v>-19515.909999999989</v>
      </c>
      <c r="Y30" s="1"/>
      <c r="Z30" s="5">
        <f t="shared" ref="Z30:Z35" si="19">IF(T30=0,0,X30/T30)</f>
        <v>-0.14488806907026355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6">
        <v>4205.72</v>
      </c>
      <c r="E31" s="2"/>
      <c r="F31" s="7">
        <f t="shared" si="12"/>
        <v>0.18611027524559698</v>
      </c>
      <c r="G31" s="2"/>
      <c r="H31" s="6"/>
      <c r="I31" s="2"/>
      <c r="J31" s="7">
        <f t="shared" si="13"/>
        <v>0</v>
      </c>
      <c r="K31" s="2"/>
      <c r="L31" s="6">
        <f t="shared" si="14"/>
        <v>4205.72</v>
      </c>
      <c r="M31" s="2"/>
      <c r="N31" s="7">
        <f t="shared" si="15"/>
        <v>0</v>
      </c>
      <c r="O31" s="11"/>
      <c r="P31" s="6">
        <v>35118.33</v>
      </c>
      <c r="Q31" s="2"/>
      <c r="R31" s="7">
        <f t="shared" si="16"/>
        <v>8.9529565026742877E-2</v>
      </c>
      <c r="S31" s="2"/>
      <c r="T31" s="6"/>
      <c r="U31" s="2"/>
      <c r="V31" s="7">
        <f t="shared" si="17"/>
        <v>0</v>
      </c>
      <c r="W31" s="2"/>
      <c r="X31" s="6">
        <f t="shared" si="18"/>
        <v>35118.33</v>
      </c>
      <c r="Y31" s="2"/>
      <c r="Z31" s="7">
        <f t="shared" si="19"/>
        <v>0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6">
        <v>2282.3000000000002</v>
      </c>
      <c r="E32" s="2"/>
      <c r="F32" s="7">
        <f t="shared" si="12"/>
        <v>0.10099566333303833</v>
      </c>
      <c r="G32" s="2"/>
      <c r="H32" s="6">
        <v>5804.8</v>
      </c>
      <c r="I32" s="2"/>
      <c r="J32" s="7">
        <f t="shared" si="13"/>
        <v>4.0161898502092917E-2</v>
      </c>
      <c r="K32" s="2"/>
      <c r="L32" s="6">
        <f t="shared" si="14"/>
        <v>-3522.5</v>
      </c>
      <c r="M32" s="2"/>
      <c r="N32" s="7">
        <f t="shared" si="15"/>
        <v>-0.60682538588754131</v>
      </c>
      <c r="O32" s="11"/>
      <c r="P32" s="6">
        <v>18829.390000000003</v>
      </c>
      <c r="Q32" s="2"/>
      <c r="R32" s="7">
        <f t="shared" si="16"/>
        <v>4.8003054143488669E-2</v>
      </c>
      <c r="S32" s="2"/>
      <c r="T32" s="6">
        <v>47186.67</v>
      </c>
      <c r="U32" s="2"/>
      <c r="V32" s="7">
        <f t="shared" si="17"/>
        <v>0.14036132429055861</v>
      </c>
      <c r="W32" s="2"/>
      <c r="X32" s="6">
        <f t="shared" si="18"/>
        <v>-28357.279999999995</v>
      </c>
      <c r="Y32" s="2"/>
      <c r="Z32" s="7">
        <f t="shared" si="19"/>
        <v>-0.60095955065275841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6">
        <v>6611.59</v>
      </c>
      <c r="E33" s="2"/>
      <c r="F33" s="7">
        <f t="shared" si="12"/>
        <v>0.29257412160368174</v>
      </c>
      <c r="G33" s="2"/>
      <c r="H33" s="6">
        <v>7346.41</v>
      </c>
      <c r="I33" s="2"/>
      <c r="J33" s="7">
        <f t="shared" si="13"/>
        <v>5.08278963572837E-2</v>
      </c>
      <c r="K33" s="2"/>
      <c r="L33" s="6">
        <f t="shared" si="14"/>
        <v>-734.81999999999971</v>
      </c>
      <c r="M33" s="2"/>
      <c r="N33" s="7">
        <f t="shared" si="15"/>
        <v>-0.10002436564253829</v>
      </c>
      <c r="O33" s="11"/>
      <c r="P33" s="6">
        <v>51774.17</v>
      </c>
      <c r="Q33" s="2"/>
      <c r="R33" s="7">
        <f t="shared" si="16"/>
        <v>0.13199143922050507</v>
      </c>
      <c r="S33" s="2"/>
      <c r="T33" s="6">
        <v>58441.049999999996</v>
      </c>
      <c r="U33" s="2"/>
      <c r="V33" s="7">
        <f t="shared" si="17"/>
        <v>0.17383856862395144</v>
      </c>
      <c r="W33" s="2"/>
      <c r="X33" s="6">
        <f t="shared" si="18"/>
        <v>-6666.8799999999974</v>
      </c>
      <c r="Y33" s="2"/>
      <c r="Z33" s="7">
        <f t="shared" si="19"/>
        <v>-0.11407871692928169</v>
      </c>
    </row>
    <row r="34" spans="1:26" s="24" customFormat="1" hidden="1" outlineLevel="2" x14ac:dyDescent="0.25">
      <c r="A34" s="26"/>
      <c r="B34" s="11" t="str">
        <f>CONCATENATE("          ", "6007", " - ", "STUDENT HOURLY")</f>
        <v xml:space="preserve">          6007 - STUDENT HOURLY</v>
      </c>
      <c r="C34" s="11"/>
      <c r="D34" s="6">
        <v>-645</v>
      </c>
      <c r="E34" s="2"/>
      <c r="F34" s="7">
        <f t="shared" si="12"/>
        <v>-2.8542348880431896E-2</v>
      </c>
      <c r="G34" s="2"/>
      <c r="H34" s="6">
        <v>1575</v>
      </c>
      <c r="I34" s="2"/>
      <c r="J34" s="7">
        <f t="shared" si="13"/>
        <v>1.0897014563946449E-2</v>
      </c>
      <c r="K34" s="2"/>
      <c r="L34" s="6">
        <f t="shared" si="14"/>
        <v>-2220</v>
      </c>
      <c r="M34" s="2"/>
      <c r="N34" s="7">
        <f t="shared" si="15"/>
        <v>-1.4095238095238096</v>
      </c>
      <c r="O34" s="11"/>
      <c r="P34" s="6">
        <v>5546.78</v>
      </c>
      <c r="Q34" s="2"/>
      <c r="R34" s="7">
        <f t="shared" si="16"/>
        <v>1.4140786327226745E-2</v>
      </c>
      <c r="S34" s="2"/>
      <c r="T34" s="6">
        <v>24194.5</v>
      </c>
      <c r="U34" s="2"/>
      <c r="V34" s="7">
        <f t="shared" si="17"/>
        <v>7.1968885715985489E-2</v>
      </c>
      <c r="W34" s="2"/>
      <c r="X34" s="6">
        <f t="shared" si="18"/>
        <v>-18647.72</v>
      </c>
      <c r="Y34" s="2"/>
      <c r="Z34" s="7">
        <f t="shared" si="19"/>
        <v>-0.77074211081030819</v>
      </c>
    </row>
    <row r="35" spans="1:26" s="24" customFormat="1" hidden="1" outlineLevel="2" x14ac:dyDescent="0.25">
      <c r="A35" s="26"/>
      <c r="B35" s="11" t="str">
        <f>CONCATENATE("          ", "6008", " - ", "STUDENT HOURLY-FICA EXEMPT")</f>
        <v xml:space="preserve">          6008 - STUDENT HOURLY-FICA EXEMPT</v>
      </c>
      <c r="C35" s="11"/>
      <c r="D35" s="6">
        <v>548.52</v>
      </c>
      <c r="E35" s="2"/>
      <c r="F35" s="7">
        <f t="shared" si="12"/>
        <v>2.4272944508363571E-2</v>
      </c>
      <c r="G35" s="2"/>
      <c r="H35" s="6">
        <v>676.41</v>
      </c>
      <c r="I35" s="2"/>
      <c r="J35" s="7">
        <f t="shared" si="13"/>
        <v>4.6799045213962017E-3</v>
      </c>
      <c r="K35" s="2"/>
      <c r="L35" s="6">
        <f t="shared" si="14"/>
        <v>-127.88999999999999</v>
      </c>
      <c r="M35" s="2"/>
      <c r="N35" s="7">
        <f t="shared" si="15"/>
        <v>-0.18907171685811858</v>
      </c>
      <c r="O35" s="11"/>
      <c r="P35" s="6">
        <v>3911.88</v>
      </c>
      <c r="Q35" s="2"/>
      <c r="R35" s="7">
        <f t="shared" si="16"/>
        <v>9.9728237315616919E-3</v>
      </c>
      <c r="S35" s="2"/>
      <c r="T35" s="6">
        <v>4874.24</v>
      </c>
      <c r="U35" s="2"/>
      <c r="V35" s="7">
        <f t="shared" si="17"/>
        <v>1.4498899399131416E-2</v>
      </c>
      <c r="W35" s="2"/>
      <c r="X35" s="6">
        <f t="shared" si="18"/>
        <v>-962.35999999999967</v>
      </c>
      <c r="Y35" s="2"/>
      <c r="Z35" s="7">
        <f t="shared" si="19"/>
        <v>-0.19743795955882348</v>
      </c>
    </row>
    <row r="36" spans="1:26" s="25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48.34</v>
      </c>
      <c r="I36" s="1"/>
      <c r="J36" s="5">
        <f t="shared" ref="J36:J44" si="21">IF(H$12=0,0,H36/H$12)</f>
        <v>3.3445186287058503E-4</v>
      </c>
      <c r="K36" s="1"/>
      <c r="L36" s="1">
        <f t="shared" ref="L36:L44" si="22">+D36-H36</f>
        <v>-48.34</v>
      </c>
      <c r="M36" s="1"/>
      <c r="N36" s="5">
        <f t="shared" ref="N36:N44" si="23">IF(H36=0,0,L36/H36)</f>
        <v>-1</v>
      </c>
      <c r="O36" s="13"/>
      <c r="P36" s="1">
        <f>SUM(OSRRefP22_2x_0)</f>
        <v>0</v>
      </c>
      <c r="Q36" s="1"/>
      <c r="R36" s="5">
        <f t="shared" ref="R36:R44" si="24">IF(P$12=0,0,P36/P$12)</f>
        <v>0</v>
      </c>
      <c r="S36" s="1"/>
      <c r="T36" s="1">
        <f>SUM(OSRRefT22_2x_0)</f>
        <v>155.11000000000001</v>
      </c>
      <c r="U36" s="1"/>
      <c r="V36" s="5">
        <f t="shared" ref="V36:V44" si="25">IF(T$12=0,0,T36/T$12)</f>
        <v>4.6138973169135587E-4</v>
      </c>
      <c r="W36" s="1"/>
      <c r="X36" s="1">
        <f t="shared" ref="X36:X44" si="26">+P36-T36</f>
        <v>-155.11000000000001</v>
      </c>
      <c r="Y36" s="1"/>
      <c r="Z36" s="5">
        <f t="shared" ref="Z36:Z44" si="27">IF(T36=0,0,X36/T36)</f>
        <v>-1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20"/>
        <v>0</v>
      </c>
      <c r="G37" s="2"/>
      <c r="H37" s="6">
        <v>48.34</v>
      </c>
      <c r="I37" s="2"/>
      <c r="J37" s="7">
        <f t="shared" si="21"/>
        <v>3.3445186287058503E-4</v>
      </c>
      <c r="K37" s="2"/>
      <c r="L37" s="6">
        <f t="shared" si="22"/>
        <v>-48.34</v>
      </c>
      <c r="M37" s="2"/>
      <c r="N37" s="7">
        <f t="shared" si="23"/>
        <v>-1</v>
      </c>
      <c r="O37" s="11"/>
      <c r="P37" s="6"/>
      <c r="Q37" s="2"/>
      <c r="R37" s="7">
        <f t="shared" si="24"/>
        <v>0</v>
      </c>
      <c r="S37" s="2"/>
      <c r="T37" s="6">
        <v>155.11000000000001</v>
      </c>
      <c r="U37" s="2"/>
      <c r="V37" s="7">
        <f t="shared" si="25"/>
        <v>4.6138973169135587E-4</v>
      </c>
      <c r="W37" s="2"/>
      <c r="X37" s="6">
        <f t="shared" si="26"/>
        <v>-155.11000000000001</v>
      </c>
      <c r="Y37" s="2"/>
      <c r="Z37" s="7">
        <f t="shared" si="27"/>
        <v>-1</v>
      </c>
    </row>
    <row r="38" spans="1:26" s="25" customFormat="1" outlineLevel="1" collapsed="1" x14ac:dyDescent="0.25">
      <c r="A38" s="27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37</v>
      </c>
      <c r="E38" s="1"/>
      <c r="F38" s="5">
        <f t="shared" si="20"/>
        <v>1.6373130365519072E-3</v>
      </c>
      <c r="G38" s="1"/>
      <c r="H38" s="1">
        <f>SUM(OSRRefH22_3x_0)</f>
        <v>2337.6999999999998</v>
      </c>
      <c r="I38" s="1"/>
      <c r="J38" s="5">
        <f t="shared" si="21"/>
        <v>1.61739371086588E-2</v>
      </c>
      <c r="K38" s="1"/>
      <c r="L38" s="1">
        <f t="shared" si="22"/>
        <v>-2300.6999999999998</v>
      </c>
      <c r="M38" s="1"/>
      <c r="N38" s="5">
        <f t="shared" si="23"/>
        <v>-0.98417247722120027</v>
      </c>
      <c r="O38" s="13"/>
      <c r="P38" s="1">
        <f>SUM(OSRRefP22_3x_0)</f>
        <v>707.89</v>
      </c>
      <c r="Q38" s="1"/>
      <c r="R38" s="5">
        <f t="shared" si="24"/>
        <v>1.8046724826260535E-3</v>
      </c>
      <c r="S38" s="1"/>
      <c r="T38" s="1">
        <f>SUM(OSRRefT22_3x_0)</f>
        <v>16617.329999999998</v>
      </c>
      <c r="U38" s="1"/>
      <c r="V38" s="5">
        <f t="shared" si="25"/>
        <v>4.9429859004104938E-2</v>
      </c>
      <c r="W38" s="1"/>
      <c r="X38" s="1">
        <f t="shared" si="26"/>
        <v>-15909.439999999999</v>
      </c>
      <c r="Y38" s="1"/>
      <c r="Z38" s="5">
        <f t="shared" si="27"/>
        <v>-0.95740049695107465</v>
      </c>
    </row>
    <row r="39" spans="1:26" s="24" customFormat="1" hidden="1" outlineLevel="2" x14ac:dyDescent="0.25">
      <c r="A39" s="26"/>
      <c r="B39" s="11" t="str">
        <f>CONCATENATE("          ", "6381", " - ", "BANK/CREDIT CARD FEES")</f>
        <v xml:space="preserve">          6381 - BANK/CREDIT CARD FEES</v>
      </c>
      <c r="C39" s="11"/>
      <c r="D39" s="6">
        <v>37</v>
      </c>
      <c r="E39" s="2"/>
      <c r="F39" s="7">
        <f t="shared" si="20"/>
        <v>1.6373130365519072E-3</v>
      </c>
      <c r="G39" s="2"/>
      <c r="H39" s="6">
        <v>2337.6999999999998</v>
      </c>
      <c r="I39" s="2"/>
      <c r="J39" s="7">
        <f t="shared" si="21"/>
        <v>1.61739371086588E-2</v>
      </c>
      <c r="K39" s="2"/>
      <c r="L39" s="6">
        <f t="shared" si="22"/>
        <v>-2300.6999999999998</v>
      </c>
      <c r="M39" s="2"/>
      <c r="N39" s="7">
        <f t="shared" si="23"/>
        <v>-0.98417247722120027</v>
      </c>
      <c r="O39" s="11"/>
      <c r="P39" s="6">
        <v>707.89</v>
      </c>
      <c r="Q39" s="2"/>
      <c r="R39" s="7">
        <f t="shared" si="24"/>
        <v>1.8046724826260535E-3</v>
      </c>
      <c r="S39" s="2"/>
      <c r="T39" s="6">
        <v>16617.329999999998</v>
      </c>
      <c r="U39" s="2"/>
      <c r="V39" s="7">
        <f t="shared" si="25"/>
        <v>4.9429859004104938E-2</v>
      </c>
      <c r="W39" s="2"/>
      <c r="X39" s="6">
        <f t="shared" si="26"/>
        <v>-15909.439999999999</v>
      </c>
      <c r="Y39" s="2"/>
      <c r="Z39" s="7">
        <f t="shared" si="27"/>
        <v>-0.95740049695107465</v>
      </c>
    </row>
    <row r="40" spans="1:26" s="25" customFormat="1" outlineLevel="1" collapsed="1" x14ac:dyDescent="0.25">
      <c r="A40" s="27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3"/>
      <c r="P40" s="1">
        <f>SUM(OSRRefP22_4x_0)</f>
        <v>0</v>
      </c>
      <c r="Q40" s="1"/>
      <c r="R40" s="5">
        <f t="shared" si="24"/>
        <v>0</v>
      </c>
      <c r="S40" s="1"/>
      <c r="T40" s="1">
        <f>SUM(OSRRefT22_4x_0)</f>
        <v>64.239999999999995</v>
      </c>
      <c r="U40" s="1"/>
      <c r="V40" s="5">
        <f t="shared" si="25"/>
        <v>1.9108810756142541E-4</v>
      </c>
      <c r="W40" s="1"/>
      <c r="X40" s="1">
        <f t="shared" si="26"/>
        <v>-64.239999999999995</v>
      </c>
      <c r="Y40" s="1"/>
      <c r="Z40" s="5">
        <f t="shared" si="27"/>
        <v>-1</v>
      </c>
    </row>
    <row r="41" spans="1:26" s="24" customFormat="1" hidden="1" outlineLevel="2" x14ac:dyDescent="0.25">
      <c r="A41" s="26"/>
      <c r="B41" s="11" t="str">
        <f>CONCATENATE("          ", "6277", " - ", "EMPLOYEE APPRECIATION")</f>
        <v xml:space="preserve">          6277 - EMPLOYEE APPRECIATION</v>
      </c>
      <c r="C41" s="11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64.239999999999995</v>
      </c>
      <c r="U41" s="2"/>
      <c r="V41" s="7">
        <f t="shared" si="25"/>
        <v>1.9108810756142541E-4</v>
      </c>
      <c r="W41" s="2"/>
      <c r="X41" s="6">
        <f t="shared" si="26"/>
        <v>-64.239999999999995</v>
      </c>
      <c r="Y41" s="2"/>
      <c r="Z41" s="7">
        <f t="shared" si="27"/>
        <v>-1</v>
      </c>
    </row>
    <row r="42" spans="1:26" s="25" customFormat="1" outlineLevel="1" collapsed="1" x14ac:dyDescent="0.25">
      <c r="A42" s="27"/>
      <c r="B42" s="13" t="str">
        <f>CONCATENATE("     ","Freight out/Postage                               ")</f>
        <v xml:space="preserve">     Freight out/Postage                               </v>
      </c>
      <c r="C42" s="13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3"/>
      <c r="P42" s="1">
        <f>SUM(OSRRefP22_5x_0)</f>
        <v>2.12</v>
      </c>
      <c r="Q42" s="1"/>
      <c r="R42" s="5">
        <f t="shared" si="24"/>
        <v>5.4046612654045596E-6</v>
      </c>
      <c r="S42" s="1"/>
      <c r="T42" s="1">
        <f>SUM(OSRRefT22_5x_0)</f>
        <v>0</v>
      </c>
      <c r="U42" s="1"/>
      <c r="V42" s="5">
        <f t="shared" si="25"/>
        <v>0</v>
      </c>
      <c r="W42" s="1"/>
      <c r="X42" s="1">
        <f t="shared" si="26"/>
        <v>2.12</v>
      </c>
      <c r="Y42" s="1"/>
      <c r="Z42" s="5">
        <f t="shared" si="27"/>
        <v>0</v>
      </c>
    </row>
    <row r="43" spans="1:26" s="24" customFormat="1" hidden="1" outlineLevel="2" x14ac:dyDescent="0.25">
      <c r="A43" s="26"/>
      <c r="B43" s="11" t="str">
        <f>CONCATENATE("          ", "6305", " - ", "FREIGHT OUT")</f>
        <v xml:space="preserve">          6305 - FREIGHT OUT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>
        <v>1.62</v>
      </c>
      <c r="Q43" s="2"/>
      <c r="R43" s="7">
        <f t="shared" si="24"/>
        <v>4.129977004695937E-6</v>
      </c>
      <c r="S43" s="2"/>
      <c r="T43" s="6"/>
      <c r="U43" s="2"/>
      <c r="V43" s="7">
        <f t="shared" si="25"/>
        <v>0</v>
      </c>
      <c r="W43" s="2"/>
      <c r="X43" s="6">
        <f t="shared" si="26"/>
        <v>1.62</v>
      </c>
      <c r="Y43" s="2"/>
      <c r="Z43" s="7">
        <f t="shared" si="27"/>
        <v>0</v>
      </c>
    </row>
    <row r="44" spans="1:26" s="24" customFormat="1" hidden="1" outlineLevel="2" x14ac:dyDescent="0.25">
      <c r="A44" s="26"/>
      <c r="B44" s="11" t="str">
        <f>CONCATENATE("          ", "6307", " - ", "POSTAGE")</f>
        <v xml:space="preserve">          6307 - POSTAGE</v>
      </c>
      <c r="C44" s="11"/>
      <c r="D44" s="6"/>
      <c r="E44" s="2"/>
      <c r="F44" s="7">
        <f t="shared" si="20"/>
        <v>0</v>
      </c>
      <c r="G44" s="2"/>
      <c r="H44" s="6"/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>
        <v>0.5</v>
      </c>
      <c r="Q44" s="2"/>
      <c r="R44" s="7">
        <f t="shared" si="24"/>
        <v>1.2746842607086224E-6</v>
      </c>
      <c r="S44" s="2"/>
      <c r="T44" s="6"/>
      <c r="U44" s="2"/>
      <c r="V44" s="7">
        <f t="shared" si="25"/>
        <v>0</v>
      </c>
      <c r="W44" s="2"/>
      <c r="X44" s="6">
        <f t="shared" si="26"/>
        <v>0.5</v>
      </c>
      <c r="Y44" s="2"/>
      <c r="Z44" s="7">
        <f t="shared" si="27"/>
        <v>0</v>
      </c>
    </row>
    <row r="45" spans="1:26" s="25" customFormat="1" outlineLevel="1" collapsed="1" x14ac:dyDescent="0.25">
      <c r="A45" s="27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SUM(OSRRefD22_6x_0)</f>
        <v>0</v>
      </c>
      <c r="E45" s="1"/>
      <c r="F45" s="5">
        <f t="shared" ref="F45:F54" si="28">IF(D$12=0,0,D45/D$12)</f>
        <v>0</v>
      </c>
      <c r="G45" s="1"/>
      <c r="H45" s="1">
        <f>SUM(OSRRefH22_6x_0)</f>
        <v>0</v>
      </c>
      <c r="I45" s="1"/>
      <c r="J45" s="5">
        <f t="shared" ref="J45:J54" si="29">IF(H$12=0,0,H45/H$12)</f>
        <v>0</v>
      </c>
      <c r="K45" s="1"/>
      <c r="L45" s="1">
        <f t="shared" ref="L45:L54" si="30">+D45-H45</f>
        <v>0</v>
      </c>
      <c r="M45" s="1"/>
      <c r="N45" s="5">
        <f t="shared" ref="N45:N54" si="31">IF(H45=0,0,L45/H45)</f>
        <v>0</v>
      </c>
      <c r="O45" s="13"/>
      <c r="P45" s="1">
        <f>SUM(OSRRefP22_6x_0)</f>
        <v>0</v>
      </c>
      <c r="Q45" s="1"/>
      <c r="R45" s="5">
        <f t="shared" ref="R45:R54" si="32">IF(P$12=0,0,P45/P$12)</f>
        <v>0</v>
      </c>
      <c r="S45" s="1"/>
      <c r="T45" s="1">
        <f>SUM(OSRRefT22_6x_0)</f>
        <v>47.34</v>
      </c>
      <c r="U45" s="1"/>
      <c r="V45" s="5">
        <f t="shared" ref="V45:V54" si="33">IF(T$12=0,0,T45/T$12)</f>
        <v>1.4081741923969304E-4</v>
      </c>
      <c r="W45" s="1"/>
      <c r="X45" s="1">
        <f t="shared" ref="X45:X54" si="34">+P45-T45</f>
        <v>-47.34</v>
      </c>
      <c r="Y45" s="1"/>
      <c r="Z45" s="5">
        <f t="shared" ref="Z45:Z54" si="35">IF(T45=0,0,X45/T45)</f>
        <v>-1</v>
      </c>
    </row>
    <row r="46" spans="1:26" s="24" customFormat="1" hidden="1" outlineLevel="2" x14ac:dyDescent="0.25">
      <c r="A46" s="26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28"/>
        <v>0</v>
      </c>
      <c r="G46" s="2"/>
      <c r="H46" s="6"/>
      <c r="I46" s="2"/>
      <c r="J46" s="7">
        <f t="shared" si="29"/>
        <v>0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/>
      <c r="Q46" s="2"/>
      <c r="R46" s="7">
        <f t="shared" si="32"/>
        <v>0</v>
      </c>
      <c r="S46" s="2"/>
      <c r="T46" s="6">
        <v>47.34</v>
      </c>
      <c r="U46" s="2"/>
      <c r="V46" s="7">
        <f t="shared" si="33"/>
        <v>1.4081741923969304E-4</v>
      </c>
      <c r="W46" s="2"/>
      <c r="X46" s="6">
        <f t="shared" si="34"/>
        <v>-47.34</v>
      </c>
      <c r="Y46" s="2"/>
      <c r="Z46" s="7">
        <f t="shared" si="35"/>
        <v>-1</v>
      </c>
    </row>
    <row r="47" spans="1:26" s="25" customFormat="1" outlineLevel="1" collapsed="1" x14ac:dyDescent="0.25">
      <c r="A47" s="27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SUM(OSRRefD22_7x_0)</f>
        <v>29.01</v>
      </c>
      <c r="E47" s="1"/>
      <c r="F47" s="5">
        <f t="shared" si="28"/>
        <v>1.2837419240640765E-3</v>
      </c>
      <c r="G47" s="1"/>
      <c r="H47" s="1">
        <f>SUM(OSRRefH22_7x_0)</f>
        <v>29.01</v>
      </c>
      <c r="I47" s="1"/>
      <c r="J47" s="5">
        <f t="shared" si="29"/>
        <v>2.0071263015878507E-4</v>
      </c>
      <c r="K47" s="1"/>
      <c r="L47" s="1">
        <f t="shared" si="30"/>
        <v>0</v>
      </c>
      <c r="M47" s="1"/>
      <c r="N47" s="5">
        <f t="shared" si="31"/>
        <v>0</v>
      </c>
      <c r="O47" s="13"/>
      <c r="P47" s="1">
        <f>SUM(OSRRefP22_7x_0)</f>
        <v>232.08</v>
      </c>
      <c r="Q47" s="1"/>
      <c r="R47" s="5">
        <f t="shared" si="32"/>
        <v>5.9165744645051424E-4</v>
      </c>
      <c r="S47" s="1"/>
      <c r="T47" s="1">
        <f>SUM(OSRRefT22_7x_0)</f>
        <v>232.08</v>
      </c>
      <c r="U47" s="1"/>
      <c r="V47" s="5">
        <f t="shared" si="33"/>
        <v>6.9034445832589684E-4</v>
      </c>
      <c r="W47" s="1"/>
      <c r="X47" s="1">
        <f t="shared" si="34"/>
        <v>0</v>
      </c>
      <c r="Y47" s="1"/>
      <c r="Z47" s="5">
        <f t="shared" si="35"/>
        <v>0</v>
      </c>
    </row>
    <row r="48" spans="1:26" s="24" customFormat="1" hidden="1" outlineLevel="2" x14ac:dyDescent="0.25">
      <c r="A48" s="26"/>
      <c r="B48" s="11" t="str">
        <f>CONCATENATE("          ", "6314", " - ", "LIABILITY INSURANCE")</f>
        <v xml:space="preserve">          6314 - LIABILITY INSURANCE</v>
      </c>
      <c r="C48" s="11"/>
      <c r="D48" s="6">
        <v>29.01</v>
      </c>
      <c r="E48" s="2"/>
      <c r="F48" s="7">
        <f t="shared" si="28"/>
        <v>1.2837419240640765E-3</v>
      </c>
      <c r="G48" s="2"/>
      <c r="H48" s="6">
        <v>29.01</v>
      </c>
      <c r="I48" s="2"/>
      <c r="J48" s="7">
        <f t="shared" si="29"/>
        <v>2.0071263015878507E-4</v>
      </c>
      <c r="K48" s="2"/>
      <c r="L48" s="6">
        <f t="shared" si="30"/>
        <v>0</v>
      </c>
      <c r="M48" s="2"/>
      <c r="N48" s="7">
        <f t="shared" si="31"/>
        <v>0</v>
      </c>
      <c r="O48" s="11"/>
      <c r="P48" s="6">
        <v>232.08</v>
      </c>
      <c r="Q48" s="2"/>
      <c r="R48" s="7">
        <f t="shared" si="32"/>
        <v>5.9165744645051424E-4</v>
      </c>
      <c r="S48" s="2"/>
      <c r="T48" s="6">
        <v>232.08</v>
      </c>
      <c r="U48" s="2"/>
      <c r="V48" s="7">
        <f t="shared" si="33"/>
        <v>6.9034445832589684E-4</v>
      </c>
      <c r="W48" s="2"/>
      <c r="X48" s="6">
        <f t="shared" si="34"/>
        <v>0</v>
      </c>
      <c r="Y48" s="2"/>
      <c r="Z48" s="7">
        <f t="shared" si="35"/>
        <v>0</v>
      </c>
    </row>
    <row r="49" spans="1:26" s="25" customFormat="1" outlineLevel="1" collapsed="1" x14ac:dyDescent="0.25">
      <c r="A49" s="27"/>
      <c r="B49" s="13" t="str">
        <f>CONCATENATE("     ","Rent                                              ")</f>
        <v xml:space="preserve">     Rent                                              </v>
      </c>
      <c r="C49" s="13"/>
      <c r="D49" s="1">
        <f>SUM(OSRRefD22_8x_0)</f>
        <v>800</v>
      </c>
      <c r="E49" s="1"/>
      <c r="F49" s="5">
        <f t="shared" si="28"/>
        <v>3.5401362952473668E-2</v>
      </c>
      <c r="G49" s="1"/>
      <c r="H49" s="1">
        <f>SUM(OSRRefH22_8x_0)</f>
        <v>800</v>
      </c>
      <c r="I49" s="1"/>
      <c r="J49" s="5">
        <f t="shared" si="29"/>
        <v>5.5349915245442279E-3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SUM(OSRRefP22_8x_0)</f>
        <v>6400</v>
      </c>
      <c r="Q49" s="1"/>
      <c r="R49" s="5">
        <f t="shared" si="32"/>
        <v>1.6315958537070369E-2</v>
      </c>
      <c r="S49" s="1"/>
      <c r="T49" s="1">
        <f>SUM(OSRRefT22_8x_0)</f>
        <v>4800</v>
      </c>
      <c r="U49" s="1"/>
      <c r="V49" s="5">
        <f t="shared" si="33"/>
        <v>1.4278065322148849E-2</v>
      </c>
      <c r="W49" s="1"/>
      <c r="X49" s="1">
        <f t="shared" si="34"/>
        <v>1600</v>
      </c>
      <c r="Y49" s="1"/>
      <c r="Z49" s="5">
        <f t="shared" si="35"/>
        <v>0.33333333333333331</v>
      </c>
    </row>
    <row r="50" spans="1:26" s="24" customFormat="1" hidden="1" outlineLevel="2" x14ac:dyDescent="0.25">
      <c r="A50" s="26"/>
      <c r="B50" s="11" t="str">
        <f>CONCATENATE("          ", "6273", " - ", "RENT")</f>
        <v xml:space="preserve">          6273 - RENT</v>
      </c>
      <c r="C50" s="11"/>
      <c r="D50" s="6">
        <v>800</v>
      </c>
      <c r="E50" s="2"/>
      <c r="F50" s="7">
        <f t="shared" si="28"/>
        <v>3.5401362952473668E-2</v>
      </c>
      <c r="G50" s="2"/>
      <c r="H50" s="6">
        <v>800</v>
      </c>
      <c r="I50" s="2"/>
      <c r="J50" s="7">
        <f t="shared" si="29"/>
        <v>5.5349915245442279E-3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>
        <v>6400</v>
      </c>
      <c r="Q50" s="2"/>
      <c r="R50" s="7">
        <f t="shared" si="32"/>
        <v>1.6315958537070369E-2</v>
      </c>
      <c r="S50" s="2"/>
      <c r="T50" s="6">
        <v>4800</v>
      </c>
      <c r="U50" s="2"/>
      <c r="V50" s="7">
        <f t="shared" si="33"/>
        <v>1.4278065322148849E-2</v>
      </c>
      <c r="W50" s="2"/>
      <c r="X50" s="6">
        <f t="shared" si="34"/>
        <v>1600</v>
      </c>
      <c r="Y50" s="2"/>
      <c r="Z50" s="7">
        <f t="shared" si="35"/>
        <v>0.33333333333333331</v>
      </c>
    </row>
    <row r="51" spans="1:26" s="25" customFormat="1" outlineLevel="1" collapsed="1" x14ac:dyDescent="0.25">
      <c r="A51" s="27"/>
      <c r="B51" s="13" t="str">
        <f>CONCATENATE("     ","Repair and Maintenance                            ")</f>
        <v xml:space="preserve">     Repair and Maintenance                            </v>
      </c>
      <c r="C51" s="13"/>
      <c r="D51" s="1">
        <f>SUM(OSRRefD22_9x_0)</f>
        <v>0</v>
      </c>
      <c r="E51" s="1"/>
      <c r="F51" s="5">
        <f t="shared" si="28"/>
        <v>0</v>
      </c>
      <c r="G51" s="1"/>
      <c r="H51" s="1">
        <f>SUM(OSRRefH22_9x_0)</f>
        <v>117094</v>
      </c>
      <c r="I51" s="1"/>
      <c r="J51" s="5">
        <f t="shared" si="29"/>
        <v>0.81014287196872725</v>
      </c>
      <c r="K51" s="1"/>
      <c r="L51" s="1">
        <f t="shared" si="30"/>
        <v>-117094</v>
      </c>
      <c r="M51" s="1"/>
      <c r="N51" s="5">
        <f t="shared" si="31"/>
        <v>-1</v>
      </c>
      <c r="O51" s="13"/>
      <c r="P51" s="1">
        <f>SUM(OSRRefP22_9x_0)</f>
        <v>126914.90000000001</v>
      </c>
      <c r="Q51" s="1"/>
      <c r="R51" s="5">
        <f t="shared" si="32"/>
        <v>0.32355285095881753</v>
      </c>
      <c r="S51" s="1"/>
      <c r="T51" s="1">
        <f>SUM(OSRRefT22_9x_0)</f>
        <v>117843.95999999999</v>
      </c>
      <c r="U51" s="1"/>
      <c r="V51" s="5">
        <f t="shared" si="33"/>
        <v>0.35053828306264501</v>
      </c>
      <c r="W51" s="1"/>
      <c r="X51" s="1">
        <f t="shared" si="34"/>
        <v>9070.9400000000169</v>
      </c>
      <c r="Y51" s="1"/>
      <c r="Z51" s="5">
        <f t="shared" si="35"/>
        <v>7.6974161424989598E-2</v>
      </c>
    </row>
    <row r="52" spans="1:26" s="24" customFormat="1" hidden="1" outlineLevel="2" x14ac:dyDescent="0.25">
      <c r="A52" s="26"/>
      <c r="B52" s="11" t="str">
        <f>CONCATENATE("          ", "6371", " - ", "COMPUTER SOFTWARE MAINTENANCE")</f>
        <v xml:space="preserve">          6371 - COMPUTER SOFTWARE MAINTENANCE</v>
      </c>
      <c r="C52" s="11"/>
      <c r="D52" s="6"/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0</v>
      </c>
      <c r="M52" s="2"/>
      <c r="N52" s="7">
        <f t="shared" si="31"/>
        <v>0</v>
      </c>
      <c r="O52" s="11"/>
      <c r="P52" s="6"/>
      <c r="Q52" s="2"/>
      <c r="R52" s="7">
        <f t="shared" si="32"/>
        <v>0</v>
      </c>
      <c r="S52" s="2"/>
      <c r="T52" s="6">
        <v>437.31</v>
      </c>
      <c r="U52" s="2"/>
      <c r="V52" s="7">
        <f t="shared" si="33"/>
        <v>1.3008209887560235E-3</v>
      </c>
      <c r="W52" s="2"/>
      <c r="X52" s="6">
        <f t="shared" si="34"/>
        <v>-437.31</v>
      </c>
      <c r="Y52" s="2"/>
      <c r="Z52" s="7">
        <f t="shared" si="35"/>
        <v>-1</v>
      </c>
    </row>
    <row r="53" spans="1:26" s="24" customFormat="1" hidden="1" outlineLevel="2" x14ac:dyDescent="0.25">
      <c r="A53" s="26"/>
      <c r="B53" s="11" t="str">
        <f>CONCATENATE("          ", "6373", " - ", "MAINTENANCE CONTRACTS")</f>
        <v xml:space="preserve">          6373 - MAINTENANCE CONTRACTS</v>
      </c>
      <c r="C53" s="11"/>
      <c r="D53" s="6"/>
      <c r="E53" s="2"/>
      <c r="F53" s="7">
        <f t="shared" si="28"/>
        <v>0</v>
      </c>
      <c r="G53" s="2"/>
      <c r="H53" s="6">
        <v>117094</v>
      </c>
      <c r="I53" s="2"/>
      <c r="J53" s="7">
        <f t="shared" si="29"/>
        <v>0.81014287196872725</v>
      </c>
      <c r="K53" s="2"/>
      <c r="L53" s="6">
        <f t="shared" si="30"/>
        <v>-117094</v>
      </c>
      <c r="M53" s="2"/>
      <c r="N53" s="7">
        <f t="shared" si="31"/>
        <v>-1</v>
      </c>
      <c r="O53" s="11"/>
      <c r="P53" s="6">
        <v>120352.90000000001</v>
      </c>
      <c r="Q53" s="2"/>
      <c r="R53" s="7">
        <f t="shared" si="32"/>
        <v>0.30682389472127758</v>
      </c>
      <c r="S53" s="2"/>
      <c r="T53" s="6">
        <v>117094</v>
      </c>
      <c r="U53" s="2"/>
      <c r="V53" s="7">
        <f t="shared" si="33"/>
        <v>0.34830745433993693</v>
      </c>
      <c r="W53" s="2"/>
      <c r="X53" s="6">
        <f t="shared" si="34"/>
        <v>3258.9000000000087</v>
      </c>
      <c r="Y53" s="2"/>
      <c r="Z53" s="7">
        <f t="shared" si="35"/>
        <v>2.7831485814815524E-2</v>
      </c>
    </row>
    <row r="54" spans="1:26" s="24" customFormat="1" hidden="1" outlineLevel="2" x14ac:dyDescent="0.25">
      <c r="A54" s="26"/>
      <c r="B54" s="11" t="str">
        <f>CONCATENATE("          ", "6375", " - ", "OUTSIDE REPAIRS &amp; MAINTENANCE")</f>
        <v xml:space="preserve">          6375 - OUTSIDE REPAIRS &amp; MAINTENANCE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>
        <v>6562</v>
      </c>
      <c r="Q54" s="2"/>
      <c r="R54" s="7">
        <f t="shared" si="32"/>
        <v>1.6728956237539963E-2</v>
      </c>
      <c r="S54" s="2"/>
      <c r="T54" s="6">
        <v>312.64999999999998</v>
      </c>
      <c r="U54" s="2"/>
      <c r="V54" s="7">
        <f t="shared" si="33"/>
        <v>9.3000773395204947E-4</v>
      </c>
      <c r="W54" s="2"/>
      <c r="X54" s="6">
        <f t="shared" si="34"/>
        <v>6249.35</v>
      </c>
      <c r="Y54" s="2"/>
      <c r="Z54" s="7">
        <f t="shared" si="35"/>
        <v>19.988325603710223</v>
      </c>
    </row>
    <row r="55" spans="1:26" s="25" customFormat="1" outlineLevel="1" collapsed="1" x14ac:dyDescent="0.25">
      <c r="A55" s="27"/>
      <c r="B55" s="13" t="str">
        <f>CONCATENATE("     ","Subscriptions &amp; Dues                              ")</f>
        <v xml:space="preserve">     Subscriptions &amp; Dues                              </v>
      </c>
      <c r="C55" s="13"/>
      <c r="D55" s="1">
        <f>SUM(OSRRefD22_10x_0)</f>
        <v>0</v>
      </c>
      <c r="E55" s="1"/>
      <c r="F55" s="5">
        <f t="shared" ref="F55:F60" si="36">IF(D$12=0,0,D55/D$12)</f>
        <v>0</v>
      </c>
      <c r="G55" s="1"/>
      <c r="H55" s="1">
        <f>SUM(OSRRefH22_10x_0)</f>
        <v>0</v>
      </c>
      <c r="I55" s="1"/>
      <c r="J55" s="5">
        <f t="shared" ref="J55:J60" si="37">IF(H$12=0,0,H55/H$12)</f>
        <v>0</v>
      </c>
      <c r="K55" s="1"/>
      <c r="L55" s="1">
        <f t="shared" ref="L55:L60" si="38">+D55-H55</f>
        <v>0</v>
      </c>
      <c r="M55" s="1"/>
      <c r="N55" s="5">
        <f t="shared" ref="N55:N60" si="39">IF(H55=0,0,L55/H55)</f>
        <v>0</v>
      </c>
      <c r="O55" s="13"/>
      <c r="P55" s="1">
        <f>SUM(OSRRefP22_10x_0)</f>
        <v>0</v>
      </c>
      <c r="Q55" s="1"/>
      <c r="R55" s="5">
        <f t="shared" ref="R55:R60" si="40">IF(P$12=0,0,P55/P$12)</f>
        <v>0</v>
      </c>
      <c r="S55" s="1"/>
      <c r="T55" s="1">
        <f>SUM(OSRRefT22_10x_0)</f>
        <v>825</v>
      </c>
      <c r="U55" s="1"/>
      <c r="V55" s="5">
        <f t="shared" ref="V55:V60" si="41">IF(T$12=0,0,T55/T$12)</f>
        <v>2.4540424772443335E-3</v>
      </c>
      <c r="W55" s="1"/>
      <c r="X55" s="1">
        <f t="shared" ref="X55:X60" si="42">+P55-T55</f>
        <v>-825</v>
      </c>
      <c r="Y55" s="1"/>
      <c r="Z55" s="5">
        <f t="shared" ref="Z55:Z60" si="43">IF(T55=0,0,X55/T55)</f>
        <v>-1</v>
      </c>
    </row>
    <row r="56" spans="1:26" s="24" customFormat="1" hidden="1" outlineLevel="2" x14ac:dyDescent="0.25">
      <c r="A56" s="26"/>
      <c r="B56" s="11" t="str">
        <f>CONCATENATE("          ", "6258", " - ", "MEMBERSHIP DUES")</f>
        <v xml:space="preserve">          6258 - MEMBERSHIP DUES</v>
      </c>
      <c r="C56" s="11"/>
      <c r="D56" s="6"/>
      <c r="E56" s="2"/>
      <c r="F56" s="7">
        <f t="shared" si="36"/>
        <v>0</v>
      </c>
      <c r="G56" s="2"/>
      <c r="H56" s="6"/>
      <c r="I56" s="2"/>
      <c r="J56" s="7">
        <f t="shared" si="37"/>
        <v>0</v>
      </c>
      <c r="K56" s="2"/>
      <c r="L56" s="6">
        <f t="shared" si="38"/>
        <v>0</v>
      </c>
      <c r="M56" s="2"/>
      <c r="N56" s="7">
        <f t="shared" si="39"/>
        <v>0</v>
      </c>
      <c r="O56" s="11"/>
      <c r="P56" s="6"/>
      <c r="Q56" s="2"/>
      <c r="R56" s="7">
        <f t="shared" si="40"/>
        <v>0</v>
      </c>
      <c r="S56" s="2"/>
      <c r="T56" s="6">
        <v>825</v>
      </c>
      <c r="U56" s="2"/>
      <c r="V56" s="7">
        <f t="shared" si="41"/>
        <v>2.4540424772443335E-3</v>
      </c>
      <c r="W56" s="2"/>
      <c r="X56" s="6">
        <f t="shared" si="42"/>
        <v>-825</v>
      </c>
      <c r="Y56" s="2"/>
      <c r="Z56" s="7">
        <f t="shared" si="43"/>
        <v>-1</v>
      </c>
    </row>
    <row r="57" spans="1:26" s="25" customFormat="1" outlineLevel="1" collapsed="1" x14ac:dyDescent="0.25">
      <c r="A57" s="27"/>
      <c r="B57" s="13" t="str">
        <f>CONCATENATE("     ","Supplies                                          ")</f>
        <v xml:space="preserve">     Supplies                                          </v>
      </c>
      <c r="C57" s="13"/>
      <c r="D57" s="1">
        <f>SUM(OSRRefD22_11x_0)</f>
        <v>11.55</v>
      </c>
      <c r="E57" s="1"/>
      <c r="F57" s="5">
        <f t="shared" si="36"/>
        <v>5.1110717762633867E-4</v>
      </c>
      <c r="G57" s="1"/>
      <c r="H57" s="1">
        <f>SUM(OSRRefH22_11x_0)</f>
        <v>4628.3599999999997</v>
      </c>
      <c r="I57" s="1"/>
      <c r="J57" s="5">
        <f t="shared" si="37"/>
        <v>3.20224167156744E-2</v>
      </c>
      <c r="K57" s="1"/>
      <c r="L57" s="1">
        <f t="shared" si="38"/>
        <v>-4616.8099999999995</v>
      </c>
      <c r="M57" s="1"/>
      <c r="N57" s="5">
        <f t="shared" si="39"/>
        <v>-0.99750451563836862</v>
      </c>
      <c r="O57" s="13"/>
      <c r="P57" s="1">
        <f>SUM(OSRRefP22_11x_0)</f>
        <v>42058.17</v>
      </c>
      <c r="Q57" s="1"/>
      <c r="R57" s="5">
        <f t="shared" si="40"/>
        <v>0.10722177466641512</v>
      </c>
      <c r="S57" s="1"/>
      <c r="T57" s="1">
        <f>SUM(OSRRefT22_11x_0)</f>
        <v>23282.71</v>
      </c>
      <c r="U57" s="1"/>
      <c r="V57" s="5">
        <f t="shared" si="41"/>
        <v>6.9256677970135044E-2</v>
      </c>
      <c r="W57" s="1"/>
      <c r="X57" s="1">
        <f t="shared" si="42"/>
        <v>18775.46</v>
      </c>
      <c r="Y57" s="1"/>
      <c r="Z57" s="5">
        <f t="shared" si="43"/>
        <v>0.80641214016753204</v>
      </c>
    </row>
    <row r="58" spans="1:26" s="24" customFormat="1" hidden="1" outlineLevel="2" x14ac:dyDescent="0.25">
      <c r="A58" s="26"/>
      <c r="B58" s="11" t="str">
        <f>CONCATENATE("          ", "6234", " - ", "EXPENDABLE SUPPLIES &amp; EQUIPMEN")</f>
        <v xml:space="preserve">          6234 - EXPENDABLE SUPPLIES &amp; EQUIPMEN</v>
      </c>
      <c r="C58" s="11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1"/>
      <c r="P58" s="6"/>
      <c r="Q58" s="2"/>
      <c r="R58" s="7">
        <f t="shared" si="40"/>
        <v>0</v>
      </c>
      <c r="S58" s="2"/>
      <c r="T58" s="6">
        <v>413.27</v>
      </c>
      <c r="U58" s="2"/>
      <c r="V58" s="7">
        <f t="shared" si="41"/>
        <v>1.2293116782675947E-3</v>
      </c>
      <c r="W58" s="2"/>
      <c r="X58" s="6">
        <f t="shared" si="42"/>
        <v>-413.27</v>
      </c>
      <c r="Y58" s="2"/>
      <c r="Z58" s="7">
        <f t="shared" si="43"/>
        <v>-1</v>
      </c>
    </row>
    <row r="59" spans="1:26" s="24" customFormat="1" hidden="1" outlineLevel="2" x14ac:dyDescent="0.25">
      <c r="A59" s="26"/>
      <c r="B59" s="11" t="str">
        <f>CONCATENATE("          ", "6241", " - ", "OFFICE EXPENSE")</f>
        <v xml:space="preserve">          6241 - OFFICE EXPENSE</v>
      </c>
      <c r="C59" s="11"/>
      <c r="D59" s="6">
        <v>11.55</v>
      </c>
      <c r="E59" s="2"/>
      <c r="F59" s="7">
        <f t="shared" si="36"/>
        <v>5.1110717762633867E-4</v>
      </c>
      <c r="G59" s="2"/>
      <c r="H59" s="6">
        <v>4628.3599999999997</v>
      </c>
      <c r="I59" s="2"/>
      <c r="J59" s="7">
        <f t="shared" si="37"/>
        <v>3.20224167156744E-2</v>
      </c>
      <c r="K59" s="2"/>
      <c r="L59" s="6">
        <f t="shared" si="38"/>
        <v>-4616.8099999999995</v>
      </c>
      <c r="M59" s="2"/>
      <c r="N59" s="7">
        <f t="shared" si="39"/>
        <v>-0.99750451563836862</v>
      </c>
      <c r="O59" s="11"/>
      <c r="P59" s="6">
        <v>42058.17</v>
      </c>
      <c r="Q59" s="2"/>
      <c r="R59" s="7">
        <f t="shared" si="40"/>
        <v>0.10722177466641512</v>
      </c>
      <c r="S59" s="2"/>
      <c r="T59" s="6">
        <v>22665.919999999998</v>
      </c>
      <c r="U59" s="2"/>
      <c r="V59" s="7">
        <f t="shared" si="41"/>
        <v>6.7421976322208338E-2</v>
      </c>
      <c r="W59" s="2"/>
      <c r="X59" s="6">
        <f t="shared" si="42"/>
        <v>19392.25</v>
      </c>
      <c r="Y59" s="2"/>
      <c r="Z59" s="7">
        <f t="shared" si="43"/>
        <v>0.85556862461351679</v>
      </c>
    </row>
    <row r="60" spans="1:26" s="24" customFormat="1" hidden="1" outlineLevel="2" x14ac:dyDescent="0.25">
      <c r="A60" s="26"/>
      <c r="B60" s="11" t="str">
        <f>CONCATENATE("          ", "6245", " - ", "PRINTING")</f>
        <v xml:space="preserve">          6245 - PRINTING</v>
      </c>
      <c r="C60" s="11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/>
      <c r="Q60" s="2"/>
      <c r="R60" s="7">
        <f t="shared" si="40"/>
        <v>0</v>
      </c>
      <c r="S60" s="2"/>
      <c r="T60" s="6">
        <v>203.52</v>
      </c>
      <c r="U60" s="2"/>
      <c r="V60" s="7">
        <f t="shared" si="41"/>
        <v>6.0538996965911127E-4</v>
      </c>
      <c r="W60" s="2"/>
      <c r="X60" s="6">
        <f t="shared" si="42"/>
        <v>-203.52</v>
      </c>
      <c r="Y60" s="2"/>
      <c r="Z60" s="7">
        <f t="shared" si="43"/>
        <v>-1</v>
      </c>
    </row>
    <row r="61" spans="1:26" s="25" customFormat="1" outlineLevel="1" collapsed="1" x14ac:dyDescent="0.25">
      <c r="A61" s="27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SUM(OSRRefD22_12x_0)</f>
        <v>86.45</v>
      </c>
      <c r="E61" s="1"/>
      <c r="F61" s="5">
        <f t="shared" ref="F61:F62" si="44">IF(D$12=0,0,D61/D$12)</f>
        <v>3.8255597840516861E-3</v>
      </c>
      <c r="G61" s="1"/>
      <c r="H61" s="1">
        <f>SUM(OSRRefH22_12x_0)</f>
        <v>197.2</v>
      </c>
      <c r="I61" s="1"/>
      <c r="J61" s="5">
        <f t="shared" ref="J61:J62" si="45">IF(H$12=0,0,H61/H$12)</f>
        <v>1.3643754108001521E-3</v>
      </c>
      <c r="K61" s="1"/>
      <c r="L61" s="1">
        <f t="shared" ref="L61:L62" si="46">+D61-H61</f>
        <v>-110.74999999999999</v>
      </c>
      <c r="M61" s="1"/>
      <c r="N61" s="5">
        <f t="shared" ref="N61:N62" si="47">IF(H61=0,0,L61/H61)</f>
        <v>-0.56161257606490866</v>
      </c>
      <c r="O61" s="13"/>
      <c r="P61" s="1">
        <f>SUM(OSRRefP22_12x_0)</f>
        <v>1624.83</v>
      </c>
      <c r="Q61" s="1"/>
      <c r="R61" s="5">
        <f t="shared" ref="R61:R62" si="48">IF(P$12=0,0,P61/P$12)</f>
        <v>4.1422904546543817E-3</v>
      </c>
      <c r="S61" s="1"/>
      <c r="T61" s="1">
        <f>SUM(OSRRefT22_12x_0)</f>
        <v>1511.2</v>
      </c>
      <c r="U61" s="1"/>
      <c r="V61" s="5">
        <f t="shared" ref="V61:V62" si="49">IF(T$12=0,0,T61/T$12)</f>
        <v>4.4952108989231958E-3</v>
      </c>
      <c r="W61" s="1"/>
      <c r="X61" s="1">
        <f t="shared" ref="X61:X62" si="50">+P61-T61</f>
        <v>113.62999999999988</v>
      </c>
      <c r="Y61" s="1"/>
      <c r="Z61" s="5">
        <f t="shared" ref="Z61:Z62" si="51">IF(T61=0,0,X61/T61)</f>
        <v>7.5191900476442475E-2</v>
      </c>
    </row>
    <row r="62" spans="1:26" s="24" customFormat="1" hidden="1" outlineLevel="2" x14ac:dyDescent="0.25">
      <c r="A62" s="26"/>
      <c r="B62" s="11" t="str">
        <f>CONCATENATE("          ", "6309", " - ", "TELEPHONE")</f>
        <v xml:space="preserve">          6309 - TELEPHONE</v>
      </c>
      <c r="C62" s="11"/>
      <c r="D62" s="6">
        <v>86.45</v>
      </c>
      <c r="E62" s="2"/>
      <c r="F62" s="7">
        <f t="shared" si="44"/>
        <v>3.8255597840516861E-3</v>
      </c>
      <c r="G62" s="2"/>
      <c r="H62" s="6">
        <v>197.2</v>
      </c>
      <c r="I62" s="2"/>
      <c r="J62" s="7">
        <f t="shared" si="45"/>
        <v>1.3643754108001521E-3</v>
      </c>
      <c r="K62" s="2"/>
      <c r="L62" s="6">
        <f t="shared" si="46"/>
        <v>-110.74999999999999</v>
      </c>
      <c r="M62" s="2"/>
      <c r="N62" s="7">
        <f t="shared" si="47"/>
        <v>-0.56161257606490866</v>
      </c>
      <c r="O62" s="11"/>
      <c r="P62" s="6">
        <v>1624.83</v>
      </c>
      <c r="Q62" s="2"/>
      <c r="R62" s="7">
        <f t="shared" si="48"/>
        <v>4.1422904546543817E-3</v>
      </c>
      <c r="S62" s="2"/>
      <c r="T62" s="6">
        <v>1511.2</v>
      </c>
      <c r="U62" s="2"/>
      <c r="V62" s="7">
        <f t="shared" si="49"/>
        <v>4.4952108989231958E-3</v>
      </c>
      <c r="W62" s="2"/>
      <c r="X62" s="6">
        <f t="shared" si="50"/>
        <v>113.62999999999988</v>
      </c>
      <c r="Y62" s="2"/>
      <c r="Z62" s="7">
        <f t="shared" si="51"/>
        <v>7.5191900476442475E-2</v>
      </c>
    </row>
    <row r="63" spans="1:26" s="52" customFormat="1" x14ac:dyDescent="0.25">
      <c r="A63" s="37"/>
      <c r="B63" s="37"/>
      <c r="C63" s="37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7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collapsed="1" x14ac:dyDescent="0.25">
      <c r="A64" s="10"/>
      <c r="B64" s="28" t="s">
        <v>0</v>
      </c>
      <c r="C64" s="10"/>
      <c r="D64" s="4">
        <f>SUM(OSRRefD25x_0)</f>
        <v>231.48</v>
      </c>
      <c r="E64" s="4"/>
      <c r="F64" s="12">
        <f t="shared" ref="F64:F65" si="52">IF(D$12=0,0,D64/D$12)</f>
        <v>1.0243384370298257E-2</v>
      </c>
      <c r="G64" s="4"/>
      <c r="H64" s="4">
        <f>SUM(OSRRefH25x_0)</f>
        <v>2133.16</v>
      </c>
      <c r="I64" s="4"/>
      <c r="J64" s="12">
        <f t="shared" ref="J64:J65" si="53">IF(H$12=0,0,H64/H$12)</f>
        <v>1.4758778150620955E-2</v>
      </c>
      <c r="K64" s="4"/>
      <c r="L64" s="4">
        <f t="shared" ref="L64:L65" si="54">+D64-H64</f>
        <v>-1901.6799999999998</v>
      </c>
      <c r="M64" s="4"/>
      <c r="N64" s="12">
        <f t="shared" ref="N64:N65" si="55">IF(H64=0,0,L64/H64)</f>
        <v>-0.89148493315081845</v>
      </c>
      <c r="O64" s="10"/>
      <c r="P64" s="4">
        <f>SUM(OSRRefP25x_0)</f>
        <v>1728.68</v>
      </c>
      <c r="Q64" s="4"/>
      <c r="R64" s="12">
        <f t="shared" ref="R64:R65" si="56">IF(P$12=0,0,P64/P$12)</f>
        <v>4.4070423756035629E-3</v>
      </c>
      <c r="S64" s="4"/>
      <c r="T64" s="4">
        <f>SUM(OSRRefT25x_0)</f>
        <v>19344.91</v>
      </c>
      <c r="U64" s="4"/>
      <c r="V64" s="12">
        <f t="shared" ref="V64:V65" si="57">IF(T$12=0,0,T64/T$12)</f>
        <v>5.7543310131477184E-2</v>
      </c>
      <c r="W64" s="4"/>
      <c r="X64" s="4">
        <f t="shared" ref="X64:X65" si="58">+P64-T64</f>
        <v>-17616.23</v>
      </c>
      <c r="Y64" s="4"/>
      <c r="Z64" s="12">
        <f t="shared" ref="Z64:Z65" si="59">IF(T64=0,0,X64/T64)</f>
        <v>-0.91063902597634205</v>
      </c>
    </row>
    <row r="65" spans="1:26" s="24" customFormat="1" hidden="1" outlineLevel="1" x14ac:dyDescent="0.25">
      <c r="A65" s="44"/>
      <c r="B65" s="11" t="str">
        <f>CONCATENATE("          ", "9150", " - ", "MISC. INCOME")</f>
        <v xml:space="preserve">          9150 - MISC. INCOME</v>
      </c>
      <c r="C65" s="11"/>
      <c r="D65" s="2">
        <f>--231.48</f>
        <v>231.48</v>
      </c>
      <c r="E65" s="2"/>
      <c r="F65" s="19">
        <f t="shared" si="52"/>
        <v>1.0243384370298257E-2</v>
      </c>
      <c r="G65" s="2"/>
      <c r="H65" s="2">
        <f>--2133.16</f>
        <v>2133.16</v>
      </c>
      <c r="I65" s="2"/>
      <c r="J65" s="19">
        <f t="shared" si="53"/>
        <v>1.4758778150620955E-2</v>
      </c>
      <c r="K65" s="2"/>
      <c r="L65" s="2">
        <f t="shared" si="54"/>
        <v>-1901.6799999999998</v>
      </c>
      <c r="M65" s="2"/>
      <c r="N65" s="19">
        <f t="shared" si="55"/>
        <v>-0.89148493315081845</v>
      </c>
      <c r="O65" s="11"/>
      <c r="P65" s="2">
        <f>--1728.68</f>
        <v>1728.68</v>
      </c>
      <c r="Q65" s="2"/>
      <c r="R65" s="19">
        <f t="shared" si="56"/>
        <v>4.4070423756035629E-3</v>
      </c>
      <c r="S65" s="2"/>
      <c r="T65" s="2">
        <f>--19344.91</f>
        <v>19344.91</v>
      </c>
      <c r="U65" s="2"/>
      <c r="V65" s="19">
        <f t="shared" si="57"/>
        <v>5.7543310131477184E-2</v>
      </c>
      <c r="W65" s="2"/>
      <c r="X65" s="2">
        <f t="shared" si="58"/>
        <v>-17616.23</v>
      </c>
      <c r="Y65" s="2"/>
      <c r="Z65" s="19">
        <f t="shared" si="59"/>
        <v>-0.91063902597634205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10"/>
      <c r="B67" s="29" t="s">
        <v>3</v>
      </c>
      <c r="C67" s="29"/>
      <c r="D67" s="22">
        <f>+D17-D19+D64</f>
        <v>4995.0099999999984</v>
      </c>
      <c r="E67" s="14"/>
      <c r="F67" s="20">
        <f>IF(D$12=0,0,D67/D$12)</f>
        <v>0.2210377024515443</v>
      </c>
      <c r="G67" s="14"/>
      <c r="H67" s="22">
        <f>+H17-H19+H64</f>
        <v>2053.2799999999952</v>
      </c>
      <c r="I67" s="14"/>
      <c r="J67" s="20">
        <f>IF(H$12=0,0,H67/H$12)</f>
        <v>1.4206109246895183E-2</v>
      </c>
      <c r="K67" s="16"/>
      <c r="L67" s="22">
        <f>+D67-H67</f>
        <v>2941.7300000000032</v>
      </c>
      <c r="M67" s="16"/>
      <c r="N67" s="20">
        <f>IF(H67=0,0,L67/H67)</f>
        <v>1.4326979272188938</v>
      </c>
      <c r="O67" s="28"/>
      <c r="P67" s="22">
        <f>+P17-P19+P64</f>
        <v>67101.919999999984</v>
      </c>
      <c r="Q67" s="14"/>
      <c r="R67" s="20">
        <f>IF(P$12=0,0,P67/P$12)</f>
        <v>0.17106752257465821</v>
      </c>
      <c r="S67" s="14"/>
      <c r="T67" s="22">
        <f>+T17-T19+T64</f>
        <v>19985.920000000009</v>
      </c>
      <c r="U67" s="14"/>
      <c r="V67" s="20">
        <f>IF(T$12=0,0,T67/T$12)</f>
        <v>5.9450056517341927E-2</v>
      </c>
      <c r="W67" s="16"/>
      <c r="X67" s="22">
        <f>+P67-T67</f>
        <v>47115.999999999971</v>
      </c>
      <c r="Y67" s="16"/>
      <c r="Z67" s="20">
        <f>IF(T67=0,0,X67/T67)</f>
        <v>2.3574596515947199</v>
      </c>
    </row>
    <row r="68" spans="1:26" x14ac:dyDescent="0.25">
      <c r="A68" s="9"/>
      <c r="B68" s="10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51"/>
      <c r="B69" s="10" t="s">
        <v>13</v>
      </c>
      <c r="C69" s="10"/>
      <c r="D69" s="4">
        <v>10577.98</v>
      </c>
      <c r="E69" s="4"/>
      <c r="F69" s="12">
        <f>IF(D$12=0,0,D69/D$12)</f>
        <v>0.4680936366050093</v>
      </c>
      <c r="G69" s="4"/>
      <c r="H69" s="4">
        <v>14277.53</v>
      </c>
      <c r="I69" s="4"/>
      <c r="J69" s="12">
        <f>IF(H$12=0,0,H69/H$12)</f>
        <v>9.8782509426782447E-2</v>
      </c>
      <c r="K69" s="4"/>
      <c r="L69" s="4">
        <f>+D69-H69</f>
        <v>-3699.5500000000011</v>
      </c>
      <c r="M69" s="4"/>
      <c r="N69" s="12">
        <f>IF(H69=0,0,L69/H69)</f>
        <v>-0.25911694809956631</v>
      </c>
      <c r="O69" s="10"/>
      <c r="P69" s="4">
        <v>77680.320000000007</v>
      </c>
      <c r="Q69" s="4"/>
      <c r="R69" s="12">
        <f>IF(P$12=0,0,P69/P$12)</f>
        <v>0.19803576254161845</v>
      </c>
      <c r="S69" s="4"/>
      <c r="T69" s="4">
        <v>34263.39</v>
      </c>
      <c r="U69" s="4"/>
      <c r="V69" s="12">
        <f>IF(T$12=0,0,T69/T$12)</f>
        <v>0.10191977512047118</v>
      </c>
      <c r="W69" s="4"/>
      <c r="X69" s="4">
        <f>+P69-T69</f>
        <v>43416.930000000008</v>
      </c>
      <c r="Y69" s="4"/>
      <c r="Z69" s="12">
        <f>IF(T69=0,0,X69/T69)</f>
        <v>1.2671521994758839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9" t="s">
        <v>4</v>
      </c>
      <c r="C71" s="29"/>
      <c r="D71" s="35">
        <f>+D67-D69</f>
        <v>-5582.9700000000012</v>
      </c>
      <c r="E71" s="14"/>
      <c r="F71" s="36">
        <f>IF(D$12=0,0,D71/D$12)</f>
        <v>-0.24705593415346497</v>
      </c>
      <c r="G71" s="14"/>
      <c r="H71" s="35">
        <f>+H67-H69</f>
        <v>-12224.250000000005</v>
      </c>
      <c r="I71" s="14"/>
      <c r="J71" s="36">
        <f>IF(H$12=0,0,H71/H$12)</f>
        <v>-8.4576400179887268E-2</v>
      </c>
      <c r="K71" s="16"/>
      <c r="L71" s="35">
        <f>D71-H71</f>
        <v>6641.2800000000043</v>
      </c>
      <c r="M71" s="16"/>
      <c r="N71" s="36">
        <f>IF(H71=0,0,L71/H71)</f>
        <v>-0.5432873182403829</v>
      </c>
      <c r="O71" s="28"/>
      <c r="P71" s="35">
        <f>+P67-P69</f>
        <v>-10578.400000000023</v>
      </c>
      <c r="Q71" s="14"/>
      <c r="R71" s="36">
        <f>IF(P$12=0,0,P71/P$12)</f>
        <v>-2.6968239966960243E-2</v>
      </c>
      <c r="S71" s="14"/>
      <c r="T71" s="35">
        <f>+T67-T69</f>
        <v>-14277.46999999999</v>
      </c>
      <c r="U71" s="14"/>
      <c r="V71" s="36">
        <f>IF(T$12=0,0,T71/T$12)</f>
        <v>-4.2469718603129245E-2</v>
      </c>
      <c r="W71" s="16"/>
      <c r="X71" s="35">
        <f>P71-T71</f>
        <v>3699.069999999967</v>
      </c>
      <c r="Y71" s="16"/>
      <c r="Z71" s="36">
        <f>IF(T71=0,0,X71/T71)</f>
        <v>-0.25908441761740486</v>
      </c>
    </row>
    <row r="72" spans="1:26" ht="15.75" thickTop="1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9" t="s">
        <v>5</v>
      </c>
      <c r="C74" s="29"/>
      <c r="D74" s="31">
        <f>SUM(D71:D73)</f>
        <v>-5582.9700000000012</v>
      </c>
      <c r="E74" s="14"/>
      <c r="F74" s="33">
        <f>IF(D$12=0,0,D74/D$12)</f>
        <v>-0.24705593415346497</v>
      </c>
      <c r="G74" s="14"/>
      <c r="H74" s="31">
        <f>SUM(H71:H73)</f>
        <v>-12224.250000000005</v>
      </c>
      <c r="I74" s="14"/>
      <c r="J74" s="33">
        <f>IF(H$12=0,0,H74/H$12)</f>
        <v>-8.4576400179887268E-2</v>
      </c>
      <c r="K74" s="16"/>
      <c r="L74" s="31">
        <f>+D74-H74</f>
        <v>6641.2800000000043</v>
      </c>
      <c r="M74" s="16"/>
      <c r="N74" s="33">
        <f>IF(H74=0,0,L74/H74)</f>
        <v>-0.5432873182403829</v>
      </c>
      <c r="O74" s="28"/>
      <c r="P74" s="31">
        <f>SUM(P71:P73)</f>
        <v>-10578.400000000023</v>
      </c>
      <c r="Q74" s="14"/>
      <c r="R74" s="33">
        <f>IF(P$12=0,0,P74/P$12)</f>
        <v>-2.6968239966960243E-2</v>
      </c>
      <c r="S74" s="14"/>
      <c r="T74" s="31">
        <f>SUM(T71:T73)</f>
        <v>-14277.46999999999</v>
      </c>
      <c r="U74" s="14"/>
      <c r="V74" s="33">
        <f>IF(T$12=0,0,T74/T$12)</f>
        <v>-4.2469718603129245E-2</v>
      </c>
      <c r="W74" s="16"/>
      <c r="X74" s="31">
        <f>+P74-T74</f>
        <v>3699.069999999967</v>
      </c>
      <c r="Y74" s="16"/>
      <c r="Z74" s="33">
        <f>IF(T74=0,0,X74/T74)</f>
        <v>-0.25908441761740486</v>
      </c>
    </row>
    <row r="75" spans="1:26" ht="15.75" thickTop="1" x14ac:dyDescent="0.25">
      <c r="A75" s="9"/>
      <c r="C75" s="9"/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25">
      <c r="A76" s="9"/>
      <c r="B76" s="56">
        <v>44267.668799618055</v>
      </c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A77" s="9"/>
      <c r="B77" s="54" t="s">
        <v>313</v>
      </c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8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12</v>
      </c>
    </row>
    <row r="3" spans="1:26" x14ac:dyDescent="0.25">
      <c r="D3" s="59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5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5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5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3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2"/>
    </row>
    <row r="8" spans="1:26" x14ac:dyDescent="0.25">
      <c r="B8" s="62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5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5"/>
      <c r="W9" s="15"/>
      <c r="X9" s="15"/>
      <c r="Y9" s="15"/>
      <c r="Z9" s="40"/>
    </row>
    <row r="10" spans="1:26" x14ac:dyDescent="0.25">
      <c r="A10" s="10"/>
      <c r="B10" s="57"/>
      <c r="C10" s="10"/>
      <c r="D10" s="42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2" t="s">
        <v>11</v>
      </c>
      <c r="M10" s="10"/>
      <c r="N10" s="30" t="s">
        <v>15</v>
      </c>
      <c r="O10" s="10"/>
      <c r="P10" s="61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2" t="s">
        <v>11</v>
      </c>
      <c r="Y10" s="10"/>
      <c r="Z10" s="30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6" t="e">
        <f ca="1">IF(D$12=0,0,D31/D$12)</f>
        <v>#NAME?</v>
      </c>
      <c r="G31" s="14"/>
      <c r="H31" s="35" t="e">
        <f ca="1">+H27-H29</f>
        <v>#NAME?</v>
      </c>
      <c r="I31" s="14"/>
      <c r="J31" s="36" t="e">
        <f ca="1">IF(H$12=0,0,H31/H$12)</f>
        <v>#NAME?</v>
      </c>
      <c r="K31" s="16"/>
      <c r="L31" s="35" t="e">
        <f ca="1">D31-H31</f>
        <v>#NAME?</v>
      </c>
      <c r="M31" s="16"/>
      <c r="N31" s="36" t="e">
        <f ca="1">IF(H31=0,0,L31/H31)</f>
        <v>#NAME?</v>
      </c>
      <c r="O31" s="28"/>
      <c r="P31" s="35" t="e">
        <f ca="1">+P27-P29</f>
        <v>#NAME?</v>
      </c>
      <c r="Q31" s="14"/>
      <c r="R31" s="36" t="e">
        <f ca="1">IF(P$12=0,0,P31/P$12)</f>
        <v>#NAME?</v>
      </c>
      <c r="S31" s="14"/>
      <c r="T31" s="35" t="e">
        <f ca="1">+T27-T29</f>
        <v>#NAME?</v>
      </c>
      <c r="U31" s="14"/>
      <c r="V31" s="36" t="e">
        <f ca="1">IF(T$12=0,0,T31/T$12)</f>
        <v>#NAME?</v>
      </c>
      <c r="W31" s="16"/>
      <c r="X31" s="35" t="e">
        <f ca="1">P31-T31</f>
        <v>#NAME?</v>
      </c>
      <c r="Y31" s="16"/>
      <c r="Z31" s="36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3" t="e">
        <f ca="1">IF(D$12=0,0,D36/D$12)</f>
        <v>#NAME?</v>
      </c>
      <c r="G36" s="14"/>
      <c r="H36" s="31" t="e">
        <f ca="1">SUM(H31:H35)</f>
        <v>#NAME?</v>
      </c>
      <c r="I36" s="14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8"/>
      <c r="P36" s="31" t="e">
        <f ca="1">SUM(P31:P35)</f>
        <v>#NAME?</v>
      </c>
      <c r="Q36" s="14"/>
      <c r="R36" s="33" t="e">
        <f ca="1">IF(P$12=0,0,P36/P$12)</f>
        <v>#NAME?</v>
      </c>
      <c r="S36" s="14"/>
      <c r="T36" s="31" t="e">
        <f ca="1">SUM(T31:T35)</f>
        <v>#NAME?</v>
      </c>
      <c r="U36" s="14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101</vt:i4>
      </vt:variant>
      <vt:variant>
        <vt:lpstr>Named Ranges</vt:lpstr>
      </vt:variant>
      <vt:variant>
        <vt:i4>4418</vt:i4>
      </vt:variant>
    </vt:vector>
  </HeadingPairs>
  <TitlesOfParts>
    <vt:vector size="4519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324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445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'420'!OSRRefD16x_0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'316'!OSRRefD22_12x_0</vt:lpstr>
      <vt:lpstr>'317'!OSRRefD22_12x_0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'414'!OSRRefD22_12x_0</vt:lpstr>
      <vt:lpstr>'415'!OSRRefD22_12x_0</vt:lpstr>
      <vt:lpstr>'418'!OSRRefD22_12x_0</vt:lpstr>
      <vt:lpstr>'424'!OSRRefD22_12x_0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'Div 6'!OSRRefD22_12x_0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'316'!OSRRefD22_13x_0</vt:lpstr>
      <vt:lpstr>'317'!OSRRefD22_13x_0</vt:lpstr>
      <vt:lpstr>'325'!OSRRefD22_13x_0</vt:lpstr>
      <vt:lpstr>'326'!OSRRefD22_13x_0</vt:lpstr>
      <vt:lpstr>'330'!OSRRefD22_13x_0</vt:lpstr>
      <vt:lpstr>'331'!OSRRefD22_13x_0</vt:lpstr>
      <vt:lpstr>'332'!OSRRefD22_13x_0</vt:lpstr>
      <vt:lpstr>'405'!OSRRefD22_13x_0</vt:lpstr>
      <vt:lpstr>'406'!OSRRefD22_13x_0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'Div 6'!OSRRefD22_13x_0</vt:lpstr>
      <vt:lpstr>Summary!OSRRefD22_13x_0</vt:lpstr>
      <vt:lpstr>'201'!OSRRefD22_14x_0</vt:lpstr>
      <vt:lpstr>'202'!OSRRefD22_14x_0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'325'!OSRRefD22_14x_0</vt:lpstr>
      <vt:lpstr>'326'!OSRRefD22_14x_0</vt:lpstr>
      <vt:lpstr>'330'!OSRRefD22_14x_0</vt:lpstr>
      <vt:lpstr>'331'!OSRRefD22_14x_0</vt:lpstr>
      <vt:lpstr>'332'!OSRRefD22_14x_0</vt:lpstr>
      <vt:lpstr>'405'!OSRRefD22_14x_0</vt:lpstr>
      <vt:lpstr>'411'!OSRRefD22_14x_0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'325'!OSRRefD22_15x_0</vt:lpstr>
      <vt:lpstr>'326'!OSRRefD22_15x_0</vt:lpstr>
      <vt:lpstr>'331'!OSRRefD22_15x_0</vt:lpstr>
      <vt:lpstr>'405'!OSRRefD22_15x_0</vt:lpstr>
      <vt:lpstr>'411'!OSRRefD22_15x_0</vt:lpstr>
      <vt:lpstr>'414'!OSRRefD22_15x_0</vt:lpstr>
      <vt:lpstr>'415'!OSRRefD22_15x_0</vt:lpstr>
      <vt:lpstr>'418'!OSRRefD22_15x_0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'325'!OSRRefD22_16x_0</vt:lpstr>
      <vt:lpstr>'326'!OSRRefD22_16x_0</vt:lpstr>
      <vt:lpstr>'331'!OSRRefD22_16x_0</vt:lpstr>
      <vt:lpstr>'405'!OSRRefD22_16x_0</vt:lpstr>
      <vt:lpstr>'411'!OSRRefD22_16x_0</vt:lpstr>
      <vt:lpstr>'415'!OSRRefD22_16x_0</vt:lpstr>
      <vt:lpstr>'418'!OSRRefD22_16x_0</vt:lpstr>
      <vt:lpstr>'433'!OSRRefD22_16x_0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'325'!OSRRefD22_17x_0</vt:lpstr>
      <vt:lpstr>'326'!OSRRefD22_17x_0</vt:lpstr>
      <vt:lpstr>'331'!OSRRefD22_17x_0</vt:lpstr>
      <vt:lpstr>'405'!OSRRefD22_17x_0</vt:lpstr>
      <vt:lpstr>'411'!OSRRefD22_17x_0</vt:lpstr>
      <vt:lpstr>'415'!OSRRefD22_17x_0</vt:lpstr>
      <vt:lpstr>'444'!OSRRefD22_17x_0</vt:lpstr>
      <vt:lpstr>'450'!OSRRefD22_17x_0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'411'!OSRRefD22_18x_0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'411'!OSRRefD22_19x_0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 &amp; 491'!OSRRefD22_22x_0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 &amp; 491'!OSRRefD22_23x_0</vt:lpstr>
      <vt:lpstr>'491'!OSRRefD22_23x_0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'491'!OSRRefD22_24x_0</vt:lpstr>
      <vt:lpstr>'Div 3'!OSRRefD22_24x_0</vt:lpstr>
      <vt:lpstr>'Div 4'!OSRRefD22_24x_0</vt:lpstr>
      <vt:lpstr>Summary!OSRRefD22_24x_0</vt:lpstr>
      <vt:lpstr>'Div 3'!OSRRefD22_25x_0</vt:lpstr>
      <vt:lpstr>'Div 4'!OSRRefD22_25x_0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'327'!OSRRefD22_2x_0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'420'!OSRRefD22_2x_0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'420'!OSRRefD22_3x_0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'420'!OSRRefD22_4x_0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'420'!OSRRefD22_5x_0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'420'!OSRRefD22_6x_0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'314'!OSRRefD22_7x_0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'314'!OSRRefD22_8x_0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'433'!OSRRefD22_8x_0</vt:lpstr>
      <vt:lpstr>'435'!OSRRefD22_8x_0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'306'!OSRRefD22_9x_0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'307'!OSRRefD25x_0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'330'!OSRRefD25x_0</vt:lpstr>
      <vt:lpstr>'331'!OSRRefD25x_0</vt:lpstr>
      <vt:lpstr>'332'!OSRRefD25x_0</vt:lpstr>
      <vt:lpstr>'411'!OSRRefD25x_0</vt:lpstr>
      <vt:lpstr>'413'!OSRRefD25x_0</vt:lpstr>
      <vt:lpstr>'415'!OSRRefD25x_0</vt:lpstr>
      <vt:lpstr>'418'!OSRRefD25x_0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'420'!OSRRefH16x_0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'316'!OSRRefH22_12x_0</vt:lpstr>
      <vt:lpstr>'317'!OSRRefH22_12x_0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'414'!OSRRefH22_12x_0</vt:lpstr>
      <vt:lpstr>'415'!OSRRefH22_12x_0</vt:lpstr>
      <vt:lpstr>'418'!OSRRefH22_12x_0</vt:lpstr>
      <vt:lpstr>'424'!OSRRefH22_12x_0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'Div 6'!OSRRefH22_12x_0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'316'!OSRRefH22_13x_0</vt:lpstr>
      <vt:lpstr>'317'!OSRRefH22_13x_0</vt:lpstr>
      <vt:lpstr>'325'!OSRRefH22_13x_0</vt:lpstr>
      <vt:lpstr>'326'!OSRRefH22_13x_0</vt:lpstr>
      <vt:lpstr>'330'!OSRRefH22_13x_0</vt:lpstr>
      <vt:lpstr>'331'!OSRRefH22_13x_0</vt:lpstr>
      <vt:lpstr>'332'!OSRRefH22_13x_0</vt:lpstr>
      <vt:lpstr>'405'!OSRRefH22_13x_0</vt:lpstr>
      <vt:lpstr>'406'!OSRRefH22_13x_0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'Div 6'!OSRRefH22_13x_0</vt:lpstr>
      <vt:lpstr>Summary!OSRRefH22_13x_0</vt:lpstr>
      <vt:lpstr>'201'!OSRRefH22_14x_0</vt:lpstr>
      <vt:lpstr>'202'!OSRRefH22_14x_0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'325'!OSRRefH22_14x_0</vt:lpstr>
      <vt:lpstr>'326'!OSRRefH22_14x_0</vt:lpstr>
      <vt:lpstr>'330'!OSRRefH22_14x_0</vt:lpstr>
      <vt:lpstr>'331'!OSRRefH22_14x_0</vt:lpstr>
      <vt:lpstr>'332'!OSRRefH22_14x_0</vt:lpstr>
      <vt:lpstr>'405'!OSRRefH22_14x_0</vt:lpstr>
      <vt:lpstr>'411'!OSRRefH22_14x_0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'325'!OSRRefH22_15x_0</vt:lpstr>
      <vt:lpstr>'326'!OSRRefH22_15x_0</vt:lpstr>
      <vt:lpstr>'331'!OSRRefH22_15x_0</vt:lpstr>
      <vt:lpstr>'405'!OSRRefH22_15x_0</vt:lpstr>
      <vt:lpstr>'411'!OSRRefH22_15x_0</vt:lpstr>
      <vt:lpstr>'414'!OSRRefH22_15x_0</vt:lpstr>
      <vt:lpstr>'415'!OSRRefH22_15x_0</vt:lpstr>
      <vt:lpstr>'418'!OSRRefH22_15x_0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'325'!OSRRefH22_16x_0</vt:lpstr>
      <vt:lpstr>'326'!OSRRefH22_16x_0</vt:lpstr>
      <vt:lpstr>'331'!OSRRefH22_16x_0</vt:lpstr>
      <vt:lpstr>'405'!OSRRefH22_16x_0</vt:lpstr>
      <vt:lpstr>'411'!OSRRefH22_16x_0</vt:lpstr>
      <vt:lpstr>'415'!OSRRefH22_16x_0</vt:lpstr>
      <vt:lpstr>'418'!OSRRefH22_16x_0</vt:lpstr>
      <vt:lpstr>'433'!OSRRefH22_16x_0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'325'!OSRRefH22_17x_0</vt:lpstr>
      <vt:lpstr>'326'!OSRRefH22_17x_0</vt:lpstr>
      <vt:lpstr>'331'!OSRRefH22_17x_0</vt:lpstr>
      <vt:lpstr>'405'!OSRRefH22_17x_0</vt:lpstr>
      <vt:lpstr>'411'!OSRRefH22_17x_0</vt:lpstr>
      <vt:lpstr>'415'!OSRRefH22_17x_0</vt:lpstr>
      <vt:lpstr>'444'!OSRRefH22_17x_0</vt:lpstr>
      <vt:lpstr>'450'!OSRRefH22_17x_0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'411'!OSRRefH22_18x_0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'411'!OSRRefH22_19x_0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 &amp; 491'!OSRRefH22_22x_0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 &amp; 491'!OSRRefH22_23x_0</vt:lpstr>
      <vt:lpstr>'491'!OSRRefH22_23x_0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'491'!OSRRefH22_24x_0</vt:lpstr>
      <vt:lpstr>'Div 3'!OSRRefH22_24x_0</vt:lpstr>
      <vt:lpstr>'Div 4'!OSRRefH22_24x_0</vt:lpstr>
      <vt:lpstr>Summary!OSRRefH22_24x_0</vt:lpstr>
      <vt:lpstr>'Div 3'!OSRRefH22_25x_0</vt:lpstr>
      <vt:lpstr>'Div 4'!OSRRefH22_25x_0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'327'!OSRRefH22_2x_0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'420'!OSRRefH22_2x_0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'420'!OSRRefH22_3x_0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'420'!OSRRefH22_4x_0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'420'!OSRRefH22_5x_0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'420'!OSRRefH22_6x_0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'314'!OSRRefH22_7x_0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'314'!OSRRefH22_8x_0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'433'!OSRRefH22_8x_0</vt:lpstr>
      <vt:lpstr>'435'!OSRRefH22_8x_0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'306'!OSRRefH22_9x_0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'307'!OSRRefH25x_0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'330'!OSRRefH25x_0</vt:lpstr>
      <vt:lpstr>'331'!OSRRefH25x_0</vt:lpstr>
      <vt:lpstr>'332'!OSRRefH25x_0</vt:lpstr>
      <vt:lpstr>'411'!OSRRefH25x_0</vt:lpstr>
      <vt:lpstr>'413'!OSRRefH25x_0</vt:lpstr>
      <vt:lpstr>'415'!OSRRefH25x_0</vt:lpstr>
      <vt:lpstr>'418'!OSRRefH25x_0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'420'!OSRRefP16x_0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'316'!OSRRefP22_12x_0</vt:lpstr>
      <vt:lpstr>'317'!OSRRefP22_12x_0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'414'!OSRRefP22_12x_0</vt:lpstr>
      <vt:lpstr>'415'!OSRRefP22_12x_0</vt:lpstr>
      <vt:lpstr>'418'!OSRRefP22_12x_0</vt:lpstr>
      <vt:lpstr>'424'!OSRRefP22_12x_0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'Div 6'!OSRRefP22_12x_0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'316'!OSRRefP22_13x_0</vt:lpstr>
      <vt:lpstr>'317'!OSRRefP22_13x_0</vt:lpstr>
      <vt:lpstr>'325'!OSRRefP22_13x_0</vt:lpstr>
      <vt:lpstr>'326'!OSRRefP22_13x_0</vt:lpstr>
      <vt:lpstr>'330'!OSRRefP22_13x_0</vt:lpstr>
      <vt:lpstr>'331'!OSRRefP22_13x_0</vt:lpstr>
      <vt:lpstr>'332'!OSRRefP22_13x_0</vt:lpstr>
      <vt:lpstr>'405'!OSRRefP22_13x_0</vt:lpstr>
      <vt:lpstr>'406'!OSRRefP22_13x_0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'Div 6'!OSRRefP22_13x_0</vt:lpstr>
      <vt:lpstr>Summary!OSRRefP22_13x_0</vt:lpstr>
      <vt:lpstr>'201'!OSRRefP22_14x_0</vt:lpstr>
      <vt:lpstr>'202'!OSRRefP22_14x_0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'325'!OSRRefP22_14x_0</vt:lpstr>
      <vt:lpstr>'326'!OSRRefP22_14x_0</vt:lpstr>
      <vt:lpstr>'330'!OSRRefP22_14x_0</vt:lpstr>
      <vt:lpstr>'331'!OSRRefP22_14x_0</vt:lpstr>
      <vt:lpstr>'332'!OSRRefP22_14x_0</vt:lpstr>
      <vt:lpstr>'405'!OSRRefP22_14x_0</vt:lpstr>
      <vt:lpstr>'411'!OSRRefP22_14x_0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'325'!OSRRefP22_15x_0</vt:lpstr>
      <vt:lpstr>'326'!OSRRefP22_15x_0</vt:lpstr>
      <vt:lpstr>'331'!OSRRefP22_15x_0</vt:lpstr>
      <vt:lpstr>'405'!OSRRefP22_15x_0</vt:lpstr>
      <vt:lpstr>'411'!OSRRefP22_15x_0</vt:lpstr>
      <vt:lpstr>'414'!OSRRefP22_15x_0</vt:lpstr>
      <vt:lpstr>'415'!OSRRefP22_15x_0</vt:lpstr>
      <vt:lpstr>'418'!OSRRefP22_15x_0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'325'!OSRRefP22_16x_0</vt:lpstr>
      <vt:lpstr>'326'!OSRRefP22_16x_0</vt:lpstr>
      <vt:lpstr>'331'!OSRRefP22_16x_0</vt:lpstr>
      <vt:lpstr>'405'!OSRRefP22_16x_0</vt:lpstr>
      <vt:lpstr>'411'!OSRRefP22_16x_0</vt:lpstr>
      <vt:lpstr>'415'!OSRRefP22_16x_0</vt:lpstr>
      <vt:lpstr>'418'!OSRRefP22_16x_0</vt:lpstr>
      <vt:lpstr>'433'!OSRRefP22_16x_0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'325'!OSRRefP22_17x_0</vt:lpstr>
      <vt:lpstr>'326'!OSRRefP22_17x_0</vt:lpstr>
      <vt:lpstr>'331'!OSRRefP22_17x_0</vt:lpstr>
      <vt:lpstr>'405'!OSRRefP22_17x_0</vt:lpstr>
      <vt:lpstr>'411'!OSRRefP22_17x_0</vt:lpstr>
      <vt:lpstr>'415'!OSRRefP22_17x_0</vt:lpstr>
      <vt:lpstr>'444'!OSRRefP22_17x_0</vt:lpstr>
      <vt:lpstr>'450'!OSRRefP22_17x_0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'411'!OSRRefP22_18x_0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'411'!OSRRefP22_19x_0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 &amp; 491'!OSRRefP22_22x_0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 &amp; 491'!OSRRefP22_23x_0</vt:lpstr>
      <vt:lpstr>'491'!OSRRefP22_23x_0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'491'!OSRRefP22_24x_0</vt:lpstr>
      <vt:lpstr>'Div 3'!OSRRefP22_24x_0</vt:lpstr>
      <vt:lpstr>'Div 4'!OSRRefP22_24x_0</vt:lpstr>
      <vt:lpstr>Summary!OSRRefP22_24x_0</vt:lpstr>
      <vt:lpstr>'Div 3'!OSRRefP22_25x_0</vt:lpstr>
      <vt:lpstr>'Div 4'!OSRRefP22_25x_0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'327'!OSRRefP22_2x_0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'420'!OSRRefP22_2x_0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'420'!OSRRefP22_3x_0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'420'!OSRRefP22_4x_0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'420'!OSRRefP22_5x_0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'420'!OSRRefP22_6x_0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'314'!OSRRefP22_7x_0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'314'!OSRRefP22_8x_0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'433'!OSRRefP22_8x_0</vt:lpstr>
      <vt:lpstr>'435'!OSRRefP22_8x_0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'306'!OSRRefP22_9x_0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'307'!OSRRefP25x_0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'330'!OSRRefP25x_0</vt:lpstr>
      <vt:lpstr>'331'!OSRRefP25x_0</vt:lpstr>
      <vt:lpstr>'332'!OSRRefP25x_0</vt:lpstr>
      <vt:lpstr>'411'!OSRRefP25x_0</vt:lpstr>
      <vt:lpstr>'413'!OSRRefP25x_0</vt:lpstr>
      <vt:lpstr>'415'!OSRRefP25x_0</vt:lpstr>
      <vt:lpstr>'418'!OSRRefP25x_0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'420'!OSRRefT16x_0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'316'!OSRRefT22_12x_0</vt:lpstr>
      <vt:lpstr>'317'!OSRRefT22_12x_0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'414'!OSRRefT22_12x_0</vt:lpstr>
      <vt:lpstr>'415'!OSRRefT22_12x_0</vt:lpstr>
      <vt:lpstr>'418'!OSRRefT22_12x_0</vt:lpstr>
      <vt:lpstr>'424'!OSRRefT22_12x_0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'Div 6'!OSRRefT22_12x_0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'316'!OSRRefT22_13x_0</vt:lpstr>
      <vt:lpstr>'317'!OSRRefT22_13x_0</vt:lpstr>
      <vt:lpstr>'325'!OSRRefT22_13x_0</vt:lpstr>
      <vt:lpstr>'326'!OSRRefT22_13x_0</vt:lpstr>
      <vt:lpstr>'330'!OSRRefT22_13x_0</vt:lpstr>
      <vt:lpstr>'331'!OSRRefT22_13x_0</vt:lpstr>
      <vt:lpstr>'332'!OSRRefT22_13x_0</vt:lpstr>
      <vt:lpstr>'405'!OSRRefT22_13x_0</vt:lpstr>
      <vt:lpstr>'406'!OSRRefT22_13x_0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'Div 6'!OSRRefT22_13x_0</vt:lpstr>
      <vt:lpstr>Summary!OSRRefT22_13x_0</vt:lpstr>
      <vt:lpstr>'201'!OSRRefT22_14x_0</vt:lpstr>
      <vt:lpstr>'202'!OSRRefT22_14x_0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'325'!OSRRefT22_14x_0</vt:lpstr>
      <vt:lpstr>'326'!OSRRefT22_14x_0</vt:lpstr>
      <vt:lpstr>'330'!OSRRefT22_14x_0</vt:lpstr>
      <vt:lpstr>'331'!OSRRefT22_14x_0</vt:lpstr>
      <vt:lpstr>'332'!OSRRefT22_14x_0</vt:lpstr>
      <vt:lpstr>'405'!OSRRefT22_14x_0</vt:lpstr>
      <vt:lpstr>'411'!OSRRefT22_14x_0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'325'!OSRRefT22_15x_0</vt:lpstr>
      <vt:lpstr>'326'!OSRRefT22_15x_0</vt:lpstr>
      <vt:lpstr>'331'!OSRRefT22_15x_0</vt:lpstr>
      <vt:lpstr>'405'!OSRRefT22_15x_0</vt:lpstr>
      <vt:lpstr>'411'!OSRRefT22_15x_0</vt:lpstr>
      <vt:lpstr>'414'!OSRRefT22_15x_0</vt:lpstr>
      <vt:lpstr>'415'!OSRRefT22_15x_0</vt:lpstr>
      <vt:lpstr>'418'!OSRRefT22_15x_0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'325'!OSRRefT22_16x_0</vt:lpstr>
      <vt:lpstr>'326'!OSRRefT22_16x_0</vt:lpstr>
      <vt:lpstr>'331'!OSRRefT22_16x_0</vt:lpstr>
      <vt:lpstr>'405'!OSRRefT22_16x_0</vt:lpstr>
      <vt:lpstr>'411'!OSRRefT22_16x_0</vt:lpstr>
      <vt:lpstr>'415'!OSRRefT22_16x_0</vt:lpstr>
      <vt:lpstr>'418'!OSRRefT22_16x_0</vt:lpstr>
      <vt:lpstr>'433'!OSRRefT22_16x_0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'325'!OSRRefT22_17x_0</vt:lpstr>
      <vt:lpstr>'326'!OSRRefT22_17x_0</vt:lpstr>
      <vt:lpstr>'331'!OSRRefT22_17x_0</vt:lpstr>
      <vt:lpstr>'405'!OSRRefT22_17x_0</vt:lpstr>
      <vt:lpstr>'411'!OSRRefT22_17x_0</vt:lpstr>
      <vt:lpstr>'415'!OSRRefT22_17x_0</vt:lpstr>
      <vt:lpstr>'444'!OSRRefT22_17x_0</vt:lpstr>
      <vt:lpstr>'450'!OSRRefT22_17x_0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'411'!OSRRefT22_18x_0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'411'!OSRRefT22_19x_0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 &amp; 491'!OSRRefT22_22x_0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 &amp; 491'!OSRRefT22_23x_0</vt:lpstr>
      <vt:lpstr>'491'!OSRRefT22_23x_0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'491'!OSRRefT22_24x_0</vt:lpstr>
      <vt:lpstr>'Div 3'!OSRRefT22_24x_0</vt:lpstr>
      <vt:lpstr>'Div 4'!OSRRefT22_24x_0</vt:lpstr>
      <vt:lpstr>Summary!OSRRefT22_24x_0</vt:lpstr>
      <vt:lpstr>'Div 3'!OSRRefT22_25x_0</vt:lpstr>
      <vt:lpstr>'Div 4'!OSRRefT22_25x_0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'327'!OSRRefT22_2x_0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'420'!OSRRefT22_2x_0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'420'!OSRRefT22_3x_0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'420'!OSRRefT22_4x_0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'420'!OSRRefT22_5x_0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'420'!OSRRefT22_6x_0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'314'!OSRRefT22_7x_0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'314'!OSRRefT22_8x_0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'433'!OSRRefT22_8x_0</vt:lpstr>
      <vt:lpstr>'435'!OSRRefT22_8x_0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'306'!OSRRefT22_9x_0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'307'!OSRRefT25x_0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'330'!OSRRefT25x_0</vt:lpstr>
      <vt:lpstr>'331'!OSRRefT25x_0</vt:lpstr>
      <vt:lpstr>'332'!OSRRefT25x_0</vt:lpstr>
      <vt:lpstr>'411'!OSRRefT25x_0</vt:lpstr>
      <vt:lpstr>'413'!OSRRefT25x_0</vt:lpstr>
      <vt:lpstr>'415'!OSRRefT25x_0</vt:lpstr>
      <vt:lpstr>'418'!OSRRefT25x_0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'445'!Print_Area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'445'!Print_Titles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2021-03-13T00:46:14Z</dcterms:modified>
</cp:coreProperties>
</file>